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60" yWindow="-135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4" sheetId="1" r:id="rId5"/>
    <sheet name="прил. 5" sheetId="6" r:id="rId6"/>
    <sheet name="прил.6" sheetId="5" r:id="rId7"/>
  </sheets>
  <definedNames>
    <definedName name="_xlnm._FilterDatabase" localSheetId="5" hidden="1">'прил. 5'!$A$17:$AC$1823</definedName>
    <definedName name="_xlnm._FilterDatabase" localSheetId="6" hidden="1">прил.6!$A$20:$AD$1752</definedName>
    <definedName name="sub_3870" localSheetId="3">КВР!$A$45</definedName>
    <definedName name="_xlnm.Print_Titles" localSheetId="5">'прил. 5'!$17:$17</definedName>
    <definedName name="_xlnm.Print_Titles" localSheetId="4">прил.4!$17:$18</definedName>
    <definedName name="_xlnm.Print_Titles" localSheetId="6">прил.6!$20:$20</definedName>
    <definedName name="Код_КВР">КВР!$A$2:$A$45</definedName>
    <definedName name="Код_КЦСР">КЦСР!$A$2:$A$366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КВР!$A$1:$B$25</definedName>
    <definedName name="_xlnm.Print_Area" localSheetId="5">'прил. 5'!$A$1:$T$1823</definedName>
    <definedName name="_xlnm.Print_Area" localSheetId="4">прил.4!$A$1:$R$67</definedName>
    <definedName name="_xlnm.Print_Area" localSheetId="6">прил.6!$A$1:$U$1752</definedName>
  </definedNames>
  <calcPr calcId="124519"/>
</workbook>
</file>

<file path=xl/calcChain.xml><?xml version="1.0" encoding="utf-8"?>
<calcChain xmlns="http://schemas.openxmlformats.org/spreadsheetml/2006/main">
  <c r="T850" i="5"/>
  <c r="T1423"/>
  <c r="T1358"/>
  <c r="T1361"/>
  <c r="T1350"/>
  <c r="T1353"/>
  <c r="T665"/>
  <c r="T642"/>
  <c r="T837"/>
  <c r="T450" l="1"/>
  <c r="T507"/>
  <c r="T521"/>
  <c r="T861"/>
  <c r="T864"/>
  <c r="F1764" i="6"/>
  <c r="S808"/>
  <c r="S798"/>
  <c r="S719"/>
  <c r="S190"/>
  <c r="S163"/>
  <c r="S158"/>
  <c r="S930"/>
  <c r="T930" s="1"/>
  <c r="A1689" i="5"/>
  <c r="A603"/>
  <c r="A1809" i="6"/>
  <c r="A1765"/>
  <c r="A1212" i="5"/>
  <c r="A29" i="6"/>
  <c r="A1807"/>
  <c r="A1225" i="5"/>
  <c r="A1566"/>
  <c r="A930" i="6"/>
  <c r="A929"/>
  <c r="A928"/>
  <c r="S929" l="1"/>
  <c r="S1520"/>
  <c r="S1672"/>
  <c r="S1403"/>
  <c r="T1472" i="5"/>
  <c r="T842"/>
  <c r="T690"/>
  <c r="T742"/>
  <c r="T658"/>
  <c r="T190" i="6"/>
  <c r="U682" i="5"/>
  <c r="T163" i="6"/>
  <c r="T158"/>
  <c r="U676" i="5"/>
  <c r="T675"/>
  <c r="U616"/>
  <c r="T615"/>
  <c r="A682"/>
  <c r="A163" i="6"/>
  <c r="A158"/>
  <c r="A190"/>
  <c r="A676" i="5"/>
  <c r="A616"/>
  <c r="T929" i="6" l="1"/>
  <c r="S928"/>
  <c r="T928" s="1"/>
  <c r="T1403"/>
  <c r="S1402"/>
  <c r="T1402" s="1"/>
  <c r="A1403"/>
  <c r="A1402"/>
  <c r="U340" i="5" l="1"/>
  <c r="T339"/>
  <c r="T338" s="1"/>
  <c r="A340"/>
  <c r="A339"/>
  <c r="U339" l="1"/>
  <c r="T609"/>
  <c r="S953" i="6"/>
  <c r="T1446" i="5"/>
  <c r="T1445"/>
  <c r="S822" i="6"/>
  <c r="S821" s="1"/>
  <c r="S820" s="1"/>
  <c r="T820" s="1"/>
  <c r="A820"/>
  <c r="A1669"/>
  <c r="A821"/>
  <c r="A691" i="5"/>
  <c r="A822" i="6"/>
  <c r="A1300" i="5"/>
  <c r="A1299"/>
  <c r="A692"/>
  <c r="T821" i="6" l="1"/>
  <c r="T822"/>
  <c r="S807"/>
  <c r="S806" s="1"/>
  <c r="T806" s="1"/>
  <c r="A807"/>
  <c r="A808"/>
  <c r="A806"/>
  <c r="T808" l="1"/>
  <c r="T807"/>
  <c r="U1366" i="5"/>
  <c r="T1365"/>
  <c r="T1364" s="1"/>
  <c r="A1364"/>
  <c r="A1366"/>
  <c r="A1365"/>
  <c r="U1364" l="1"/>
  <c r="U1365"/>
  <c r="T1189"/>
  <c r="T45"/>
  <c r="T48"/>
  <c r="S1811" i="6"/>
  <c r="S1810" s="1"/>
  <c r="A1811"/>
  <c r="A1806"/>
  <c r="A1810"/>
  <c r="S1809" l="1"/>
  <c r="S1808" s="1"/>
  <c r="S1807" s="1"/>
  <c r="S1806" s="1"/>
  <c r="T1806" s="1"/>
  <c r="T1810"/>
  <c r="T1811"/>
  <c r="U696" i="5"/>
  <c r="T695"/>
  <c r="T694" s="1"/>
  <c r="U694" s="1"/>
  <c r="A694"/>
  <c r="A696"/>
  <c r="A695"/>
  <c r="A693"/>
  <c r="T1807" i="6" l="1"/>
  <c r="U695" i="5"/>
  <c r="T693"/>
  <c r="T692" s="1"/>
  <c r="T1808" i="6"/>
  <c r="T1809"/>
  <c r="T602" i="5"/>
  <c r="T600"/>
  <c r="T691" l="1"/>
  <c r="U691" s="1"/>
  <c r="U692"/>
  <c r="U693"/>
  <c r="S229" i="6"/>
  <c r="T1635" i="5"/>
  <c r="T1507"/>
  <c r="T1693"/>
  <c r="T1667"/>
  <c r="T1655"/>
  <c r="T1628"/>
  <c r="T1621"/>
  <c r="T1553"/>
  <c r="T1530"/>
  <c r="T650" l="1"/>
  <c r="A1668" i="6"/>
  <c r="T1584" i="5" l="1"/>
  <c r="T757"/>
  <c r="T722"/>
  <c r="S1324" i="6"/>
  <c r="S1323" s="1"/>
  <c r="S1322" s="1"/>
  <c r="S1321" s="1"/>
  <c r="S1320" s="1"/>
  <c r="S1319" s="1"/>
  <c r="A1320"/>
  <c r="A1323"/>
  <c r="A1322"/>
  <c r="A1324"/>
  <c r="A1319"/>
  <c r="T1324" l="1"/>
  <c r="T1319"/>
  <c r="T1322"/>
  <c r="T1320"/>
  <c r="T1323"/>
  <c r="T1321"/>
  <c r="S1318"/>
  <c r="S1317" s="1"/>
  <c r="S1316" s="1"/>
  <c r="A1314"/>
  <c r="A1316"/>
  <c r="A1317"/>
  <c r="A1318"/>
  <c r="A1313"/>
  <c r="T1318" l="1"/>
  <c r="T1317"/>
  <c r="S1312"/>
  <c r="T1312" s="1"/>
  <c r="A1310"/>
  <c r="A1312"/>
  <c r="A1307"/>
  <c r="A1311"/>
  <c r="A1308"/>
  <c r="S1311" l="1"/>
  <c r="S1310" s="1"/>
  <c r="S1315"/>
  <c r="T1316"/>
  <c r="U1172" i="5"/>
  <c r="T1171"/>
  <c r="T1170" s="1"/>
  <c r="T1169" s="1"/>
  <c r="U1169" s="1"/>
  <c r="A1171"/>
  <c r="A1170"/>
  <c r="A1172"/>
  <c r="A1169"/>
  <c r="T1311" i="6" l="1"/>
  <c r="S1314"/>
  <c r="S1313" s="1"/>
  <c r="T1315"/>
  <c r="U1171" i="5"/>
  <c r="U1170"/>
  <c r="U1168"/>
  <c r="T1167"/>
  <c r="T1166" s="1"/>
  <c r="T1165" s="1"/>
  <c r="U1165" s="1"/>
  <c r="A1166"/>
  <c r="A1167"/>
  <c r="A1168"/>
  <c r="A1165"/>
  <c r="U1166" l="1"/>
  <c r="U1167"/>
  <c r="T1314" i="6"/>
  <c r="U1164" i="5"/>
  <c r="T1163"/>
  <c r="T1162" s="1"/>
  <c r="T1161" s="1"/>
  <c r="U1161" s="1"/>
  <c r="A1164"/>
  <c r="A1162"/>
  <c r="A1163"/>
  <c r="A1161"/>
  <c r="T1313" i="6" l="1"/>
  <c r="U1163" i="5"/>
  <c r="U1162"/>
  <c r="T250"/>
  <c r="T255"/>
  <c r="T719" i="6"/>
  <c r="S718"/>
  <c r="S717" s="1"/>
  <c r="S716" s="1"/>
  <c r="S715" s="1"/>
  <c r="T715" s="1"/>
  <c r="A718"/>
  <c r="A719"/>
  <c r="A1423" i="5"/>
  <c r="A1424"/>
  <c r="A1422"/>
  <c r="A715" i="6"/>
  <c r="A717"/>
  <c r="A1421" i="5"/>
  <c r="S1309" i="6" l="1"/>
  <c r="T1310"/>
  <c r="T718"/>
  <c r="T716"/>
  <c r="T717"/>
  <c r="U1424" i="5"/>
  <c r="T1422"/>
  <c r="T1421" s="1"/>
  <c r="U1421" s="1"/>
  <c r="U1422" l="1"/>
  <c r="U1423"/>
  <c r="S1308" i="6"/>
  <c r="S1307" s="1"/>
  <c r="T1309"/>
  <c r="T1308" l="1"/>
  <c r="T1307" l="1"/>
  <c r="T1414" i="5" l="1"/>
  <c r="T1413"/>
  <c r="T1672" i="6"/>
  <c r="S1671"/>
  <c r="T1671" s="1"/>
  <c r="A1671"/>
  <c r="A1672"/>
  <c r="T1302" i="5" l="1"/>
  <c r="U1302" s="1"/>
  <c r="U1303"/>
  <c r="S797" i="6"/>
  <c r="S796" s="1"/>
  <c r="T796" s="1"/>
  <c r="T798"/>
  <c r="S788"/>
  <c r="S787" s="1"/>
  <c r="S786" s="1"/>
  <c r="T786" s="1"/>
  <c r="A1297" i="5"/>
  <c r="A855" i="6"/>
  <c r="A854"/>
  <c r="A796"/>
  <c r="A797"/>
  <c r="A798"/>
  <c r="A786"/>
  <c r="A1303" i="5"/>
  <c r="A787" i="6"/>
  <c r="A853"/>
  <c r="A788"/>
  <c r="A1302" i="5"/>
  <c r="A1301"/>
  <c r="T797" i="6" l="1"/>
  <c r="T1301" i="5"/>
  <c r="T788" i="6"/>
  <c r="T787"/>
  <c r="S855"/>
  <c r="S854" s="1"/>
  <c r="T1334" i="5"/>
  <c r="U1358"/>
  <c r="T1356"/>
  <c r="U1356" s="1"/>
  <c r="T1357"/>
  <c r="U1357" s="1"/>
  <c r="A1357"/>
  <c r="A1358"/>
  <c r="A1356"/>
  <c r="U1301" l="1"/>
  <c r="T1300"/>
  <c r="S853" i="6"/>
  <c r="T854"/>
  <c r="T855"/>
  <c r="U1350" i="5"/>
  <c r="T1349"/>
  <c r="U1349" s="1"/>
  <c r="A1349"/>
  <c r="A1350"/>
  <c r="A1348"/>
  <c r="T1299" l="1"/>
  <c r="U1300"/>
  <c r="T1348"/>
  <c r="T853" i="6"/>
  <c r="T1394" i="5"/>
  <c r="U1394" s="1"/>
  <c r="U1395"/>
  <c r="T1399"/>
  <c r="S235" i="6"/>
  <c r="S234" s="1"/>
  <c r="S233" s="1"/>
  <c r="T233" s="1"/>
  <c r="A1393" i="5"/>
  <c r="A1395"/>
  <c r="A1344"/>
  <c r="A1394"/>
  <c r="A235" i="6"/>
  <c r="A233"/>
  <c r="A238"/>
  <c r="A237"/>
  <c r="A234"/>
  <c r="A236"/>
  <c r="U1299" i="5" l="1"/>
  <c r="T1298"/>
  <c r="T1393"/>
  <c r="U1393" s="1"/>
  <c r="U1348"/>
  <c r="T234" i="6"/>
  <c r="T235"/>
  <c r="F238"/>
  <c r="F237" s="1"/>
  <c r="G238"/>
  <c r="G237" s="1"/>
  <c r="G236" s="1"/>
  <c r="I238"/>
  <c r="I237" s="1"/>
  <c r="I236" s="1"/>
  <c r="K238"/>
  <c r="K237" s="1"/>
  <c r="K236" s="1"/>
  <c r="M238"/>
  <c r="M237" s="1"/>
  <c r="M236" s="1"/>
  <c r="O238"/>
  <c r="O237" s="1"/>
  <c r="O236" s="1"/>
  <c r="Q238"/>
  <c r="Q237" s="1"/>
  <c r="Q236" s="1"/>
  <c r="S238"/>
  <c r="S237" s="1"/>
  <c r="S236" s="1"/>
  <c r="S232" s="1"/>
  <c r="A949"/>
  <c r="A947"/>
  <c r="A948"/>
  <c r="T1297" i="5" l="1"/>
  <c r="U1297" s="1"/>
  <c r="U1298"/>
  <c r="F236" i="6"/>
  <c r="H236" s="1"/>
  <c r="J236" s="1"/>
  <c r="L236" s="1"/>
  <c r="N236" s="1"/>
  <c r="P236" s="1"/>
  <c r="R236" s="1"/>
  <c r="T236" s="1"/>
  <c r="H237"/>
  <c r="J237" s="1"/>
  <c r="L237" s="1"/>
  <c r="N237" s="1"/>
  <c r="P237" s="1"/>
  <c r="R237" s="1"/>
  <c r="T237" s="1"/>
  <c r="H238"/>
  <c r="J238" s="1"/>
  <c r="L238" s="1"/>
  <c r="N238" s="1"/>
  <c r="P238" s="1"/>
  <c r="R238" s="1"/>
  <c r="T238" s="1"/>
  <c r="S949"/>
  <c r="S948" s="1"/>
  <c r="T953"/>
  <c r="A953"/>
  <c r="T949" l="1"/>
  <c r="T948"/>
  <c r="S947"/>
  <c r="A828"/>
  <c r="A827"/>
  <c r="A829"/>
  <c r="T947" l="1"/>
  <c r="S811"/>
  <c r="S825"/>
  <c r="T1441" i="5"/>
  <c r="U1446"/>
  <c r="U1442"/>
  <c r="T1444"/>
  <c r="U1374"/>
  <c r="T1373"/>
  <c r="T1372" s="1"/>
  <c r="U1372" s="1"/>
  <c r="A813" i="6"/>
  <c r="A1446" i="5"/>
  <c r="A1441"/>
  <c r="A1440"/>
  <c r="A1451"/>
  <c r="A1450"/>
  <c r="A815" i="6"/>
  <c r="A1448" i="5"/>
  <c r="A1374"/>
  <c r="A1449"/>
  <c r="A1373"/>
  <c r="A1447"/>
  <c r="A1442"/>
  <c r="A814" i="6"/>
  <c r="A1372" i="5"/>
  <c r="U1373" l="1"/>
  <c r="U861"/>
  <c r="T860"/>
  <c r="T859" s="1"/>
  <c r="U859" s="1"/>
  <c r="A861"/>
  <c r="A859"/>
  <c r="A860"/>
  <c r="U860" l="1"/>
  <c r="T906" i="6"/>
  <c r="S896"/>
  <c r="S895" s="1"/>
  <c r="S894" s="1"/>
  <c r="S216"/>
  <c r="S215" s="1"/>
  <c r="S214" s="1"/>
  <c r="T1409" i="5"/>
  <c r="U1410"/>
  <c r="A1409"/>
  <c r="A906" i="6"/>
  <c r="A1410" i="5"/>
  <c r="A895" i="6"/>
  <c r="A1408" i="5"/>
  <c r="A894" i="6"/>
  <c r="A896"/>
  <c r="T894" l="1"/>
  <c r="T895"/>
  <c r="T896"/>
  <c r="T1402" i="5"/>
  <c r="T1401" s="1"/>
  <c r="U1401" s="1"/>
  <c r="U1403"/>
  <c r="A1403"/>
  <c r="A1401"/>
  <c r="A1402"/>
  <c r="U1402" l="1"/>
  <c r="T1342"/>
  <c r="T1341" s="1"/>
  <c r="T1340" s="1"/>
  <c r="U1344"/>
  <c r="S1519" i="6"/>
  <c r="T1519" s="1"/>
  <c r="T1520"/>
  <c r="A1515"/>
  <c r="A1520"/>
  <c r="A1516"/>
  <c r="A1518"/>
  <c r="A1514"/>
  <c r="A1519"/>
  <c r="S1518" l="1"/>
  <c r="T1182" i="5"/>
  <c r="T1181" s="1"/>
  <c r="U1183"/>
  <c r="A1179"/>
  <c r="A1181"/>
  <c r="A1182"/>
  <c r="A1183"/>
  <c r="A1180"/>
  <c r="T1180" l="1"/>
  <c r="U1181"/>
  <c r="U1182"/>
  <c r="S1517" i="6"/>
  <c r="T1518"/>
  <c r="S1263"/>
  <c r="R1263"/>
  <c r="R1262"/>
  <c r="R1261"/>
  <c r="R1260"/>
  <c r="R1259"/>
  <c r="R1258"/>
  <c r="A1261"/>
  <c r="A1262"/>
  <c r="A1258"/>
  <c r="A1263"/>
  <c r="A1259"/>
  <c r="T1263" l="1"/>
  <c r="T1179" i="5"/>
  <c r="U1179" s="1"/>
  <c r="U1180"/>
  <c r="S1516" i="6"/>
  <c r="T1517"/>
  <c r="T1587" i="5"/>
  <c r="S1262" i="6" s="1"/>
  <c r="T1262" s="1"/>
  <c r="S1588" i="5"/>
  <c r="U1588" s="1"/>
  <c r="S1587"/>
  <c r="S1586"/>
  <c r="S1585"/>
  <c r="A1587"/>
  <c r="A1588"/>
  <c r="A1586"/>
  <c r="A1585"/>
  <c r="U1587" l="1"/>
  <c r="S1261" i="6"/>
  <c r="S1260" s="1"/>
  <c r="S1259" s="1"/>
  <c r="S1258" s="1"/>
  <c r="T1258" s="1"/>
  <c r="T1586" i="5"/>
  <c r="T1585" s="1"/>
  <c r="U1585" s="1"/>
  <c r="T1516" i="6"/>
  <c r="S1515"/>
  <c r="S1251"/>
  <c r="S1257"/>
  <c r="R1257"/>
  <c r="R1256"/>
  <c r="R1255"/>
  <c r="R1254"/>
  <c r="R1253"/>
  <c r="R1252"/>
  <c r="A1255"/>
  <c r="A1257"/>
  <c r="A1256"/>
  <c r="A1253"/>
  <c r="A1252"/>
  <c r="U1586" i="5" l="1"/>
  <c r="T1259" i="6"/>
  <c r="T1261"/>
  <c r="T1260"/>
  <c r="T1515"/>
  <c r="S1514"/>
  <c r="T1514" s="1"/>
  <c r="T1257"/>
  <c r="T1510" i="5"/>
  <c r="S1511"/>
  <c r="U1511" s="1"/>
  <c r="S1510"/>
  <c r="S1509"/>
  <c r="S1508"/>
  <c r="A1509"/>
  <c r="A1508"/>
  <c r="A1511"/>
  <c r="A1510"/>
  <c r="T1509" l="1"/>
  <c r="T1508" s="1"/>
  <c r="U1508" s="1"/>
  <c r="S1256" i="6"/>
  <c r="U1510" i="5"/>
  <c r="U1509" l="1"/>
  <c r="T1256" i="6"/>
  <c r="S1255"/>
  <c r="S1254" l="1"/>
  <c r="T1255"/>
  <c r="S1253" l="1"/>
  <c r="T1254"/>
  <c r="S1252" l="1"/>
  <c r="T1252" s="1"/>
  <c r="T1253"/>
  <c r="S1424" l="1"/>
  <c r="T1424" s="1"/>
  <c r="U140" i="5"/>
  <c r="T139"/>
  <c r="U139" s="1"/>
  <c r="U986"/>
  <c r="S261" i="6"/>
  <c r="T261" s="1"/>
  <c r="T985" i="5"/>
  <c r="U985" s="1"/>
  <c r="A983"/>
  <c r="A139"/>
  <c r="A987"/>
  <c r="A986"/>
  <c r="A140"/>
  <c r="A259" i="6"/>
  <c r="A989" i="5"/>
  <c r="A260" i="6"/>
  <c r="A1423"/>
  <c r="A984" i="5"/>
  <c r="A988"/>
  <c r="A985"/>
  <c r="A1420" i="6"/>
  <c r="A1422"/>
  <c r="A1419"/>
  <c r="A137" i="5"/>
  <c r="A256" i="6"/>
  <c r="A257"/>
  <c r="A1424"/>
  <c r="A261"/>
  <c r="A138" i="5"/>
  <c r="T138" l="1"/>
  <c r="U138" s="1"/>
  <c r="S260" i="6"/>
  <c r="T260" s="1"/>
  <c r="T984" i="5"/>
  <c r="U984" s="1"/>
  <c r="S1423" i="6"/>
  <c r="S298"/>
  <c r="S1822"/>
  <c r="S1821" s="1"/>
  <c r="S1820" s="1"/>
  <c r="S1819" s="1"/>
  <c r="S1818" s="1"/>
  <c r="S1817"/>
  <c r="S1816" s="1"/>
  <c r="S1815" s="1"/>
  <c r="S1814" s="1"/>
  <c r="S1813" s="1"/>
  <c r="S1812" s="1"/>
  <c r="S1805"/>
  <c r="S1804" s="1"/>
  <c r="S1803" s="1"/>
  <c r="S1802" s="1"/>
  <c r="S1801" s="1"/>
  <c r="S1800"/>
  <c r="S1799" s="1"/>
  <c r="S1798" s="1"/>
  <c r="S1797" s="1"/>
  <c r="S1796" s="1"/>
  <c r="S1795"/>
  <c r="S1794" s="1"/>
  <c r="S1793" s="1"/>
  <c r="S1792" s="1"/>
  <c r="S1791" s="1"/>
  <c r="S1790"/>
  <c r="S1789" s="1"/>
  <c r="S1788" s="1"/>
  <c r="S1787"/>
  <c r="S1786" s="1"/>
  <c r="S1782"/>
  <c r="S1781" s="1"/>
  <c r="S1780" s="1"/>
  <c r="S1779"/>
  <c r="S1778" s="1"/>
  <c r="S1775"/>
  <c r="S1774" s="1"/>
  <c r="S1773" s="1"/>
  <c r="S1772"/>
  <c r="S1771" s="1"/>
  <c r="S1767"/>
  <c r="S1766" s="1"/>
  <c r="S1764" s="1"/>
  <c r="S1763" s="1"/>
  <c r="S1762" s="1"/>
  <c r="S1761"/>
  <c r="S1760" s="1"/>
  <c r="S1759" s="1"/>
  <c r="S1758" s="1"/>
  <c r="S1757" s="1"/>
  <c r="S1756"/>
  <c r="S1755" s="1"/>
  <c r="S1754" s="1"/>
  <c r="S1753"/>
  <c r="S1752" s="1"/>
  <c r="S1748"/>
  <c r="S1747" s="1"/>
  <c r="S1746" s="1"/>
  <c r="S1745"/>
  <c r="S1744" s="1"/>
  <c r="S1740"/>
  <c r="S1739"/>
  <c r="S1737"/>
  <c r="S1736" s="1"/>
  <c r="S1734"/>
  <c r="S1733" s="1"/>
  <c r="S1732" s="1"/>
  <c r="S1731"/>
  <c r="S1730" s="1"/>
  <c r="S1726"/>
  <c r="S1725" s="1"/>
  <c r="S1724" s="1"/>
  <c r="S1723"/>
  <c r="S1722" s="1"/>
  <c r="S1718"/>
  <c r="S1717" s="1"/>
  <c r="S1716" s="1"/>
  <c r="S1715" s="1"/>
  <c r="S1714"/>
  <c r="S1713" s="1"/>
  <c r="S1712" s="1"/>
  <c r="S1710"/>
  <c r="S1709" s="1"/>
  <c r="S1708" s="1"/>
  <c r="S1707" s="1"/>
  <c r="S1706"/>
  <c r="S1705" s="1"/>
  <c r="S1704" s="1"/>
  <c r="S1703" s="1"/>
  <c r="S1701"/>
  <c r="S1700" s="1"/>
  <c r="S1699" s="1"/>
  <c r="S1698" s="1"/>
  <c r="S1697"/>
  <c r="S1696" s="1"/>
  <c r="S1695" s="1"/>
  <c r="S1694" s="1"/>
  <c r="S1693"/>
  <c r="S1692" s="1"/>
  <c r="S1691"/>
  <c r="S1690" s="1"/>
  <c r="S1686"/>
  <c r="S1685" s="1"/>
  <c r="S1684" s="1"/>
  <c r="S1683" s="1"/>
  <c r="S1682" s="1"/>
  <c r="S1680"/>
  <c r="S1679" s="1"/>
  <c r="S1678" s="1"/>
  <c r="S1677"/>
  <c r="S1676" s="1"/>
  <c r="S1667"/>
  <c r="S1666" s="1"/>
  <c r="S1665" s="1"/>
  <c r="S1664" s="1"/>
  <c r="S1663" s="1"/>
  <c r="S1662" s="1"/>
  <c r="S1661"/>
  <c r="S1660" s="1"/>
  <c r="S1659" s="1"/>
  <c r="S1658" s="1"/>
  <c r="S1657" s="1"/>
  <c r="S1656" s="1"/>
  <c r="S1655"/>
  <c r="S1654" s="1"/>
  <c r="S1653" s="1"/>
  <c r="S1652" s="1"/>
  <c r="S1651" s="1"/>
  <c r="S1650" s="1"/>
  <c r="S1649"/>
  <c r="S1648" s="1"/>
  <c r="S1647" s="1"/>
  <c r="S1646" s="1"/>
  <c r="S1645" s="1"/>
  <c r="S1644" s="1"/>
  <c r="S1643"/>
  <c r="S1642" s="1"/>
  <c r="S1641" s="1"/>
  <c r="S1640" s="1"/>
  <c r="S1639" s="1"/>
  <c r="S1638" s="1"/>
  <c r="S1637"/>
  <c r="S1636" s="1"/>
  <c r="S1635" s="1"/>
  <c r="S1634" s="1"/>
  <c r="S1633" s="1"/>
  <c r="S1632" s="1"/>
  <c r="S1630"/>
  <c r="S1629" s="1"/>
  <c r="S1628" s="1"/>
  <c r="S1627" s="1"/>
  <c r="S1626" s="1"/>
  <c r="S1625"/>
  <c r="S1624" s="1"/>
  <c r="S1623" s="1"/>
  <c r="S1622" s="1"/>
  <c r="S1621" s="1"/>
  <c r="S1620"/>
  <c r="S1619" s="1"/>
  <c r="S1618" s="1"/>
  <c r="S1617"/>
  <c r="S1616" s="1"/>
  <c r="S1613"/>
  <c r="S1612" s="1"/>
  <c r="S1611" s="1"/>
  <c r="S1610"/>
  <c r="S1609" s="1"/>
  <c r="S1606"/>
  <c r="S1605" s="1"/>
  <c r="S1604" s="1"/>
  <c r="S1603"/>
  <c r="S1602" s="1"/>
  <c r="S1601" s="1"/>
  <c r="S1600"/>
  <c r="S1599" s="1"/>
  <c r="S1596"/>
  <c r="S1595" s="1"/>
  <c r="S1594" s="1"/>
  <c r="S1593"/>
  <c r="S1592" s="1"/>
  <c r="S1589"/>
  <c r="S1588" s="1"/>
  <c r="S1587" s="1"/>
  <c r="S1586"/>
  <c r="S1585" s="1"/>
  <c r="S1584" s="1"/>
  <c r="S1583"/>
  <c r="S1582" s="1"/>
  <c r="S1579"/>
  <c r="S1578" s="1"/>
  <c r="S1577" s="1"/>
  <c r="S1576"/>
  <c r="S1575" s="1"/>
  <c r="S1574" s="1"/>
  <c r="S1573"/>
  <c r="S1572" s="1"/>
  <c r="S1569"/>
  <c r="S1568"/>
  <c r="S1565"/>
  <c r="S1564" s="1"/>
  <c r="S1563" s="1"/>
  <c r="S1562"/>
  <c r="S1561" s="1"/>
  <c r="S1558"/>
  <c r="S1557" s="1"/>
  <c r="S1556" s="1"/>
  <c r="S1555"/>
  <c r="S1554" s="1"/>
  <c r="S1553" s="1"/>
  <c r="S1552"/>
  <c r="S1551" s="1"/>
  <c r="S1549"/>
  <c r="S1548" s="1"/>
  <c r="S1547" s="1"/>
  <c r="S1546"/>
  <c r="S1545" s="1"/>
  <c r="S1544" s="1"/>
  <c r="S1543"/>
  <c r="S1542" s="1"/>
  <c r="S1540"/>
  <c r="S1539"/>
  <c r="S1536"/>
  <c r="S1535" s="1"/>
  <c r="S1534" s="1"/>
  <c r="S1533"/>
  <c r="S1532" s="1"/>
  <c r="S1528"/>
  <c r="S1527" s="1"/>
  <c r="S1526" s="1"/>
  <c r="S1525" s="1"/>
  <c r="S1524" s="1"/>
  <c r="S1513"/>
  <c r="S1512" s="1"/>
  <c r="S1511" s="1"/>
  <c r="S1510" s="1"/>
  <c r="S1509" s="1"/>
  <c r="S1508" s="1"/>
  <c r="S1507" s="1"/>
  <c r="S1506"/>
  <c r="S1505" s="1"/>
  <c r="S1504" s="1"/>
  <c r="S1503" s="1"/>
  <c r="S1502" s="1"/>
  <c r="S1501" s="1"/>
  <c r="S1500"/>
  <c r="S1499" s="1"/>
  <c r="S1498" s="1"/>
  <c r="S1497" s="1"/>
  <c r="S1496"/>
  <c r="S1495" s="1"/>
  <c r="S1494" s="1"/>
  <c r="S1493"/>
  <c r="S1492" s="1"/>
  <c r="S1491" s="1"/>
  <c r="S1490"/>
  <c r="S1489" s="1"/>
  <c r="S1486"/>
  <c r="S1485" s="1"/>
  <c r="S1484" s="1"/>
  <c r="S1483" s="1"/>
  <c r="S1482" s="1"/>
  <c r="S1480"/>
  <c r="S1479" s="1"/>
  <c r="S1478" s="1"/>
  <c r="S1477" s="1"/>
  <c r="S1476" s="1"/>
  <c r="S1475" s="1"/>
  <c r="S1472"/>
  <c r="S1471" s="1"/>
  <c r="S1470" s="1"/>
  <c r="S1469" s="1"/>
  <c r="S1468" s="1"/>
  <c r="S1467" s="1"/>
  <c r="S1466"/>
  <c r="S1465"/>
  <c r="S1462"/>
  <c r="S1461" s="1"/>
  <c r="S1460" s="1"/>
  <c r="S1459"/>
  <c r="S1458" s="1"/>
  <c r="S1454"/>
  <c r="S1453" s="1"/>
  <c r="S1452" s="1"/>
  <c r="S1451" s="1"/>
  <c r="S1450" s="1"/>
  <c r="S1449" s="1"/>
  <c r="S1448"/>
  <c r="S1447" s="1"/>
  <c r="S1446" s="1"/>
  <c r="S1445" s="1"/>
  <c r="S1444" s="1"/>
  <c r="S1443" s="1"/>
  <c r="S1442"/>
  <c r="S1441" s="1"/>
  <c r="S1440" s="1"/>
  <c r="S1439" s="1"/>
  <c r="S1438" s="1"/>
  <c r="S1437"/>
  <c r="S1436" s="1"/>
  <c r="S1435" s="1"/>
  <c r="S1434" s="1"/>
  <c r="S1433" s="1"/>
  <c r="S1431"/>
  <c r="S1430" s="1"/>
  <c r="S1429" s="1"/>
  <c r="S1428" s="1"/>
  <c r="S1427" s="1"/>
  <c r="S1426" s="1"/>
  <c r="S1418"/>
  <c r="S1417"/>
  <c r="S1411"/>
  <c r="S1410" s="1"/>
  <c r="S1409" s="1"/>
  <c r="S1408" s="1"/>
  <c r="S1407" s="1"/>
  <c r="S1406" s="1"/>
  <c r="S1404"/>
  <c r="S1397"/>
  <c r="S1396" s="1"/>
  <c r="S1395" s="1"/>
  <c r="S1394" s="1"/>
  <c r="S1393" s="1"/>
  <c r="S1392" s="1"/>
  <c r="S1390"/>
  <c r="S1389"/>
  <c r="S1386"/>
  <c r="S1385" s="1"/>
  <c r="S1384" s="1"/>
  <c r="S1383"/>
  <c r="S1382" s="1"/>
  <c r="S1378"/>
  <c r="S1377" s="1"/>
  <c r="S1376" s="1"/>
  <c r="S1375" s="1"/>
  <c r="S1374" s="1"/>
  <c r="S1373" s="1"/>
  <c r="S1370"/>
  <c r="S1369"/>
  <c r="S1366"/>
  <c r="S1365" s="1"/>
  <c r="S1364" s="1"/>
  <c r="S1363"/>
  <c r="S1362" s="1"/>
  <c r="S1361" s="1"/>
  <c r="S1360"/>
  <c r="S1359" s="1"/>
  <c r="S1355"/>
  <c r="S1354" s="1"/>
  <c r="S1353" s="1"/>
  <c r="S1352" s="1"/>
  <c r="S1351" s="1"/>
  <c r="S1350"/>
  <c r="S1349" s="1"/>
  <c r="S1348" s="1"/>
  <c r="S1347" s="1"/>
  <c r="S1346" s="1"/>
  <c r="S1345" s="1"/>
  <c r="S1341"/>
  <c r="S1340" s="1"/>
  <c r="S1339" s="1"/>
  <c r="S1338"/>
  <c r="S1337" s="1"/>
  <c r="S1332"/>
  <c r="S1331" s="1"/>
  <c r="S1330"/>
  <c r="S1329" s="1"/>
  <c r="S1306"/>
  <c r="S1305" s="1"/>
  <c r="S1304"/>
  <c r="S1303" s="1"/>
  <c r="S1299"/>
  <c r="S1298" s="1"/>
  <c r="S1297"/>
  <c r="S1296" s="1"/>
  <c r="S1291"/>
  <c r="S1290" s="1"/>
  <c r="S1289" s="1"/>
  <c r="S1288" s="1"/>
  <c r="S1287" s="1"/>
  <c r="S1286"/>
  <c r="S1285" s="1"/>
  <c r="S1284" s="1"/>
  <c r="S1283" s="1"/>
  <c r="S1282" s="1"/>
  <c r="S1281"/>
  <c r="S1280" s="1"/>
  <c r="S1279"/>
  <c r="S1278" s="1"/>
  <c r="S1276"/>
  <c r="S1275" s="1"/>
  <c r="S1274" s="1"/>
  <c r="S1271"/>
  <c r="S1270" s="1"/>
  <c r="S1269" s="1"/>
  <c r="S1268" s="1"/>
  <c r="S1267" s="1"/>
  <c r="S1245"/>
  <c r="S1244"/>
  <c r="S1241"/>
  <c r="S1240" s="1"/>
  <c r="S1239" s="1"/>
  <c r="S1238"/>
  <c r="S1237" s="1"/>
  <c r="S1233"/>
  <c r="S1232" s="1"/>
  <c r="S1231" s="1"/>
  <c r="S1230" s="1"/>
  <c r="S1229" s="1"/>
  <c r="S1228"/>
  <c r="S1227" s="1"/>
  <c r="S1226" s="1"/>
  <c r="S1225" s="1"/>
  <c r="S1224"/>
  <c r="S1223" s="1"/>
  <c r="S1222" s="1"/>
  <c r="S1221" s="1"/>
  <c r="S1219"/>
  <c r="S1218" s="1"/>
  <c r="S1217" s="1"/>
  <c r="S1216" s="1"/>
  <c r="S1215" s="1"/>
  <c r="S1214"/>
  <c r="S1213" s="1"/>
  <c r="S1212" s="1"/>
  <c r="S1211" s="1"/>
  <c r="S1210" s="1"/>
  <c r="S1209"/>
  <c r="S1208" s="1"/>
  <c r="S1207" s="1"/>
  <c r="S1206" s="1"/>
  <c r="S1205" s="1"/>
  <c r="S1203"/>
  <c r="S1202" s="1"/>
  <c r="S1201" s="1"/>
  <c r="S1200" s="1"/>
  <c r="S1199" s="1"/>
  <c r="S1198" s="1"/>
  <c r="S1197"/>
  <c r="S1196" s="1"/>
  <c r="S1195" s="1"/>
  <c r="S1194" s="1"/>
  <c r="S1193" s="1"/>
  <c r="S1192" s="1"/>
  <c r="S1191"/>
  <c r="S1190" s="1"/>
  <c r="S1189" s="1"/>
  <c r="S1188" s="1"/>
  <c r="S1187" s="1"/>
  <c r="S1186" s="1"/>
  <c r="S1185"/>
  <c r="S1184" s="1"/>
  <c r="S1183" s="1"/>
  <c r="S1182" s="1"/>
  <c r="S1181" s="1"/>
  <c r="S1180" s="1"/>
  <c r="S1179"/>
  <c r="S1178" s="1"/>
  <c r="S1177" s="1"/>
  <c r="S1176" s="1"/>
  <c r="S1175" s="1"/>
  <c r="S1174" s="1"/>
  <c r="S1173"/>
  <c r="S1172" s="1"/>
  <c r="S1171" s="1"/>
  <c r="S1170" s="1"/>
  <c r="S1169" s="1"/>
  <c r="S1168" s="1"/>
  <c r="S1167"/>
  <c r="S1166" s="1"/>
  <c r="S1165" s="1"/>
  <c r="S1164" s="1"/>
  <c r="S1163" s="1"/>
  <c r="S1162" s="1"/>
  <c r="S1161"/>
  <c r="S1160" s="1"/>
  <c r="S1159" s="1"/>
  <c r="S1158" s="1"/>
  <c r="S1157" s="1"/>
  <c r="S1156" s="1"/>
  <c r="S1155"/>
  <c r="S1154" s="1"/>
  <c r="S1153" s="1"/>
  <c r="S1152" s="1"/>
  <c r="S1151" s="1"/>
  <c r="S1150" s="1"/>
  <c r="S1149"/>
  <c r="S1148" s="1"/>
  <c r="S1147" s="1"/>
  <c r="S1146" s="1"/>
  <c r="S1145" s="1"/>
  <c r="S1144" s="1"/>
  <c r="S1143"/>
  <c r="S1142" s="1"/>
  <c r="S1141" s="1"/>
  <c r="S1140" s="1"/>
  <c r="S1139" s="1"/>
  <c r="S1138"/>
  <c r="S1137" s="1"/>
  <c r="S1136" s="1"/>
  <c r="S1135" s="1"/>
  <c r="S1134" s="1"/>
  <c r="S1133"/>
  <c r="S1132" s="1"/>
  <c r="S1131" s="1"/>
  <c r="S1130" s="1"/>
  <c r="S1129" s="1"/>
  <c r="S1128"/>
  <c r="S1127" s="1"/>
  <c r="S1126" s="1"/>
  <c r="S1125" s="1"/>
  <c r="S1124" s="1"/>
  <c r="S1123"/>
  <c r="S1122" s="1"/>
  <c r="S1121" s="1"/>
  <c r="S1120" s="1"/>
  <c r="S1119"/>
  <c r="S1118" s="1"/>
  <c r="S1117" s="1"/>
  <c r="S1116" s="1"/>
  <c r="S1115"/>
  <c r="S1114" s="1"/>
  <c r="S1113" s="1"/>
  <c r="S1112" s="1"/>
  <c r="S1107"/>
  <c r="S1106" s="1"/>
  <c r="S1105" s="1"/>
  <c r="S1104" s="1"/>
  <c r="S1103" s="1"/>
  <c r="S1102" s="1"/>
  <c r="S1101"/>
  <c r="S1100" s="1"/>
  <c r="S1099" s="1"/>
  <c r="S1098" s="1"/>
  <c r="S1097" s="1"/>
  <c r="S1096" s="1"/>
  <c r="S1095"/>
  <c r="S1094" s="1"/>
  <c r="S1093" s="1"/>
  <c r="S1092" s="1"/>
  <c r="S1091" s="1"/>
  <c r="S1090"/>
  <c r="S1089" s="1"/>
  <c r="S1088" s="1"/>
  <c r="S1087" s="1"/>
  <c r="S1086" s="1"/>
  <c r="S1083"/>
  <c r="S1082" s="1"/>
  <c r="S1081" s="1"/>
  <c r="S1080" s="1"/>
  <c r="S1079" s="1"/>
  <c r="S1078" s="1"/>
  <c r="S1077"/>
  <c r="S1076" s="1"/>
  <c r="S1075" s="1"/>
  <c r="S1074" s="1"/>
  <c r="S1073" s="1"/>
  <c r="S1072" s="1"/>
  <c r="S1071"/>
  <c r="S1070" s="1"/>
  <c r="S1069" s="1"/>
  <c r="S1068" s="1"/>
  <c r="S1067" s="1"/>
  <c r="S1066" s="1"/>
  <c r="S1064"/>
  <c r="S1063" s="1"/>
  <c r="S1062" s="1"/>
  <c r="S1061" s="1"/>
  <c r="S1060" s="1"/>
  <c r="S1059" s="1"/>
  <c r="S1058"/>
  <c r="S1057" s="1"/>
  <c r="S1056" s="1"/>
  <c r="S1055" s="1"/>
  <c r="S1054" s="1"/>
  <c r="S1053" s="1"/>
  <c r="S1052"/>
  <c r="S1051" s="1"/>
  <c r="S1050" s="1"/>
  <c r="S1049" s="1"/>
  <c r="S1048" s="1"/>
  <c r="S1047"/>
  <c r="S1046" s="1"/>
  <c r="S1045" s="1"/>
  <c r="S1044" s="1"/>
  <c r="S1043" s="1"/>
  <c r="S1041"/>
  <c r="S1040" s="1"/>
  <c r="S1039" s="1"/>
  <c r="S1038"/>
  <c r="S1037"/>
  <c r="S1034"/>
  <c r="S1033" s="1"/>
  <c r="S1029"/>
  <c r="S1028" s="1"/>
  <c r="S1027"/>
  <c r="S1026" s="1"/>
  <c r="S1025" s="1"/>
  <c r="S1019"/>
  <c r="S1018" s="1"/>
  <c r="S1017" s="1"/>
  <c r="S1016" s="1"/>
  <c r="S1015" s="1"/>
  <c r="S1014" s="1"/>
  <c r="S1013"/>
  <c r="S1012" s="1"/>
  <c r="S1011" s="1"/>
  <c r="S1010" s="1"/>
  <c r="S1009" s="1"/>
  <c r="S1008" s="1"/>
  <c r="S1006"/>
  <c r="S1005" s="1"/>
  <c r="S1004" s="1"/>
  <c r="S1003" s="1"/>
  <c r="S1002" s="1"/>
  <c r="S1001"/>
  <c r="S1000" s="1"/>
  <c r="S999" s="1"/>
  <c r="S998" s="1"/>
  <c r="S997" s="1"/>
  <c r="S996" s="1"/>
  <c r="S994"/>
  <c r="S993" s="1"/>
  <c r="S992" s="1"/>
  <c r="S991" s="1"/>
  <c r="S990" s="1"/>
  <c r="S989" s="1"/>
  <c r="S988" s="1"/>
  <c r="S987" s="1"/>
  <c r="S986"/>
  <c r="S985" s="1"/>
  <c r="S984" s="1"/>
  <c r="S983" s="1"/>
  <c r="S982" s="1"/>
  <c r="S981" s="1"/>
  <c r="S980" s="1"/>
  <c r="S979"/>
  <c r="S978" s="1"/>
  <c r="S977" s="1"/>
  <c r="S976" s="1"/>
  <c r="S975" s="1"/>
  <c r="S974" s="1"/>
  <c r="S973"/>
  <c r="S972" s="1"/>
  <c r="S971" s="1"/>
  <c r="S967"/>
  <c r="S966" s="1"/>
  <c r="S965" s="1"/>
  <c r="S964" s="1"/>
  <c r="S963" s="1"/>
  <c r="S962" s="1"/>
  <c r="S960"/>
  <c r="S959" s="1"/>
  <c r="S958" s="1"/>
  <c r="S957" s="1"/>
  <c r="S956" s="1"/>
  <c r="S955" s="1"/>
  <c r="S952"/>
  <c r="S943"/>
  <c r="S942" s="1"/>
  <c r="S941" s="1"/>
  <c r="S940"/>
  <c r="S939" s="1"/>
  <c r="S938" s="1"/>
  <c r="S937"/>
  <c r="S936" s="1"/>
  <c r="S934"/>
  <c r="S933"/>
  <c r="S926"/>
  <c r="S925"/>
  <c r="S920"/>
  <c r="S919" s="1"/>
  <c r="S918"/>
  <c r="S917" s="1"/>
  <c r="S915"/>
  <c r="S914" s="1"/>
  <c r="S913" s="1"/>
  <c r="S909"/>
  <c r="S908" s="1"/>
  <c r="S907" s="1"/>
  <c r="S905"/>
  <c r="S899"/>
  <c r="S898" s="1"/>
  <c r="S897" s="1"/>
  <c r="S893" s="1"/>
  <c r="S890"/>
  <c r="S889" s="1"/>
  <c r="S888" s="1"/>
  <c r="S887" s="1"/>
  <c r="S886" s="1"/>
  <c r="S885" s="1"/>
  <c r="S884"/>
  <c r="S883" s="1"/>
  <c r="S882" s="1"/>
  <c r="S881" s="1"/>
  <c r="S880" s="1"/>
  <c r="S879"/>
  <c r="S878" s="1"/>
  <c r="S877" s="1"/>
  <c r="S876" s="1"/>
  <c r="S875" s="1"/>
  <c r="S873"/>
  <c r="S872" s="1"/>
  <c r="S871"/>
  <c r="S870" s="1"/>
  <c r="S869" s="1"/>
  <c r="S865"/>
  <c r="S864" s="1"/>
  <c r="S863" s="1"/>
  <c r="S862" s="1"/>
  <c r="S861" s="1"/>
  <c r="S860" s="1"/>
  <c r="S859"/>
  <c r="S858"/>
  <c r="S849"/>
  <c r="S848" s="1"/>
  <c r="S847" s="1"/>
  <c r="S846" s="1"/>
  <c r="S845" s="1"/>
  <c r="S844" s="1"/>
  <c r="S836"/>
  <c r="S835" s="1"/>
  <c r="S834" s="1"/>
  <c r="S833" s="1"/>
  <c r="S832" s="1"/>
  <c r="S831" s="1"/>
  <c r="S830" s="1"/>
  <c r="S824"/>
  <c r="S823" s="1"/>
  <c r="S819" s="1"/>
  <c r="S810"/>
  <c r="S809" s="1"/>
  <c r="S805" s="1"/>
  <c r="S801"/>
  <c r="S800" s="1"/>
  <c r="S799" s="1"/>
  <c r="S791"/>
  <c r="S790" s="1"/>
  <c r="S789" s="1"/>
  <c r="S781"/>
  <c r="S780" s="1"/>
  <c r="S779" s="1"/>
  <c r="S778" s="1"/>
  <c r="S777" s="1"/>
  <c r="S776" s="1"/>
  <c r="S775"/>
  <c r="S774" s="1"/>
  <c r="S773" s="1"/>
  <c r="S772" s="1"/>
  <c r="S771" s="1"/>
  <c r="S770" s="1"/>
  <c r="S769"/>
  <c r="S768" s="1"/>
  <c r="S767" s="1"/>
  <c r="S766" s="1"/>
  <c r="S765" s="1"/>
  <c r="S764" s="1"/>
  <c r="S762"/>
  <c r="S761" s="1"/>
  <c r="S760" s="1"/>
  <c r="S759" s="1"/>
  <c r="S758" s="1"/>
  <c r="S757" s="1"/>
  <c r="S756"/>
  <c r="S755" s="1"/>
  <c r="S754" s="1"/>
  <c r="S753"/>
  <c r="S752" s="1"/>
  <c r="S751" s="1"/>
  <c r="S750"/>
  <c r="S749" s="1"/>
  <c r="S744"/>
  <c r="S743"/>
  <c r="S737"/>
  <c r="S736" s="1"/>
  <c r="S735" s="1"/>
  <c r="S734" s="1"/>
  <c r="S733" s="1"/>
  <c r="S732" s="1"/>
  <c r="S730"/>
  <c r="S729" s="1"/>
  <c r="S728" s="1"/>
  <c r="S727" s="1"/>
  <c r="S726" s="1"/>
  <c r="S725"/>
  <c r="S724" s="1"/>
  <c r="S723" s="1"/>
  <c r="S722" s="1"/>
  <c r="S721" s="1"/>
  <c r="S714"/>
  <c r="S713" s="1"/>
  <c r="S712" s="1"/>
  <c r="S711" s="1"/>
  <c r="S710" s="1"/>
  <c r="S709"/>
  <c r="S708" s="1"/>
  <c r="S707" s="1"/>
  <c r="S706" s="1"/>
  <c r="S705" s="1"/>
  <c r="S703"/>
  <c r="S702" s="1"/>
  <c r="S701" s="1"/>
  <c r="S700" s="1"/>
  <c r="S699" s="1"/>
  <c r="S698"/>
  <c r="S697" s="1"/>
  <c r="S696" s="1"/>
  <c r="S695" s="1"/>
  <c r="S694" s="1"/>
  <c r="S692"/>
  <c r="S691" s="1"/>
  <c r="S690" s="1"/>
  <c r="S689" s="1"/>
  <c r="S688" s="1"/>
  <c r="S687"/>
  <c r="S686" s="1"/>
  <c r="S685" s="1"/>
  <c r="S684" s="1"/>
  <c r="S683"/>
  <c r="S682" s="1"/>
  <c r="S681" s="1"/>
  <c r="S680" s="1"/>
  <c r="S678"/>
  <c r="S677" s="1"/>
  <c r="S676" s="1"/>
  <c r="S675" s="1"/>
  <c r="S674" s="1"/>
  <c r="S672"/>
  <c r="S671" s="1"/>
  <c r="S670" s="1"/>
  <c r="S669" s="1"/>
  <c r="S668" s="1"/>
  <c r="S667"/>
  <c r="S666" s="1"/>
  <c r="S665" s="1"/>
  <c r="S664" s="1"/>
  <c r="S663" s="1"/>
  <c r="S662"/>
  <c r="S661" s="1"/>
  <c r="S660"/>
  <c r="S659" s="1"/>
  <c r="S657"/>
  <c r="S656" s="1"/>
  <c r="S655" s="1"/>
  <c r="S652"/>
  <c r="S651" s="1"/>
  <c r="S650" s="1"/>
  <c r="S649" s="1"/>
  <c r="S648" s="1"/>
  <c r="S646"/>
  <c r="S645" s="1"/>
  <c r="S644" s="1"/>
  <c r="S643" s="1"/>
  <c r="S642" s="1"/>
  <c r="S641"/>
  <c r="S640" s="1"/>
  <c r="S639"/>
  <c r="S638" s="1"/>
  <c r="S636"/>
  <c r="S635" s="1"/>
  <c r="S634" s="1"/>
  <c r="S629"/>
  <c r="S628" s="1"/>
  <c r="S627" s="1"/>
  <c r="S626" s="1"/>
  <c r="S625" s="1"/>
  <c r="S624" s="1"/>
  <c r="S623"/>
  <c r="S622" s="1"/>
  <c r="S621" s="1"/>
  <c r="S620" s="1"/>
  <c r="S619" s="1"/>
  <c r="S618" s="1"/>
  <c r="S617"/>
  <c r="S616" s="1"/>
  <c r="S615" s="1"/>
  <c r="S614" s="1"/>
  <c r="S613" s="1"/>
  <c r="S612" s="1"/>
  <c r="S610"/>
  <c r="S609" s="1"/>
  <c r="S608" s="1"/>
  <c r="S607" s="1"/>
  <c r="S606" s="1"/>
  <c r="S605"/>
  <c r="S604" s="1"/>
  <c r="S603" s="1"/>
  <c r="S602" s="1"/>
  <c r="S601" s="1"/>
  <c r="S600"/>
  <c r="S599" s="1"/>
  <c r="S598" s="1"/>
  <c r="S597" s="1"/>
  <c r="S596" s="1"/>
  <c r="S594"/>
  <c r="S593" s="1"/>
  <c r="S592" s="1"/>
  <c r="S591" s="1"/>
  <c r="S590" s="1"/>
  <c r="S589"/>
  <c r="S588" s="1"/>
  <c r="S587" s="1"/>
  <c r="S586" s="1"/>
  <c r="S585" s="1"/>
  <c r="S584"/>
  <c r="S583" s="1"/>
  <c r="S582" s="1"/>
  <c r="S581" s="1"/>
  <c r="S580" s="1"/>
  <c r="S578"/>
  <c r="S577" s="1"/>
  <c r="S576" s="1"/>
  <c r="S575" s="1"/>
  <c r="S574" s="1"/>
  <c r="S573" s="1"/>
  <c r="S572" s="1"/>
  <c r="S571"/>
  <c r="S570" s="1"/>
  <c r="S569" s="1"/>
  <c r="S568" s="1"/>
  <c r="S567" s="1"/>
  <c r="S566"/>
  <c r="S565" s="1"/>
  <c r="S564" s="1"/>
  <c r="S563" s="1"/>
  <c r="S562" s="1"/>
  <c r="S561" s="1"/>
  <c r="S560"/>
  <c r="S559" s="1"/>
  <c r="S558" s="1"/>
  <c r="S557" s="1"/>
  <c r="S556" s="1"/>
  <c r="S555"/>
  <c r="S554" s="1"/>
  <c r="S553" s="1"/>
  <c r="S552" s="1"/>
  <c r="S551" s="1"/>
  <c r="S549"/>
  <c r="S548" s="1"/>
  <c r="S547" s="1"/>
  <c r="S546" s="1"/>
  <c r="S545" s="1"/>
  <c r="S544" s="1"/>
  <c r="S542"/>
  <c r="S541" s="1"/>
  <c r="S540" s="1"/>
  <c r="S539"/>
  <c r="S538" s="1"/>
  <c r="S534"/>
  <c r="S533"/>
  <c r="S530"/>
  <c r="S529" s="1"/>
  <c r="S528" s="1"/>
  <c r="S527"/>
  <c r="S526" s="1"/>
  <c r="S521"/>
  <c r="S520" s="1"/>
  <c r="S519" s="1"/>
  <c r="S518" s="1"/>
  <c r="S517"/>
  <c r="S516"/>
  <c r="S515" s="1"/>
  <c r="S511"/>
  <c r="S510" s="1"/>
  <c r="S509"/>
  <c r="S508" s="1"/>
  <c r="S503"/>
  <c r="S502" s="1"/>
  <c r="S501"/>
  <c r="S500" s="1"/>
  <c r="S498"/>
  <c r="S497" s="1"/>
  <c r="S496" s="1"/>
  <c r="S492"/>
  <c r="S491" s="1"/>
  <c r="S490" s="1"/>
  <c r="S489" s="1"/>
  <c r="S488" s="1"/>
  <c r="S487" s="1"/>
  <c r="S486"/>
  <c r="S485" s="1"/>
  <c r="S484"/>
  <c r="S483" s="1"/>
  <c r="S478"/>
  <c r="S477" s="1"/>
  <c r="S476"/>
  <c r="S475" s="1"/>
  <c r="S470"/>
  <c r="S469" s="1"/>
  <c r="S468" s="1"/>
  <c r="S467" s="1"/>
  <c r="S466" s="1"/>
  <c r="S465" s="1"/>
  <c r="S463"/>
  <c r="S462" s="1"/>
  <c r="S461" s="1"/>
  <c r="S460" s="1"/>
  <c r="S459" s="1"/>
  <c r="S458" s="1"/>
  <c r="S457"/>
  <c r="S456" s="1"/>
  <c r="S455" s="1"/>
  <c r="S454" s="1"/>
  <c r="S453" s="1"/>
  <c r="S452" s="1"/>
  <c r="S451"/>
  <c r="S450" s="1"/>
  <c r="S449" s="1"/>
  <c r="S448" s="1"/>
  <c r="S447" s="1"/>
  <c r="S446" s="1"/>
  <c r="S445"/>
  <c r="S444" s="1"/>
  <c r="S443" s="1"/>
  <c r="S442" s="1"/>
  <c r="S441" s="1"/>
  <c r="S440" s="1"/>
  <c r="S438"/>
  <c r="S437" s="1"/>
  <c r="S436" s="1"/>
  <c r="S435" s="1"/>
  <c r="S434" s="1"/>
  <c r="S433" s="1"/>
  <c r="S432" s="1"/>
  <c r="S431"/>
  <c r="S430" s="1"/>
  <c r="S429" s="1"/>
  <c r="S428" s="1"/>
  <c r="S427" s="1"/>
  <c r="S426" s="1"/>
  <c r="S425"/>
  <c r="S424" s="1"/>
  <c r="S423" s="1"/>
  <c r="S422" s="1"/>
  <c r="S421" s="1"/>
  <c r="S420" s="1"/>
  <c r="S419"/>
  <c r="S418" s="1"/>
  <c r="S417" s="1"/>
  <c r="S416" s="1"/>
  <c r="S415" s="1"/>
  <c r="S414" s="1"/>
  <c r="S412"/>
  <c r="S411" s="1"/>
  <c r="S410" s="1"/>
  <c r="S409" s="1"/>
  <c r="S408" s="1"/>
  <c r="S407" s="1"/>
  <c r="S406"/>
  <c r="S405" s="1"/>
  <c r="S404"/>
  <c r="S403" s="1"/>
  <c r="S398"/>
  <c r="S397" s="1"/>
  <c r="S396"/>
  <c r="S395" s="1"/>
  <c r="S390"/>
  <c r="S389" s="1"/>
  <c r="S388" s="1"/>
  <c r="S387" s="1"/>
  <c r="S386" s="1"/>
  <c r="S385" s="1"/>
  <c r="S383"/>
  <c r="S382" s="1"/>
  <c r="S381" s="1"/>
  <c r="S380" s="1"/>
  <c r="S379" s="1"/>
  <c r="S378" s="1"/>
  <c r="S377"/>
  <c r="S376" s="1"/>
  <c r="S375" s="1"/>
  <c r="S374" s="1"/>
  <c r="S373" s="1"/>
  <c r="S372" s="1"/>
  <c r="S371"/>
  <c r="S370" s="1"/>
  <c r="S369" s="1"/>
  <c r="S368" s="1"/>
  <c r="S367" s="1"/>
  <c r="S366" s="1"/>
  <c r="S365"/>
  <c r="S364" s="1"/>
  <c r="S363" s="1"/>
  <c r="S362" s="1"/>
  <c r="S361" s="1"/>
  <c r="S360"/>
  <c r="S359" s="1"/>
  <c r="S358" s="1"/>
  <c r="S357" s="1"/>
  <c r="S356" s="1"/>
  <c r="S354"/>
  <c r="S353" s="1"/>
  <c r="S352" s="1"/>
  <c r="S351" s="1"/>
  <c r="S350" s="1"/>
  <c r="S349" s="1"/>
  <c r="S347"/>
  <c r="S346" s="1"/>
  <c r="S345" s="1"/>
  <c r="S344" s="1"/>
  <c r="S343" s="1"/>
  <c r="S342" s="1"/>
  <c r="S341"/>
  <c r="S340" s="1"/>
  <c r="S339" s="1"/>
  <c r="S338" s="1"/>
  <c r="S337" s="1"/>
  <c r="S336" s="1"/>
  <c r="S335"/>
  <c r="S334" s="1"/>
  <c r="S333" s="1"/>
  <c r="S332" s="1"/>
  <c r="S331" s="1"/>
  <c r="S330" s="1"/>
  <c r="S329"/>
  <c r="S328" s="1"/>
  <c r="S327" s="1"/>
  <c r="S326" s="1"/>
  <c r="S325" s="1"/>
  <c r="S324" s="1"/>
  <c r="S323"/>
  <c r="S322" s="1"/>
  <c r="S321" s="1"/>
  <c r="S320" s="1"/>
  <c r="S319" s="1"/>
  <c r="S318" s="1"/>
  <c r="S317"/>
  <c r="S316" s="1"/>
  <c r="S315" s="1"/>
  <c r="S314" s="1"/>
  <c r="S313" s="1"/>
  <c r="S312" s="1"/>
  <c r="S311"/>
  <c r="S310" s="1"/>
  <c r="S309" s="1"/>
  <c r="S308" s="1"/>
  <c r="S307" s="1"/>
  <c r="S306" s="1"/>
  <c r="S304"/>
  <c r="S303" s="1"/>
  <c r="S302" s="1"/>
  <c r="S301" s="1"/>
  <c r="S300" s="1"/>
  <c r="S299" s="1"/>
  <c r="S292"/>
  <c r="S291" s="1"/>
  <c r="S290" s="1"/>
  <c r="S289" s="1"/>
  <c r="S288" s="1"/>
  <c r="S287" s="1"/>
  <c r="S286"/>
  <c r="S285" s="1"/>
  <c r="S284" s="1"/>
  <c r="S283" s="1"/>
  <c r="S282" s="1"/>
  <c r="S281" s="1"/>
  <c r="S280"/>
  <c r="S279" s="1"/>
  <c r="S278" s="1"/>
  <c r="S277" s="1"/>
  <c r="S276" s="1"/>
  <c r="S275" s="1"/>
  <c r="S274"/>
  <c r="S273" s="1"/>
  <c r="S272" s="1"/>
  <c r="S271" s="1"/>
  <c r="S270" s="1"/>
  <c r="S269" s="1"/>
  <c r="S268"/>
  <c r="S267" s="1"/>
  <c r="S266" s="1"/>
  <c r="S265" s="1"/>
  <c r="S264" s="1"/>
  <c r="S263" s="1"/>
  <c r="S255"/>
  <c r="S254" s="1"/>
  <c r="S253" s="1"/>
  <c r="S252" s="1"/>
  <c r="S251" s="1"/>
  <c r="S250" s="1"/>
  <c r="S249"/>
  <c r="S248" s="1"/>
  <c r="S247" s="1"/>
  <c r="S246"/>
  <c r="S245" s="1"/>
  <c r="S244" s="1"/>
  <c r="S231"/>
  <c r="S230" s="1"/>
  <c r="S228"/>
  <c r="S223"/>
  <c r="S222" s="1"/>
  <c r="S221" s="1"/>
  <c r="S220" s="1"/>
  <c r="S219"/>
  <c r="S218" s="1"/>
  <c r="S217" s="1"/>
  <c r="S209"/>
  <c r="S208" s="1"/>
  <c r="S207"/>
  <c r="S206" s="1"/>
  <c r="S204"/>
  <c r="S203" s="1"/>
  <c r="S202" s="1"/>
  <c r="S198"/>
  <c r="S197" s="1"/>
  <c r="S196"/>
  <c r="S189"/>
  <c r="S188" s="1"/>
  <c r="S182"/>
  <c r="S181" s="1"/>
  <c r="S180" s="1"/>
  <c r="S179" s="1"/>
  <c r="S178" s="1"/>
  <c r="S177" s="1"/>
  <c r="S176"/>
  <c r="S175" s="1"/>
  <c r="S174" s="1"/>
  <c r="S173" s="1"/>
  <c r="S172" s="1"/>
  <c r="S171" s="1"/>
  <c r="S170"/>
  <c r="S169" s="1"/>
  <c r="S168" s="1"/>
  <c r="S167" s="1"/>
  <c r="S166" s="1"/>
  <c r="S165" s="1"/>
  <c r="S162"/>
  <c r="S161" s="1"/>
  <c r="S157"/>
  <c r="S156" s="1"/>
  <c r="S149"/>
  <c r="S148" s="1"/>
  <c r="S147" s="1"/>
  <c r="S146" s="1"/>
  <c r="S145" s="1"/>
  <c r="S144" s="1"/>
  <c r="S143"/>
  <c r="S142" s="1"/>
  <c r="S141" s="1"/>
  <c r="S140" s="1"/>
  <c r="S139" s="1"/>
  <c r="S138" s="1"/>
  <c r="S137"/>
  <c r="S136" s="1"/>
  <c r="S135" s="1"/>
  <c r="S134" s="1"/>
  <c r="S133" s="1"/>
  <c r="S132" s="1"/>
  <c r="S130"/>
  <c r="S129" s="1"/>
  <c r="S128"/>
  <c r="S127" s="1"/>
  <c r="S124"/>
  <c r="S123" s="1"/>
  <c r="S122" s="1"/>
  <c r="S121" s="1"/>
  <c r="S120"/>
  <c r="S119" s="1"/>
  <c r="S118"/>
  <c r="S117" s="1"/>
  <c r="S112"/>
  <c r="S111" s="1"/>
  <c r="S110" s="1"/>
  <c r="S109" s="1"/>
  <c r="S108" s="1"/>
  <c r="S107" s="1"/>
  <c r="S106"/>
  <c r="S105"/>
  <c r="S103"/>
  <c r="S102"/>
  <c r="S96"/>
  <c r="S95"/>
  <c r="S90"/>
  <c r="S89" s="1"/>
  <c r="S88" s="1"/>
  <c r="S87" s="1"/>
  <c r="S86" s="1"/>
  <c r="S85" s="1"/>
  <c r="S84"/>
  <c r="S83" s="1"/>
  <c r="S82"/>
  <c r="S81" s="1"/>
  <c r="S75"/>
  <c r="S74" s="1"/>
  <c r="S73" s="1"/>
  <c r="S72" s="1"/>
  <c r="S71" s="1"/>
  <c r="S70" s="1"/>
  <c r="S69"/>
  <c r="S68" s="1"/>
  <c r="S67"/>
  <c r="S66" s="1"/>
  <c r="S61"/>
  <c r="S60" s="1"/>
  <c r="S59"/>
  <c r="S58" s="1"/>
  <c r="S52"/>
  <c r="S51" s="1"/>
  <c r="S50"/>
  <c r="S49" s="1"/>
  <c r="S44"/>
  <c r="S43" s="1"/>
  <c r="S42" s="1"/>
  <c r="S41" s="1"/>
  <c r="S40" s="1"/>
  <c r="S39" s="1"/>
  <c r="S38"/>
  <c r="S37"/>
  <c r="S35"/>
  <c r="S34" s="1"/>
  <c r="S30"/>
  <c r="S28" s="1"/>
  <c r="S27" s="1"/>
  <c r="S24"/>
  <c r="S23" s="1"/>
  <c r="S22" s="1"/>
  <c r="S21" s="1"/>
  <c r="S20" s="1"/>
  <c r="S19" s="1"/>
  <c r="T1333" i="5"/>
  <c r="T1332" s="1"/>
  <c r="T599"/>
  <c r="T120"/>
  <c r="T119" s="1"/>
  <c r="T1750"/>
  <c r="T1749" s="1"/>
  <c r="T1747"/>
  <c r="T1746" s="1"/>
  <c r="T1744"/>
  <c r="T1738"/>
  <c r="T1737" s="1"/>
  <c r="T1736" s="1"/>
  <c r="T1735" s="1"/>
  <c r="T1732"/>
  <c r="T1731" s="1"/>
  <c r="T1729"/>
  <c r="T1721"/>
  <c r="T1720" s="1"/>
  <c r="T1718"/>
  <c r="T1717" s="1"/>
  <c r="T1715"/>
  <c r="T1706"/>
  <c r="T1705" s="1"/>
  <c r="T1704" s="1"/>
  <c r="T1703" s="1"/>
  <c r="T1702" s="1"/>
  <c r="T1700"/>
  <c r="T1699" s="1"/>
  <c r="T1698" s="1"/>
  <c r="T1697" s="1"/>
  <c r="T1696" s="1"/>
  <c r="T1692"/>
  <c r="T1691" s="1"/>
  <c r="T1690" s="1"/>
  <c r="T1685"/>
  <c r="T1684" s="1"/>
  <c r="T1683" s="1"/>
  <c r="T1682" s="1"/>
  <c r="T1681" s="1"/>
  <c r="T1678"/>
  <c r="T1674"/>
  <c r="T1673" s="1"/>
  <c r="T1672" s="1"/>
  <c r="T1670"/>
  <c r="T1669" s="1"/>
  <c r="T1668" s="1"/>
  <c r="T1666"/>
  <c r="T1665" s="1"/>
  <c r="T1664" s="1"/>
  <c r="T1662"/>
  <c r="T1661" s="1"/>
  <c r="T1660" s="1"/>
  <c r="T1658"/>
  <c r="T1657" s="1"/>
  <c r="T1656" s="1"/>
  <c r="T1654"/>
  <c r="T1653" s="1"/>
  <c r="T1652" s="1"/>
  <c r="T1647"/>
  <c r="T1646" s="1"/>
  <c r="T1644"/>
  <c r="T1643" s="1"/>
  <c r="T1640"/>
  <c r="T1639" s="1"/>
  <c r="T1638" s="1"/>
  <c r="T1634"/>
  <c r="T1633" s="1"/>
  <c r="T1632" s="1"/>
  <c r="T1631" s="1"/>
  <c r="T1630" s="1"/>
  <c r="T1627"/>
  <c r="T1626" s="1"/>
  <c r="T1625" s="1"/>
  <c r="T1624" s="1"/>
  <c r="T1623" s="1"/>
  <c r="T1622" s="1"/>
  <c r="T1620"/>
  <c r="T1619" s="1"/>
  <c r="T1618" s="1"/>
  <c r="T1616"/>
  <c r="T1615" s="1"/>
  <c r="T1614" s="1"/>
  <c r="T1609"/>
  <c r="T1608" s="1"/>
  <c r="T1607" s="1"/>
  <c r="T1606" s="1"/>
  <c r="T1605" s="1"/>
  <c r="T1602"/>
  <c r="T1601" s="1"/>
  <c r="T1599"/>
  <c r="T1598" s="1"/>
  <c r="T1596"/>
  <c r="T1595" s="1"/>
  <c r="T1593"/>
  <c r="T1582"/>
  <c r="T1581" s="1"/>
  <c r="T1579"/>
  <c r="T1578" s="1"/>
  <c r="T1576"/>
  <c r="T1573"/>
  <c r="T1572" s="1"/>
  <c r="T1571" s="1"/>
  <c r="T1569"/>
  <c r="T1568" s="1"/>
  <c r="T1567" s="1"/>
  <c r="T1566" s="1"/>
  <c r="T1563"/>
  <c r="T1562" s="1"/>
  <c r="T1561" s="1"/>
  <c r="T1560" s="1"/>
  <c r="T1558"/>
  <c r="T1557" s="1"/>
  <c r="T1556" s="1"/>
  <c r="T1555" s="1"/>
  <c r="T1552"/>
  <c r="T1551" s="1"/>
  <c r="T1550" s="1"/>
  <c r="T1549" s="1"/>
  <c r="T1548" s="1"/>
  <c r="T1547" s="1"/>
  <c r="T1545"/>
  <c r="T1544" s="1"/>
  <c r="T1543" s="1"/>
  <c r="T1541"/>
  <c r="T1540" s="1"/>
  <c r="T1539" s="1"/>
  <c r="T1537"/>
  <c r="T1536" s="1"/>
  <c r="T1535" s="1"/>
  <c r="T1533"/>
  <c r="T1532" s="1"/>
  <c r="T1531" s="1"/>
  <c r="T1529"/>
  <c r="T1528" s="1"/>
  <c r="T1527" s="1"/>
  <c r="T1522"/>
  <c r="T1521" s="1"/>
  <c r="T1520" s="1"/>
  <c r="T1519" s="1"/>
  <c r="T1517"/>
  <c r="T1516" s="1"/>
  <c r="T1515" s="1"/>
  <c r="T1514" s="1"/>
  <c r="T1506"/>
  <c r="T1505" s="1"/>
  <c r="T1504" s="1"/>
  <c r="T1503" s="1"/>
  <c r="T1501"/>
  <c r="T1500" s="1"/>
  <c r="T1499" s="1"/>
  <c r="T1497"/>
  <c r="T1496" s="1"/>
  <c r="T1495" s="1"/>
  <c r="T1489"/>
  <c r="T1488" s="1"/>
  <c r="T1486"/>
  <c r="T1483"/>
  <c r="T1482" s="1"/>
  <c r="T1480"/>
  <c r="T1476"/>
  <c r="T1474"/>
  <c r="T1471"/>
  <c r="T1470" s="1"/>
  <c r="T1468"/>
  <c r="T1465"/>
  <c r="T1464" s="1"/>
  <c r="T1462"/>
  <c r="T1459"/>
  <c r="T1458" s="1"/>
  <c r="T1456"/>
  <c r="T1443"/>
  <c r="T1437"/>
  <c r="T1436" s="1"/>
  <c r="T1434"/>
  <c r="T1433" s="1"/>
  <c r="T1431"/>
  <c r="T1427"/>
  <c r="T1426" s="1"/>
  <c r="T1425" s="1"/>
  <c r="T1419"/>
  <c r="T1418" s="1"/>
  <c r="T1417" s="1"/>
  <c r="T1412"/>
  <c r="T1411" s="1"/>
  <c r="T1405"/>
  <c r="T1404" s="1"/>
  <c r="T1400" s="1"/>
  <c r="T1397"/>
  <c r="T1396" s="1"/>
  <c r="T1392" s="1"/>
  <c r="T1390"/>
  <c r="T1389" s="1"/>
  <c r="T1388" s="1"/>
  <c r="T1386"/>
  <c r="T1385" s="1"/>
  <c r="T1384" s="1"/>
  <c r="T1381"/>
  <c r="T1380" s="1"/>
  <c r="T1379" s="1"/>
  <c r="T1378" s="1"/>
  <c r="T1376"/>
  <c r="T1375" s="1"/>
  <c r="T1368"/>
  <c r="T1367" s="1"/>
  <c r="T1360"/>
  <c r="T1359" s="1"/>
  <c r="T1352"/>
  <c r="T1351" s="1"/>
  <c r="T1339"/>
  <c r="T1338" s="1"/>
  <c r="T1330"/>
  <c r="T1329" s="1"/>
  <c r="T1328" s="1"/>
  <c r="T1323"/>
  <c r="T1322" s="1"/>
  <c r="T1321" s="1"/>
  <c r="T1319"/>
  <c r="T1318" s="1"/>
  <c r="T1317" s="1"/>
  <c r="T1315"/>
  <c r="T1313"/>
  <c r="T1312" s="1"/>
  <c r="T1309"/>
  <c r="T1308" s="1"/>
  <c r="T1307" s="1"/>
  <c r="T1294"/>
  <c r="T1293" s="1"/>
  <c r="T1291"/>
  <c r="T1285"/>
  <c r="T1284" s="1"/>
  <c r="T1283" s="1"/>
  <c r="T1282" s="1"/>
  <c r="T1279"/>
  <c r="T1278" s="1"/>
  <c r="T1277" s="1"/>
  <c r="T1276" s="1"/>
  <c r="T1274"/>
  <c r="T1273" s="1"/>
  <c r="T1272" s="1"/>
  <c r="T1271" s="1"/>
  <c r="T1268"/>
  <c r="T1267" s="1"/>
  <c r="T1266" s="1"/>
  <c r="T1265" s="1"/>
  <c r="T1262"/>
  <c r="T1261" s="1"/>
  <c r="T1260" s="1"/>
  <c r="T1258"/>
  <c r="T1256"/>
  <c r="T1253"/>
  <c r="T1252" s="1"/>
  <c r="T1249"/>
  <c r="T1247"/>
  <c r="T1243"/>
  <c r="T1242" s="1"/>
  <c r="T1241" s="1"/>
  <c r="T1236"/>
  <c r="T1234"/>
  <c r="T1230"/>
  <c r="T1228"/>
  <c r="T1222"/>
  <c r="T1220"/>
  <c r="T1214"/>
  <c r="T1213" s="1"/>
  <c r="T1211" s="1"/>
  <c r="T1210" s="1"/>
  <c r="T1208"/>
  <c r="T1206"/>
  <c r="T1198"/>
  <c r="T1197" s="1"/>
  <c r="T1196" s="1"/>
  <c r="T1194"/>
  <c r="T1193" s="1"/>
  <c r="T1191"/>
  <c r="T1190" s="1"/>
  <c r="T1188"/>
  <c r="T1177"/>
  <c r="T1175"/>
  <c r="T1159"/>
  <c r="T1157"/>
  <c r="T1153"/>
  <c r="T1152" s="1"/>
  <c r="T1151" s="1"/>
  <c r="T1147"/>
  <c r="T1146" s="1"/>
  <c r="T1145" s="1"/>
  <c r="T1143"/>
  <c r="T1142" s="1"/>
  <c r="T1141" s="1"/>
  <c r="T1139"/>
  <c r="T1138" s="1"/>
  <c r="T1135"/>
  <c r="T1134" s="1"/>
  <c r="T1133" s="1"/>
  <c r="T1130"/>
  <c r="T1129" s="1"/>
  <c r="T1128" s="1"/>
  <c r="T1127" s="1"/>
  <c r="T1125"/>
  <c r="T1124" s="1"/>
  <c r="T1123" s="1"/>
  <c r="T1121"/>
  <c r="T1120" s="1"/>
  <c r="T1119" s="1"/>
  <c r="T1117"/>
  <c r="T1116" s="1"/>
  <c r="T1115" s="1"/>
  <c r="T1112"/>
  <c r="T1110"/>
  <c r="T1106"/>
  <c r="T1105" s="1"/>
  <c r="T1104" s="1"/>
  <c r="T1101"/>
  <c r="T1100" s="1"/>
  <c r="T1099" s="1"/>
  <c r="T1097"/>
  <c r="T1096" s="1"/>
  <c r="T1095" s="1"/>
  <c r="T1092"/>
  <c r="T1091" s="1"/>
  <c r="T1090" s="1"/>
  <c r="T1088"/>
  <c r="T1087" s="1"/>
  <c r="T1086" s="1"/>
  <c r="T1083"/>
  <c r="T1082" s="1"/>
  <c r="T1081" s="1"/>
  <c r="T1079"/>
  <c r="T1078" s="1"/>
  <c r="T1077" s="1"/>
  <c r="T1075"/>
  <c r="T1074" s="1"/>
  <c r="T1073" s="1"/>
  <c r="T1070"/>
  <c r="T1069" s="1"/>
  <c r="T1068" s="1"/>
  <c r="T1067" s="1"/>
  <c r="T1063"/>
  <c r="T1062" s="1"/>
  <c r="T1061" s="1"/>
  <c r="T1060" s="1"/>
  <c r="T1059" s="1"/>
  <c r="T1057"/>
  <c r="T1056" s="1"/>
  <c r="T1055" s="1"/>
  <c r="T1054" s="1"/>
  <c r="T1052"/>
  <c r="T1051" s="1"/>
  <c r="T1050" s="1"/>
  <c r="T1049" s="1"/>
  <c r="T1047"/>
  <c r="T1046" s="1"/>
  <c r="T1045" s="1"/>
  <c r="T1043"/>
  <c r="T1041"/>
  <c r="T1036"/>
  <c r="T1035" s="1"/>
  <c r="T1034" s="1"/>
  <c r="T1032"/>
  <c r="T1031" s="1"/>
  <c r="T1030" s="1"/>
  <c r="T1028"/>
  <c r="T1027" s="1"/>
  <c r="T1026" s="1"/>
  <c r="T1023"/>
  <c r="T1022" s="1"/>
  <c r="T1021" s="1"/>
  <c r="T1019"/>
  <c r="T1018" s="1"/>
  <c r="T1017" s="1"/>
  <c r="T1015"/>
  <c r="T1014" s="1"/>
  <c r="T1013" s="1"/>
  <c r="T1011"/>
  <c r="T1010" s="1"/>
  <c r="T1009" s="1"/>
  <c r="T1007"/>
  <c r="T1006" s="1"/>
  <c r="T1005" s="1"/>
  <c r="T1002"/>
  <c r="T1001" s="1"/>
  <c r="T1000" s="1"/>
  <c r="T998"/>
  <c r="T997" s="1"/>
  <c r="T996" s="1"/>
  <c r="T994"/>
  <c r="T993" s="1"/>
  <c r="T992" s="1"/>
  <c r="T990"/>
  <c r="T989" s="1"/>
  <c r="T988" s="1"/>
  <c r="T981"/>
  <c r="T980" s="1"/>
  <c r="T978"/>
  <c r="T977" s="1"/>
  <c r="T970"/>
  <c r="T969" s="1"/>
  <c r="T968" s="1"/>
  <c r="T966"/>
  <c r="T965" s="1"/>
  <c r="T964" s="1"/>
  <c r="T960"/>
  <c r="T959" s="1"/>
  <c r="T958" s="1"/>
  <c r="T956"/>
  <c r="T955" s="1"/>
  <c r="T954" s="1"/>
  <c r="T951"/>
  <c r="T950" s="1"/>
  <c r="T949" s="1"/>
  <c r="T948" s="1"/>
  <c r="T944"/>
  <c r="T943" s="1"/>
  <c r="T942" s="1"/>
  <c r="T941" s="1"/>
  <c r="T940" s="1"/>
  <c r="T938"/>
  <c r="T937" s="1"/>
  <c r="T936" s="1"/>
  <c r="T934"/>
  <c r="T933" s="1"/>
  <c r="T932" s="1"/>
  <c r="T930"/>
  <c r="T929" s="1"/>
  <c r="T928" s="1"/>
  <c r="T922"/>
  <c r="T921" s="1"/>
  <c r="T919"/>
  <c r="T912"/>
  <c r="T911" s="1"/>
  <c r="T910" s="1"/>
  <c r="T909" s="1"/>
  <c r="T908" s="1"/>
  <c r="T907" s="1"/>
  <c r="T904"/>
  <c r="T903" s="1"/>
  <c r="T902" s="1"/>
  <c r="T901" s="1"/>
  <c r="T900" s="1"/>
  <c r="T899" s="1"/>
  <c r="T898" s="1"/>
  <c r="T896"/>
  <c r="T895" s="1"/>
  <c r="T894" s="1"/>
  <c r="T893" s="1"/>
  <c r="T892" s="1"/>
  <c r="T891" s="1"/>
  <c r="T890" s="1"/>
  <c r="T888"/>
  <c r="T887" s="1"/>
  <c r="T886" s="1"/>
  <c r="T885" s="1"/>
  <c r="T884" s="1"/>
  <c r="T883" s="1"/>
  <c r="Q25" i="1" s="1"/>
  <c r="T881" i="5"/>
  <c r="T880" s="1"/>
  <c r="T878"/>
  <c r="T877" s="1"/>
  <c r="T875"/>
  <c r="T874" s="1"/>
  <c r="T872"/>
  <c r="T863"/>
  <c r="T862" s="1"/>
  <c r="T855"/>
  <c r="T854" s="1"/>
  <c r="T853" s="1"/>
  <c r="T852" s="1"/>
  <c r="T851" s="1"/>
  <c r="T849"/>
  <c r="T848" s="1"/>
  <c r="T847" s="1"/>
  <c r="T846" s="1"/>
  <c r="T841"/>
  <c r="T840" s="1"/>
  <c r="T839" s="1"/>
  <c r="T838" s="1"/>
  <c r="T836"/>
  <c r="T835" s="1"/>
  <c r="T834" s="1"/>
  <c r="T833" s="1"/>
  <c r="T832" s="1"/>
  <c r="T830"/>
  <c r="T829" s="1"/>
  <c r="T828" s="1"/>
  <c r="T827" s="1"/>
  <c r="T822"/>
  <c r="T821" s="1"/>
  <c r="T819"/>
  <c r="T816"/>
  <c r="T815" s="1"/>
  <c r="T814" s="1"/>
  <c r="T812"/>
  <c r="T809"/>
  <c r="T808" s="1"/>
  <c r="T807" s="1"/>
  <c r="T803"/>
  <c r="T802" s="1"/>
  <c r="T801" s="1"/>
  <c r="T800" s="1"/>
  <c r="T799" s="1"/>
  <c r="T797"/>
  <c r="T796" s="1"/>
  <c r="T793"/>
  <c r="T792" s="1"/>
  <c r="T790"/>
  <c r="T789" s="1"/>
  <c r="T780"/>
  <c r="T778"/>
  <c r="T775"/>
  <c r="T774" s="1"/>
  <c r="T770"/>
  <c r="T769" s="1"/>
  <c r="T768" s="1"/>
  <c r="T766"/>
  <c r="T765" s="1"/>
  <c r="T764" s="1"/>
  <c r="T761"/>
  <c r="T759"/>
  <c r="T756"/>
  <c r="T755" s="1"/>
  <c r="T752"/>
  <c r="T750"/>
  <c r="T746"/>
  <c r="T745" s="1"/>
  <c r="T744" s="1"/>
  <c r="T743" s="1"/>
  <c r="T741"/>
  <c r="T739"/>
  <c r="T734"/>
  <c r="T732"/>
  <c r="T728"/>
  <c r="T727" s="1"/>
  <c r="T726" s="1"/>
  <c r="T723"/>
  <c r="T721"/>
  <c r="T717"/>
  <c r="T716" s="1"/>
  <c r="T715" s="1"/>
  <c r="T711"/>
  <c r="T710" s="1"/>
  <c r="T709" s="1"/>
  <c r="T708" s="1"/>
  <c r="T706"/>
  <c r="T705" s="1"/>
  <c r="T704" s="1"/>
  <c r="T703" s="1"/>
  <c r="T701"/>
  <c r="T700" s="1"/>
  <c r="T699" s="1"/>
  <c r="T689"/>
  <c r="T688" s="1"/>
  <c r="T686"/>
  <c r="T685" s="1"/>
  <c r="T680"/>
  <c r="T674"/>
  <c r="T668"/>
  <c r="T667" s="1"/>
  <c r="T666" s="1"/>
  <c r="T664"/>
  <c r="T663" s="1"/>
  <c r="T662" s="1"/>
  <c r="T657"/>
  <c r="T656" s="1"/>
  <c r="T655" s="1"/>
  <c r="T652"/>
  <c r="T649"/>
  <c r="T644"/>
  <c r="T643" s="1"/>
  <c r="T641"/>
  <c r="T640" s="1"/>
  <c r="T639" s="1"/>
  <c r="T637"/>
  <c r="T635"/>
  <c r="T628"/>
  <c r="T626"/>
  <c r="T620"/>
  <c r="T619" s="1"/>
  <c r="T618" s="1"/>
  <c r="T617" s="1"/>
  <c r="T614"/>
  <c r="T608"/>
  <c r="T606"/>
  <c r="T601"/>
  <c r="T595"/>
  <c r="T593"/>
  <c r="T585"/>
  <c r="T584" s="1"/>
  <c r="T583" s="1"/>
  <c r="T581"/>
  <c r="T580" s="1"/>
  <c r="T579" s="1"/>
  <c r="T571"/>
  <c r="T570" s="1"/>
  <c r="T568"/>
  <c r="T567" s="1"/>
  <c r="T565"/>
  <c r="T559"/>
  <c r="T558" s="1"/>
  <c r="T557" s="1"/>
  <c r="T555"/>
  <c r="T554" s="1"/>
  <c r="T553" s="1"/>
  <c r="T547"/>
  <c r="T546" s="1"/>
  <c r="T545" s="1"/>
  <c r="T544" s="1"/>
  <c r="T543" s="1"/>
  <c r="T542" s="1"/>
  <c r="T540"/>
  <c r="T539" s="1"/>
  <c r="T538" s="1"/>
  <c r="T537" s="1"/>
  <c r="T536" s="1"/>
  <c r="T535" s="1"/>
  <c r="T534" s="1"/>
  <c r="T532"/>
  <c r="T531" s="1"/>
  <c r="T530" s="1"/>
  <c r="T529" s="1"/>
  <c r="T528" s="1"/>
  <c r="T526"/>
  <c r="T525" s="1"/>
  <c r="T523"/>
  <c r="T522" s="1"/>
  <c r="T520"/>
  <c r="T513"/>
  <c r="T512" s="1"/>
  <c r="T511" s="1"/>
  <c r="T510" s="1"/>
  <c r="T508"/>
  <c r="T506"/>
  <c r="T505" s="1"/>
  <c r="T499"/>
  <c r="T498" s="1"/>
  <c r="T497" s="1"/>
  <c r="T495"/>
  <c r="T494" s="1"/>
  <c r="T493" s="1"/>
  <c r="T491"/>
  <c r="T490" s="1"/>
  <c r="T489" s="1"/>
  <c r="T485"/>
  <c r="T484" s="1"/>
  <c r="T483" s="1"/>
  <c r="T482" s="1"/>
  <c r="T481" s="1"/>
  <c r="T477"/>
  <c r="T476" s="1"/>
  <c r="T475" s="1"/>
  <c r="T474" s="1"/>
  <c r="T473" s="1"/>
  <c r="T470"/>
  <c r="T467"/>
  <c r="T466" s="1"/>
  <c r="T465" s="1"/>
  <c r="T464" s="1"/>
  <c r="T461"/>
  <c r="T460" s="1"/>
  <c r="T459" s="1"/>
  <c r="T458" s="1"/>
  <c r="T456"/>
  <c r="T455" s="1"/>
  <c r="T454" s="1"/>
  <c r="T452"/>
  <c r="T451" s="1"/>
  <c r="T448"/>
  <c r="T447" s="1"/>
  <c r="T445"/>
  <c r="T440"/>
  <c r="T439" s="1"/>
  <c r="T438" s="1"/>
  <c r="T436"/>
  <c r="T435" s="1"/>
  <c r="T434" s="1"/>
  <c r="T430"/>
  <c r="T429" s="1"/>
  <c r="T428" s="1"/>
  <c r="T427" s="1"/>
  <c r="T426" s="1"/>
  <c r="T423"/>
  <c r="T422" s="1"/>
  <c r="T421" s="1"/>
  <c r="T420" s="1"/>
  <c r="T419" s="1"/>
  <c r="T418" s="1"/>
  <c r="T417" s="1"/>
  <c r="T414"/>
  <c r="T413" s="1"/>
  <c r="T411"/>
  <c r="T410" s="1"/>
  <c r="T407"/>
  <c r="T406" s="1"/>
  <c r="T404"/>
  <c r="T403" s="1"/>
  <c r="T401"/>
  <c r="T392"/>
  <c r="T391" s="1"/>
  <c r="T390" s="1"/>
  <c r="T387"/>
  <c r="T386" s="1"/>
  <c r="T384"/>
  <c r="T383" s="1"/>
  <c r="T381"/>
  <c r="T377"/>
  <c r="T376" s="1"/>
  <c r="T375" s="1"/>
  <c r="T374" s="1"/>
  <c r="T373" s="1"/>
  <c r="T369"/>
  <c r="T368" s="1"/>
  <c r="T367" s="1"/>
  <c r="T366" s="1"/>
  <c r="T364"/>
  <c r="T363" s="1"/>
  <c r="T362" s="1"/>
  <c r="T361" s="1"/>
  <c r="T359"/>
  <c r="T358" s="1"/>
  <c r="T357" s="1"/>
  <c r="T355"/>
  <c r="T354" s="1"/>
  <c r="T353" s="1"/>
  <c r="T351"/>
  <c r="T350" s="1"/>
  <c r="T349" s="1"/>
  <c r="T346"/>
  <c r="T345" s="1"/>
  <c r="T344" s="1"/>
  <c r="T337"/>
  <c r="T336" s="1"/>
  <c r="T335" s="1"/>
  <c r="T334" s="1"/>
  <c r="Q54" i="1" s="1"/>
  <c r="T331" i="5"/>
  <c r="T330" s="1"/>
  <c r="T329" s="1"/>
  <c r="T328" s="1"/>
  <c r="T327" s="1"/>
  <c r="T321"/>
  <c r="T320" s="1"/>
  <c r="T319" s="1"/>
  <c r="T317"/>
  <c r="T316" s="1"/>
  <c r="T315" s="1"/>
  <c r="T312"/>
  <c r="T311" s="1"/>
  <c r="T310" s="1"/>
  <c r="T308"/>
  <c r="T307" s="1"/>
  <c r="T306" s="1"/>
  <c r="T301"/>
  <c r="T300" s="1"/>
  <c r="T299" s="1"/>
  <c r="T298" s="1"/>
  <c r="T296"/>
  <c r="T295" s="1"/>
  <c r="T293"/>
  <c r="T292" s="1"/>
  <c r="T290"/>
  <c r="T289" s="1"/>
  <c r="T286"/>
  <c r="T285" s="1"/>
  <c r="T283"/>
  <c r="T282" s="1"/>
  <c r="T280"/>
  <c r="T279" s="1"/>
  <c r="T275"/>
  <c r="T274" s="1"/>
  <c r="T273" s="1"/>
  <c r="T271"/>
  <c r="T270" s="1"/>
  <c r="T269" s="1"/>
  <c r="T265"/>
  <c r="T264" s="1"/>
  <c r="T263" s="1"/>
  <c r="T262" s="1"/>
  <c r="T260"/>
  <c r="T259" s="1"/>
  <c r="T258" s="1"/>
  <c r="T257" s="1"/>
  <c r="T253"/>
  <c r="T252" s="1"/>
  <c r="T251" s="1"/>
  <c r="T249"/>
  <c r="T248" s="1"/>
  <c r="T247" s="1"/>
  <c r="T243"/>
  <c r="T242" s="1"/>
  <c r="T241" s="1"/>
  <c r="T240" s="1"/>
  <c r="T238"/>
  <c r="T237" s="1"/>
  <c r="T236" s="1"/>
  <c r="T235" s="1"/>
  <c r="T234" s="1"/>
  <c r="T231"/>
  <c r="T230" s="1"/>
  <c r="T228"/>
  <c r="T227" s="1"/>
  <c r="T225"/>
  <c r="T219"/>
  <c r="T218" s="1"/>
  <c r="T216"/>
  <c r="T215" s="1"/>
  <c r="T213"/>
  <c r="T212" s="1"/>
  <c r="T210"/>
  <c r="T207"/>
  <c r="T206" s="1"/>
  <c r="T204"/>
  <c r="T203" s="1"/>
  <c r="T202" s="1"/>
  <c r="T200"/>
  <c r="T199" s="1"/>
  <c r="T197"/>
  <c r="T196" s="1"/>
  <c r="T194"/>
  <c r="T190"/>
  <c r="T189" s="1"/>
  <c r="T188" s="1"/>
  <c r="T187" s="1"/>
  <c r="T184"/>
  <c r="T183" s="1"/>
  <c r="T182" s="1"/>
  <c r="T180"/>
  <c r="T179" s="1"/>
  <c r="T178" s="1"/>
  <c r="T173"/>
  <c r="T172" s="1"/>
  <c r="T171" s="1"/>
  <c r="T169"/>
  <c r="T168" s="1"/>
  <c r="T167" s="1"/>
  <c r="T162"/>
  <c r="T161" s="1"/>
  <c r="T160" s="1"/>
  <c r="T159" s="1"/>
  <c r="T158" s="1"/>
  <c r="T156"/>
  <c r="T155" s="1"/>
  <c r="T154" s="1"/>
  <c r="T152"/>
  <c r="T151" s="1"/>
  <c r="T150" s="1"/>
  <c r="T148"/>
  <c r="T147" s="1"/>
  <c r="T146" s="1"/>
  <c r="T144"/>
  <c r="T143" s="1"/>
  <c r="T142" s="1"/>
  <c r="T134"/>
  <c r="T133" s="1"/>
  <c r="T132" s="1"/>
  <c r="T129"/>
  <c r="T128" s="1"/>
  <c r="T127" s="1"/>
  <c r="T126" s="1"/>
  <c r="T123"/>
  <c r="T122" s="1"/>
  <c r="T117"/>
  <c r="T112"/>
  <c r="T111" s="1"/>
  <c r="T110" s="1"/>
  <c r="T109" s="1"/>
  <c r="T107"/>
  <c r="T106" s="1"/>
  <c r="T105" s="1"/>
  <c r="T103"/>
  <c r="T101"/>
  <c r="T98"/>
  <c r="T97" s="1"/>
  <c r="T93"/>
  <c r="T92" s="1"/>
  <c r="T91" s="1"/>
  <c r="T90" s="1"/>
  <c r="T88"/>
  <c r="T87" s="1"/>
  <c r="T85"/>
  <c r="T81"/>
  <c r="T80" s="1"/>
  <c r="T78"/>
  <c r="T77" s="1"/>
  <c r="T75"/>
  <c r="T70"/>
  <c r="T69" s="1"/>
  <c r="T68" s="1"/>
  <c r="T67" s="1"/>
  <c r="T66" s="1"/>
  <c r="T65" s="1"/>
  <c r="Q23" i="1" s="1"/>
  <c r="T63" i="5"/>
  <c r="T62" s="1"/>
  <c r="T60"/>
  <c r="T59" s="1"/>
  <c r="T57"/>
  <c r="T54"/>
  <c r="T53" s="1"/>
  <c r="T52" s="1"/>
  <c r="T49"/>
  <c r="T47"/>
  <c r="T46" s="1"/>
  <c r="T44"/>
  <c r="T41"/>
  <c r="T40" s="1"/>
  <c r="T38"/>
  <c r="T37" s="1"/>
  <c r="T35"/>
  <c r="T28"/>
  <c r="T27" s="1"/>
  <c r="T26" s="1"/>
  <c r="T25" s="1"/>
  <c r="T24" s="1"/>
  <c r="T23" s="1"/>
  <c r="Q20" i="1" s="1"/>
  <c r="R36" i="5"/>
  <c r="R298" i="6"/>
  <c r="Q297"/>
  <c r="R297" s="1"/>
  <c r="S1084" i="5"/>
  <c r="U1084" s="1"/>
  <c r="R1083"/>
  <c r="S1083" s="1"/>
  <c r="R609"/>
  <c r="R608" s="1"/>
  <c r="S608" s="1"/>
  <c r="R607"/>
  <c r="R606" s="1"/>
  <c r="R261"/>
  <c r="R255"/>
  <c r="R250"/>
  <c r="R121"/>
  <c r="R113"/>
  <c r="Q304" i="6"/>
  <c r="R1472" i="5"/>
  <c r="R1469"/>
  <c r="Q1737" i="6"/>
  <c r="R1737" s="1"/>
  <c r="S1475" i="5"/>
  <c r="U1475" s="1"/>
  <c r="R1474"/>
  <c r="S1474" s="1"/>
  <c r="R600"/>
  <c r="R650"/>
  <c r="R1335"/>
  <c r="Q1775" i="6"/>
  <c r="R1775" s="1"/>
  <c r="A608" i="5"/>
  <c r="A1474"/>
  <c r="A1775" i="6"/>
  <c r="A1108" i="5"/>
  <c r="A1737" i="6"/>
  <c r="A1084" i="5"/>
  <c r="A1736" i="6"/>
  <c r="A297"/>
  <c r="A294"/>
  <c r="A1773"/>
  <c r="A1475" i="5"/>
  <c r="A293" i="6"/>
  <c r="A1082" i="5"/>
  <c r="A1083"/>
  <c r="A609"/>
  <c r="A1081"/>
  <c r="A298" i="6"/>
  <c r="A296"/>
  <c r="A1774"/>
  <c r="T1688" i="5" l="1"/>
  <c r="T1687" s="1"/>
  <c r="T1689"/>
  <c r="T679"/>
  <c r="T678" s="1"/>
  <c r="T677" s="1"/>
  <c r="S187" i="6"/>
  <c r="S186" s="1"/>
  <c r="S185" s="1"/>
  <c r="S184" s="1"/>
  <c r="S183" s="1"/>
  <c r="T673" i="5"/>
  <c r="T672" s="1"/>
  <c r="T671" s="1"/>
  <c r="S160" i="6"/>
  <c r="S159" s="1"/>
  <c r="S155"/>
  <c r="S154" s="1"/>
  <c r="T613" i="5"/>
  <c r="T612" s="1"/>
  <c r="T611" s="1"/>
  <c r="S1401" i="6"/>
  <c r="S1400" s="1"/>
  <c r="S1399" s="1"/>
  <c r="S1398" s="1"/>
  <c r="S1391" s="1"/>
  <c r="T1114" i="5"/>
  <c r="T1174"/>
  <c r="T1173" s="1"/>
  <c r="T1363"/>
  <c r="T1362" s="1"/>
  <c r="T1416"/>
  <c r="T1613"/>
  <c r="T1612" s="1"/>
  <c r="T1611" s="1"/>
  <c r="Q37" i="1" s="1"/>
  <c r="T1347" i="5"/>
  <c r="T1346" s="1"/>
  <c r="T1355"/>
  <c r="T1354" s="1"/>
  <c r="T1775" i="6"/>
  <c r="U608" i="5"/>
  <c r="T720"/>
  <c r="T719" s="1"/>
  <c r="T918"/>
  <c r="T917" s="1"/>
  <c r="T916" s="1"/>
  <c r="T915" s="1"/>
  <c r="S795" i="6"/>
  <c r="S794" s="1"/>
  <c r="S793" s="1"/>
  <c r="S792" s="1"/>
  <c r="S785"/>
  <c r="S784" s="1"/>
  <c r="S783" s="1"/>
  <c r="S782" s="1"/>
  <c r="T749" i="5"/>
  <c r="T748" s="1"/>
  <c r="T137"/>
  <c r="U137" s="1"/>
  <c r="T1371"/>
  <c r="T1370" s="1"/>
  <c r="S951" i="6"/>
  <c r="S950" s="1"/>
  <c r="S818"/>
  <c r="S817" s="1"/>
  <c r="S816" s="1"/>
  <c r="S804"/>
  <c r="S803" s="1"/>
  <c r="S802" s="1"/>
  <c r="T1440" i="5"/>
  <c r="U1441"/>
  <c r="T858"/>
  <c r="T857" s="1"/>
  <c r="T845" s="1"/>
  <c r="T844" s="1"/>
  <c r="Q57" i="1" s="1"/>
  <c r="S904" i="6"/>
  <c r="S903" s="1"/>
  <c r="S902" s="1"/>
  <c r="S901" s="1"/>
  <c r="S900" s="1"/>
  <c r="S892"/>
  <c r="S891" s="1"/>
  <c r="T1737"/>
  <c r="T1408" i="5"/>
  <c r="U1409"/>
  <c r="T298" i="6"/>
  <c r="T1233" i="5"/>
  <c r="T1232" s="1"/>
  <c r="S259" i="6"/>
  <c r="T259" s="1"/>
  <c r="T1677" i="5"/>
  <c r="T1676" s="1"/>
  <c r="S1250" i="6"/>
  <c r="S1249" s="1"/>
  <c r="S1248" s="1"/>
  <c r="S1247" s="1"/>
  <c r="S1246" s="1"/>
  <c r="T983" i="5"/>
  <c r="U983" s="1"/>
  <c r="T1423" i="6"/>
  <c r="S1422"/>
  <c r="Q52" i="1"/>
  <c r="Q51" s="1"/>
  <c r="T1227" i="5"/>
  <c r="T1226" s="1"/>
  <c r="T1224" s="1"/>
  <c r="T906"/>
  <c r="Q66" i="1"/>
  <c r="Q65" s="1"/>
  <c r="T1137" i="5"/>
  <c r="T1132" s="1"/>
  <c r="U1083"/>
  <c r="T1156"/>
  <c r="T1155" s="1"/>
  <c r="T1150" s="1"/>
  <c r="T1149" s="1"/>
  <c r="S1243" i="6"/>
  <c r="S1242" s="1"/>
  <c r="S1236" s="1"/>
  <c r="S1235" s="1"/>
  <c r="S1234" s="1"/>
  <c r="S1388"/>
  <c r="S1387" s="1"/>
  <c r="S1381" s="1"/>
  <c r="S1380" s="1"/>
  <c r="S1379" s="1"/>
  <c r="S1372" s="1"/>
  <c r="S104"/>
  <c r="S1464"/>
  <c r="S1463" s="1"/>
  <c r="S1457" s="1"/>
  <c r="S1456" s="1"/>
  <c r="S1455" s="1"/>
  <c r="S1036"/>
  <c r="S1035" s="1"/>
  <c r="S1032" s="1"/>
  <c r="S1031" s="1"/>
  <c r="S1030" s="1"/>
  <c r="S1085"/>
  <c r="S1084" s="1"/>
  <c r="S1770"/>
  <c r="S1769" s="1"/>
  <c r="S126"/>
  <c r="S125" s="1"/>
  <c r="S924"/>
  <c r="S923" s="1"/>
  <c r="S922" s="1"/>
  <c r="S80"/>
  <c r="S79" s="1"/>
  <c r="S78" s="1"/>
  <c r="S77" s="1"/>
  <c r="S205"/>
  <c r="S201" s="1"/>
  <c r="S200" s="1"/>
  <c r="S199" s="1"/>
  <c r="S297"/>
  <c r="S296" s="1"/>
  <c r="S295" s="1"/>
  <c r="S294" s="1"/>
  <c r="S293" s="1"/>
  <c r="S532"/>
  <c r="S531" s="1"/>
  <c r="S525" s="1"/>
  <c r="S524" s="1"/>
  <c r="S523" s="1"/>
  <c r="S932"/>
  <c r="S931" s="1"/>
  <c r="S927" s="1"/>
  <c r="S1738"/>
  <c r="S1735" s="1"/>
  <c r="S1729" s="1"/>
  <c r="S1728" s="1"/>
  <c r="S1727" s="1"/>
  <c r="S1591"/>
  <c r="S1590" s="1"/>
  <c r="S101"/>
  <c r="S507"/>
  <c r="S506" s="1"/>
  <c r="S505" s="1"/>
  <c r="S693"/>
  <c r="S742"/>
  <c r="S741" s="1"/>
  <c r="S740" s="1"/>
  <c r="S739" s="1"/>
  <c r="S738" s="1"/>
  <c r="S731" s="1"/>
  <c r="S857"/>
  <c r="S856" s="1"/>
  <c r="S916"/>
  <c r="S912" s="1"/>
  <c r="S911" s="1"/>
  <c r="S1416"/>
  <c r="S1415" s="1"/>
  <c r="S1414" s="1"/>
  <c r="S1413" s="1"/>
  <c r="S1412" s="1"/>
  <c r="S305"/>
  <c r="S413"/>
  <c r="S935"/>
  <c r="S995"/>
  <c r="S36"/>
  <c r="S33" s="1"/>
  <c r="S32" s="1"/>
  <c r="S26" s="1"/>
  <c r="S25" s="1"/>
  <c r="S227"/>
  <c r="S226" s="1"/>
  <c r="S225" s="1"/>
  <c r="S224" s="1"/>
  <c r="S1777"/>
  <c r="S1776" s="1"/>
  <c r="S243"/>
  <c r="S242" s="1"/>
  <c r="S241" s="1"/>
  <c r="S1295"/>
  <c r="S1294" s="1"/>
  <c r="S1293" s="1"/>
  <c r="S550"/>
  <c r="S543" s="1"/>
  <c r="S874"/>
  <c r="S1302"/>
  <c r="S1301" s="1"/>
  <c r="S1300" s="1"/>
  <c r="S1571"/>
  <c r="S1570" s="1"/>
  <c r="S1598"/>
  <c r="S1597" s="1"/>
  <c r="S1743"/>
  <c r="S1742" s="1"/>
  <c r="S1741" s="1"/>
  <c r="T1513" i="5"/>
  <c r="Q31" i="1" s="1"/>
  <c r="S94" i="6"/>
  <c r="S93" s="1"/>
  <c r="S92" s="1"/>
  <c r="S91" s="1"/>
  <c r="S116"/>
  <c r="S115" s="1"/>
  <c r="S195"/>
  <c r="S194" s="1"/>
  <c r="S193" s="1"/>
  <c r="S192" s="1"/>
  <c r="S191" s="1"/>
  <c r="S843"/>
  <c r="S842" s="1"/>
  <c r="S841" s="1"/>
  <c r="S840" s="1"/>
  <c r="S839" s="1"/>
  <c r="S838" s="1"/>
  <c r="S837" s="1"/>
  <c r="S868"/>
  <c r="S867" s="1"/>
  <c r="S866" s="1"/>
  <c r="S1328"/>
  <c r="S1327" s="1"/>
  <c r="S1326" s="1"/>
  <c r="S1325" s="1"/>
  <c r="S1368"/>
  <c r="S1367" s="1"/>
  <c r="S1358" s="1"/>
  <c r="S1357" s="1"/>
  <c r="S1356" s="1"/>
  <c r="S1538"/>
  <c r="S1537" s="1"/>
  <c r="S1531" s="1"/>
  <c r="S1567"/>
  <c r="S1566" s="1"/>
  <c r="S1560" s="1"/>
  <c r="S1559" s="1"/>
  <c r="S482"/>
  <c r="S481" s="1"/>
  <c r="S480" s="1"/>
  <c r="S479" s="1"/>
  <c r="T777" i="5"/>
  <c r="T773" s="1"/>
  <c r="T1461"/>
  <c r="S499" i="6"/>
  <c r="S495" s="1"/>
  <c r="S494" s="1"/>
  <c r="S493" s="1"/>
  <c r="S579"/>
  <c r="S611"/>
  <c r="S748"/>
  <c r="S747" s="1"/>
  <c r="S746" s="1"/>
  <c r="S745" s="1"/>
  <c r="S1541"/>
  <c r="S1608"/>
  <c r="S1607" s="1"/>
  <c r="S1631"/>
  <c r="S474"/>
  <c r="S473" s="1"/>
  <c r="S472" s="1"/>
  <c r="S471" s="1"/>
  <c r="S658"/>
  <c r="S654" s="1"/>
  <c r="S653" s="1"/>
  <c r="S647" s="1"/>
  <c r="T738" i="5"/>
  <c r="T737" s="1"/>
  <c r="T736" s="1"/>
  <c r="T1040"/>
  <c r="T1039" s="1"/>
  <c r="T1038" s="1"/>
  <c r="T1479"/>
  <c r="S65" i="6"/>
  <c r="S64" s="1"/>
  <c r="S63" s="1"/>
  <c r="S62" s="1"/>
  <c r="S1024"/>
  <c r="S1023" s="1"/>
  <c r="S1022" s="1"/>
  <c r="S1065"/>
  <c r="S1111"/>
  <c r="S1110" s="1"/>
  <c r="S1109" s="1"/>
  <c r="S1277"/>
  <c r="S1273" s="1"/>
  <c r="S1272" s="1"/>
  <c r="S1266" s="1"/>
  <c r="S1550"/>
  <c r="S969"/>
  <c r="S968"/>
  <c r="S961" s="1"/>
  <c r="S954" s="1"/>
  <c r="S48"/>
  <c r="S47" s="1"/>
  <c r="S46" s="1"/>
  <c r="S45" s="1"/>
  <c r="S720"/>
  <c r="S57"/>
  <c r="S56" s="1"/>
  <c r="S55" s="1"/>
  <c r="S54" s="1"/>
  <c r="S213"/>
  <c r="S212" s="1"/>
  <c r="S402"/>
  <c r="S401" s="1"/>
  <c r="S400" s="1"/>
  <c r="S399" s="1"/>
  <c r="S537"/>
  <c r="S536" s="1"/>
  <c r="S535" s="1"/>
  <c r="S637"/>
  <c r="S633" s="1"/>
  <c r="S632" s="1"/>
  <c r="S631" s="1"/>
  <c r="S679"/>
  <c r="S673" s="1"/>
  <c r="S1007"/>
  <c r="S164"/>
  <c r="S355"/>
  <c r="S348" s="1"/>
  <c r="S394"/>
  <c r="S393" s="1"/>
  <c r="S392" s="1"/>
  <c r="S391" s="1"/>
  <c r="S439"/>
  <c r="S595"/>
  <c r="S131"/>
  <c r="S704"/>
  <c r="S1432"/>
  <c r="S1581"/>
  <c r="S1580" s="1"/>
  <c r="S1711"/>
  <c r="S1751"/>
  <c r="S1750" s="1"/>
  <c r="S1749" s="1"/>
  <c r="S514"/>
  <c r="S513" s="1"/>
  <c r="S512" s="1"/>
  <c r="S1488"/>
  <c r="S1487" s="1"/>
  <c r="S1481" s="1"/>
  <c r="S1474" s="1"/>
  <c r="S1473" s="1"/>
  <c r="S1615"/>
  <c r="S1614" s="1"/>
  <c r="S1675"/>
  <c r="S1674" s="1"/>
  <c r="S1673" s="1"/>
  <c r="S1670" s="1"/>
  <c r="S1689"/>
  <c r="S1688" s="1"/>
  <c r="S1687" s="1"/>
  <c r="S1702"/>
  <c r="S1721"/>
  <c r="S1720" s="1"/>
  <c r="S1719" s="1"/>
  <c r="S1042"/>
  <c r="S1220"/>
  <c r="S1204" s="1"/>
  <c r="S1785"/>
  <c r="S1784" s="1"/>
  <c r="S1783" s="1"/>
  <c r="T871" i="5"/>
  <c r="T870" s="1"/>
  <c r="T869" s="1"/>
  <c r="T868" s="1"/>
  <c r="T867" s="1"/>
  <c r="T866" s="1"/>
  <c r="T43"/>
  <c r="T504"/>
  <c r="T503" s="1"/>
  <c r="T502" s="1"/>
  <c r="T501" s="1"/>
  <c r="Q38" i="1" s="1"/>
  <c r="T634" i="5"/>
  <c r="T633" s="1"/>
  <c r="T698"/>
  <c r="T697" s="1"/>
  <c r="T661"/>
  <c r="T84"/>
  <c r="T177"/>
  <c r="T288"/>
  <c r="T314"/>
  <c r="T684"/>
  <c r="T683" s="1"/>
  <c r="T731"/>
  <c r="T730" s="1"/>
  <c r="T1219"/>
  <c r="T1218" s="1"/>
  <c r="T1217" s="1"/>
  <c r="T1311"/>
  <c r="T1306" s="1"/>
  <c r="T1305" s="1"/>
  <c r="T1304" s="1"/>
  <c r="T1714"/>
  <c r="T1713" s="1"/>
  <c r="T1712" s="1"/>
  <c r="T1711" s="1"/>
  <c r="T1710" s="1"/>
  <c r="T1709" s="1"/>
  <c r="T1708" s="1"/>
  <c r="T1728"/>
  <c r="T1727" s="1"/>
  <c r="T1726" s="1"/>
  <c r="T1725" s="1"/>
  <c r="Q41" i="1" s="1"/>
  <c r="T577" i="5"/>
  <c r="T576" s="1"/>
  <c r="T268"/>
  <c r="T267" s="1"/>
  <c r="T400"/>
  <c r="T592"/>
  <c r="T591" s="1"/>
  <c r="T625"/>
  <c r="T624" s="1"/>
  <c r="T623" s="1"/>
  <c r="T622" s="1"/>
  <c r="T1109"/>
  <c r="T1108" s="1"/>
  <c r="T1103" s="1"/>
  <c r="U1474"/>
  <c r="T763"/>
  <c r="T1695"/>
  <c r="T1694" s="1"/>
  <c r="T1651"/>
  <c r="T1473"/>
  <c r="T1467" s="1"/>
  <c r="T1430"/>
  <c r="T1246"/>
  <c r="T1245" s="1"/>
  <c r="T1205"/>
  <c r="T1204" s="1"/>
  <c r="T1203" s="1"/>
  <c r="T1202" s="1"/>
  <c r="T1025"/>
  <c r="T1004"/>
  <c r="T818"/>
  <c r="T806" s="1"/>
  <c r="T805" s="1"/>
  <c r="T758"/>
  <c r="T754" s="1"/>
  <c r="T648"/>
  <c r="T647" s="1"/>
  <c r="T605"/>
  <c r="T604" s="1"/>
  <c r="T603" s="1"/>
  <c r="T598"/>
  <c r="T597" s="1"/>
  <c r="T433"/>
  <c r="T348"/>
  <c r="T343" s="1"/>
  <c r="T342" s="1"/>
  <c r="T100"/>
  <c r="T96" s="1"/>
  <c r="T95" s="1"/>
  <c r="T74"/>
  <c r="T56"/>
  <c r="T246"/>
  <c r="T518"/>
  <c r="T517" s="1"/>
  <c r="T516" s="1"/>
  <c r="T515" s="1"/>
  <c r="Q39" i="1" s="1"/>
  <c r="T1187" i="5"/>
  <c r="T1186" s="1"/>
  <c r="T1185" s="1"/>
  <c r="T1184" s="1"/>
  <c r="T141"/>
  <c r="T399"/>
  <c r="T398" s="1"/>
  <c r="T397" s="1"/>
  <c r="T396" s="1"/>
  <c r="T444"/>
  <c r="T443" s="1"/>
  <c r="T442" s="1"/>
  <c r="T519"/>
  <c r="T826"/>
  <c r="T825" s="1"/>
  <c r="T953"/>
  <c r="T947" s="1"/>
  <c r="T987"/>
  <c r="T1085"/>
  <c r="T1455"/>
  <c r="T1454" s="1"/>
  <c r="T1485"/>
  <c r="T1526"/>
  <c r="T1525" s="1"/>
  <c r="T1524" s="1"/>
  <c r="T1592"/>
  <c r="T1591" s="1"/>
  <c r="T1590" s="1"/>
  <c r="T1589" s="1"/>
  <c r="T1642"/>
  <c r="T1637" s="1"/>
  <c r="T1636" s="1"/>
  <c r="T34"/>
  <c r="T33" s="1"/>
  <c r="T166"/>
  <c r="T165" s="1"/>
  <c r="T164" s="1"/>
  <c r="T209"/>
  <c r="T256"/>
  <c r="T305"/>
  <c r="T380"/>
  <c r="T379" s="1"/>
  <c r="T372" s="1"/>
  <c r="T463"/>
  <c r="T488"/>
  <c r="T487" s="1"/>
  <c r="T480" s="1"/>
  <c r="Q36" i="1" s="1"/>
  <c r="T552" i="5"/>
  <c r="T564"/>
  <c r="T563" s="1"/>
  <c r="T562" s="1"/>
  <c r="T561" s="1"/>
  <c r="T788"/>
  <c r="T787" s="1"/>
  <c r="T786" s="1"/>
  <c r="T927"/>
  <c r="T926" s="1"/>
  <c r="T925" s="1"/>
  <c r="T963"/>
  <c r="T962" s="1"/>
  <c r="T976"/>
  <c r="T1072"/>
  <c r="T1094"/>
  <c r="T1255"/>
  <c r="T1251" s="1"/>
  <c r="T1327"/>
  <c r="T1383"/>
  <c r="T1494"/>
  <c r="T1493" s="1"/>
  <c r="T1575"/>
  <c r="T1565" s="1"/>
  <c r="T1680"/>
  <c r="T224"/>
  <c r="T223" s="1"/>
  <c r="T222" s="1"/>
  <c r="T1270"/>
  <c r="Q61" i="1" s="1"/>
  <c r="T1290" i="5"/>
  <c r="T1289" s="1"/>
  <c r="T1288" s="1"/>
  <c r="T1287" s="1"/>
  <c r="T1281" s="1"/>
  <c r="T1743"/>
  <c r="T1742" s="1"/>
  <c r="T1741" s="1"/>
  <c r="T193"/>
  <c r="S1344" i="6" s="1"/>
  <c r="S1343" s="1"/>
  <c r="S1342" s="1"/>
  <c r="S1336" s="1"/>
  <c r="S1335" s="1"/>
  <c r="S1334" s="1"/>
  <c r="T278" i="5"/>
  <c r="T116"/>
  <c r="T115" s="1"/>
  <c r="S609"/>
  <c r="U609" s="1"/>
  <c r="Q120" i="6"/>
  <c r="R120" s="1"/>
  <c r="T120" s="1"/>
  <c r="R605" i="5"/>
  <c r="R1082"/>
  <c r="Q296" i="6"/>
  <c r="Q1736"/>
  <c r="R1736" s="1"/>
  <c r="T1736" s="1"/>
  <c r="Q1774"/>
  <c r="R58" i="5"/>
  <c r="R60"/>
  <c r="S60" s="1"/>
  <c r="U60" s="1"/>
  <c r="S61"/>
  <c r="U61" s="1"/>
  <c r="A60"/>
  <c r="A59"/>
  <c r="A61"/>
  <c r="T670" l="1"/>
  <c r="S153" i="6"/>
  <c r="S152" s="1"/>
  <c r="S151" s="1"/>
  <c r="S150" s="1"/>
  <c r="T610" i="5"/>
  <c r="T1554"/>
  <c r="T1512" s="1"/>
  <c r="T1453"/>
  <c r="T1452" s="1"/>
  <c r="T277"/>
  <c r="T975"/>
  <c r="T1740"/>
  <c r="T1734" s="1"/>
  <c r="T632"/>
  <c r="T1326"/>
  <c r="Q55" i="1" s="1"/>
  <c r="T131" i="5"/>
  <c r="T114" s="1"/>
  <c r="S1669" i="6"/>
  <c r="T1670"/>
  <c r="Q62" i="1"/>
  <c r="S258" i="6"/>
  <c r="S257" s="1"/>
  <c r="S852"/>
  <c r="S851" s="1"/>
  <c r="S850" s="1"/>
  <c r="S946"/>
  <c r="S945" s="1"/>
  <c r="S944" s="1"/>
  <c r="U1440" i="5"/>
  <c r="T1439"/>
  <c r="T1429" s="1"/>
  <c r="S211" i="6"/>
  <c r="S210" s="1"/>
  <c r="U1408" i="5"/>
  <c r="T1407"/>
  <c r="T1345" s="1"/>
  <c r="T1337" s="1"/>
  <c r="Q56" i="1" s="1"/>
  <c r="S1108" i="6"/>
  <c r="T714" i="5"/>
  <c r="T713" s="1"/>
  <c r="T1650"/>
  <c r="T1649" s="1"/>
  <c r="T1629" s="1"/>
  <c r="S1421" i="6"/>
  <c r="T1422"/>
  <c r="T1240" i="5"/>
  <c r="T1239" s="1"/>
  <c r="Q60" i="1" s="1"/>
  <c r="T371" i="5"/>
  <c r="Q64" i="1"/>
  <c r="Q63" s="1"/>
  <c r="Q35"/>
  <c r="T865" i="5"/>
  <c r="T432"/>
  <c r="Q32" i="1" s="1"/>
  <c r="T590" i="5"/>
  <c r="T589" s="1"/>
  <c r="T588" s="1"/>
  <c r="Q44" i="1" s="1"/>
  <c r="T1604" i="5"/>
  <c r="T395"/>
  <c r="T394" s="1"/>
  <c r="Q21" i="1"/>
  <c r="S1021" i="6"/>
  <c r="S1020" s="1"/>
  <c r="T333" i="5"/>
  <c r="T575"/>
  <c r="Q30" i="1"/>
  <c r="Q24"/>
  <c r="S262" i="6"/>
  <c r="T1492" i="5"/>
  <c r="S384" i="6"/>
  <c r="S100"/>
  <c r="S99" s="1"/>
  <c r="S98" s="1"/>
  <c r="S97" s="1"/>
  <c r="S114"/>
  <c r="S113" s="1"/>
  <c r="T297"/>
  <c r="S1530"/>
  <c r="S1529" s="1"/>
  <c r="S1523" s="1"/>
  <c r="S921"/>
  <c r="S910" s="1"/>
  <c r="S504"/>
  <c r="S464" s="1"/>
  <c r="S1292"/>
  <c r="S1265" s="1"/>
  <c r="S1768"/>
  <c r="S522"/>
  <c r="S53"/>
  <c r="S1681"/>
  <c r="S1425"/>
  <c r="S1333"/>
  <c r="S630"/>
  <c r="T1216" i="5"/>
  <c r="T1201" s="1"/>
  <c r="T304"/>
  <c r="T32"/>
  <c r="T31" s="1"/>
  <c r="T30" s="1"/>
  <c r="Q22" i="1" s="1"/>
  <c r="T1066" i="5"/>
  <c r="T946"/>
  <c r="T924" s="1"/>
  <c r="T73"/>
  <c r="T974"/>
  <c r="T192"/>
  <c r="T186" s="1"/>
  <c r="T176" s="1"/>
  <c r="T479"/>
  <c r="T824"/>
  <c r="T551"/>
  <c r="T550" s="1"/>
  <c r="T549" s="1"/>
  <c r="T245"/>
  <c r="S1082"/>
  <c r="U1082" s="1"/>
  <c r="R1081"/>
  <c r="S1081" s="1"/>
  <c r="U1081" s="1"/>
  <c r="Q295" i="6"/>
  <c r="R296"/>
  <c r="T296" s="1"/>
  <c r="R59" i="5"/>
  <c r="S59" s="1"/>
  <c r="U59" s="1"/>
  <c r="Q1773" i="6"/>
  <c r="R1773" s="1"/>
  <c r="T1773" s="1"/>
  <c r="R1774"/>
  <c r="T1774" s="1"/>
  <c r="Q412"/>
  <c r="R412" s="1"/>
  <c r="T412" s="1"/>
  <c r="A411"/>
  <c r="A410"/>
  <c r="A407"/>
  <c r="A412"/>
  <c r="A408"/>
  <c r="T631" i="5" l="1"/>
  <c r="T630" s="1"/>
  <c r="T587" s="1"/>
  <c r="T574" s="1"/>
  <c r="T1724"/>
  <c r="T1723" s="1"/>
  <c r="Q42" i="1"/>
  <c r="Q40" s="1"/>
  <c r="T72" i="5"/>
  <c r="Q26" i="1" s="1"/>
  <c r="Q19" s="1"/>
  <c r="T258" i="6"/>
  <c r="T973" i="5"/>
  <c r="Q49" i="1" s="1"/>
  <c r="Q59"/>
  <c r="S1668" i="6"/>
  <c r="T1668" s="1"/>
  <c r="T1669"/>
  <c r="S763"/>
  <c r="T1415" i="5"/>
  <c r="Q58" i="1" s="1"/>
  <c r="Q53" s="1"/>
  <c r="T425" i="5"/>
  <c r="T416" s="1"/>
  <c r="T1065"/>
  <c r="Q50" i="1" s="1"/>
  <c r="T1238" i="5"/>
  <c r="T1200" s="1"/>
  <c r="T1421" i="6"/>
  <c r="S1420"/>
  <c r="T22" i="5"/>
  <c r="T233"/>
  <c r="Q33" i="1"/>
  <c r="S256" i="6"/>
  <c r="T257"/>
  <c r="Q47" i="1"/>
  <c r="Q34"/>
  <c r="T175" i="5"/>
  <c r="Q28" i="1"/>
  <c r="Q27" s="1"/>
  <c r="T303" i="5"/>
  <c r="Q46" i="1"/>
  <c r="S76" i="6"/>
  <c r="S18" s="1"/>
  <c r="S1264"/>
  <c r="T1491" i="5"/>
  <c r="R295" i="6"/>
  <c r="T295" s="1"/>
  <c r="Q294"/>
  <c r="Q411"/>
  <c r="Q410" s="1"/>
  <c r="Q409" s="1"/>
  <c r="Q383"/>
  <c r="Q382" s="1"/>
  <c r="Q381" s="1"/>
  <c r="A378"/>
  <c r="A381"/>
  <c r="A383"/>
  <c r="A379"/>
  <c r="A382"/>
  <c r="Q48" i="1" l="1"/>
  <c r="Q45"/>
  <c r="Q43" s="1"/>
  <c r="T1325" i="5"/>
  <c r="T1296" s="1"/>
  <c r="S1522" i="6"/>
  <c r="S1521" s="1"/>
  <c r="T972" i="5"/>
  <c r="T914" s="1"/>
  <c r="T21"/>
  <c r="T1420" i="6"/>
  <c r="S1419"/>
  <c r="Q29" i="1"/>
  <c r="T256" i="6"/>
  <c r="S240"/>
  <c r="S239" s="1"/>
  <c r="Q293"/>
  <c r="R293" s="1"/>
  <c r="T293" s="1"/>
  <c r="R294"/>
  <c r="T294" s="1"/>
  <c r="R410"/>
  <c r="T410" s="1"/>
  <c r="R411"/>
  <c r="T411" s="1"/>
  <c r="Q408"/>
  <c r="R409"/>
  <c r="T409" s="1"/>
  <c r="R383"/>
  <c r="T383" s="1"/>
  <c r="R381"/>
  <c r="T381" s="1"/>
  <c r="Q380"/>
  <c r="R382"/>
  <c r="T382" s="1"/>
  <c r="Q347"/>
  <c r="R347" s="1"/>
  <c r="T347" s="1"/>
  <c r="A347"/>
  <c r="A346"/>
  <c r="A343"/>
  <c r="A345"/>
  <c r="A342"/>
  <c r="T1752" i="5" l="1"/>
  <c r="T1419" i="6"/>
  <c r="S1405"/>
  <c r="S1371" s="1"/>
  <c r="S1823" s="1"/>
  <c r="Q67" i="1"/>
  <c r="R408" i="6"/>
  <c r="T408" s="1"/>
  <c r="Q407"/>
  <c r="R407" s="1"/>
  <c r="T407" s="1"/>
  <c r="R380"/>
  <c r="T380" s="1"/>
  <c r="Q379"/>
  <c r="Q346"/>
  <c r="Q345" s="1"/>
  <c r="Q344" s="1"/>
  <c r="Q303"/>
  <c r="Q302" s="1"/>
  <c r="R304"/>
  <c r="T304" s="1"/>
  <c r="A304"/>
  <c r="A300"/>
  <c r="A299"/>
  <c r="A302"/>
  <c r="A303"/>
  <c r="Q69" i="1" l="1"/>
  <c r="R346" i="6"/>
  <c r="T346" s="1"/>
  <c r="Q378"/>
  <c r="R378" s="1"/>
  <c r="T378" s="1"/>
  <c r="R379"/>
  <c r="T379" s="1"/>
  <c r="R345"/>
  <c r="T345" s="1"/>
  <c r="Q343"/>
  <c r="R344"/>
  <c r="T344" s="1"/>
  <c r="R302"/>
  <c r="T302" s="1"/>
  <c r="Q301"/>
  <c r="R303"/>
  <c r="T303" s="1"/>
  <c r="R343" l="1"/>
  <c r="T343" s="1"/>
  <c r="Q342"/>
  <c r="R342" s="1"/>
  <c r="T342" s="1"/>
  <c r="Q300"/>
  <c r="R301"/>
  <c r="T301" s="1"/>
  <c r="R1047" i="5"/>
  <c r="R1046" s="1"/>
  <c r="S1048"/>
  <c r="U1048" s="1"/>
  <c r="A1045"/>
  <c r="A1046"/>
  <c r="A1047"/>
  <c r="A1048"/>
  <c r="R1045" l="1"/>
  <c r="S1045" s="1"/>
  <c r="U1045" s="1"/>
  <c r="S1046"/>
  <c r="U1046" s="1"/>
  <c r="S1047"/>
  <c r="U1047" s="1"/>
  <c r="R300" i="6"/>
  <c r="T300" s="1"/>
  <c r="Q299"/>
  <c r="R299" s="1"/>
  <c r="T299" s="1"/>
  <c r="R1036" i="5"/>
  <c r="S1036" s="1"/>
  <c r="U1036" s="1"/>
  <c r="S1037"/>
  <c r="U1037" s="1"/>
  <c r="A1035"/>
  <c r="A1034"/>
  <c r="A1037"/>
  <c r="A1036"/>
  <c r="R1035" l="1"/>
  <c r="R1034" s="1"/>
  <c r="S1034" s="1"/>
  <c r="U1034" s="1"/>
  <c r="R1023"/>
  <c r="R1022" s="1"/>
  <c r="S1024"/>
  <c r="U1024" s="1"/>
  <c r="A1024"/>
  <c r="A1021"/>
  <c r="A1022"/>
  <c r="A1023"/>
  <c r="S1035" l="1"/>
  <c r="U1035" s="1"/>
  <c r="S1023"/>
  <c r="U1023" s="1"/>
  <c r="S1022"/>
  <c r="U1022" s="1"/>
  <c r="R1021"/>
  <c r="S1021" s="1"/>
  <c r="U1021" s="1"/>
  <c r="R1002"/>
  <c r="S1002" s="1"/>
  <c r="U1002" s="1"/>
  <c r="S1003"/>
  <c r="U1003" s="1"/>
  <c r="A1000"/>
  <c r="A1003"/>
  <c r="A1002"/>
  <c r="A1001"/>
  <c r="R1001" l="1"/>
  <c r="S1001" s="1"/>
  <c r="U1001" s="1"/>
  <c r="R1000" l="1"/>
  <c r="S1000" s="1"/>
  <c r="U1000" s="1"/>
  <c r="R347"/>
  <c r="R1413"/>
  <c r="R735"/>
  <c r="Q118" i="6"/>
  <c r="A118"/>
  <c r="R118" l="1"/>
  <c r="T118" s="1"/>
  <c r="Q117"/>
  <c r="S607" i="5"/>
  <c r="U607" s="1"/>
  <c r="R1580"/>
  <c r="R1584"/>
  <c r="R1577"/>
  <c r="R1399"/>
  <c r="H639" i="6"/>
  <c r="H638"/>
  <c r="A607" i="5"/>
  <c r="Q457" i="6" l="1"/>
  <c r="R960" i="5"/>
  <c r="S960" s="1"/>
  <c r="U960" s="1"/>
  <c r="S961"/>
  <c r="U961" s="1"/>
  <c r="R39"/>
  <c r="A958"/>
  <c r="A961"/>
  <c r="A960"/>
  <c r="A959"/>
  <c r="R959" l="1"/>
  <c r="R217"/>
  <c r="R365"/>
  <c r="R1663"/>
  <c r="R1693"/>
  <c r="R889"/>
  <c r="R149"/>
  <c r="R1667"/>
  <c r="R507"/>
  <c r="R450"/>
  <c r="Q445" i="6"/>
  <c r="R956" i="5"/>
  <c r="R955" s="1"/>
  <c r="S957"/>
  <c r="U957" s="1"/>
  <c r="A957"/>
  <c r="A953"/>
  <c r="A955"/>
  <c r="A956"/>
  <c r="A954"/>
  <c r="S955" l="1"/>
  <c r="U955" s="1"/>
  <c r="R954"/>
  <c r="R958"/>
  <c r="S958" s="1"/>
  <c r="U958" s="1"/>
  <c r="S959"/>
  <c r="U959" s="1"/>
  <c r="S956"/>
  <c r="U956" s="1"/>
  <c r="Q659"/>
  <c r="S659" s="1"/>
  <c r="U659" s="1"/>
  <c r="Q660"/>
  <c r="S660" s="1"/>
  <c r="U660" s="1"/>
  <c r="R1435"/>
  <c r="R1432"/>
  <c r="R385"/>
  <c r="R266"/>
  <c r="Q849" i="6"/>
  <c r="R849" s="1"/>
  <c r="T849" s="1"/>
  <c r="O843"/>
  <c r="O842" s="1"/>
  <c r="O841" s="1"/>
  <c r="O840" s="1"/>
  <c r="O839" s="1"/>
  <c r="M843"/>
  <c r="N843" s="1"/>
  <c r="A841"/>
  <c r="A842"/>
  <c r="A847"/>
  <c r="A849"/>
  <c r="A660" i="5"/>
  <c r="A659"/>
  <c r="A848" i="6"/>
  <c r="A969"/>
  <c r="A839"/>
  <c r="A845"/>
  <c r="A843"/>
  <c r="A844"/>
  <c r="S954" i="5" l="1"/>
  <c r="U954" s="1"/>
  <c r="R953"/>
  <c r="S953" s="1"/>
  <c r="U953" s="1"/>
  <c r="M842" i="6"/>
  <c r="N842" s="1"/>
  <c r="P842" s="1"/>
  <c r="Q848"/>
  <c r="P843"/>
  <c r="O838"/>
  <c r="O837" s="1"/>
  <c r="R1386" i="5"/>
  <c r="R1385" s="1"/>
  <c r="S1391"/>
  <c r="U1391" s="1"/>
  <c r="S1387"/>
  <c r="U1387" s="1"/>
  <c r="R1390"/>
  <c r="S1390" s="1"/>
  <c r="U1390" s="1"/>
  <c r="A1386"/>
  <c r="A837" i="6"/>
  <c r="A1389" i="5"/>
  <c r="A1383"/>
  <c r="A1390"/>
  <c r="A1388"/>
  <c r="A1391"/>
  <c r="A838" i="6"/>
  <c r="A1384" i="5"/>
  <c r="A1385"/>
  <c r="A1387"/>
  <c r="M841" i="6" l="1"/>
  <c r="M840" s="1"/>
  <c r="S1386" i="5"/>
  <c r="U1386" s="1"/>
  <c r="R1384"/>
  <c r="S1385"/>
  <c r="U1385" s="1"/>
  <c r="R848" i="6"/>
  <c r="T848" s="1"/>
  <c r="Q847"/>
  <c r="R1389" i="5"/>
  <c r="Q781" i="6"/>
  <c r="R781" s="1"/>
  <c r="T781" s="1"/>
  <c r="A777"/>
  <c r="A780"/>
  <c r="A781"/>
  <c r="A779"/>
  <c r="A776"/>
  <c r="N841" l="1"/>
  <c r="P841" s="1"/>
  <c r="N840"/>
  <c r="P840" s="1"/>
  <c r="M839"/>
  <c r="Q843"/>
  <c r="R1388" i="5"/>
  <c r="S1388" s="1"/>
  <c r="U1388" s="1"/>
  <c r="S1389"/>
  <c r="U1389" s="1"/>
  <c r="S1384"/>
  <c r="U1384" s="1"/>
  <c r="Q846" i="6"/>
  <c r="R847"/>
  <c r="T847" s="1"/>
  <c r="Q780"/>
  <c r="R436" i="5"/>
  <c r="R435" s="1"/>
  <c r="S437"/>
  <c r="U437" s="1"/>
  <c r="A434"/>
  <c r="A436"/>
  <c r="A437"/>
  <c r="A435"/>
  <c r="A433"/>
  <c r="R1383" l="1"/>
  <c r="S1383" s="1"/>
  <c r="U1383" s="1"/>
  <c r="N839" i="6"/>
  <c r="P839" s="1"/>
  <c r="M838"/>
  <c r="Q845"/>
  <c r="R846"/>
  <c r="T846" s="1"/>
  <c r="Q842"/>
  <c r="R843"/>
  <c r="T843" s="1"/>
  <c r="S435" i="5"/>
  <c r="U435" s="1"/>
  <c r="R434"/>
  <c r="S436"/>
  <c r="U436" s="1"/>
  <c r="R780" i="6"/>
  <c r="T780" s="1"/>
  <c r="Q779"/>
  <c r="Q1083"/>
  <c r="R1083" s="1"/>
  <c r="T1083" s="1"/>
  <c r="A1082"/>
  <c r="A1081"/>
  <c r="A1079"/>
  <c r="A1083"/>
  <c r="A936" i="5"/>
  <c r="A1078" i="6"/>
  <c r="N838" l="1"/>
  <c r="P838" s="1"/>
  <c r="M837"/>
  <c r="N837" s="1"/>
  <c r="P837" s="1"/>
  <c r="Q841"/>
  <c r="R842"/>
  <c r="T842" s="1"/>
  <c r="Q844"/>
  <c r="R844" s="1"/>
  <c r="T844" s="1"/>
  <c r="R845"/>
  <c r="T845" s="1"/>
  <c r="S434" i="5"/>
  <c r="U434" s="1"/>
  <c r="Q778" i="6"/>
  <c r="R779"/>
  <c r="T779" s="1"/>
  <c r="Q1082"/>
  <c r="R499" i="5"/>
  <c r="R498" s="1"/>
  <c r="S500"/>
  <c r="U500" s="1"/>
  <c r="A498"/>
  <c r="A497"/>
  <c r="A499"/>
  <c r="A500"/>
  <c r="Q840" i="6" l="1"/>
  <c r="R841"/>
  <c r="T841" s="1"/>
  <c r="S499" i="5"/>
  <c r="U499" s="1"/>
  <c r="Q777" i="6"/>
  <c r="R778"/>
  <c r="T778" s="1"/>
  <c r="S498" i="5"/>
  <c r="U498" s="1"/>
  <c r="R497"/>
  <c r="S497" s="1"/>
  <c r="U497" s="1"/>
  <c r="R1082" i="6"/>
  <c r="T1082" s="1"/>
  <c r="Q1081"/>
  <c r="Q839" l="1"/>
  <c r="R840"/>
  <c r="T840" s="1"/>
  <c r="Q776"/>
  <c r="R776" s="1"/>
  <c r="T776" s="1"/>
  <c r="R777"/>
  <c r="T777" s="1"/>
  <c r="R1081"/>
  <c r="T1081" s="1"/>
  <c r="Q1080"/>
  <c r="Q444"/>
  <c r="A444"/>
  <c r="A443"/>
  <c r="A445"/>
  <c r="A441"/>
  <c r="A440"/>
  <c r="Q838" l="1"/>
  <c r="R839"/>
  <c r="T839" s="1"/>
  <c r="Q1079"/>
  <c r="R1080"/>
  <c r="T1080" s="1"/>
  <c r="Q443"/>
  <c r="R444"/>
  <c r="T444" s="1"/>
  <c r="R445"/>
  <c r="T445" s="1"/>
  <c r="R930" i="5"/>
  <c r="R929" s="1"/>
  <c r="S929" s="1"/>
  <c r="U929" s="1"/>
  <c r="S931"/>
  <c r="U931" s="1"/>
  <c r="A930"/>
  <c r="A931"/>
  <c r="A929"/>
  <c r="A928"/>
  <c r="S930" l="1"/>
  <c r="U930" s="1"/>
  <c r="Q837" i="6"/>
  <c r="R837" s="1"/>
  <c r="T837" s="1"/>
  <c r="R838"/>
  <c r="T838" s="1"/>
  <c r="R1079"/>
  <c r="T1079" s="1"/>
  <c r="Q1078"/>
  <c r="R1078" s="1"/>
  <c r="T1078" s="1"/>
  <c r="R928" i="5"/>
  <c r="S928" s="1"/>
  <c r="U928" s="1"/>
  <c r="R443" i="6"/>
  <c r="T443" s="1"/>
  <c r="Q442"/>
  <c r="R935" i="5"/>
  <c r="R442" i="6" l="1"/>
  <c r="T442" s="1"/>
  <c r="Q441"/>
  <c r="R441" l="1"/>
  <c r="T441" s="1"/>
  <c r="Q440"/>
  <c r="R440" s="1"/>
  <c r="T440" s="1"/>
  <c r="Q879" l="1"/>
  <c r="R879" s="1"/>
  <c r="T879" s="1"/>
  <c r="A877"/>
  <c r="A879"/>
  <c r="A878"/>
  <c r="A875"/>
  <c r="Q878" l="1"/>
  <c r="R440" i="5"/>
  <c r="R439" s="1"/>
  <c r="S441"/>
  <c r="U441" s="1"/>
  <c r="A439"/>
  <c r="A438"/>
  <c r="A440"/>
  <c r="A441"/>
  <c r="S439" l="1"/>
  <c r="U439" s="1"/>
  <c r="R438"/>
  <c r="S440"/>
  <c r="U440" s="1"/>
  <c r="Q877" i="6"/>
  <c r="R878"/>
  <c r="T878" s="1"/>
  <c r="R1331" i="5"/>
  <c r="R1502"/>
  <c r="Q1179" i="6"/>
  <c r="R1179" s="1"/>
  <c r="T1179" s="1"/>
  <c r="A1177"/>
  <c r="A1136"/>
  <c r="A1134"/>
  <c r="A1178"/>
  <c r="A1138"/>
  <c r="A1137"/>
  <c r="A1175"/>
  <c r="A1179"/>
  <c r="A1174"/>
  <c r="S438" i="5" l="1"/>
  <c r="U438" s="1"/>
  <c r="R433"/>
  <c r="S433" s="1"/>
  <c r="U433" s="1"/>
  <c r="R877" i="6"/>
  <c r="T877" s="1"/>
  <c r="Q876"/>
  <c r="Q1178"/>
  <c r="A1218"/>
  <c r="A1219"/>
  <c r="A1217"/>
  <c r="A1215"/>
  <c r="Q875" l="1"/>
  <c r="R875" s="1"/>
  <c r="T875" s="1"/>
  <c r="R876"/>
  <c r="T876" s="1"/>
  <c r="R1178"/>
  <c r="T1178" s="1"/>
  <c r="Q1177"/>
  <c r="Q1123"/>
  <c r="Q1122" s="1"/>
  <c r="A1121"/>
  <c r="A1123"/>
  <c r="A1122"/>
  <c r="Q1176" l="1"/>
  <c r="R1177"/>
  <c r="T1177" s="1"/>
  <c r="Q1121"/>
  <c r="R1122"/>
  <c r="T1122" s="1"/>
  <c r="R1123"/>
  <c r="T1123" s="1"/>
  <c r="A1203"/>
  <c r="A1199"/>
  <c r="A1198"/>
  <c r="A1201"/>
  <c r="A1202"/>
  <c r="Q1175" l="1"/>
  <c r="R1176"/>
  <c r="T1176" s="1"/>
  <c r="R1121"/>
  <c r="T1121" s="1"/>
  <c r="Q1120"/>
  <c r="R1120" s="1"/>
  <c r="T1120" s="1"/>
  <c r="A1197"/>
  <c r="A1196"/>
  <c r="A1193"/>
  <c r="A1195"/>
  <c r="A1192"/>
  <c r="R1175" l="1"/>
  <c r="T1175" s="1"/>
  <c r="Q1174"/>
  <c r="R1174" s="1"/>
  <c r="T1174" s="1"/>
  <c r="Q1191"/>
  <c r="R1191" s="1"/>
  <c r="T1191" s="1"/>
  <c r="A1191"/>
  <c r="A1186"/>
  <c r="A1187"/>
  <c r="A1180"/>
  <c r="A1189"/>
  <c r="A1190"/>
  <c r="Q1190" l="1"/>
  <c r="A1181"/>
  <c r="A1183"/>
  <c r="A1185"/>
  <c r="A1184"/>
  <c r="R1190" l="1"/>
  <c r="T1190" s="1"/>
  <c r="Q1189"/>
  <c r="R1655" i="5"/>
  <c r="R1610"/>
  <c r="A1610"/>
  <c r="A1606"/>
  <c r="A1607"/>
  <c r="A1608"/>
  <c r="A1609"/>
  <c r="S1610" l="1"/>
  <c r="U1610" s="1"/>
  <c r="Q1219" i="6"/>
  <c r="Q1188"/>
  <c r="R1189"/>
  <c r="T1189" s="1"/>
  <c r="R1609" i="5"/>
  <c r="R1530"/>
  <c r="A1692"/>
  <c r="A1691"/>
  <c r="A1690"/>
  <c r="A1693"/>
  <c r="A1688"/>
  <c r="R1692" l="1"/>
  <c r="R1691" s="1"/>
  <c r="Q1138" i="6"/>
  <c r="Q1218"/>
  <c r="R1219"/>
  <c r="T1219" s="1"/>
  <c r="R1188"/>
  <c r="T1188" s="1"/>
  <c r="Q1187"/>
  <c r="R1608" i="5"/>
  <c r="S1609"/>
  <c r="U1609" s="1"/>
  <c r="S1693"/>
  <c r="U1693" s="1"/>
  <c r="R1546"/>
  <c r="S1546" s="1"/>
  <c r="U1546" s="1"/>
  <c r="A1545"/>
  <c r="A1544"/>
  <c r="A1546"/>
  <c r="A1543"/>
  <c r="Q1137" i="6" l="1"/>
  <c r="R1138"/>
  <c r="T1138" s="1"/>
  <c r="Q1217"/>
  <c r="R1218"/>
  <c r="T1218" s="1"/>
  <c r="R1545" i="5"/>
  <c r="S1545" s="1"/>
  <c r="U1545" s="1"/>
  <c r="Q1203" i="6"/>
  <c r="S1692" i="5"/>
  <c r="U1692" s="1"/>
  <c r="Q1186" i="6"/>
  <c r="R1186" s="1"/>
  <c r="T1186" s="1"/>
  <c r="R1187"/>
  <c r="T1187" s="1"/>
  <c r="S1608" i="5"/>
  <c r="U1608" s="1"/>
  <c r="R1607"/>
  <c r="S1691"/>
  <c r="U1691" s="1"/>
  <c r="R1690"/>
  <c r="R1689" s="1"/>
  <c r="R1688" s="1"/>
  <c r="S1688" s="1"/>
  <c r="R1542"/>
  <c r="R1541" s="1"/>
  <c r="R1540" s="1"/>
  <c r="R1539" s="1"/>
  <c r="S1539" s="1"/>
  <c r="U1539" s="1"/>
  <c r="A1540"/>
  <c r="A1541"/>
  <c r="A1542"/>
  <c r="A1539"/>
  <c r="R1544" l="1"/>
  <c r="S1544" s="1"/>
  <c r="U1544" s="1"/>
  <c r="S1541"/>
  <c r="U1541" s="1"/>
  <c r="R1137" i="6"/>
  <c r="T1137" s="1"/>
  <c r="Q1136"/>
  <c r="Q1202"/>
  <c r="R1203"/>
  <c r="T1203" s="1"/>
  <c r="R1217"/>
  <c r="T1217" s="1"/>
  <c r="Q1216"/>
  <c r="S1542" i="5"/>
  <c r="U1542" s="1"/>
  <c r="Q1197" i="6"/>
  <c r="R1606" i="5"/>
  <c r="S1607"/>
  <c r="U1607" s="1"/>
  <c r="S1690"/>
  <c r="S1540"/>
  <c r="U1540" s="1"/>
  <c r="R1537"/>
  <c r="S1537" s="1"/>
  <c r="U1537" s="1"/>
  <c r="S1538"/>
  <c r="U1538" s="1"/>
  <c r="A1538"/>
  <c r="A1535"/>
  <c r="A1537"/>
  <c r="A1536"/>
  <c r="U1690" l="1"/>
  <c r="S1689"/>
  <c r="U1689" s="1"/>
  <c r="R1543"/>
  <c r="S1543" s="1"/>
  <c r="U1543" s="1"/>
  <c r="R1216" i="6"/>
  <c r="T1216" s="1"/>
  <c r="Q1215"/>
  <c r="R1215" s="1"/>
  <c r="T1215" s="1"/>
  <c r="Q1135"/>
  <c r="R1136"/>
  <c r="T1136" s="1"/>
  <c r="Q1201"/>
  <c r="R1202"/>
  <c r="T1202" s="1"/>
  <c r="Q1196"/>
  <c r="R1197"/>
  <c r="T1197" s="1"/>
  <c r="S1606" i="5"/>
  <c r="U1606" s="1"/>
  <c r="R1605"/>
  <c r="S1605" s="1"/>
  <c r="U1605" s="1"/>
  <c r="R1536"/>
  <c r="R1687"/>
  <c r="S1687" s="1"/>
  <c r="U1687" s="1"/>
  <c r="U1688"/>
  <c r="R1534"/>
  <c r="A1533"/>
  <c r="A1534"/>
  <c r="A1532"/>
  <c r="A1531"/>
  <c r="Q1195" i="6" l="1"/>
  <c r="R1196"/>
  <c r="T1196" s="1"/>
  <c r="R1135"/>
  <c r="T1135" s="1"/>
  <c r="Q1134"/>
  <c r="R1134" s="1"/>
  <c r="T1134" s="1"/>
  <c r="Q1200"/>
  <c r="R1201"/>
  <c r="T1201" s="1"/>
  <c r="R1533" i="5"/>
  <c r="S1533" s="1"/>
  <c r="U1533" s="1"/>
  <c r="Q1185" i="6"/>
  <c r="R1535" i="5"/>
  <c r="S1535" s="1"/>
  <c r="U1535" s="1"/>
  <c r="S1536"/>
  <c r="U1536" s="1"/>
  <c r="S1534"/>
  <c r="U1534" s="1"/>
  <c r="R1670"/>
  <c r="S1670" s="1"/>
  <c r="U1670" s="1"/>
  <c r="S1671"/>
  <c r="U1671" s="1"/>
  <c r="A1671"/>
  <c r="A1669"/>
  <c r="A1670"/>
  <c r="A1668"/>
  <c r="R1532" l="1"/>
  <c r="R1531" s="1"/>
  <c r="S1531" s="1"/>
  <c r="U1531" s="1"/>
  <c r="R1195" i="6"/>
  <c r="T1195" s="1"/>
  <c r="Q1194"/>
  <c r="Q1199"/>
  <c r="R1200"/>
  <c r="T1200" s="1"/>
  <c r="R1185"/>
  <c r="T1185" s="1"/>
  <c r="Q1184"/>
  <c r="R1669" i="5"/>
  <c r="R1668" s="1"/>
  <c r="S1668" s="1"/>
  <c r="U1668" s="1"/>
  <c r="S1532"/>
  <c r="U1532" s="1"/>
  <c r="R1254"/>
  <c r="R1569"/>
  <c r="S1569" s="1"/>
  <c r="U1569" s="1"/>
  <c r="S1570"/>
  <c r="U1570" s="1"/>
  <c r="A1567"/>
  <c r="A1569"/>
  <c r="A1570"/>
  <c r="A1568"/>
  <c r="Q1193" i="6" l="1"/>
  <c r="R1194"/>
  <c r="T1194" s="1"/>
  <c r="R1199"/>
  <c r="T1199" s="1"/>
  <c r="Q1198"/>
  <c r="R1198" s="1"/>
  <c r="T1198" s="1"/>
  <c r="Q1183"/>
  <c r="R1184"/>
  <c r="T1184" s="1"/>
  <c r="S1669" i="5"/>
  <c r="U1669" s="1"/>
  <c r="R1568"/>
  <c r="R1567" s="1"/>
  <c r="R1566" s="1"/>
  <c r="R1029"/>
  <c r="R1193" i="6" l="1"/>
  <c r="T1193" s="1"/>
  <c r="Q1192"/>
  <c r="R1192" s="1"/>
  <c r="T1192" s="1"/>
  <c r="Q1182"/>
  <c r="R1183"/>
  <c r="T1183" s="1"/>
  <c r="S1567" i="5"/>
  <c r="S1568"/>
  <c r="U1568" s="1"/>
  <c r="R496"/>
  <c r="R486"/>
  <c r="U1567" l="1"/>
  <c r="S1566"/>
  <c r="U1566" s="1"/>
  <c r="R1182" i="6"/>
  <c r="T1182" s="1"/>
  <c r="Q1181"/>
  <c r="R560" i="5"/>
  <c r="Q1180" i="6" l="1"/>
  <c r="R1180" s="1"/>
  <c r="T1180" s="1"/>
  <c r="R1181"/>
  <c r="T1181" s="1"/>
  <c r="G1268" i="5"/>
  <c r="G1267" s="1"/>
  <c r="H1268"/>
  <c r="H1267" s="1"/>
  <c r="H1266" s="1"/>
  <c r="H1265" s="1"/>
  <c r="J1268"/>
  <c r="J1267" s="1"/>
  <c r="J1266" s="1"/>
  <c r="J1265" s="1"/>
  <c r="L1268"/>
  <c r="L1267" s="1"/>
  <c r="L1266" s="1"/>
  <c r="L1265" s="1"/>
  <c r="N1268"/>
  <c r="N1267" s="1"/>
  <c r="N1266" s="1"/>
  <c r="N1265" s="1"/>
  <c r="P1268"/>
  <c r="P1267" s="1"/>
  <c r="P1266" s="1"/>
  <c r="P1265" s="1"/>
  <c r="R1268"/>
  <c r="R1267" s="1"/>
  <c r="R1266" s="1"/>
  <c r="R1265" s="1"/>
  <c r="A1267"/>
  <c r="A1265"/>
  <c r="A1269"/>
  <c r="A1266"/>
  <c r="A1268"/>
  <c r="A285"/>
  <c r="I1268" l="1"/>
  <c r="K1268" s="1"/>
  <c r="M1268" s="1"/>
  <c r="O1268" s="1"/>
  <c r="Q1268" s="1"/>
  <c r="S1268" s="1"/>
  <c r="U1268" s="1"/>
  <c r="G1266"/>
  <c r="I1267"/>
  <c r="K1267" s="1"/>
  <c r="M1267" s="1"/>
  <c r="O1267" s="1"/>
  <c r="Q1267" s="1"/>
  <c r="S1267" s="1"/>
  <c r="U1267" s="1"/>
  <c r="I1269"/>
  <c r="K1269" s="1"/>
  <c r="M1269" s="1"/>
  <c r="O1269" s="1"/>
  <c r="Q1269" s="1"/>
  <c r="S1269" s="1"/>
  <c r="U1269" s="1"/>
  <c r="R1250"/>
  <c r="R1249" s="1"/>
  <c r="A1771" i="6"/>
  <c r="A1772"/>
  <c r="A1769"/>
  <c r="G1265" i="5" l="1"/>
  <c r="I1265" s="1"/>
  <c r="K1265" s="1"/>
  <c r="M1265" s="1"/>
  <c r="O1265" s="1"/>
  <c r="Q1265" s="1"/>
  <c r="S1265" s="1"/>
  <c r="U1265" s="1"/>
  <c r="I1266"/>
  <c r="K1266" s="1"/>
  <c r="M1266" s="1"/>
  <c r="O1266" s="1"/>
  <c r="Q1266" s="1"/>
  <c r="S1266" s="1"/>
  <c r="U1266" s="1"/>
  <c r="Q1772" i="6"/>
  <c r="R1490" i="5"/>
  <c r="R1487"/>
  <c r="A58"/>
  <c r="A57"/>
  <c r="A56"/>
  <c r="Q1771" i="6" l="1"/>
  <c r="Q1770" s="1"/>
  <c r="R1772"/>
  <c r="T1772" s="1"/>
  <c r="R57" i="5"/>
  <c r="R56" s="1"/>
  <c r="S58"/>
  <c r="U58" s="1"/>
  <c r="R1771" i="6" l="1"/>
  <c r="T1771" s="1"/>
  <c r="S56" i="5"/>
  <c r="U56" s="1"/>
  <c r="S57"/>
  <c r="U57" s="1"/>
  <c r="Q1769" i="6" l="1"/>
  <c r="R1769" s="1"/>
  <c r="T1769" s="1"/>
  <c r="R1770"/>
  <c r="T1770" s="1"/>
  <c r="R1259" i="5" l="1"/>
  <c r="R1258" s="1"/>
  <c r="R1253"/>
  <c r="R1252" s="1"/>
  <c r="R1257"/>
  <c r="R1256" s="1"/>
  <c r="R229"/>
  <c r="R211"/>
  <c r="R1255" l="1"/>
  <c r="R1251" s="1"/>
  <c r="Q456" i="6"/>
  <c r="Q455" s="1"/>
  <c r="Q454" s="1"/>
  <c r="Q453" s="1"/>
  <c r="Q452" s="1"/>
  <c r="R452" s="1"/>
  <c r="T452" s="1"/>
  <c r="A453"/>
  <c r="A457"/>
  <c r="A452"/>
  <c r="A456"/>
  <c r="A455"/>
  <c r="R453" l="1"/>
  <c r="T453" s="1"/>
  <c r="R457"/>
  <c r="T457" s="1"/>
  <c r="R456"/>
  <c r="T456" s="1"/>
  <c r="R455"/>
  <c r="T455" s="1"/>
  <c r="R454"/>
  <c r="T454" s="1"/>
  <c r="S939" i="5"/>
  <c r="U939" s="1"/>
  <c r="R938"/>
  <c r="S938" s="1"/>
  <c r="U938" s="1"/>
  <c r="A938"/>
  <c r="A591" i="6"/>
  <c r="A939" i="5"/>
  <c r="A590" i="6"/>
  <c r="A593"/>
  <c r="A937" i="5"/>
  <c r="A594" i="6"/>
  <c r="R937" i="5" l="1"/>
  <c r="S937" s="1"/>
  <c r="U937" s="1"/>
  <c r="R287"/>
  <c r="Q594" i="6" s="1"/>
  <c r="R594" s="1"/>
  <c r="T594" s="1"/>
  <c r="A287" i="5"/>
  <c r="A286"/>
  <c r="R936" l="1"/>
  <c r="S936" s="1"/>
  <c r="U936" s="1"/>
  <c r="Q593" i="6"/>
  <c r="Q592" s="1"/>
  <c r="S287" i="5"/>
  <c r="U287" s="1"/>
  <c r="R286"/>
  <c r="Q884" i="6"/>
  <c r="R884" s="1"/>
  <c r="T884" s="1"/>
  <c r="A885"/>
  <c r="A883"/>
  <c r="A882"/>
  <c r="A880"/>
  <c r="A874"/>
  <c r="A884"/>
  <c r="A886"/>
  <c r="R593" l="1"/>
  <c r="T593" s="1"/>
  <c r="R285" i="5"/>
  <c r="S285" s="1"/>
  <c r="U285" s="1"/>
  <c r="S286"/>
  <c r="U286" s="1"/>
  <c r="R592" i="6"/>
  <c r="T592" s="1"/>
  <c r="Q591"/>
  <c r="Q883"/>
  <c r="R1330" i="5"/>
  <c r="R1329" s="1"/>
  <c r="S1331"/>
  <c r="U1331" s="1"/>
  <c r="A1330"/>
  <c r="A1328"/>
  <c r="A1331"/>
  <c r="A1329"/>
  <c r="S1330" l="1"/>
  <c r="U1330" s="1"/>
  <c r="S1329"/>
  <c r="U1329" s="1"/>
  <c r="R1328"/>
  <c r="S1328" s="1"/>
  <c r="U1328" s="1"/>
  <c r="R591" i="6"/>
  <c r="T591" s="1"/>
  <c r="Q590"/>
  <c r="R590" s="1"/>
  <c r="T590" s="1"/>
  <c r="Q882"/>
  <c r="R883"/>
  <c r="T883" s="1"/>
  <c r="Q1251"/>
  <c r="R1251" s="1"/>
  <c r="T1251" s="1"/>
  <c r="A1249"/>
  <c r="A1250"/>
  <c r="A1247"/>
  <c r="A1251"/>
  <c r="A1246"/>
  <c r="Q881" l="1"/>
  <c r="R882"/>
  <c r="T882" s="1"/>
  <c r="R1678" i="5"/>
  <c r="Q1250" i="6" s="1"/>
  <c r="R1250" s="1"/>
  <c r="T1250" s="1"/>
  <c r="S1679" i="5"/>
  <c r="U1679" s="1"/>
  <c r="A1677"/>
  <c r="A1676"/>
  <c r="A1679"/>
  <c r="A1678"/>
  <c r="S1678" l="1"/>
  <c r="U1678" s="1"/>
  <c r="R1677"/>
  <c r="R881" i="6"/>
  <c r="T881" s="1"/>
  <c r="Q880"/>
  <c r="Q874" s="1"/>
  <c r="Q1249"/>
  <c r="Q1248" s="1"/>
  <c r="A120"/>
  <c r="A117"/>
  <c r="A116"/>
  <c r="A119"/>
  <c r="S1677" i="5" l="1"/>
  <c r="U1677" s="1"/>
  <c r="R1676"/>
  <c r="S1676" s="1"/>
  <c r="U1676" s="1"/>
  <c r="R1249" i="6"/>
  <c r="T1249" s="1"/>
  <c r="R874"/>
  <c r="T874" s="1"/>
  <c r="R880"/>
  <c r="T880" s="1"/>
  <c r="R1248"/>
  <c r="T1248" s="1"/>
  <c r="Q1247"/>
  <c r="Q119"/>
  <c r="R119" s="1"/>
  <c r="T119" s="1"/>
  <c r="R117"/>
  <c r="T117" s="1"/>
  <c r="S606" i="5"/>
  <c r="U606" s="1"/>
  <c r="A606"/>
  <c r="A605"/>
  <c r="A604"/>
  <c r="Q116" i="6" l="1"/>
  <c r="R116" s="1"/>
  <c r="T116" s="1"/>
  <c r="R604" i="5"/>
  <c r="R603" s="1"/>
  <c r="R1247" i="6"/>
  <c r="T1247" s="1"/>
  <c r="Q1246"/>
  <c r="R1246" s="1"/>
  <c r="T1246" s="1"/>
  <c r="Q973"/>
  <c r="R973" s="1"/>
  <c r="T973" s="1"/>
  <c r="A965"/>
  <c r="A610" i="5"/>
  <c r="A354"/>
  <c r="A971" i="6"/>
  <c r="A611" i="5"/>
  <c r="A966" i="6"/>
  <c r="A972"/>
  <c r="A967"/>
  <c r="A973"/>
  <c r="A968"/>
  <c r="S604" i="5" l="1"/>
  <c r="Q115" i="6"/>
  <c r="R115" s="1"/>
  <c r="T115" s="1"/>
  <c r="S605" i="5"/>
  <c r="U605" s="1"/>
  <c r="Q972" i="6"/>
  <c r="R972" s="1"/>
  <c r="T972" s="1"/>
  <c r="S356" i="5"/>
  <c r="U356" s="1"/>
  <c r="R355"/>
  <c r="A356"/>
  <c r="A355"/>
  <c r="U604" l="1"/>
  <c r="S603"/>
  <c r="U603" s="1"/>
  <c r="S355"/>
  <c r="U355" s="1"/>
  <c r="R354"/>
  <c r="Q971" i="6"/>
  <c r="Q1829"/>
  <c r="R1828"/>
  <c r="R1827"/>
  <c r="Q106"/>
  <c r="Q103"/>
  <c r="P106"/>
  <c r="P103"/>
  <c r="Q654" i="5"/>
  <c r="S654" s="1"/>
  <c r="U654" s="1"/>
  <c r="R652"/>
  <c r="R649"/>
  <c r="Q651"/>
  <c r="S651" s="1"/>
  <c r="U651" s="1"/>
  <c r="R657"/>
  <c r="R656" s="1"/>
  <c r="A106" i="6"/>
  <c r="A651" i="5"/>
  <c r="A353"/>
  <c r="A103" i="6"/>
  <c r="A654" i="5"/>
  <c r="Q968" i="6" l="1"/>
  <c r="R968" s="1"/>
  <c r="T968" s="1"/>
  <c r="Q969"/>
  <c r="R969" s="1"/>
  <c r="T969" s="1"/>
  <c r="S354" i="5"/>
  <c r="U354" s="1"/>
  <c r="R353"/>
  <c r="S353" s="1"/>
  <c r="U353" s="1"/>
  <c r="R1829" i="6"/>
  <c r="R971"/>
  <c r="R103"/>
  <c r="T103" s="1"/>
  <c r="R106"/>
  <c r="T106" s="1"/>
  <c r="R655" i="5"/>
  <c r="R359"/>
  <c r="R358" s="1"/>
  <c r="R357" s="1"/>
  <c r="Q1822" i="6"/>
  <c r="Q1821" s="1"/>
  <c r="Q1820" s="1"/>
  <c r="Q1819" s="1"/>
  <c r="Q1818" s="1"/>
  <c r="Q1817"/>
  <c r="Q1816" s="1"/>
  <c r="Q1815" s="1"/>
  <c r="Q1814" s="1"/>
  <c r="Q1813" s="1"/>
  <c r="Q1812" s="1"/>
  <c r="Q1805"/>
  <c r="Q1804" s="1"/>
  <c r="Q1803" s="1"/>
  <c r="Q1802" s="1"/>
  <c r="Q1801" s="1"/>
  <c r="Q1800"/>
  <c r="Q1799" s="1"/>
  <c r="Q1798" s="1"/>
  <c r="Q1797" s="1"/>
  <c r="Q1796" s="1"/>
  <c r="Q1795"/>
  <c r="Q1794" s="1"/>
  <c r="Q1793" s="1"/>
  <c r="Q1792" s="1"/>
  <c r="Q1791" s="1"/>
  <c r="Q1790"/>
  <c r="Q1789" s="1"/>
  <c r="Q1788" s="1"/>
  <c r="Q1787"/>
  <c r="Q1786" s="1"/>
  <c r="Q1782"/>
  <c r="Q1781" s="1"/>
  <c r="Q1780" s="1"/>
  <c r="Q1779"/>
  <c r="Q1778" s="1"/>
  <c r="Q1767"/>
  <c r="Q1766" s="1"/>
  <c r="Q1764" s="1"/>
  <c r="Q1763" s="1"/>
  <c r="Q1762" s="1"/>
  <c r="Q1761"/>
  <c r="Q1760" s="1"/>
  <c r="Q1759" s="1"/>
  <c r="Q1758" s="1"/>
  <c r="Q1757" s="1"/>
  <c r="Q1756"/>
  <c r="Q1755" s="1"/>
  <c r="Q1754" s="1"/>
  <c r="Q1753"/>
  <c r="Q1752" s="1"/>
  <c r="Q1748"/>
  <c r="Q1747" s="1"/>
  <c r="Q1746" s="1"/>
  <c r="Q1745"/>
  <c r="Q1744" s="1"/>
  <c r="Q1740"/>
  <c r="Q1739"/>
  <c r="Q1734"/>
  <c r="Q1733" s="1"/>
  <c r="Q1732" s="1"/>
  <c r="Q1731"/>
  <c r="Q1730" s="1"/>
  <c r="Q1726"/>
  <c r="Q1725" s="1"/>
  <c r="Q1724" s="1"/>
  <c r="Q1723"/>
  <c r="Q1722" s="1"/>
  <c r="Q1718"/>
  <c r="Q1717" s="1"/>
  <c r="Q1716" s="1"/>
  <c r="Q1715" s="1"/>
  <c r="Q1714"/>
  <c r="Q1713" s="1"/>
  <c r="Q1712" s="1"/>
  <c r="Q1710"/>
  <c r="Q1709" s="1"/>
  <c r="Q1708" s="1"/>
  <c r="Q1707" s="1"/>
  <c r="Q1706"/>
  <c r="Q1705" s="1"/>
  <c r="Q1704" s="1"/>
  <c r="Q1703" s="1"/>
  <c r="Q1701"/>
  <c r="Q1700" s="1"/>
  <c r="Q1699" s="1"/>
  <c r="Q1698" s="1"/>
  <c r="Q1697"/>
  <c r="Q1696" s="1"/>
  <c r="Q1695" s="1"/>
  <c r="Q1694" s="1"/>
  <c r="Q1693"/>
  <c r="Q1692" s="1"/>
  <c r="Q1691"/>
  <c r="Q1690" s="1"/>
  <c r="Q1686"/>
  <c r="Q1685" s="1"/>
  <c r="Q1684" s="1"/>
  <c r="Q1683" s="1"/>
  <c r="Q1682" s="1"/>
  <c r="Q1680"/>
  <c r="Q1679" s="1"/>
  <c r="Q1678" s="1"/>
  <c r="Q1677"/>
  <c r="Q1676" s="1"/>
  <c r="Q1667"/>
  <c r="Q1666" s="1"/>
  <c r="Q1665" s="1"/>
  <c r="Q1664" s="1"/>
  <c r="Q1663" s="1"/>
  <c r="Q1662" s="1"/>
  <c r="Q1661"/>
  <c r="Q1660" s="1"/>
  <c r="Q1659" s="1"/>
  <c r="Q1658" s="1"/>
  <c r="Q1657" s="1"/>
  <c r="Q1656" s="1"/>
  <c r="Q1655"/>
  <c r="Q1654" s="1"/>
  <c r="Q1653" s="1"/>
  <c r="Q1652" s="1"/>
  <c r="Q1651" s="1"/>
  <c r="Q1650" s="1"/>
  <c r="Q1649"/>
  <c r="Q1648" s="1"/>
  <c r="Q1647" s="1"/>
  <c r="Q1646" s="1"/>
  <c r="Q1645" s="1"/>
  <c r="Q1644" s="1"/>
  <c r="Q1643"/>
  <c r="Q1642" s="1"/>
  <c r="Q1641" s="1"/>
  <c r="Q1640" s="1"/>
  <c r="Q1639" s="1"/>
  <c r="Q1638" s="1"/>
  <c r="Q1637"/>
  <c r="Q1636" s="1"/>
  <c r="Q1635" s="1"/>
  <c r="Q1634" s="1"/>
  <c r="Q1633" s="1"/>
  <c r="Q1632" s="1"/>
  <c r="Q1630"/>
  <c r="Q1629" s="1"/>
  <c r="Q1628" s="1"/>
  <c r="Q1627" s="1"/>
  <c r="Q1626" s="1"/>
  <c r="Q1625"/>
  <c r="Q1624" s="1"/>
  <c r="Q1623" s="1"/>
  <c r="Q1622" s="1"/>
  <c r="Q1621" s="1"/>
  <c r="Q1620"/>
  <c r="Q1619" s="1"/>
  <c r="Q1618" s="1"/>
  <c r="Q1617"/>
  <c r="Q1616" s="1"/>
  <c r="Q1613"/>
  <c r="Q1612" s="1"/>
  <c r="Q1611" s="1"/>
  <c r="Q1610"/>
  <c r="Q1609" s="1"/>
  <c r="Q1606"/>
  <c r="Q1605" s="1"/>
  <c r="Q1604" s="1"/>
  <c r="Q1603"/>
  <c r="Q1602" s="1"/>
  <c r="Q1601" s="1"/>
  <c r="Q1600"/>
  <c r="Q1599" s="1"/>
  <c r="Q1596"/>
  <c r="Q1595" s="1"/>
  <c r="Q1594" s="1"/>
  <c r="Q1593"/>
  <c r="Q1592" s="1"/>
  <c r="Q1589"/>
  <c r="Q1588" s="1"/>
  <c r="Q1587" s="1"/>
  <c r="Q1586"/>
  <c r="Q1585" s="1"/>
  <c r="Q1584" s="1"/>
  <c r="Q1583"/>
  <c r="Q1582" s="1"/>
  <c r="Q1579"/>
  <c r="Q1578" s="1"/>
  <c r="Q1577" s="1"/>
  <c r="Q1576"/>
  <c r="Q1575" s="1"/>
  <c r="Q1574" s="1"/>
  <c r="Q1573"/>
  <c r="Q1572" s="1"/>
  <c r="Q1569"/>
  <c r="Q1568"/>
  <c r="Q1565"/>
  <c r="Q1564" s="1"/>
  <c r="Q1563" s="1"/>
  <c r="Q1562"/>
  <c r="Q1561" s="1"/>
  <c r="Q1558"/>
  <c r="Q1557" s="1"/>
  <c r="Q1556" s="1"/>
  <c r="Q1555"/>
  <c r="Q1554" s="1"/>
  <c r="Q1553" s="1"/>
  <c r="Q1552"/>
  <c r="Q1551" s="1"/>
  <c r="Q1549"/>
  <c r="Q1548" s="1"/>
  <c r="Q1547" s="1"/>
  <c r="Q1546"/>
  <c r="Q1545" s="1"/>
  <c r="Q1544" s="1"/>
  <c r="Q1543"/>
  <c r="Q1542" s="1"/>
  <c r="Q1540"/>
  <c r="Q1539"/>
  <c r="Q1536"/>
  <c r="Q1535" s="1"/>
  <c r="Q1534" s="1"/>
  <c r="Q1533"/>
  <c r="Q1532" s="1"/>
  <c r="Q1528"/>
  <c r="Q1527" s="1"/>
  <c r="Q1526" s="1"/>
  <c r="Q1525" s="1"/>
  <c r="Q1524" s="1"/>
  <c r="Q1513"/>
  <c r="Q1512" s="1"/>
  <c r="Q1511" s="1"/>
  <c r="Q1510" s="1"/>
  <c r="Q1509" s="1"/>
  <c r="Q1508" s="1"/>
  <c r="Q1507" s="1"/>
  <c r="Q1506"/>
  <c r="Q1505" s="1"/>
  <c r="Q1504" s="1"/>
  <c r="Q1503" s="1"/>
  <c r="Q1502" s="1"/>
  <c r="Q1501" s="1"/>
  <c r="Q1500"/>
  <c r="Q1499" s="1"/>
  <c r="Q1498" s="1"/>
  <c r="Q1497" s="1"/>
  <c r="Q1496"/>
  <c r="Q1495" s="1"/>
  <c r="Q1494" s="1"/>
  <c r="Q1493"/>
  <c r="Q1492" s="1"/>
  <c r="Q1491" s="1"/>
  <c r="Q1490"/>
  <c r="Q1489" s="1"/>
  <c r="Q1486"/>
  <c r="Q1485" s="1"/>
  <c r="Q1484" s="1"/>
  <c r="Q1483" s="1"/>
  <c r="Q1482" s="1"/>
  <c r="Q1480"/>
  <c r="Q1479" s="1"/>
  <c r="Q1478" s="1"/>
  <c r="Q1477" s="1"/>
  <c r="Q1476" s="1"/>
  <c r="Q1475" s="1"/>
  <c r="Q1472"/>
  <c r="Q1471" s="1"/>
  <c r="Q1470" s="1"/>
  <c r="Q1469" s="1"/>
  <c r="Q1468" s="1"/>
  <c r="Q1467" s="1"/>
  <c r="Q1466"/>
  <c r="Q1465"/>
  <c r="Q1462"/>
  <c r="Q1461" s="1"/>
  <c r="Q1460" s="1"/>
  <c r="Q1459"/>
  <c r="Q1458" s="1"/>
  <c r="Q1454"/>
  <c r="Q1453" s="1"/>
  <c r="Q1452" s="1"/>
  <c r="Q1451" s="1"/>
  <c r="Q1450" s="1"/>
  <c r="Q1449" s="1"/>
  <c r="Q1448"/>
  <c r="Q1447" s="1"/>
  <c r="Q1446" s="1"/>
  <c r="Q1445" s="1"/>
  <c r="Q1444" s="1"/>
  <c r="Q1443" s="1"/>
  <c r="Q1442"/>
  <c r="Q1441" s="1"/>
  <c r="Q1440" s="1"/>
  <c r="Q1439" s="1"/>
  <c r="Q1438" s="1"/>
  <c r="Q1437"/>
  <c r="Q1436" s="1"/>
  <c r="Q1435" s="1"/>
  <c r="Q1434" s="1"/>
  <c r="Q1433" s="1"/>
  <c r="Q1431"/>
  <c r="Q1430" s="1"/>
  <c r="Q1429" s="1"/>
  <c r="Q1428" s="1"/>
  <c r="Q1427" s="1"/>
  <c r="Q1426" s="1"/>
  <c r="Q1418"/>
  <c r="Q1417"/>
  <c r="Q1411"/>
  <c r="Q1410" s="1"/>
  <c r="Q1409" s="1"/>
  <c r="Q1408" s="1"/>
  <c r="Q1407" s="1"/>
  <c r="Q1406" s="1"/>
  <c r="Q1404"/>
  <c r="Q1401" s="1"/>
  <c r="Q1400" s="1"/>
  <c r="Q1399" s="1"/>
  <c r="Q1398" s="1"/>
  <c r="Q1397"/>
  <c r="Q1396" s="1"/>
  <c r="Q1395" s="1"/>
  <c r="Q1394" s="1"/>
  <c r="Q1393" s="1"/>
  <c r="Q1392" s="1"/>
  <c r="Q1390"/>
  <c r="Q1389"/>
  <c r="Q1386"/>
  <c r="Q1385" s="1"/>
  <c r="Q1384" s="1"/>
  <c r="Q1383"/>
  <c r="Q1382" s="1"/>
  <c r="Q1378"/>
  <c r="Q1377" s="1"/>
  <c r="Q1376" s="1"/>
  <c r="Q1375" s="1"/>
  <c r="Q1374" s="1"/>
  <c r="Q1373" s="1"/>
  <c r="Q1370"/>
  <c r="Q1369"/>
  <c r="Q1366"/>
  <c r="Q1365" s="1"/>
  <c r="Q1364" s="1"/>
  <c r="Q1363"/>
  <c r="Q1362" s="1"/>
  <c r="Q1361" s="1"/>
  <c r="Q1360"/>
  <c r="Q1359" s="1"/>
  <c r="Q1355"/>
  <c r="Q1354" s="1"/>
  <c r="Q1353" s="1"/>
  <c r="Q1352" s="1"/>
  <c r="Q1351" s="1"/>
  <c r="Q1350"/>
  <c r="Q1349" s="1"/>
  <c r="Q1348" s="1"/>
  <c r="Q1347" s="1"/>
  <c r="Q1346" s="1"/>
  <c r="Q1345" s="1"/>
  <c r="Q1341"/>
  <c r="Q1340" s="1"/>
  <c r="Q1339" s="1"/>
  <c r="Q1338"/>
  <c r="Q1337" s="1"/>
  <c r="Q1332"/>
  <c r="Q1331" s="1"/>
  <c r="Q1330"/>
  <c r="Q1329" s="1"/>
  <c r="Q1306"/>
  <c r="Q1305" s="1"/>
  <c r="Q1304"/>
  <c r="Q1303" s="1"/>
  <c r="Q1299"/>
  <c r="Q1298" s="1"/>
  <c r="Q1297"/>
  <c r="Q1296" s="1"/>
  <c r="Q1291"/>
  <c r="Q1290" s="1"/>
  <c r="Q1289" s="1"/>
  <c r="Q1288" s="1"/>
  <c r="Q1287" s="1"/>
  <c r="Q1286"/>
  <c r="Q1285" s="1"/>
  <c r="Q1284" s="1"/>
  <c r="Q1283" s="1"/>
  <c r="Q1282" s="1"/>
  <c r="Q1281"/>
  <c r="Q1280" s="1"/>
  <c r="Q1279"/>
  <c r="Q1278" s="1"/>
  <c r="Q1276"/>
  <c r="Q1275" s="1"/>
  <c r="Q1274" s="1"/>
  <c r="Q1271"/>
  <c r="Q1270" s="1"/>
  <c r="Q1269" s="1"/>
  <c r="Q1268" s="1"/>
  <c r="Q1267" s="1"/>
  <c r="Q1245"/>
  <c r="Q1244"/>
  <c r="Q1241"/>
  <c r="Q1240" s="1"/>
  <c r="Q1239" s="1"/>
  <c r="Q1238"/>
  <c r="Q1237" s="1"/>
  <c r="Q1233"/>
  <c r="Q1232" s="1"/>
  <c r="Q1231" s="1"/>
  <c r="Q1230" s="1"/>
  <c r="Q1229" s="1"/>
  <c r="Q1228"/>
  <c r="Q1227" s="1"/>
  <c r="Q1226" s="1"/>
  <c r="Q1225" s="1"/>
  <c r="Q1224"/>
  <c r="Q1223" s="1"/>
  <c r="Q1222" s="1"/>
  <c r="Q1221" s="1"/>
  <c r="Q1214"/>
  <c r="Q1213" s="1"/>
  <c r="Q1212" s="1"/>
  <c r="Q1211" s="1"/>
  <c r="Q1210" s="1"/>
  <c r="Q1209"/>
  <c r="Q1208" s="1"/>
  <c r="Q1207" s="1"/>
  <c r="Q1206" s="1"/>
  <c r="Q1205" s="1"/>
  <c r="Q1173"/>
  <c r="Q1172" s="1"/>
  <c r="Q1171" s="1"/>
  <c r="Q1170" s="1"/>
  <c r="Q1169" s="1"/>
  <c r="Q1168" s="1"/>
  <c r="Q1167"/>
  <c r="Q1166" s="1"/>
  <c r="Q1165" s="1"/>
  <c r="Q1164" s="1"/>
  <c r="Q1163" s="1"/>
  <c r="Q1162" s="1"/>
  <c r="Q1161"/>
  <c r="Q1160" s="1"/>
  <c r="Q1159" s="1"/>
  <c r="Q1158" s="1"/>
  <c r="Q1157" s="1"/>
  <c r="Q1156" s="1"/>
  <c r="Q1155"/>
  <c r="Q1154" s="1"/>
  <c r="Q1153" s="1"/>
  <c r="Q1152" s="1"/>
  <c r="Q1151" s="1"/>
  <c r="Q1150" s="1"/>
  <c r="Q1149"/>
  <c r="Q1148" s="1"/>
  <c r="Q1147" s="1"/>
  <c r="Q1146" s="1"/>
  <c r="Q1145" s="1"/>
  <c r="Q1144" s="1"/>
  <c r="Q1143"/>
  <c r="Q1142" s="1"/>
  <c r="Q1141" s="1"/>
  <c r="Q1140" s="1"/>
  <c r="Q1139" s="1"/>
  <c r="Q1133"/>
  <c r="Q1132" s="1"/>
  <c r="Q1131" s="1"/>
  <c r="Q1130" s="1"/>
  <c r="Q1129" s="1"/>
  <c r="Q1128"/>
  <c r="Q1127" s="1"/>
  <c r="Q1126" s="1"/>
  <c r="Q1125" s="1"/>
  <c r="Q1124" s="1"/>
  <c r="Q1119"/>
  <c r="Q1118" s="1"/>
  <c r="Q1117" s="1"/>
  <c r="Q1116" s="1"/>
  <c r="Q1115"/>
  <c r="Q1114" s="1"/>
  <c r="Q1113" s="1"/>
  <c r="Q1112" s="1"/>
  <c r="Q1107"/>
  <c r="Q1106" s="1"/>
  <c r="Q1105" s="1"/>
  <c r="Q1104" s="1"/>
  <c r="Q1103" s="1"/>
  <c r="Q1102" s="1"/>
  <c r="Q1101"/>
  <c r="Q1100" s="1"/>
  <c r="Q1099" s="1"/>
  <c r="Q1098" s="1"/>
  <c r="Q1097" s="1"/>
  <c r="Q1096" s="1"/>
  <c r="Q1095"/>
  <c r="Q1094" s="1"/>
  <c r="Q1093" s="1"/>
  <c r="Q1092" s="1"/>
  <c r="Q1091" s="1"/>
  <c r="Q1090"/>
  <c r="Q1089" s="1"/>
  <c r="Q1088" s="1"/>
  <c r="Q1087" s="1"/>
  <c r="Q1086" s="1"/>
  <c r="Q1077"/>
  <c r="Q1076" s="1"/>
  <c r="Q1075" s="1"/>
  <c r="Q1074" s="1"/>
  <c r="Q1073" s="1"/>
  <c r="Q1072" s="1"/>
  <c r="Q1071"/>
  <c r="Q1070" s="1"/>
  <c r="Q1069" s="1"/>
  <c r="Q1068" s="1"/>
  <c r="Q1067" s="1"/>
  <c r="Q1066" s="1"/>
  <c r="Q1064"/>
  <c r="Q1063" s="1"/>
  <c r="Q1062" s="1"/>
  <c r="Q1061" s="1"/>
  <c r="Q1060" s="1"/>
  <c r="Q1059" s="1"/>
  <c r="Q1058"/>
  <c r="Q1057" s="1"/>
  <c r="Q1056" s="1"/>
  <c r="Q1055" s="1"/>
  <c r="Q1054" s="1"/>
  <c r="Q1053" s="1"/>
  <c r="Q1052"/>
  <c r="Q1051" s="1"/>
  <c r="Q1050" s="1"/>
  <c r="Q1049" s="1"/>
  <c r="Q1048" s="1"/>
  <c r="Q1047"/>
  <c r="Q1046" s="1"/>
  <c r="Q1045" s="1"/>
  <c r="Q1044" s="1"/>
  <c r="Q1043" s="1"/>
  <c r="Q1041"/>
  <c r="Q1040" s="1"/>
  <c r="Q1039" s="1"/>
  <c r="Q1038"/>
  <c r="Q1037"/>
  <c r="Q1034"/>
  <c r="Q1033" s="1"/>
  <c r="Q1029"/>
  <c r="Q1028" s="1"/>
  <c r="Q1027"/>
  <c r="Q1026" s="1"/>
  <c r="Q1025" s="1"/>
  <c r="Q1019"/>
  <c r="Q1018" s="1"/>
  <c r="Q1017" s="1"/>
  <c r="Q1016" s="1"/>
  <c r="Q1015" s="1"/>
  <c r="Q1014" s="1"/>
  <c r="Q1013"/>
  <c r="Q1012" s="1"/>
  <c r="Q1011" s="1"/>
  <c r="Q1010" s="1"/>
  <c r="Q1009" s="1"/>
  <c r="Q1008" s="1"/>
  <c r="Q1006"/>
  <c r="Q1005" s="1"/>
  <c r="Q1004" s="1"/>
  <c r="Q1003" s="1"/>
  <c r="Q1002" s="1"/>
  <c r="Q1001"/>
  <c r="Q1000" s="1"/>
  <c r="Q999" s="1"/>
  <c r="Q998" s="1"/>
  <c r="Q997" s="1"/>
  <c r="Q996" s="1"/>
  <c r="Q994"/>
  <c r="Q993" s="1"/>
  <c r="Q992" s="1"/>
  <c r="Q991" s="1"/>
  <c r="Q990" s="1"/>
  <c r="Q989" s="1"/>
  <c r="Q988" s="1"/>
  <c r="Q987" s="1"/>
  <c r="Q986"/>
  <c r="Q985" s="1"/>
  <c r="Q984" s="1"/>
  <c r="Q983" s="1"/>
  <c r="Q982" s="1"/>
  <c r="Q981" s="1"/>
  <c r="Q980" s="1"/>
  <c r="Q979"/>
  <c r="Q978" s="1"/>
  <c r="Q977" s="1"/>
  <c r="Q976" s="1"/>
  <c r="Q975" s="1"/>
  <c r="Q974" s="1"/>
  <c r="Q967"/>
  <c r="Q966" s="1"/>
  <c r="Q965" s="1"/>
  <c r="Q964" s="1"/>
  <c r="Q963" s="1"/>
  <c r="Q962" s="1"/>
  <c r="Q960"/>
  <c r="Q959" s="1"/>
  <c r="Q958" s="1"/>
  <c r="Q957" s="1"/>
  <c r="Q956" s="1"/>
  <c r="Q955" s="1"/>
  <c r="Q952"/>
  <c r="Q951" s="1"/>
  <c r="Q950" s="1"/>
  <c r="Q946" s="1"/>
  <c r="Q945" s="1"/>
  <c r="Q944" s="1"/>
  <c r="Q943"/>
  <c r="Q942" s="1"/>
  <c r="Q941" s="1"/>
  <c r="Q940"/>
  <c r="Q939" s="1"/>
  <c r="Q938" s="1"/>
  <c r="Q937"/>
  <c r="Q936" s="1"/>
  <c r="Q934"/>
  <c r="Q933"/>
  <c r="Q926"/>
  <c r="Q925"/>
  <c r="Q920"/>
  <c r="Q919" s="1"/>
  <c r="Q918"/>
  <c r="Q917" s="1"/>
  <c r="Q915"/>
  <c r="Q914" s="1"/>
  <c r="Q913" s="1"/>
  <c r="Q909"/>
  <c r="Q908" s="1"/>
  <c r="Q907" s="1"/>
  <c r="Q905"/>
  <c r="Q904" s="1"/>
  <c r="Q903" s="1"/>
  <c r="Q899"/>
  <c r="Q898" s="1"/>
  <c r="Q897" s="1"/>
  <c r="Q893" s="1"/>
  <c r="Q892" s="1"/>
  <c r="Q891" s="1"/>
  <c r="Q890"/>
  <c r="Q889" s="1"/>
  <c r="Q888" s="1"/>
  <c r="Q887" s="1"/>
  <c r="Q886" s="1"/>
  <c r="Q885" s="1"/>
  <c r="Q873"/>
  <c r="Q872" s="1"/>
  <c r="Q871"/>
  <c r="Q870" s="1"/>
  <c r="Q869" s="1"/>
  <c r="Q865"/>
  <c r="Q864" s="1"/>
  <c r="Q863" s="1"/>
  <c r="Q862" s="1"/>
  <c r="Q861" s="1"/>
  <c r="Q860" s="1"/>
  <c r="Q859"/>
  <c r="Q858"/>
  <c r="Q836"/>
  <c r="Q835" s="1"/>
  <c r="Q834" s="1"/>
  <c r="Q833" s="1"/>
  <c r="Q832" s="1"/>
  <c r="Q831" s="1"/>
  <c r="Q830" s="1"/>
  <c r="Q825"/>
  <c r="Q824" s="1"/>
  <c r="Q823" s="1"/>
  <c r="Q819" s="1"/>
  <c r="Q818" s="1"/>
  <c r="Q817" s="1"/>
  <c r="Q816" s="1"/>
  <c r="Q811"/>
  <c r="Q810" s="1"/>
  <c r="Q809" s="1"/>
  <c r="Q805" s="1"/>
  <c r="Q804" s="1"/>
  <c r="Q803" s="1"/>
  <c r="Q802" s="1"/>
  <c r="Q801"/>
  <c r="Q800" s="1"/>
  <c r="Q799" s="1"/>
  <c r="Q795" s="1"/>
  <c r="Q794" s="1"/>
  <c r="Q793" s="1"/>
  <c r="Q792" s="1"/>
  <c r="Q791"/>
  <c r="Q790" s="1"/>
  <c r="Q789" s="1"/>
  <c r="Q785" s="1"/>
  <c r="Q784" s="1"/>
  <c r="Q783" s="1"/>
  <c r="Q782" s="1"/>
  <c r="Q775"/>
  <c r="Q774" s="1"/>
  <c r="Q773" s="1"/>
  <c r="Q772" s="1"/>
  <c r="Q771" s="1"/>
  <c r="Q770" s="1"/>
  <c r="Q769"/>
  <c r="Q768" s="1"/>
  <c r="Q767" s="1"/>
  <c r="Q766" s="1"/>
  <c r="Q765" s="1"/>
  <c r="Q764" s="1"/>
  <c r="Q762"/>
  <c r="Q761" s="1"/>
  <c r="Q760" s="1"/>
  <c r="Q759" s="1"/>
  <c r="Q758" s="1"/>
  <c r="Q757" s="1"/>
  <c r="Q756"/>
  <c r="Q755" s="1"/>
  <c r="Q754" s="1"/>
  <c r="Q753"/>
  <c r="Q752" s="1"/>
  <c r="Q751" s="1"/>
  <c r="Q750"/>
  <c r="Q749" s="1"/>
  <c r="Q744"/>
  <c r="Q743"/>
  <c r="Q737"/>
  <c r="Q736" s="1"/>
  <c r="Q735" s="1"/>
  <c r="Q734" s="1"/>
  <c r="Q733" s="1"/>
  <c r="Q732" s="1"/>
  <c r="Q730"/>
  <c r="Q729" s="1"/>
  <c r="Q728" s="1"/>
  <c r="Q727" s="1"/>
  <c r="Q726" s="1"/>
  <c r="Q725"/>
  <c r="Q724" s="1"/>
  <c r="Q723" s="1"/>
  <c r="Q722" s="1"/>
  <c r="Q721" s="1"/>
  <c r="Q714"/>
  <c r="Q713" s="1"/>
  <c r="Q712" s="1"/>
  <c r="Q711" s="1"/>
  <c r="Q710" s="1"/>
  <c r="Q709"/>
  <c r="Q708" s="1"/>
  <c r="Q707" s="1"/>
  <c r="Q706" s="1"/>
  <c r="Q705" s="1"/>
  <c r="Q703"/>
  <c r="Q702" s="1"/>
  <c r="Q701" s="1"/>
  <c r="Q700" s="1"/>
  <c r="Q699" s="1"/>
  <c r="Q698"/>
  <c r="Q697" s="1"/>
  <c r="Q696" s="1"/>
  <c r="Q695" s="1"/>
  <c r="Q694" s="1"/>
  <c r="Q692"/>
  <c r="Q691" s="1"/>
  <c r="Q690" s="1"/>
  <c r="Q689" s="1"/>
  <c r="Q688" s="1"/>
  <c r="Q687"/>
  <c r="Q686" s="1"/>
  <c r="Q685" s="1"/>
  <c r="Q684" s="1"/>
  <c r="Q683"/>
  <c r="Q682" s="1"/>
  <c r="Q681" s="1"/>
  <c r="Q680" s="1"/>
  <c r="Q678"/>
  <c r="Q677" s="1"/>
  <c r="Q676" s="1"/>
  <c r="Q675" s="1"/>
  <c r="Q674" s="1"/>
  <c r="Q672"/>
  <c r="Q671" s="1"/>
  <c r="Q670" s="1"/>
  <c r="Q669" s="1"/>
  <c r="Q668" s="1"/>
  <c r="Q667"/>
  <c r="Q666" s="1"/>
  <c r="Q665" s="1"/>
  <c r="Q664" s="1"/>
  <c r="Q663" s="1"/>
  <c r="Q662"/>
  <c r="Q661" s="1"/>
  <c r="Q660"/>
  <c r="Q659" s="1"/>
  <c r="Q657"/>
  <c r="Q656" s="1"/>
  <c r="Q655" s="1"/>
  <c r="Q652"/>
  <c r="Q651" s="1"/>
  <c r="Q650" s="1"/>
  <c r="Q649" s="1"/>
  <c r="Q648" s="1"/>
  <c r="Q646"/>
  <c r="Q645" s="1"/>
  <c r="Q644" s="1"/>
  <c r="Q643" s="1"/>
  <c r="Q642" s="1"/>
  <c r="Q641"/>
  <c r="Q640" s="1"/>
  <c r="Q639"/>
  <c r="Q638" s="1"/>
  <c r="Q636"/>
  <c r="Q635" s="1"/>
  <c r="Q634" s="1"/>
  <c r="Q629"/>
  <c r="Q628" s="1"/>
  <c r="Q627" s="1"/>
  <c r="Q626" s="1"/>
  <c r="Q625" s="1"/>
  <c r="Q624" s="1"/>
  <c r="Q623"/>
  <c r="Q622" s="1"/>
  <c r="Q621" s="1"/>
  <c r="Q620" s="1"/>
  <c r="Q619" s="1"/>
  <c r="Q618" s="1"/>
  <c r="Q617"/>
  <c r="Q616" s="1"/>
  <c r="Q615" s="1"/>
  <c r="Q614" s="1"/>
  <c r="Q613" s="1"/>
  <c r="Q612" s="1"/>
  <c r="Q610"/>
  <c r="Q609" s="1"/>
  <c r="Q608" s="1"/>
  <c r="Q607" s="1"/>
  <c r="Q606" s="1"/>
  <c r="Q605"/>
  <c r="Q604" s="1"/>
  <c r="Q603" s="1"/>
  <c r="Q602" s="1"/>
  <c r="Q601" s="1"/>
  <c r="Q600"/>
  <c r="Q599" s="1"/>
  <c r="Q598" s="1"/>
  <c r="Q597" s="1"/>
  <c r="Q596" s="1"/>
  <c r="Q589"/>
  <c r="Q588" s="1"/>
  <c r="Q587" s="1"/>
  <c r="Q586" s="1"/>
  <c r="Q585" s="1"/>
  <c r="Q584"/>
  <c r="Q583" s="1"/>
  <c r="Q582" s="1"/>
  <c r="Q581" s="1"/>
  <c r="Q580" s="1"/>
  <c r="Q578"/>
  <c r="Q577" s="1"/>
  <c r="Q576" s="1"/>
  <c r="Q575" s="1"/>
  <c r="Q574" s="1"/>
  <c r="Q573" s="1"/>
  <c r="Q572" s="1"/>
  <c r="Q571"/>
  <c r="Q570" s="1"/>
  <c r="Q569" s="1"/>
  <c r="Q568" s="1"/>
  <c r="Q567" s="1"/>
  <c r="Q566"/>
  <c r="Q565" s="1"/>
  <c r="Q564" s="1"/>
  <c r="Q563" s="1"/>
  <c r="Q562" s="1"/>
  <c r="Q561" s="1"/>
  <c r="Q560"/>
  <c r="Q559" s="1"/>
  <c r="Q558" s="1"/>
  <c r="Q557" s="1"/>
  <c r="Q556" s="1"/>
  <c r="Q555"/>
  <c r="Q554" s="1"/>
  <c r="Q553" s="1"/>
  <c r="Q552" s="1"/>
  <c r="Q551" s="1"/>
  <c r="Q549"/>
  <c r="Q548" s="1"/>
  <c r="Q547" s="1"/>
  <c r="Q546" s="1"/>
  <c r="Q545" s="1"/>
  <c r="Q544" s="1"/>
  <c r="Q542"/>
  <c r="Q541" s="1"/>
  <c r="Q540" s="1"/>
  <c r="Q539"/>
  <c r="Q538" s="1"/>
  <c r="Q534"/>
  <c r="Q533"/>
  <c r="Q530"/>
  <c r="Q529" s="1"/>
  <c r="Q528" s="1"/>
  <c r="Q527"/>
  <c r="Q526" s="1"/>
  <c r="Q521"/>
  <c r="Q520" s="1"/>
  <c r="Q519" s="1"/>
  <c r="Q518" s="1"/>
  <c r="Q517"/>
  <c r="Q516"/>
  <c r="Q515" s="1"/>
  <c r="Q511"/>
  <c r="Q510" s="1"/>
  <c r="Q509"/>
  <c r="Q508" s="1"/>
  <c r="Q503"/>
  <c r="Q502" s="1"/>
  <c r="Q501"/>
  <c r="Q500" s="1"/>
  <c r="Q498"/>
  <c r="Q497" s="1"/>
  <c r="Q496" s="1"/>
  <c r="Q492"/>
  <c r="Q491" s="1"/>
  <c r="Q490" s="1"/>
  <c r="Q489" s="1"/>
  <c r="Q488" s="1"/>
  <c r="Q487" s="1"/>
  <c r="Q486"/>
  <c r="Q485" s="1"/>
  <c r="Q484"/>
  <c r="Q483" s="1"/>
  <c r="Q478"/>
  <c r="Q477" s="1"/>
  <c r="Q476"/>
  <c r="Q475" s="1"/>
  <c r="Q470"/>
  <c r="Q469" s="1"/>
  <c r="Q468" s="1"/>
  <c r="Q467" s="1"/>
  <c r="Q466" s="1"/>
  <c r="Q465" s="1"/>
  <c r="Q463"/>
  <c r="Q462" s="1"/>
  <c r="Q461" s="1"/>
  <c r="Q460" s="1"/>
  <c r="Q459" s="1"/>
  <c r="Q458" s="1"/>
  <c r="Q451"/>
  <c r="Q450" s="1"/>
  <c r="Q449" s="1"/>
  <c r="Q448" s="1"/>
  <c r="Q447" s="1"/>
  <c r="Q446" s="1"/>
  <c r="Q439" s="1"/>
  <c r="Q438"/>
  <c r="Q437" s="1"/>
  <c r="Q436" s="1"/>
  <c r="Q435" s="1"/>
  <c r="Q434" s="1"/>
  <c r="Q433" s="1"/>
  <c r="Q432" s="1"/>
  <c r="Q431"/>
  <c r="Q430" s="1"/>
  <c r="Q429" s="1"/>
  <c r="Q428" s="1"/>
  <c r="Q427" s="1"/>
  <c r="Q426" s="1"/>
  <c r="Q425"/>
  <c r="Q424" s="1"/>
  <c r="Q423" s="1"/>
  <c r="Q422" s="1"/>
  <c r="Q421" s="1"/>
  <c r="Q420" s="1"/>
  <c r="Q419"/>
  <c r="Q418" s="1"/>
  <c r="Q417" s="1"/>
  <c r="Q416" s="1"/>
  <c r="Q415" s="1"/>
  <c r="Q414" s="1"/>
  <c r="Q406"/>
  <c r="Q405" s="1"/>
  <c r="Q404"/>
  <c r="Q403" s="1"/>
  <c r="Q398"/>
  <c r="Q397" s="1"/>
  <c r="Q396"/>
  <c r="Q395" s="1"/>
  <c r="Q390"/>
  <c r="Q389" s="1"/>
  <c r="Q388" s="1"/>
  <c r="Q387" s="1"/>
  <c r="Q386" s="1"/>
  <c r="Q385" s="1"/>
  <c r="Q377"/>
  <c r="Q376" s="1"/>
  <c r="Q375" s="1"/>
  <c r="Q374" s="1"/>
  <c r="Q373" s="1"/>
  <c r="Q372" s="1"/>
  <c r="Q371"/>
  <c r="Q370" s="1"/>
  <c r="Q369" s="1"/>
  <c r="Q368" s="1"/>
  <c r="Q367" s="1"/>
  <c r="Q366" s="1"/>
  <c r="Q365"/>
  <c r="Q364" s="1"/>
  <c r="Q363" s="1"/>
  <c r="Q362" s="1"/>
  <c r="Q361" s="1"/>
  <c r="Q360"/>
  <c r="Q359" s="1"/>
  <c r="Q358" s="1"/>
  <c r="Q357" s="1"/>
  <c r="Q356" s="1"/>
  <c r="Q354"/>
  <c r="Q353" s="1"/>
  <c r="Q352" s="1"/>
  <c r="Q351" s="1"/>
  <c r="Q350" s="1"/>
  <c r="Q349" s="1"/>
  <c r="Q341"/>
  <c r="Q340" s="1"/>
  <c r="Q339" s="1"/>
  <c r="Q338" s="1"/>
  <c r="Q337" s="1"/>
  <c r="Q336" s="1"/>
  <c r="Q335"/>
  <c r="Q334" s="1"/>
  <c r="Q333" s="1"/>
  <c r="Q332" s="1"/>
  <c r="Q331" s="1"/>
  <c r="Q330" s="1"/>
  <c r="Q329"/>
  <c r="Q328" s="1"/>
  <c r="Q327" s="1"/>
  <c r="Q326" s="1"/>
  <c r="Q325" s="1"/>
  <c r="Q324" s="1"/>
  <c r="Q323"/>
  <c r="Q322" s="1"/>
  <c r="Q321" s="1"/>
  <c r="Q320" s="1"/>
  <c r="Q319" s="1"/>
  <c r="Q318" s="1"/>
  <c r="Q317"/>
  <c r="Q316" s="1"/>
  <c r="Q315" s="1"/>
  <c r="Q314" s="1"/>
  <c r="Q313" s="1"/>
  <c r="Q312" s="1"/>
  <c r="Q311"/>
  <c r="Q310" s="1"/>
  <c r="Q309" s="1"/>
  <c r="Q308" s="1"/>
  <c r="Q307" s="1"/>
  <c r="Q306" s="1"/>
  <c r="Q292"/>
  <c r="Q291" s="1"/>
  <c r="Q290" s="1"/>
  <c r="Q289" s="1"/>
  <c r="Q288" s="1"/>
  <c r="Q287" s="1"/>
  <c r="Q286"/>
  <c r="Q285" s="1"/>
  <c r="Q284" s="1"/>
  <c r="Q283" s="1"/>
  <c r="Q282" s="1"/>
  <c r="Q281" s="1"/>
  <c r="Q280"/>
  <c r="Q279" s="1"/>
  <c r="Q278" s="1"/>
  <c r="Q277" s="1"/>
  <c r="Q276" s="1"/>
  <c r="Q275" s="1"/>
  <c r="Q274"/>
  <c r="Q273" s="1"/>
  <c r="Q272" s="1"/>
  <c r="Q271" s="1"/>
  <c r="Q270" s="1"/>
  <c r="Q269" s="1"/>
  <c r="Q268"/>
  <c r="Q267" s="1"/>
  <c r="Q266" s="1"/>
  <c r="Q265" s="1"/>
  <c r="Q264" s="1"/>
  <c r="Q263" s="1"/>
  <c r="Q255"/>
  <c r="Q254" s="1"/>
  <c r="Q253" s="1"/>
  <c r="Q252" s="1"/>
  <c r="Q251" s="1"/>
  <c r="Q250" s="1"/>
  <c r="Q249"/>
  <c r="Q248" s="1"/>
  <c r="Q247" s="1"/>
  <c r="Q246"/>
  <c r="Q245" s="1"/>
  <c r="Q244" s="1"/>
  <c r="Q232"/>
  <c r="Q231" s="1"/>
  <c r="Q230" s="1"/>
  <c r="Q229"/>
  <c r="Q228"/>
  <c r="Q223"/>
  <c r="Q222" s="1"/>
  <c r="Q221" s="1"/>
  <c r="Q220" s="1"/>
  <c r="Q219"/>
  <c r="Q218" s="1"/>
  <c r="Q217" s="1"/>
  <c r="Q216"/>
  <c r="Q215" s="1"/>
  <c r="Q214" s="1"/>
  <c r="Q209"/>
  <c r="Q208" s="1"/>
  <c r="Q207"/>
  <c r="Q206" s="1"/>
  <c r="Q204"/>
  <c r="Q203" s="1"/>
  <c r="Q202" s="1"/>
  <c r="Q198"/>
  <c r="Q197" s="1"/>
  <c r="Q196"/>
  <c r="Q189"/>
  <c r="Q188" s="1"/>
  <c r="Q187" s="1"/>
  <c r="Q186" s="1"/>
  <c r="Q185" s="1"/>
  <c r="Q184" s="1"/>
  <c r="Q183" s="1"/>
  <c r="Q182"/>
  <c r="Q181" s="1"/>
  <c r="Q180" s="1"/>
  <c r="Q179" s="1"/>
  <c r="Q178" s="1"/>
  <c r="Q177" s="1"/>
  <c r="Q176"/>
  <c r="Q175" s="1"/>
  <c r="Q174" s="1"/>
  <c r="Q173" s="1"/>
  <c r="Q172" s="1"/>
  <c r="Q171" s="1"/>
  <c r="Q170"/>
  <c r="Q169" s="1"/>
  <c r="Q168" s="1"/>
  <c r="Q167" s="1"/>
  <c r="Q166" s="1"/>
  <c r="Q165" s="1"/>
  <c r="Q162"/>
  <c r="Q161" s="1"/>
  <c r="Q160" s="1"/>
  <c r="Q159" s="1"/>
  <c r="Q157"/>
  <c r="Q156" s="1"/>
  <c r="Q155" s="1"/>
  <c r="Q154" s="1"/>
  <c r="Q149"/>
  <c r="Q148" s="1"/>
  <c r="Q147" s="1"/>
  <c r="Q146" s="1"/>
  <c r="Q145" s="1"/>
  <c r="Q144" s="1"/>
  <c r="Q143"/>
  <c r="Q142" s="1"/>
  <c r="Q141" s="1"/>
  <c r="Q140" s="1"/>
  <c r="Q139" s="1"/>
  <c r="Q138" s="1"/>
  <c r="Q137"/>
  <c r="Q136" s="1"/>
  <c r="Q135" s="1"/>
  <c r="Q134" s="1"/>
  <c r="Q133" s="1"/>
  <c r="Q132" s="1"/>
  <c r="Q130"/>
  <c r="Q129" s="1"/>
  <c r="Q128"/>
  <c r="Q127" s="1"/>
  <c r="Q124"/>
  <c r="Q123" s="1"/>
  <c r="Q122" s="1"/>
  <c r="Q121" s="1"/>
  <c r="Q112"/>
  <c r="Q111" s="1"/>
  <c r="Q110" s="1"/>
  <c r="Q109" s="1"/>
  <c r="Q108" s="1"/>
  <c r="Q107" s="1"/>
  <c r="Q105"/>
  <c r="Q104" s="1"/>
  <c r="Q102"/>
  <c r="Q101" s="1"/>
  <c r="Q96"/>
  <c r="Q95"/>
  <c r="Q90"/>
  <c r="Q89" s="1"/>
  <c r="Q88" s="1"/>
  <c r="Q87" s="1"/>
  <c r="Q86" s="1"/>
  <c r="Q85" s="1"/>
  <c r="Q84"/>
  <c r="Q83" s="1"/>
  <c r="Q82"/>
  <c r="Q81" s="1"/>
  <c r="Q75"/>
  <c r="Q74" s="1"/>
  <c r="Q73" s="1"/>
  <c r="Q72" s="1"/>
  <c r="Q71" s="1"/>
  <c r="Q70" s="1"/>
  <c r="Q69"/>
  <c r="Q68" s="1"/>
  <c r="Q67"/>
  <c r="Q66" s="1"/>
  <c r="Q61"/>
  <c r="Q60" s="1"/>
  <c r="Q59"/>
  <c r="Q58" s="1"/>
  <c r="Q52"/>
  <c r="Q51" s="1"/>
  <c r="Q50"/>
  <c r="Q49" s="1"/>
  <c r="Q44"/>
  <c r="Q43" s="1"/>
  <c r="Q42" s="1"/>
  <c r="Q41" s="1"/>
  <c r="Q40" s="1"/>
  <c r="Q39" s="1"/>
  <c r="Q38"/>
  <c r="Q37"/>
  <c r="Q35"/>
  <c r="Q34" s="1"/>
  <c r="Q30"/>
  <c r="Q28" s="1"/>
  <c r="Q27" s="1"/>
  <c r="Q24"/>
  <c r="Q23" s="1"/>
  <c r="Q22" s="1"/>
  <c r="Q21" s="1"/>
  <c r="Q20" s="1"/>
  <c r="Q19" s="1"/>
  <c r="R1247" i="5"/>
  <c r="R1246" s="1"/>
  <c r="R1245" s="1"/>
  <c r="R1750"/>
  <c r="R1749" s="1"/>
  <c r="R1747"/>
  <c r="R1746" s="1"/>
  <c r="R1744"/>
  <c r="R1738"/>
  <c r="R1737" s="1"/>
  <c r="R1736" s="1"/>
  <c r="R1735" s="1"/>
  <c r="R1732"/>
  <c r="R1731" s="1"/>
  <c r="R1729"/>
  <c r="R1721"/>
  <c r="R1720" s="1"/>
  <c r="R1718"/>
  <c r="R1717" s="1"/>
  <c r="R1715"/>
  <c r="R1706"/>
  <c r="R1705" s="1"/>
  <c r="R1704" s="1"/>
  <c r="R1703" s="1"/>
  <c r="R1702" s="1"/>
  <c r="R1700"/>
  <c r="R1699" s="1"/>
  <c r="R1698" s="1"/>
  <c r="R1697" s="1"/>
  <c r="R1696" s="1"/>
  <c r="R1685"/>
  <c r="R1684" s="1"/>
  <c r="R1683" s="1"/>
  <c r="R1682" s="1"/>
  <c r="R1681" s="1"/>
  <c r="R1680" s="1"/>
  <c r="R1674"/>
  <c r="R1673" s="1"/>
  <c r="R1672" s="1"/>
  <c r="R1666"/>
  <c r="R1665" s="1"/>
  <c r="R1664" s="1"/>
  <c r="R1662"/>
  <c r="R1661" s="1"/>
  <c r="R1660" s="1"/>
  <c r="R1658"/>
  <c r="R1657" s="1"/>
  <c r="R1656" s="1"/>
  <c r="R1654"/>
  <c r="R1653" s="1"/>
  <c r="R1652" s="1"/>
  <c r="R1647"/>
  <c r="R1646" s="1"/>
  <c r="R1644"/>
  <c r="R1643" s="1"/>
  <c r="R1640"/>
  <c r="R1639" s="1"/>
  <c r="R1638" s="1"/>
  <c r="R1634"/>
  <c r="R1633" s="1"/>
  <c r="R1632" s="1"/>
  <c r="R1631" s="1"/>
  <c r="R1630" s="1"/>
  <c r="R1627"/>
  <c r="R1626" s="1"/>
  <c r="R1625" s="1"/>
  <c r="R1624" s="1"/>
  <c r="R1623" s="1"/>
  <c r="R1622" s="1"/>
  <c r="R1620"/>
  <c r="R1619" s="1"/>
  <c r="R1618" s="1"/>
  <c r="R1616"/>
  <c r="R1615" s="1"/>
  <c r="R1614" s="1"/>
  <c r="R1602"/>
  <c r="R1601" s="1"/>
  <c r="R1599"/>
  <c r="R1598" s="1"/>
  <c r="R1596"/>
  <c r="R1595" s="1"/>
  <c r="R1593"/>
  <c r="R1582"/>
  <c r="R1581" s="1"/>
  <c r="R1579"/>
  <c r="R1578" s="1"/>
  <c r="R1576"/>
  <c r="R1573"/>
  <c r="R1572" s="1"/>
  <c r="R1571" s="1"/>
  <c r="R1563"/>
  <c r="R1562" s="1"/>
  <c r="R1561" s="1"/>
  <c r="R1560" s="1"/>
  <c r="R1558"/>
  <c r="R1557" s="1"/>
  <c r="R1556" s="1"/>
  <c r="R1555" s="1"/>
  <c r="R1552"/>
  <c r="R1551" s="1"/>
  <c r="R1550" s="1"/>
  <c r="R1549" s="1"/>
  <c r="R1548" s="1"/>
  <c r="R1547" s="1"/>
  <c r="R1529"/>
  <c r="R1528" s="1"/>
  <c r="R1527" s="1"/>
  <c r="R1522"/>
  <c r="R1521" s="1"/>
  <c r="R1520" s="1"/>
  <c r="R1519" s="1"/>
  <c r="R1517"/>
  <c r="R1516" s="1"/>
  <c r="R1515" s="1"/>
  <c r="R1514" s="1"/>
  <c r="R1506"/>
  <c r="R1505" s="1"/>
  <c r="R1504" s="1"/>
  <c r="R1503" s="1"/>
  <c r="R1501"/>
  <c r="R1500" s="1"/>
  <c r="R1499" s="1"/>
  <c r="R1497"/>
  <c r="R1496" s="1"/>
  <c r="R1495" s="1"/>
  <c r="R1489"/>
  <c r="R1488" s="1"/>
  <c r="R1486"/>
  <c r="R1483"/>
  <c r="R1482" s="1"/>
  <c r="R1480"/>
  <c r="R1476"/>
  <c r="R1473" s="1"/>
  <c r="R1471"/>
  <c r="R1470" s="1"/>
  <c r="R1468"/>
  <c r="R1465"/>
  <c r="R1464" s="1"/>
  <c r="R1462"/>
  <c r="R1459"/>
  <c r="R1458" s="1"/>
  <c r="R1456"/>
  <c r="R1444"/>
  <c r="R1443" s="1"/>
  <c r="R1439" s="1"/>
  <c r="R1437"/>
  <c r="R1436" s="1"/>
  <c r="R1434"/>
  <c r="R1433" s="1"/>
  <c r="R1431"/>
  <c r="R1427"/>
  <c r="R1426" s="1"/>
  <c r="R1425" s="1"/>
  <c r="R1419"/>
  <c r="R1418" s="1"/>
  <c r="R1417" s="1"/>
  <c r="R1412"/>
  <c r="R1411" s="1"/>
  <c r="R1407" s="1"/>
  <c r="R1405"/>
  <c r="R1404" s="1"/>
  <c r="R1400" s="1"/>
  <c r="R1397"/>
  <c r="R1396" s="1"/>
  <c r="R1392" s="1"/>
  <c r="R1381"/>
  <c r="R1380" s="1"/>
  <c r="R1379" s="1"/>
  <c r="R1378" s="1"/>
  <c r="R1376"/>
  <c r="R1375" s="1"/>
  <c r="R1371" s="1"/>
  <c r="R1370" s="1"/>
  <c r="R1368"/>
  <c r="R1367" s="1"/>
  <c r="R1363" s="1"/>
  <c r="R1362" s="1"/>
  <c r="R1360"/>
  <c r="R1359" s="1"/>
  <c r="R1355" s="1"/>
  <c r="R1354" s="1"/>
  <c r="R1352"/>
  <c r="R1351" s="1"/>
  <c r="R1347" s="1"/>
  <c r="R1346" s="1"/>
  <c r="R1342"/>
  <c r="R1341" s="1"/>
  <c r="R1340" s="1"/>
  <c r="R1339" s="1"/>
  <c r="R1338" s="1"/>
  <c r="R1334"/>
  <c r="R1333" s="1"/>
  <c r="R1332" s="1"/>
  <c r="R1327" s="1"/>
  <c r="R1323"/>
  <c r="R1322" s="1"/>
  <c r="R1321" s="1"/>
  <c r="R1319"/>
  <c r="R1318" s="1"/>
  <c r="R1317" s="1"/>
  <c r="R1315"/>
  <c r="R1313"/>
  <c r="R1312" s="1"/>
  <c r="R1309"/>
  <c r="R1308" s="1"/>
  <c r="R1307" s="1"/>
  <c r="R1294"/>
  <c r="R1293" s="1"/>
  <c r="R1291"/>
  <c r="R1285"/>
  <c r="R1284" s="1"/>
  <c r="R1283" s="1"/>
  <c r="R1282" s="1"/>
  <c r="R1279"/>
  <c r="R1278" s="1"/>
  <c r="R1277" s="1"/>
  <c r="R1276" s="1"/>
  <c r="R1274"/>
  <c r="R1273" s="1"/>
  <c r="R1272" s="1"/>
  <c r="R1271" s="1"/>
  <c r="R1262"/>
  <c r="R1261" s="1"/>
  <c r="R1260" s="1"/>
  <c r="R1243"/>
  <c r="R1242" s="1"/>
  <c r="R1241" s="1"/>
  <c r="R1236"/>
  <c r="R1234"/>
  <c r="R1230"/>
  <c r="R1228"/>
  <c r="R1222"/>
  <c r="R1220"/>
  <c r="R1214"/>
  <c r="R1213" s="1"/>
  <c r="R1211" s="1"/>
  <c r="R1210" s="1"/>
  <c r="R1208"/>
  <c r="R1206"/>
  <c r="R1198"/>
  <c r="R1197" s="1"/>
  <c r="R1196" s="1"/>
  <c r="R1194"/>
  <c r="R1193" s="1"/>
  <c r="R1191"/>
  <c r="R1190" s="1"/>
  <c r="R1188"/>
  <c r="R1177"/>
  <c r="R1175"/>
  <c r="R1159"/>
  <c r="R1157"/>
  <c r="R1153"/>
  <c r="R1152" s="1"/>
  <c r="R1151" s="1"/>
  <c r="R1147"/>
  <c r="R1146" s="1"/>
  <c r="R1145" s="1"/>
  <c r="R1143"/>
  <c r="R1142" s="1"/>
  <c r="R1141" s="1"/>
  <c r="R1139"/>
  <c r="R1138" s="1"/>
  <c r="R1135"/>
  <c r="R1134" s="1"/>
  <c r="R1133" s="1"/>
  <c r="R1130"/>
  <c r="R1129" s="1"/>
  <c r="R1128" s="1"/>
  <c r="R1127" s="1"/>
  <c r="R1125"/>
  <c r="R1124" s="1"/>
  <c r="R1123" s="1"/>
  <c r="R1121"/>
  <c r="R1120" s="1"/>
  <c r="R1119" s="1"/>
  <c r="R1117"/>
  <c r="R1116" s="1"/>
  <c r="R1115" s="1"/>
  <c r="R1112"/>
  <c r="R1110"/>
  <c r="R1106"/>
  <c r="R1105" s="1"/>
  <c r="R1104" s="1"/>
  <c r="R1101"/>
  <c r="R1100" s="1"/>
  <c r="R1099" s="1"/>
  <c r="R1097"/>
  <c r="R1096" s="1"/>
  <c r="R1095" s="1"/>
  <c r="R1092"/>
  <c r="R1091" s="1"/>
  <c r="R1090" s="1"/>
  <c r="R1088"/>
  <c r="R1087" s="1"/>
  <c r="R1086" s="1"/>
  <c r="R1079"/>
  <c r="R1078" s="1"/>
  <c r="R1077" s="1"/>
  <c r="R1075"/>
  <c r="R1074" s="1"/>
  <c r="R1073" s="1"/>
  <c r="R1070"/>
  <c r="R1069" s="1"/>
  <c r="R1068" s="1"/>
  <c r="R1067" s="1"/>
  <c r="R1063"/>
  <c r="R1062" s="1"/>
  <c r="R1061" s="1"/>
  <c r="R1060" s="1"/>
  <c r="R1059" s="1"/>
  <c r="R1057"/>
  <c r="R1056" s="1"/>
  <c r="R1055" s="1"/>
  <c r="R1054" s="1"/>
  <c r="R1052"/>
  <c r="R1051" s="1"/>
  <c r="R1050" s="1"/>
  <c r="R1049" s="1"/>
  <c r="R1043"/>
  <c r="R1041"/>
  <c r="R1032"/>
  <c r="R1031" s="1"/>
  <c r="R1030" s="1"/>
  <c r="R1028"/>
  <c r="R1027" s="1"/>
  <c r="R1026" s="1"/>
  <c r="R1019"/>
  <c r="R1018" s="1"/>
  <c r="R1017" s="1"/>
  <c r="R1015"/>
  <c r="R1014" s="1"/>
  <c r="R1013" s="1"/>
  <c r="R1011"/>
  <c r="R1010" s="1"/>
  <c r="R1009" s="1"/>
  <c r="R1007"/>
  <c r="R1006" s="1"/>
  <c r="R1005" s="1"/>
  <c r="R998"/>
  <c r="R997" s="1"/>
  <c r="R996" s="1"/>
  <c r="R994"/>
  <c r="R993" s="1"/>
  <c r="R992" s="1"/>
  <c r="R990"/>
  <c r="R989" s="1"/>
  <c r="R988" s="1"/>
  <c r="R981"/>
  <c r="R980" s="1"/>
  <c r="R978"/>
  <c r="R977" s="1"/>
  <c r="R970"/>
  <c r="R969" s="1"/>
  <c r="R968" s="1"/>
  <c r="R966"/>
  <c r="R965" s="1"/>
  <c r="R964" s="1"/>
  <c r="R951"/>
  <c r="R950" s="1"/>
  <c r="R949" s="1"/>
  <c r="R948" s="1"/>
  <c r="R947" s="1"/>
  <c r="R944"/>
  <c r="R943" s="1"/>
  <c r="R942" s="1"/>
  <c r="R941" s="1"/>
  <c r="R940" s="1"/>
  <c r="R934"/>
  <c r="R933" s="1"/>
  <c r="R932" s="1"/>
  <c r="R927" s="1"/>
  <c r="R922"/>
  <c r="R921" s="1"/>
  <c r="R919"/>
  <c r="R912"/>
  <c r="R911" s="1"/>
  <c r="R910" s="1"/>
  <c r="R909" s="1"/>
  <c r="R908" s="1"/>
  <c r="R907" s="1"/>
  <c r="R906" s="1"/>
  <c r="R904"/>
  <c r="R903" s="1"/>
  <c r="R902" s="1"/>
  <c r="R901" s="1"/>
  <c r="R900" s="1"/>
  <c r="R899" s="1"/>
  <c r="R898" s="1"/>
  <c r="R896"/>
  <c r="R895" s="1"/>
  <c r="R894" s="1"/>
  <c r="R893" s="1"/>
  <c r="R892" s="1"/>
  <c r="R891" s="1"/>
  <c r="R890" s="1"/>
  <c r="R888"/>
  <c r="R887" s="1"/>
  <c r="R886" s="1"/>
  <c r="R885" s="1"/>
  <c r="R884" s="1"/>
  <c r="R883" s="1"/>
  <c r="O25" i="1" s="1"/>
  <c r="R881" i="5"/>
  <c r="R880" s="1"/>
  <c r="R878"/>
  <c r="R877" s="1"/>
  <c r="R875"/>
  <c r="R874" s="1"/>
  <c r="R872"/>
  <c r="R863"/>
  <c r="R862" s="1"/>
  <c r="R858" s="1"/>
  <c r="R857" s="1"/>
  <c r="R855"/>
  <c r="R854" s="1"/>
  <c r="R853" s="1"/>
  <c r="R852" s="1"/>
  <c r="R851" s="1"/>
  <c r="R849"/>
  <c r="R848" s="1"/>
  <c r="R847" s="1"/>
  <c r="R846" s="1"/>
  <c r="R841"/>
  <c r="R840" s="1"/>
  <c r="R839" s="1"/>
  <c r="R838" s="1"/>
  <c r="R836"/>
  <c r="R835" s="1"/>
  <c r="R834" s="1"/>
  <c r="R833" s="1"/>
  <c r="R832" s="1"/>
  <c r="R830"/>
  <c r="R829" s="1"/>
  <c r="R828" s="1"/>
  <c r="R827" s="1"/>
  <c r="R822"/>
  <c r="R821" s="1"/>
  <c r="R819"/>
  <c r="R816"/>
  <c r="R815" s="1"/>
  <c r="R814" s="1"/>
  <c r="R812"/>
  <c r="R809"/>
  <c r="R808" s="1"/>
  <c r="R807" s="1"/>
  <c r="R803"/>
  <c r="R802" s="1"/>
  <c r="R801" s="1"/>
  <c r="R800" s="1"/>
  <c r="R799" s="1"/>
  <c r="R797"/>
  <c r="R796" s="1"/>
  <c r="R793"/>
  <c r="R792" s="1"/>
  <c r="R790"/>
  <c r="R789" s="1"/>
  <c r="R780"/>
  <c r="R778"/>
  <c r="R775"/>
  <c r="R774" s="1"/>
  <c r="R770"/>
  <c r="R769" s="1"/>
  <c r="R768" s="1"/>
  <c r="R766"/>
  <c r="R765" s="1"/>
  <c r="R764" s="1"/>
  <c r="R761"/>
  <c r="R759"/>
  <c r="R756"/>
  <c r="R755" s="1"/>
  <c r="R752"/>
  <c r="R750"/>
  <c r="Q195" i="6" s="1"/>
  <c r="R746" i="5"/>
  <c r="R745" s="1"/>
  <c r="R744" s="1"/>
  <c r="R743" s="1"/>
  <c r="R741"/>
  <c r="R739"/>
  <c r="R734"/>
  <c r="R732"/>
  <c r="R728"/>
  <c r="R727" s="1"/>
  <c r="R726" s="1"/>
  <c r="R723"/>
  <c r="R721"/>
  <c r="R717"/>
  <c r="R716" s="1"/>
  <c r="R715" s="1"/>
  <c r="R711"/>
  <c r="R710" s="1"/>
  <c r="R709" s="1"/>
  <c r="R708" s="1"/>
  <c r="R706"/>
  <c r="R705" s="1"/>
  <c r="R704" s="1"/>
  <c r="R703" s="1"/>
  <c r="R701"/>
  <c r="R700" s="1"/>
  <c r="R699" s="1"/>
  <c r="R689"/>
  <c r="R688" s="1"/>
  <c r="R686"/>
  <c r="R685" s="1"/>
  <c r="R680"/>
  <c r="R679" s="1"/>
  <c r="R678" s="1"/>
  <c r="R677" s="1"/>
  <c r="R674"/>
  <c r="R673" s="1"/>
  <c r="R672" s="1"/>
  <c r="R671" s="1"/>
  <c r="R668"/>
  <c r="R667" s="1"/>
  <c r="R666" s="1"/>
  <c r="R664"/>
  <c r="R663" s="1"/>
  <c r="R662" s="1"/>
  <c r="R644"/>
  <c r="R643" s="1"/>
  <c r="R641"/>
  <c r="R640" s="1"/>
  <c r="R639" s="1"/>
  <c r="R637"/>
  <c r="R635"/>
  <c r="R628"/>
  <c r="R626"/>
  <c r="R620"/>
  <c r="R619" s="1"/>
  <c r="R618" s="1"/>
  <c r="R617" s="1"/>
  <c r="R614"/>
  <c r="R613" s="1"/>
  <c r="R612" s="1"/>
  <c r="R611" s="1"/>
  <c r="R601"/>
  <c r="R599"/>
  <c r="R595"/>
  <c r="R593"/>
  <c r="R585"/>
  <c r="R584" s="1"/>
  <c r="R583" s="1"/>
  <c r="R581"/>
  <c r="R580" s="1"/>
  <c r="R579" s="1"/>
  <c r="R571"/>
  <c r="R570" s="1"/>
  <c r="R568"/>
  <c r="R567" s="1"/>
  <c r="R565"/>
  <c r="R559"/>
  <c r="R558" s="1"/>
  <c r="R557" s="1"/>
  <c r="R555"/>
  <c r="R554" s="1"/>
  <c r="R553" s="1"/>
  <c r="R547"/>
  <c r="R546" s="1"/>
  <c r="R545" s="1"/>
  <c r="R544" s="1"/>
  <c r="R543" s="1"/>
  <c r="R542" s="1"/>
  <c r="R540"/>
  <c r="R539" s="1"/>
  <c r="R538" s="1"/>
  <c r="R537" s="1"/>
  <c r="R536" s="1"/>
  <c r="R535" s="1"/>
  <c r="R534" s="1"/>
  <c r="R532"/>
  <c r="R531" s="1"/>
  <c r="R530" s="1"/>
  <c r="R529" s="1"/>
  <c r="R528" s="1"/>
  <c r="R526"/>
  <c r="R525" s="1"/>
  <c r="R523"/>
  <c r="R522" s="1"/>
  <c r="R520"/>
  <c r="R513"/>
  <c r="R512" s="1"/>
  <c r="R511" s="1"/>
  <c r="R510" s="1"/>
  <c r="R508"/>
  <c r="R506"/>
  <c r="R505" s="1"/>
  <c r="R495"/>
  <c r="R494" s="1"/>
  <c r="R493" s="1"/>
  <c r="R491"/>
  <c r="R490" s="1"/>
  <c r="R489" s="1"/>
  <c r="R485"/>
  <c r="R484" s="1"/>
  <c r="R483" s="1"/>
  <c r="R482" s="1"/>
  <c r="R481" s="1"/>
  <c r="R477"/>
  <c r="R476" s="1"/>
  <c r="R475" s="1"/>
  <c r="R474" s="1"/>
  <c r="R473" s="1"/>
  <c r="R470"/>
  <c r="R467"/>
  <c r="R466" s="1"/>
  <c r="R465" s="1"/>
  <c r="R464" s="1"/>
  <c r="R461"/>
  <c r="R460" s="1"/>
  <c r="R459" s="1"/>
  <c r="R458" s="1"/>
  <c r="R456"/>
  <c r="R455" s="1"/>
  <c r="R454" s="1"/>
  <c r="R452"/>
  <c r="R451" s="1"/>
  <c r="R448"/>
  <c r="R447" s="1"/>
  <c r="R445"/>
  <c r="R430"/>
  <c r="R429" s="1"/>
  <c r="R428" s="1"/>
  <c r="R427" s="1"/>
  <c r="R426" s="1"/>
  <c r="R423"/>
  <c r="R422" s="1"/>
  <c r="R421" s="1"/>
  <c r="R420" s="1"/>
  <c r="R419" s="1"/>
  <c r="R418" s="1"/>
  <c r="R417" s="1"/>
  <c r="R414"/>
  <c r="R413" s="1"/>
  <c r="R411"/>
  <c r="R410" s="1"/>
  <c r="R407"/>
  <c r="R406" s="1"/>
  <c r="R404"/>
  <c r="R403" s="1"/>
  <c r="R401"/>
  <c r="R392"/>
  <c r="R391" s="1"/>
  <c r="R390" s="1"/>
  <c r="R387"/>
  <c r="R386" s="1"/>
  <c r="R384"/>
  <c r="R383" s="1"/>
  <c r="R381"/>
  <c r="R377"/>
  <c r="R376" s="1"/>
  <c r="R375" s="1"/>
  <c r="R374" s="1"/>
  <c r="R373" s="1"/>
  <c r="R369"/>
  <c r="R368" s="1"/>
  <c r="R367" s="1"/>
  <c r="R366" s="1"/>
  <c r="R364"/>
  <c r="R363" s="1"/>
  <c r="R362" s="1"/>
  <c r="R361" s="1"/>
  <c r="R351"/>
  <c r="R350" s="1"/>
  <c r="R349" s="1"/>
  <c r="R346"/>
  <c r="R345" s="1"/>
  <c r="R344" s="1"/>
  <c r="R338"/>
  <c r="R337" s="1"/>
  <c r="R336" s="1"/>
  <c r="R335" s="1"/>
  <c r="R334" s="1"/>
  <c r="O54" i="1" s="1"/>
  <c r="R331" i="5"/>
  <c r="R330" s="1"/>
  <c r="R329" s="1"/>
  <c r="R328" s="1"/>
  <c r="R327" s="1"/>
  <c r="R321"/>
  <c r="R320" s="1"/>
  <c r="R319" s="1"/>
  <c r="R317"/>
  <c r="R316" s="1"/>
  <c r="R315" s="1"/>
  <c r="R312"/>
  <c r="R311" s="1"/>
  <c r="R310" s="1"/>
  <c r="R308"/>
  <c r="R307" s="1"/>
  <c r="R306" s="1"/>
  <c r="R301"/>
  <c r="R300" s="1"/>
  <c r="R299" s="1"/>
  <c r="R298" s="1"/>
  <c r="R296"/>
  <c r="R295" s="1"/>
  <c r="R293"/>
  <c r="R292" s="1"/>
  <c r="R290"/>
  <c r="R289" s="1"/>
  <c r="R283"/>
  <c r="R282" s="1"/>
  <c r="R280"/>
  <c r="R279" s="1"/>
  <c r="R275"/>
  <c r="R274" s="1"/>
  <c r="R273" s="1"/>
  <c r="R271"/>
  <c r="R270" s="1"/>
  <c r="R269" s="1"/>
  <c r="R265"/>
  <c r="R264" s="1"/>
  <c r="R263" s="1"/>
  <c r="R262" s="1"/>
  <c r="R260"/>
  <c r="R259" s="1"/>
  <c r="R258" s="1"/>
  <c r="R257" s="1"/>
  <c r="R253"/>
  <c r="R252" s="1"/>
  <c r="R251" s="1"/>
  <c r="R249"/>
  <c r="R248" s="1"/>
  <c r="R247" s="1"/>
  <c r="R243"/>
  <c r="R242" s="1"/>
  <c r="R241" s="1"/>
  <c r="R240" s="1"/>
  <c r="R238"/>
  <c r="R237" s="1"/>
  <c r="R236" s="1"/>
  <c r="R235" s="1"/>
  <c r="R234" s="1"/>
  <c r="R231"/>
  <c r="R230" s="1"/>
  <c r="R228"/>
  <c r="R227" s="1"/>
  <c r="R225"/>
  <c r="R219"/>
  <c r="R218" s="1"/>
  <c r="R216"/>
  <c r="R215" s="1"/>
  <c r="R213"/>
  <c r="R212" s="1"/>
  <c r="R210"/>
  <c r="R207"/>
  <c r="R206" s="1"/>
  <c r="R204"/>
  <c r="R203" s="1"/>
  <c r="R202" s="1"/>
  <c r="R200"/>
  <c r="R199" s="1"/>
  <c r="R197"/>
  <c r="R196" s="1"/>
  <c r="R194"/>
  <c r="R190"/>
  <c r="R189" s="1"/>
  <c r="R188" s="1"/>
  <c r="R187" s="1"/>
  <c r="R184"/>
  <c r="R183" s="1"/>
  <c r="R182" s="1"/>
  <c r="R180"/>
  <c r="R179" s="1"/>
  <c r="R178" s="1"/>
  <c r="R173"/>
  <c r="R172" s="1"/>
  <c r="R171" s="1"/>
  <c r="R169"/>
  <c r="R168" s="1"/>
  <c r="R167" s="1"/>
  <c r="R162"/>
  <c r="R161" s="1"/>
  <c r="R160" s="1"/>
  <c r="R159" s="1"/>
  <c r="R158" s="1"/>
  <c r="R156"/>
  <c r="R155" s="1"/>
  <c r="R154" s="1"/>
  <c r="R152"/>
  <c r="R151" s="1"/>
  <c r="R150" s="1"/>
  <c r="R148"/>
  <c r="R147" s="1"/>
  <c r="R146" s="1"/>
  <c r="R144"/>
  <c r="R143" s="1"/>
  <c r="R142" s="1"/>
  <c r="R134"/>
  <c r="R133" s="1"/>
  <c r="R132" s="1"/>
  <c r="R131" s="1"/>
  <c r="R129"/>
  <c r="R128" s="1"/>
  <c r="R127" s="1"/>
  <c r="R126" s="1"/>
  <c r="R123"/>
  <c r="R122" s="1"/>
  <c r="R120"/>
  <c r="R119" s="1"/>
  <c r="R117"/>
  <c r="R112"/>
  <c r="R111" s="1"/>
  <c r="R110" s="1"/>
  <c r="R109" s="1"/>
  <c r="R107"/>
  <c r="R106" s="1"/>
  <c r="R105" s="1"/>
  <c r="R103"/>
  <c r="R101"/>
  <c r="R98"/>
  <c r="R97" s="1"/>
  <c r="R93"/>
  <c r="R92" s="1"/>
  <c r="R91" s="1"/>
  <c r="R90" s="1"/>
  <c r="R88"/>
  <c r="R87" s="1"/>
  <c r="R85"/>
  <c r="R81"/>
  <c r="R80" s="1"/>
  <c r="R78"/>
  <c r="R77" s="1"/>
  <c r="R75"/>
  <c r="R70"/>
  <c r="R69" s="1"/>
  <c r="R68" s="1"/>
  <c r="R67" s="1"/>
  <c r="R66" s="1"/>
  <c r="R65" s="1"/>
  <c r="O23" i="1" s="1"/>
  <c r="R63" i="5"/>
  <c r="R62" s="1"/>
  <c r="R54"/>
  <c r="R53" s="1"/>
  <c r="R52" s="1"/>
  <c r="R49"/>
  <c r="R47"/>
  <c r="R46" s="1"/>
  <c r="R44"/>
  <c r="R41"/>
  <c r="R40" s="1"/>
  <c r="R38"/>
  <c r="R37" s="1"/>
  <c r="R35"/>
  <c r="R28"/>
  <c r="R27" s="1"/>
  <c r="R26" s="1"/>
  <c r="R25" s="1"/>
  <c r="R24" s="1"/>
  <c r="R23" s="1"/>
  <c r="O20" i="1" s="1"/>
  <c r="O943" i="6"/>
  <c r="O942" s="1"/>
  <c r="A943"/>
  <c r="A942"/>
  <c r="A941"/>
  <c r="T971" l="1"/>
  <c r="R970"/>
  <c r="T970" s="1"/>
  <c r="R1072" i="5"/>
  <c r="Q961" i="6"/>
  <c r="Q954" s="1"/>
  <c r="Q1065"/>
  <c r="R987" i="5"/>
  <c r="Q262" i="6"/>
  <c r="R1004" i="5"/>
  <c r="R1025"/>
  <c r="R348"/>
  <c r="R343" s="1"/>
  <c r="R342" s="1"/>
  <c r="Q305" i="6"/>
  <c r="R826" i="5"/>
  <c r="R1345"/>
  <c r="R1337" s="1"/>
  <c r="R488"/>
  <c r="R487" s="1"/>
  <c r="R480" s="1"/>
  <c r="O36" i="1" s="1"/>
  <c r="R1651" i="5"/>
  <c r="R1650" s="1"/>
  <c r="Q1111" i="6"/>
  <c r="Q1110" s="1"/>
  <c r="Q1109" s="1"/>
  <c r="R1526" i="5"/>
  <c r="R1525" s="1"/>
  <c r="R1524" s="1"/>
  <c r="R1240"/>
  <c r="R926"/>
  <c r="R925" s="1"/>
  <c r="R278"/>
  <c r="Q579" i="6"/>
  <c r="R1326" i="5"/>
  <c r="O55" i="1" s="1"/>
  <c r="R598" i="5"/>
  <c r="R597" s="1"/>
  <c r="R670"/>
  <c r="R777"/>
  <c r="R773" s="1"/>
  <c r="R1137"/>
  <c r="R1132" s="1"/>
  <c r="R1479"/>
  <c r="R1592"/>
  <c r="R1591" s="1"/>
  <c r="R1590" s="1"/>
  <c r="R1589" s="1"/>
  <c r="R1714"/>
  <c r="R1713" s="1"/>
  <c r="R1712" s="1"/>
  <c r="R1711" s="1"/>
  <c r="R1710" s="1"/>
  <c r="R1709" s="1"/>
  <c r="R1708" s="1"/>
  <c r="Q693" i="6"/>
  <c r="Q1295"/>
  <c r="Q1294" s="1"/>
  <c r="Q1293" s="1"/>
  <c r="Q1328"/>
  <c r="Q1327" s="1"/>
  <c r="Q1326" s="1"/>
  <c r="Q1325" s="1"/>
  <c r="Q1689"/>
  <c r="Q1688" s="1"/>
  <c r="Q1687" s="1"/>
  <c r="Q1777"/>
  <c r="Q1776" s="1"/>
  <c r="Q1768" s="1"/>
  <c r="R43" i="5"/>
  <c r="R400"/>
  <c r="R399" s="1"/>
  <c r="R398" s="1"/>
  <c r="R397" s="1"/>
  <c r="R396" s="1"/>
  <c r="R395" s="1"/>
  <c r="R394" s="1"/>
  <c r="R592"/>
  <c r="R591" s="1"/>
  <c r="Q1302" i="6"/>
  <c r="Q1301" s="1"/>
  <c r="Q1300" s="1"/>
  <c r="R100" i="5"/>
  <c r="R96" s="1"/>
  <c r="R95" s="1"/>
  <c r="R825"/>
  <c r="R1219"/>
  <c r="R1218" s="1"/>
  <c r="R1217" s="1"/>
  <c r="Q413" i="6"/>
  <c r="Q532"/>
  <c r="Q531" s="1"/>
  <c r="Q525" s="1"/>
  <c r="Q524" s="1"/>
  <c r="Q523" s="1"/>
  <c r="Q637"/>
  <c r="Q633" s="1"/>
  <c r="Q632" s="1"/>
  <c r="Q631" s="1"/>
  <c r="Q1007"/>
  <c r="Q1464"/>
  <c r="Q1463" s="1"/>
  <c r="Q1457" s="1"/>
  <c r="Q1456" s="1"/>
  <c r="Q1455" s="1"/>
  <c r="Q1488"/>
  <c r="Q1487" s="1"/>
  <c r="Q1481" s="1"/>
  <c r="Q1474" s="1"/>
  <c r="Q1473" s="1"/>
  <c r="R1187" i="5"/>
  <c r="R1186" s="1"/>
  <c r="R1185" s="1"/>
  <c r="R1184" s="1"/>
  <c r="R731"/>
  <c r="R730" s="1"/>
  <c r="R749"/>
  <c r="R748" s="1"/>
  <c r="R758"/>
  <c r="R754" s="1"/>
  <c r="R1094"/>
  <c r="R1205"/>
  <c r="R1204" s="1"/>
  <c r="R1203" s="1"/>
  <c r="R1202" s="1"/>
  <c r="R1270"/>
  <c r="O61" i="1" s="1"/>
  <c r="R1485" i="5"/>
  <c r="Q924" i="6"/>
  <c r="Q923" s="1"/>
  <c r="Q922" s="1"/>
  <c r="Q932"/>
  <c r="Q931" s="1"/>
  <c r="Q927" s="1"/>
  <c r="Q1036"/>
  <c r="Q1035" s="1"/>
  <c r="Q1032" s="1"/>
  <c r="Q1031" s="1"/>
  <c r="Q1030" s="1"/>
  <c r="Q1042"/>
  <c r="Q1388"/>
  <c r="Q1387" s="1"/>
  <c r="Q1381" s="1"/>
  <c r="Q1380" s="1"/>
  <c r="Q1379" s="1"/>
  <c r="Q1372" s="1"/>
  <c r="Q1538"/>
  <c r="Q1537" s="1"/>
  <c r="Q1531" s="1"/>
  <c r="R84" i="5"/>
  <c r="R116"/>
  <c r="R115" s="1"/>
  <c r="R114" s="1"/>
  <c r="R634"/>
  <c r="R633" s="1"/>
  <c r="Q1391" i="6"/>
  <c r="O66" i="1"/>
  <c r="O65" s="1"/>
  <c r="R738" i="5"/>
  <c r="R737" s="1"/>
  <c r="R736" s="1"/>
  <c r="R1416"/>
  <c r="O52" i="1"/>
  <c r="O51" s="1"/>
  <c r="Q507" i="6"/>
  <c r="Q506" s="1"/>
  <c r="Q505" s="1"/>
  <c r="Q36"/>
  <c r="Q33" s="1"/>
  <c r="Q32" s="1"/>
  <c r="Q26" s="1"/>
  <c r="Q25" s="1"/>
  <c r="Q355"/>
  <c r="Q348" s="1"/>
  <c r="Q474"/>
  <c r="Q473" s="1"/>
  <c r="Q472" s="1"/>
  <c r="Q471" s="1"/>
  <c r="Q482"/>
  <c r="Q481" s="1"/>
  <c r="Q480" s="1"/>
  <c r="Q479" s="1"/>
  <c r="Q514"/>
  <c r="Q513" s="1"/>
  <c r="Q512" s="1"/>
  <c r="Q595"/>
  <c r="Q704"/>
  <c r="Q742"/>
  <c r="Q741" s="1"/>
  <c r="Q740" s="1"/>
  <c r="Q739" s="1"/>
  <c r="Q738" s="1"/>
  <c r="Q731" s="1"/>
  <c r="Q995"/>
  <c r="Q1368"/>
  <c r="Q1367" s="1"/>
  <c r="Q1358" s="1"/>
  <c r="Q1357" s="1"/>
  <c r="Q1356" s="1"/>
  <c r="Q1416"/>
  <c r="Q1415" s="1"/>
  <c r="Q1414" s="1"/>
  <c r="Q1413" s="1"/>
  <c r="Q1412" s="1"/>
  <c r="Q1405" s="1"/>
  <c r="Q1608"/>
  <c r="Q1607" s="1"/>
  <c r="Q1615"/>
  <c r="Q1614" s="1"/>
  <c r="Q1738"/>
  <c r="Q611"/>
  <c r="Q57"/>
  <c r="Q56" s="1"/>
  <c r="Q55" s="1"/>
  <c r="Q54" s="1"/>
  <c r="Q205"/>
  <c r="Q201" s="1"/>
  <c r="Q200" s="1"/>
  <c r="Q199" s="1"/>
  <c r="Q402"/>
  <c r="Q401" s="1"/>
  <c r="Q400" s="1"/>
  <c r="Q399" s="1"/>
  <c r="Q658"/>
  <c r="Q654" s="1"/>
  <c r="Q653" s="1"/>
  <c r="Q647" s="1"/>
  <c r="Q868"/>
  <c r="Q867" s="1"/>
  <c r="Q866" s="1"/>
  <c r="Q1277"/>
  <c r="Q1273" s="1"/>
  <c r="Q1272" s="1"/>
  <c r="Q1266" s="1"/>
  <c r="Q1541"/>
  <c r="Q48"/>
  <c r="Q47" s="1"/>
  <c r="Q46" s="1"/>
  <c r="Q45" s="1"/>
  <c r="Q65"/>
  <c r="Q64" s="1"/>
  <c r="Q63" s="1"/>
  <c r="Q62" s="1"/>
  <c r="Q80"/>
  <c r="Q79" s="1"/>
  <c r="Q78" s="1"/>
  <c r="Q77" s="1"/>
  <c r="Q94"/>
  <c r="Q93" s="1"/>
  <c r="Q92" s="1"/>
  <c r="Q91" s="1"/>
  <c r="Q126"/>
  <c r="Q125" s="1"/>
  <c r="Q164"/>
  <c r="Q213"/>
  <c r="Q212" s="1"/>
  <c r="Q227"/>
  <c r="Q226" s="1"/>
  <c r="Q225" s="1"/>
  <c r="Q224" s="1"/>
  <c r="Q394"/>
  <c r="Q393" s="1"/>
  <c r="Q392" s="1"/>
  <c r="Q391" s="1"/>
  <c r="Q550"/>
  <c r="Q543" s="1"/>
  <c r="Q857"/>
  <c r="Q856" s="1"/>
  <c r="Q852" s="1"/>
  <c r="Q851" s="1"/>
  <c r="Q850" s="1"/>
  <c r="Q902"/>
  <c r="Q901" s="1"/>
  <c r="Q900" s="1"/>
  <c r="Q916"/>
  <c r="Q912" s="1"/>
  <c r="Q911" s="1"/>
  <c r="Q1024"/>
  <c r="Q1023" s="1"/>
  <c r="Q1022" s="1"/>
  <c r="Q1243"/>
  <c r="Q1242" s="1"/>
  <c r="Q1236" s="1"/>
  <c r="Q1235" s="1"/>
  <c r="Q1234" s="1"/>
  <c r="Q1567"/>
  <c r="Q1566" s="1"/>
  <c r="Q1560" s="1"/>
  <c r="Q1559" s="1"/>
  <c r="Q100"/>
  <c r="Q99" s="1"/>
  <c r="Q98" s="1"/>
  <c r="Q97" s="1"/>
  <c r="Q153"/>
  <c r="Q152" s="1"/>
  <c r="Q151" s="1"/>
  <c r="Q243"/>
  <c r="Q242" s="1"/>
  <c r="Q241" s="1"/>
  <c r="Q240" s="1"/>
  <c r="Q499"/>
  <c r="Q495" s="1"/>
  <c r="Q494" s="1"/>
  <c r="Q493" s="1"/>
  <c r="Q194"/>
  <c r="Q193" s="1"/>
  <c r="Q192" s="1"/>
  <c r="Q191" s="1"/>
  <c r="Q131"/>
  <c r="Q679"/>
  <c r="Q673" s="1"/>
  <c r="Q720"/>
  <c r="Q748"/>
  <c r="Q747" s="1"/>
  <c r="Q746" s="1"/>
  <c r="Q745" s="1"/>
  <c r="Q1085"/>
  <c r="Q1084" s="1"/>
  <c r="Q1432"/>
  <c r="Q1550"/>
  <c r="Q1581"/>
  <c r="Q1580" s="1"/>
  <c r="Q1591"/>
  <c r="Q1590" s="1"/>
  <c r="Q1675"/>
  <c r="Q1674" s="1"/>
  <c r="Q1673" s="1"/>
  <c r="Q1702"/>
  <c r="Q1721"/>
  <c r="Q1720" s="1"/>
  <c r="Q1719" s="1"/>
  <c r="Q1743"/>
  <c r="Q1742" s="1"/>
  <c r="Q1741" s="1"/>
  <c r="Q1785"/>
  <c r="Q1784" s="1"/>
  <c r="Q1783" s="1"/>
  <c r="Q537"/>
  <c r="Q536" s="1"/>
  <c r="Q535" s="1"/>
  <c r="Q1751"/>
  <c r="Q1750" s="1"/>
  <c r="Q1749" s="1"/>
  <c r="Q935"/>
  <c r="Q1220"/>
  <c r="Q1204" s="1"/>
  <c r="Q1598"/>
  <c r="Q1597" s="1"/>
  <c r="Q1631"/>
  <c r="Q1711"/>
  <c r="Q1571"/>
  <c r="Q1570" s="1"/>
  <c r="R963" i="5"/>
  <c r="R962" s="1"/>
  <c r="R946" s="1"/>
  <c r="R1461"/>
  <c r="R193"/>
  <c r="Q1344" i="6" s="1"/>
  <c r="Q1343" s="1"/>
  <c r="Q1342" s="1"/>
  <c r="Q1336" s="1"/>
  <c r="Q1335" s="1"/>
  <c r="Q1334" s="1"/>
  <c r="R871" i="5"/>
  <c r="R870" s="1"/>
  <c r="R869" s="1"/>
  <c r="R868" s="1"/>
  <c r="R867" s="1"/>
  <c r="R1455"/>
  <c r="R1454" s="1"/>
  <c r="R1467"/>
  <c r="R1290"/>
  <c r="R1289" s="1"/>
  <c r="R1288" s="1"/>
  <c r="R1287" s="1"/>
  <c r="R1281" s="1"/>
  <c r="R34"/>
  <c r="R33" s="1"/>
  <c r="R74"/>
  <c r="R444"/>
  <c r="R443" s="1"/>
  <c r="R442" s="1"/>
  <c r="R432" s="1"/>
  <c r="R720"/>
  <c r="R719" s="1"/>
  <c r="R1085"/>
  <c r="R1109"/>
  <c r="R1108" s="1"/>
  <c r="R1103" s="1"/>
  <c r="R1174"/>
  <c r="R1173" s="1"/>
  <c r="R1233"/>
  <c r="R1232" s="1"/>
  <c r="R305"/>
  <c r="R625"/>
  <c r="R624" s="1"/>
  <c r="R623" s="1"/>
  <c r="R622" s="1"/>
  <c r="R648"/>
  <c r="R647" s="1"/>
  <c r="R1040"/>
  <c r="R1039" s="1"/>
  <c r="R1038" s="1"/>
  <c r="R1156"/>
  <c r="R1155" s="1"/>
  <c r="R1227"/>
  <c r="R1226" s="1"/>
  <c r="R976"/>
  <c r="R975" s="1"/>
  <c r="R1311"/>
  <c r="R1306" s="1"/>
  <c r="R1305" s="1"/>
  <c r="R1304" s="1"/>
  <c r="R1613"/>
  <c r="R1612" s="1"/>
  <c r="R1611" s="1"/>
  <c r="R1604" s="1"/>
  <c r="R1642"/>
  <c r="R1637" s="1"/>
  <c r="R1636" s="1"/>
  <c r="R1430"/>
  <c r="R1429" s="1"/>
  <c r="R564"/>
  <c r="R563" s="1"/>
  <c r="R562" s="1"/>
  <c r="R561" s="1"/>
  <c r="R504"/>
  <c r="R503" s="1"/>
  <c r="R502" s="1"/>
  <c r="R501" s="1"/>
  <c r="O38" i="1" s="1"/>
  <c r="R380" i="5"/>
  <c r="R379" s="1"/>
  <c r="R372" s="1"/>
  <c r="R519"/>
  <c r="R518"/>
  <c r="R517" s="1"/>
  <c r="R516" s="1"/>
  <c r="R515" s="1"/>
  <c r="O39" i="1" s="1"/>
  <c r="R763" i="5"/>
  <c r="R141"/>
  <c r="R166"/>
  <c r="R165" s="1"/>
  <c r="R164" s="1"/>
  <c r="R246"/>
  <c r="R314"/>
  <c r="R610"/>
  <c r="R684"/>
  <c r="R683" s="1"/>
  <c r="R698"/>
  <c r="R697" s="1"/>
  <c r="R918"/>
  <c r="R917" s="1"/>
  <c r="R916" s="1"/>
  <c r="R915" s="1"/>
  <c r="R1513"/>
  <c r="O31" i="1" s="1"/>
  <c r="R1695" i="5"/>
  <c r="R1694" s="1"/>
  <c r="R177"/>
  <c r="R209"/>
  <c r="R224"/>
  <c r="R223" s="1"/>
  <c r="R222" s="1"/>
  <c r="R256"/>
  <c r="R268"/>
  <c r="R267" s="1"/>
  <c r="R463"/>
  <c r="R552"/>
  <c r="R578"/>
  <c r="R577" s="1"/>
  <c r="R576" s="1"/>
  <c r="O30" i="1" s="1"/>
  <c r="R661" i="5"/>
  <c r="R788"/>
  <c r="R787" s="1"/>
  <c r="R786" s="1"/>
  <c r="R818"/>
  <c r="R806" s="1"/>
  <c r="R805" s="1"/>
  <c r="R1114"/>
  <c r="R1494"/>
  <c r="R1493" s="1"/>
  <c r="R1492" s="1"/>
  <c r="R1575"/>
  <c r="R1565" s="1"/>
  <c r="R845"/>
  <c r="R844" s="1"/>
  <c r="O57" i="1" s="1"/>
  <c r="R1728" i="5"/>
  <c r="R1727" s="1"/>
  <c r="R1726" s="1"/>
  <c r="R1725" s="1"/>
  <c r="O41" i="1" s="1"/>
  <c r="R1743" i="5"/>
  <c r="R1742" s="1"/>
  <c r="R1741" s="1"/>
  <c r="R1740" s="1"/>
  <c r="R1734" s="1"/>
  <c r="O42" i="1" s="1"/>
  <c r="R288" i="5"/>
  <c r="P943" i="6"/>
  <c r="R943" s="1"/>
  <c r="T943" s="1"/>
  <c r="O941"/>
  <c r="P941" s="1"/>
  <c r="R941" s="1"/>
  <c r="T941" s="1"/>
  <c r="P942"/>
  <c r="R942" s="1"/>
  <c r="T942" s="1"/>
  <c r="Q1438" i="5"/>
  <c r="S1438" s="1"/>
  <c r="U1438" s="1"/>
  <c r="P1437"/>
  <c r="Q1437" s="1"/>
  <c r="S1437" s="1"/>
  <c r="U1437" s="1"/>
  <c r="A1437"/>
  <c r="A1436"/>
  <c r="A1438"/>
  <c r="Q384" i="6" l="1"/>
  <c r="Q239" s="1"/>
  <c r="R974" i="5"/>
  <c r="R973" s="1"/>
  <c r="O49" i="1" s="1"/>
  <c r="Q1425" i="6"/>
  <c r="Q1108"/>
  <c r="Q1371"/>
  <c r="Q1735"/>
  <c r="Q1729" s="1"/>
  <c r="Q1728" s="1"/>
  <c r="Q1727" s="1"/>
  <c r="R590" i="5"/>
  <c r="R245"/>
  <c r="R32"/>
  <c r="R31" s="1"/>
  <c r="R30" s="1"/>
  <c r="O22" i="1" s="1"/>
  <c r="O32"/>
  <c r="R924" i="5"/>
  <c r="R1649"/>
  <c r="R1629" s="1"/>
  <c r="Q114" i="6"/>
  <c r="R1239" i="5"/>
  <c r="O60" i="1" s="1"/>
  <c r="Q1292" i="6"/>
  <c r="Q1265" s="1"/>
  <c r="R1150" i="5"/>
  <c r="R1149" s="1"/>
  <c r="O21" i="1"/>
  <c r="R1554" i="5"/>
  <c r="R1512" s="1"/>
  <c r="Q504" i="6"/>
  <c r="Q464" s="1"/>
  <c r="Q1681"/>
  <c r="Q921"/>
  <c r="Q910" s="1"/>
  <c r="Q763" s="1"/>
  <c r="O62" i="1"/>
  <c r="R632" i="5"/>
  <c r="R631" s="1"/>
  <c r="R630" s="1"/>
  <c r="O45" i="1" s="1"/>
  <c r="R73" i="5"/>
  <c r="R72" s="1"/>
  <c r="R1453"/>
  <c r="R1452" s="1"/>
  <c r="R1415" s="1"/>
  <c r="O58" i="1" s="1"/>
  <c r="Q522" i="6"/>
  <c r="R714" i="5"/>
  <c r="R713" s="1"/>
  <c r="R824"/>
  <c r="R192"/>
  <c r="R186" s="1"/>
  <c r="R176" s="1"/>
  <c r="Q1021" i="6"/>
  <c r="Q1020" s="1"/>
  <c r="R575" i="5"/>
  <c r="O37" i="1"/>
  <c r="O35" s="1"/>
  <c r="O40"/>
  <c r="R371" i="5"/>
  <c r="O64" i="1"/>
  <c r="O63" s="1"/>
  <c r="R866" i="5"/>
  <c r="R865" s="1"/>
  <c r="O24" i="1"/>
  <c r="R277" i="5"/>
  <c r="Q1333" i="6"/>
  <c r="Q211"/>
  <c r="Q210" s="1"/>
  <c r="Q53"/>
  <c r="Q1530"/>
  <c r="Q630"/>
  <c r="Q150"/>
  <c r="R333" i="5"/>
  <c r="O56" i="1"/>
  <c r="R1224" i="5"/>
  <c r="R1216" s="1"/>
  <c r="R1201" s="1"/>
  <c r="R1066"/>
  <c r="R425"/>
  <c r="R304"/>
  <c r="R551"/>
  <c r="R550" s="1"/>
  <c r="R549" s="1"/>
  <c r="R1724"/>
  <c r="R1723" s="1"/>
  <c r="R479"/>
  <c r="P1436"/>
  <c r="Q1436" s="1"/>
  <c r="S1436" s="1"/>
  <c r="U1436" s="1"/>
  <c r="O1568" i="6"/>
  <c r="P1568" s="1"/>
  <c r="R1568" s="1"/>
  <c r="T1568" s="1"/>
  <c r="A1568"/>
  <c r="Q113" l="1"/>
  <c r="Q76" s="1"/>
  <c r="Q18" s="1"/>
  <c r="Q1529"/>
  <c r="Q1523" s="1"/>
  <c r="Q1522" s="1"/>
  <c r="Q1521" s="1"/>
  <c r="R233" i="5"/>
  <c r="R589"/>
  <c r="R588" s="1"/>
  <c r="O44" i="1" s="1"/>
  <c r="R1065" i="5"/>
  <c r="O50" i="1" s="1"/>
  <c r="R1238" i="5"/>
  <c r="R1200" s="1"/>
  <c r="O59" i="1"/>
  <c r="R1491" i="5"/>
  <c r="O53" i="1"/>
  <c r="Q1264" i="6"/>
  <c r="O33" i="1"/>
  <c r="O47"/>
  <c r="R175" i="5"/>
  <c r="O28" i="1"/>
  <c r="O27" s="1"/>
  <c r="R22" i="5"/>
  <c r="O26" i="1"/>
  <c r="O19" s="1"/>
  <c r="R303" i="5"/>
  <c r="O46" i="1"/>
  <c r="R1325" i="5"/>
  <c r="R1296" s="1"/>
  <c r="O34" i="1"/>
  <c r="R416" i="5"/>
  <c r="O1006" i="6"/>
  <c r="P1006" s="1"/>
  <c r="R1006" s="1"/>
  <c r="T1006" s="1"/>
  <c r="A1006"/>
  <c r="A1005"/>
  <c r="A1003"/>
  <c r="A1002"/>
  <c r="Q1823" l="1"/>
  <c r="R21" i="5"/>
  <c r="R587"/>
  <c r="R574" s="1"/>
  <c r="O48" i="1"/>
  <c r="R972" i="5"/>
  <c r="R914" s="1"/>
  <c r="O43" i="1"/>
  <c r="O29"/>
  <c r="O1005" i="6"/>
  <c r="Q244" i="5"/>
  <c r="S244" s="1"/>
  <c r="U244" s="1"/>
  <c r="P243"/>
  <c r="Q243" s="1"/>
  <c r="S243" s="1"/>
  <c r="U243" s="1"/>
  <c r="A242"/>
  <c r="A244"/>
  <c r="A243"/>
  <c r="A572"/>
  <c r="A241"/>
  <c r="R1752" l="1"/>
  <c r="O67" i="1"/>
  <c r="P242" i="5"/>
  <c r="Q242" s="1"/>
  <c r="S242" s="1"/>
  <c r="U242" s="1"/>
  <c r="O1004" i="6"/>
  <c r="P1005"/>
  <c r="R1005" s="1"/>
  <c r="T1005" s="1"/>
  <c r="Q572" i="5"/>
  <c r="S572" s="1"/>
  <c r="U572" s="1"/>
  <c r="P571"/>
  <c r="P570" s="1"/>
  <c r="P389"/>
  <c r="O1466" i="6" s="1"/>
  <c r="P385" i="5"/>
  <c r="P384" s="1"/>
  <c r="P383" s="1"/>
  <c r="P1750"/>
  <c r="P1749" s="1"/>
  <c r="P1747"/>
  <c r="P1746" s="1"/>
  <c r="P1744"/>
  <c r="P1738"/>
  <c r="P1737" s="1"/>
  <c r="P1736" s="1"/>
  <c r="P1735" s="1"/>
  <c r="P1732"/>
  <c r="P1731" s="1"/>
  <c r="P1729"/>
  <c r="P1721"/>
  <c r="P1720" s="1"/>
  <c r="P1718"/>
  <c r="P1717" s="1"/>
  <c r="P1715"/>
  <c r="P1706"/>
  <c r="P1705" s="1"/>
  <c r="P1704" s="1"/>
  <c r="P1703" s="1"/>
  <c r="P1702" s="1"/>
  <c r="P1700"/>
  <c r="P1699" s="1"/>
  <c r="P1698" s="1"/>
  <c r="P1697" s="1"/>
  <c r="P1696" s="1"/>
  <c r="P1685"/>
  <c r="P1684" s="1"/>
  <c r="P1683" s="1"/>
  <c r="P1682" s="1"/>
  <c r="P1681" s="1"/>
  <c r="P1680" s="1"/>
  <c r="P1674"/>
  <c r="P1673" s="1"/>
  <c r="P1672" s="1"/>
  <c r="P1666"/>
  <c r="P1665" s="1"/>
  <c r="P1664" s="1"/>
  <c r="P1662"/>
  <c r="P1661" s="1"/>
  <c r="P1660" s="1"/>
  <c r="P1658"/>
  <c r="P1657" s="1"/>
  <c r="P1656" s="1"/>
  <c r="P1654"/>
  <c r="P1653" s="1"/>
  <c r="P1652" s="1"/>
  <c r="P1647"/>
  <c r="P1646" s="1"/>
  <c r="P1644"/>
  <c r="P1643" s="1"/>
  <c r="P1640"/>
  <c r="P1639" s="1"/>
  <c r="P1638" s="1"/>
  <c r="P1634"/>
  <c r="P1633" s="1"/>
  <c r="P1632" s="1"/>
  <c r="P1631" s="1"/>
  <c r="P1630" s="1"/>
  <c r="P1627"/>
  <c r="P1626" s="1"/>
  <c r="P1625" s="1"/>
  <c r="P1624" s="1"/>
  <c r="P1623" s="1"/>
  <c r="P1622" s="1"/>
  <c r="P1620"/>
  <c r="P1619" s="1"/>
  <c r="P1618" s="1"/>
  <c r="P1616"/>
  <c r="P1615" s="1"/>
  <c r="P1614" s="1"/>
  <c r="P1602"/>
  <c r="P1601" s="1"/>
  <c r="P1599"/>
  <c r="P1598" s="1"/>
  <c r="P1596"/>
  <c r="P1595" s="1"/>
  <c r="P1593"/>
  <c r="P1582"/>
  <c r="P1581" s="1"/>
  <c r="P1579"/>
  <c r="P1578" s="1"/>
  <c r="P1576"/>
  <c r="P1573"/>
  <c r="P1572" s="1"/>
  <c r="P1571" s="1"/>
  <c r="P1563"/>
  <c r="P1562" s="1"/>
  <c r="P1561" s="1"/>
  <c r="P1560" s="1"/>
  <c r="P1558"/>
  <c r="P1557" s="1"/>
  <c r="P1556" s="1"/>
  <c r="P1555" s="1"/>
  <c r="P1552"/>
  <c r="P1551" s="1"/>
  <c r="P1550" s="1"/>
  <c r="P1549" s="1"/>
  <c r="P1548" s="1"/>
  <c r="P1547" s="1"/>
  <c r="P1529"/>
  <c r="P1528" s="1"/>
  <c r="P1527" s="1"/>
  <c r="P1526" s="1"/>
  <c r="P1525" s="1"/>
  <c r="P1524" s="1"/>
  <c r="P1522"/>
  <c r="P1521" s="1"/>
  <c r="P1520" s="1"/>
  <c r="P1519" s="1"/>
  <c r="P1517"/>
  <c r="P1516" s="1"/>
  <c r="P1515" s="1"/>
  <c r="P1514" s="1"/>
  <c r="P1506"/>
  <c r="P1505" s="1"/>
  <c r="P1504" s="1"/>
  <c r="P1503" s="1"/>
  <c r="P1501"/>
  <c r="P1500" s="1"/>
  <c r="P1499" s="1"/>
  <c r="P1497"/>
  <c r="P1496" s="1"/>
  <c r="P1495" s="1"/>
  <c r="P1489"/>
  <c r="P1488" s="1"/>
  <c r="P1486"/>
  <c r="P1483"/>
  <c r="P1482" s="1"/>
  <c r="P1480"/>
  <c r="P1476"/>
  <c r="P1473" s="1"/>
  <c r="P1471"/>
  <c r="P1470" s="1"/>
  <c r="P1468"/>
  <c r="P1465"/>
  <c r="P1464" s="1"/>
  <c r="P1462"/>
  <c r="P1459"/>
  <c r="P1458" s="1"/>
  <c r="P1456"/>
  <c r="P1444"/>
  <c r="P1443" s="1"/>
  <c r="P1439" s="1"/>
  <c r="P1434"/>
  <c r="P1433" s="1"/>
  <c r="P1431"/>
  <c r="P1427"/>
  <c r="P1426" s="1"/>
  <c r="P1425" s="1"/>
  <c r="P1419"/>
  <c r="P1418" s="1"/>
  <c r="P1417" s="1"/>
  <c r="P1412"/>
  <c r="P1411" s="1"/>
  <c r="P1407" s="1"/>
  <c r="P1405"/>
  <c r="P1404" s="1"/>
  <c r="P1400" s="1"/>
  <c r="P1397"/>
  <c r="P1396" s="1"/>
  <c r="P1392" s="1"/>
  <c r="P1381"/>
  <c r="P1380" s="1"/>
  <c r="P1379" s="1"/>
  <c r="P1378" s="1"/>
  <c r="P1376"/>
  <c r="P1375" s="1"/>
  <c r="P1371" s="1"/>
  <c r="P1370" s="1"/>
  <c r="P1368"/>
  <c r="P1367" s="1"/>
  <c r="P1363" s="1"/>
  <c r="P1362" s="1"/>
  <c r="P1360"/>
  <c r="P1359" s="1"/>
  <c r="P1355" s="1"/>
  <c r="P1354" s="1"/>
  <c r="P1352"/>
  <c r="P1351" s="1"/>
  <c r="P1347" s="1"/>
  <c r="P1346" s="1"/>
  <c r="P1342"/>
  <c r="P1341" s="1"/>
  <c r="P1340" s="1"/>
  <c r="P1339" s="1"/>
  <c r="P1338" s="1"/>
  <c r="P1334"/>
  <c r="P1333" s="1"/>
  <c r="P1332" s="1"/>
  <c r="P1327" s="1"/>
  <c r="P1326" s="1"/>
  <c r="M55" i="1" s="1"/>
  <c r="P1323" i="5"/>
  <c r="P1322" s="1"/>
  <c r="P1321" s="1"/>
  <c r="P1319"/>
  <c r="P1318" s="1"/>
  <c r="P1317" s="1"/>
  <c r="P1315"/>
  <c r="P1313"/>
  <c r="P1312" s="1"/>
  <c r="P1309"/>
  <c r="P1308" s="1"/>
  <c r="P1307" s="1"/>
  <c r="P1294"/>
  <c r="P1293" s="1"/>
  <c r="P1291"/>
  <c r="P1285"/>
  <c r="P1284" s="1"/>
  <c r="P1283" s="1"/>
  <c r="P1282" s="1"/>
  <c r="P1279"/>
  <c r="P1278" s="1"/>
  <c r="P1277" s="1"/>
  <c r="P1276" s="1"/>
  <c r="P1274"/>
  <c r="P1273" s="1"/>
  <c r="P1272" s="1"/>
  <c r="P1271" s="1"/>
  <c r="P1262"/>
  <c r="P1261" s="1"/>
  <c r="P1260" s="1"/>
  <c r="P1258"/>
  <c r="P1256"/>
  <c r="P1253"/>
  <c r="P1252" s="1"/>
  <c r="P1249"/>
  <c r="P1247"/>
  <c r="P1243"/>
  <c r="P1242" s="1"/>
  <c r="P1241" s="1"/>
  <c r="P1236"/>
  <c r="P1234"/>
  <c r="P1230"/>
  <c r="P1228"/>
  <c r="P1222"/>
  <c r="P1220"/>
  <c r="P1214"/>
  <c r="P1213" s="1"/>
  <c r="P1211" s="1"/>
  <c r="P1210" s="1"/>
  <c r="P1208"/>
  <c r="P1206"/>
  <c r="P1198"/>
  <c r="P1197" s="1"/>
  <c r="P1196" s="1"/>
  <c r="P1194"/>
  <c r="P1193" s="1"/>
  <c r="P1191"/>
  <c r="P1190" s="1"/>
  <c r="P1188"/>
  <c r="P1177"/>
  <c r="P1175"/>
  <c r="P1159"/>
  <c r="P1157"/>
  <c r="P1153"/>
  <c r="P1152" s="1"/>
  <c r="P1151" s="1"/>
  <c r="P1147"/>
  <c r="P1146" s="1"/>
  <c r="P1145" s="1"/>
  <c r="P1143"/>
  <c r="P1142" s="1"/>
  <c r="P1141" s="1"/>
  <c r="P1139"/>
  <c r="P1138" s="1"/>
  <c r="P1135"/>
  <c r="P1134" s="1"/>
  <c r="P1133" s="1"/>
  <c r="P1130"/>
  <c r="P1129" s="1"/>
  <c r="P1128" s="1"/>
  <c r="P1127" s="1"/>
  <c r="P1125"/>
  <c r="P1124" s="1"/>
  <c r="P1123" s="1"/>
  <c r="P1121"/>
  <c r="P1120" s="1"/>
  <c r="P1119" s="1"/>
  <c r="P1117"/>
  <c r="P1116" s="1"/>
  <c r="P1115" s="1"/>
  <c r="P1112"/>
  <c r="P1110"/>
  <c r="P1106"/>
  <c r="P1105" s="1"/>
  <c r="P1104" s="1"/>
  <c r="P1101"/>
  <c r="P1100" s="1"/>
  <c r="P1099" s="1"/>
  <c r="P1097"/>
  <c r="P1096" s="1"/>
  <c r="P1095" s="1"/>
  <c r="P1092"/>
  <c r="P1091" s="1"/>
  <c r="P1090" s="1"/>
  <c r="P1088"/>
  <c r="P1087" s="1"/>
  <c r="P1086" s="1"/>
  <c r="P1079"/>
  <c r="P1078" s="1"/>
  <c r="P1077" s="1"/>
  <c r="P1075"/>
  <c r="P1074" s="1"/>
  <c r="P1073" s="1"/>
  <c r="P1070"/>
  <c r="P1069" s="1"/>
  <c r="P1068" s="1"/>
  <c r="P1067" s="1"/>
  <c r="P1063"/>
  <c r="P1062" s="1"/>
  <c r="P1061" s="1"/>
  <c r="P1060" s="1"/>
  <c r="P1059" s="1"/>
  <c r="P1057"/>
  <c r="P1056" s="1"/>
  <c r="P1055" s="1"/>
  <c r="P1054" s="1"/>
  <c r="P1052"/>
  <c r="P1051" s="1"/>
  <c r="P1050" s="1"/>
  <c r="P1049" s="1"/>
  <c r="P1043"/>
  <c r="P1041"/>
  <c r="P1032"/>
  <c r="P1031" s="1"/>
  <c r="P1030" s="1"/>
  <c r="P1028"/>
  <c r="P1027" s="1"/>
  <c r="P1026" s="1"/>
  <c r="P1019"/>
  <c r="P1018" s="1"/>
  <c r="P1017" s="1"/>
  <c r="P1015"/>
  <c r="P1014" s="1"/>
  <c r="P1013" s="1"/>
  <c r="P1011"/>
  <c r="P1010" s="1"/>
  <c r="P1009" s="1"/>
  <c r="P1007"/>
  <c r="P1006" s="1"/>
  <c r="P1005" s="1"/>
  <c r="P998"/>
  <c r="P997" s="1"/>
  <c r="P996" s="1"/>
  <c r="P994"/>
  <c r="P993" s="1"/>
  <c r="P992" s="1"/>
  <c r="P990"/>
  <c r="P989" s="1"/>
  <c r="P988" s="1"/>
  <c r="P981"/>
  <c r="P980" s="1"/>
  <c r="P978"/>
  <c r="P977" s="1"/>
  <c r="P970"/>
  <c r="P969" s="1"/>
  <c r="P968" s="1"/>
  <c r="P966"/>
  <c r="P965" s="1"/>
  <c r="P964" s="1"/>
  <c r="P951"/>
  <c r="P950" s="1"/>
  <c r="P949" s="1"/>
  <c r="P948" s="1"/>
  <c r="P947" s="1"/>
  <c r="P944"/>
  <c r="P943" s="1"/>
  <c r="P942" s="1"/>
  <c r="P941" s="1"/>
  <c r="P940" s="1"/>
  <c r="P934"/>
  <c r="P933" s="1"/>
  <c r="P932" s="1"/>
  <c r="P927" s="1"/>
  <c r="P926" s="1"/>
  <c r="P925" s="1"/>
  <c r="P922"/>
  <c r="P921" s="1"/>
  <c r="P919"/>
  <c r="P912"/>
  <c r="P911" s="1"/>
  <c r="P910" s="1"/>
  <c r="P909" s="1"/>
  <c r="P908" s="1"/>
  <c r="P907" s="1"/>
  <c r="P904"/>
  <c r="P903" s="1"/>
  <c r="P902" s="1"/>
  <c r="P901" s="1"/>
  <c r="P900" s="1"/>
  <c r="P899" s="1"/>
  <c r="P898" s="1"/>
  <c r="P896"/>
  <c r="P895" s="1"/>
  <c r="P894" s="1"/>
  <c r="P893" s="1"/>
  <c r="P892" s="1"/>
  <c r="P891" s="1"/>
  <c r="P890" s="1"/>
  <c r="P888"/>
  <c r="P887" s="1"/>
  <c r="P886" s="1"/>
  <c r="P885" s="1"/>
  <c r="P884" s="1"/>
  <c r="P883" s="1"/>
  <c r="M25" i="1" s="1"/>
  <c r="P881" i="5"/>
  <c r="P880" s="1"/>
  <c r="P878"/>
  <c r="P877" s="1"/>
  <c r="P875"/>
  <c r="P874" s="1"/>
  <c r="P872"/>
  <c r="P863"/>
  <c r="P862" s="1"/>
  <c r="P858" s="1"/>
  <c r="P857" s="1"/>
  <c r="P855"/>
  <c r="P854" s="1"/>
  <c r="P853" s="1"/>
  <c r="P852" s="1"/>
  <c r="P851" s="1"/>
  <c r="P849"/>
  <c r="P848" s="1"/>
  <c r="P847" s="1"/>
  <c r="P846" s="1"/>
  <c r="P841"/>
  <c r="P840" s="1"/>
  <c r="P839" s="1"/>
  <c r="P838" s="1"/>
  <c r="P836"/>
  <c r="P835" s="1"/>
  <c r="P834" s="1"/>
  <c r="P833" s="1"/>
  <c r="P832" s="1"/>
  <c r="P830"/>
  <c r="P829" s="1"/>
  <c r="P828" s="1"/>
  <c r="P827" s="1"/>
  <c r="P822"/>
  <c r="P821" s="1"/>
  <c r="P819"/>
  <c r="P816"/>
  <c r="P815" s="1"/>
  <c r="P814" s="1"/>
  <c r="P812"/>
  <c r="P809"/>
  <c r="P808" s="1"/>
  <c r="P807" s="1"/>
  <c r="P803"/>
  <c r="P802" s="1"/>
  <c r="P801" s="1"/>
  <c r="P800" s="1"/>
  <c r="P799" s="1"/>
  <c r="P797"/>
  <c r="P796" s="1"/>
  <c r="P793"/>
  <c r="P792" s="1"/>
  <c r="P790"/>
  <c r="P789" s="1"/>
  <c r="P780"/>
  <c r="P778"/>
  <c r="P775"/>
  <c r="P774" s="1"/>
  <c r="P770"/>
  <c r="P769" s="1"/>
  <c r="P768" s="1"/>
  <c r="P766"/>
  <c r="P765" s="1"/>
  <c r="P764" s="1"/>
  <c r="P761"/>
  <c r="P759"/>
  <c r="P756"/>
  <c r="P755" s="1"/>
  <c r="P752"/>
  <c r="P750"/>
  <c r="P746"/>
  <c r="P745" s="1"/>
  <c r="P744" s="1"/>
  <c r="P743" s="1"/>
  <c r="P741"/>
  <c r="P739"/>
  <c r="P734"/>
  <c r="P732"/>
  <c r="P728"/>
  <c r="P727" s="1"/>
  <c r="P726" s="1"/>
  <c r="P723"/>
  <c r="P721"/>
  <c r="P717"/>
  <c r="P716" s="1"/>
  <c r="P715" s="1"/>
  <c r="P711"/>
  <c r="P710" s="1"/>
  <c r="P709" s="1"/>
  <c r="P708" s="1"/>
  <c r="P706"/>
  <c r="P705" s="1"/>
  <c r="P704" s="1"/>
  <c r="P703" s="1"/>
  <c r="P701"/>
  <c r="P700" s="1"/>
  <c r="P699" s="1"/>
  <c r="P689"/>
  <c r="P688" s="1"/>
  <c r="P686"/>
  <c r="P685" s="1"/>
  <c r="P680"/>
  <c r="P679" s="1"/>
  <c r="P678" s="1"/>
  <c r="P677" s="1"/>
  <c r="P674"/>
  <c r="P673" s="1"/>
  <c r="P672" s="1"/>
  <c r="P671" s="1"/>
  <c r="P668"/>
  <c r="P667" s="1"/>
  <c r="P666" s="1"/>
  <c r="P664"/>
  <c r="P663" s="1"/>
  <c r="P662" s="1"/>
  <c r="P657"/>
  <c r="P656" s="1"/>
  <c r="P655" s="1"/>
  <c r="P652"/>
  <c r="P649"/>
  <c r="P644"/>
  <c r="P643" s="1"/>
  <c r="P641"/>
  <c r="P640" s="1"/>
  <c r="P639" s="1"/>
  <c r="P637"/>
  <c r="P635"/>
  <c r="P628"/>
  <c r="P626"/>
  <c r="P620"/>
  <c r="P619" s="1"/>
  <c r="P618" s="1"/>
  <c r="P617" s="1"/>
  <c r="P614"/>
  <c r="P613" s="1"/>
  <c r="P612" s="1"/>
  <c r="P611" s="1"/>
  <c r="P601"/>
  <c r="P599"/>
  <c r="P595"/>
  <c r="P593"/>
  <c r="P585"/>
  <c r="P584" s="1"/>
  <c r="P583" s="1"/>
  <c r="P581"/>
  <c r="P580" s="1"/>
  <c r="P579" s="1"/>
  <c r="P568"/>
  <c r="P567" s="1"/>
  <c r="P565"/>
  <c r="P559"/>
  <c r="P558" s="1"/>
  <c r="P557" s="1"/>
  <c r="P555"/>
  <c r="P554" s="1"/>
  <c r="P553" s="1"/>
  <c r="P547"/>
  <c r="P546" s="1"/>
  <c r="P545" s="1"/>
  <c r="P544" s="1"/>
  <c r="P543" s="1"/>
  <c r="P542" s="1"/>
  <c r="P540"/>
  <c r="P539" s="1"/>
  <c r="P538" s="1"/>
  <c r="P537" s="1"/>
  <c r="P536" s="1"/>
  <c r="P535" s="1"/>
  <c r="P532"/>
  <c r="P531" s="1"/>
  <c r="P530" s="1"/>
  <c r="P529" s="1"/>
  <c r="P526"/>
  <c r="P525" s="1"/>
  <c r="P523"/>
  <c r="P522" s="1"/>
  <c r="P520"/>
  <c r="P513"/>
  <c r="P512" s="1"/>
  <c r="P511" s="1"/>
  <c r="P510" s="1"/>
  <c r="P508"/>
  <c r="P506"/>
  <c r="P505" s="1"/>
  <c r="P495"/>
  <c r="P494" s="1"/>
  <c r="P493" s="1"/>
  <c r="P491"/>
  <c r="P490" s="1"/>
  <c r="P489" s="1"/>
  <c r="P485"/>
  <c r="P484" s="1"/>
  <c r="P483" s="1"/>
  <c r="P482" s="1"/>
  <c r="P481" s="1"/>
  <c r="P477"/>
  <c r="P476" s="1"/>
  <c r="P475" s="1"/>
  <c r="P474" s="1"/>
  <c r="P473" s="1"/>
  <c r="P470"/>
  <c r="P467"/>
  <c r="P466" s="1"/>
  <c r="P465" s="1"/>
  <c r="P464" s="1"/>
  <c r="P461"/>
  <c r="P460" s="1"/>
  <c r="P459" s="1"/>
  <c r="P458" s="1"/>
  <c r="P456"/>
  <c r="P455" s="1"/>
  <c r="P454" s="1"/>
  <c r="P452"/>
  <c r="P451" s="1"/>
  <c r="P448"/>
  <c r="P447" s="1"/>
  <c r="P445"/>
  <c r="P430"/>
  <c r="P429" s="1"/>
  <c r="P428" s="1"/>
  <c r="P427" s="1"/>
  <c r="P426" s="1"/>
  <c r="P423"/>
  <c r="P422" s="1"/>
  <c r="P421" s="1"/>
  <c r="P420" s="1"/>
  <c r="P419" s="1"/>
  <c r="P418" s="1"/>
  <c r="P417" s="1"/>
  <c r="P414"/>
  <c r="P413" s="1"/>
  <c r="P411"/>
  <c r="P410" s="1"/>
  <c r="P407"/>
  <c r="P406" s="1"/>
  <c r="P404"/>
  <c r="P403" s="1"/>
  <c r="P401"/>
  <c r="P392"/>
  <c r="P391" s="1"/>
  <c r="P390" s="1"/>
  <c r="P387"/>
  <c r="P386" s="1"/>
  <c r="P381"/>
  <c r="P377"/>
  <c r="P376" s="1"/>
  <c r="P375" s="1"/>
  <c r="P374" s="1"/>
  <c r="P373" s="1"/>
  <c r="P369"/>
  <c r="P368" s="1"/>
  <c r="P367" s="1"/>
  <c r="P366" s="1"/>
  <c r="P364"/>
  <c r="P363" s="1"/>
  <c r="P362" s="1"/>
  <c r="P361" s="1"/>
  <c r="P351"/>
  <c r="P350" s="1"/>
  <c r="P349" s="1"/>
  <c r="P348" s="1"/>
  <c r="P346"/>
  <c r="P345" s="1"/>
  <c r="P344" s="1"/>
  <c r="P338"/>
  <c r="P337" s="1"/>
  <c r="P336" s="1"/>
  <c r="P335" s="1"/>
  <c r="P334" s="1"/>
  <c r="M54" i="1" s="1"/>
  <c r="P331" i="5"/>
  <c r="P330" s="1"/>
  <c r="P329" s="1"/>
  <c r="P328" s="1"/>
  <c r="P327" s="1"/>
  <c r="P321"/>
  <c r="P320" s="1"/>
  <c r="P319" s="1"/>
  <c r="P317"/>
  <c r="P316" s="1"/>
  <c r="P315" s="1"/>
  <c r="P312"/>
  <c r="P311" s="1"/>
  <c r="P310" s="1"/>
  <c r="P308"/>
  <c r="P307" s="1"/>
  <c r="P306" s="1"/>
  <c r="P301"/>
  <c r="P300" s="1"/>
  <c r="P299" s="1"/>
  <c r="P298" s="1"/>
  <c r="P296"/>
  <c r="P295" s="1"/>
  <c r="P293"/>
  <c r="P292" s="1"/>
  <c r="P290"/>
  <c r="P289" s="1"/>
  <c r="P283"/>
  <c r="P282" s="1"/>
  <c r="P280"/>
  <c r="P279" s="1"/>
  <c r="P275"/>
  <c r="P274" s="1"/>
  <c r="P273" s="1"/>
  <c r="P271"/>
  <c r="P270" s="1"/>
  <c r="P269" s="1"/>
  <c r="P265"/>
  <c r="P264" s="1"/>
  <c r="P263" s="1"/>
  <c r="P262" s="1"/>
  <c r="P260"/>
  <c r="P259" s="1"/>
  <c r="P258" s="1"/>
  <c r="P257" s="1"/>
  <c r="P253"/>
  <c r="P252" s="1"/>
  <c r="P251" s="1"/>
  <c r="P249"/>
  <c r="P248" s="1"/>
  <c r="P247" s="1"/>
  <c r="P238"/>
  <c r="P237" s="1"/>
  <c r="P236" s="1"/>
  <c r="P235" s="1"/>
  <c r="P234" s="1"/>
  <c r="P231"/>
  <c r="P230" s="1"/>
  <c r="P228"/>
  <c r="P227" s="1"/>
  <c r="P225"/>
  <c r="P219"/>
  <c r="P218" s="1"/>
  <c r="P216"/>
  <c r="P215" s="1"/>
  <c r="P213"/>
  <c r="P212" s="1"/>
  <c r="P210"/>
  <c r="P207"/>
  <c r="P206" s="1"/>
  <c r="P204"/>
  <c r="P203" s="1"/>
  <c r="P202" s="1"/>
  <c r="P200"/>
  <c r="P199" s="1"/>
  <c r="P197"/>
  <c r="P196" s="1"/>
  <c r="P194"/>
  <c r="P190"/>
  <c r="P189" s="1"/>
  <c r="P188" s="1"/>
  <c r="P187" s="1"/>
  <c r="P184"/>
  <c r="P183" s="1"/>
  <c r="P182" s="1"/>
  <c r="P180"/>
  <c r="P179" s="1"/>
  <c r="P178" s="1"/>
  <c r="P173"/>
  <c r="P172" s="1"/>
  <c r="P171" s="1"/>
  <c r="P169"/>
  <c r="P168" s="1"/>
  <c r="P167" s="1"/>
  <c r="P162"/>
  <c r="P161" s="1"/>
  <c r="P160" s="1"/>
  <c r="P159" s="1"/>
  <c r="P158" s="1"/>
  <c r="P156"/>
  <c r="P155" s="1"/>
  <c r="P154" s="1"/>
  <c r="P152"/>
  <c r="P151" s="1"/>
  <c r="P150" s="1"/>
  <c r="P148"/>
  <c r="P147" s="1"/>
  <c r="P146" s="1"/>
  <c r="P144"/>
  <c r="P143" s="1"/>
  <c r="P142" s="1"/>
  <c r="P134"/>
  <c r="P133" s="1"/>
  <c r="P132" s="1"/>
  <c r="P131" s="1"/>
  <c r="P129"/>
  <c r="P128" s="1"/>
  <c r="P127" s="1"/>
  <c r="P126" s="1"/>
  <c r="P123"/>
  <c r="P122" s="1"/>
  <c r="P120"/>
  <c r="P119" s="1"/>
  <c r="P117"/>
  <c r="P112"/>
  <c r="P111" s="1"/>
  <c r="P110" s="1"/>
  <c r="P109" s="1"/>
  <c r="P107"/>
  <c r="P106" s="1"/>
  <c r="P105" s="1"/>
  <c r="P103"/>
  <c r="P101"/>
  <c r="P98"/>
  <c r="P97" s="1"/>
  <c r="P93"/>
  <c r="P92" s="1"/>
  <c r="P91" s="1"/>
  <c r="P90" s="1"/>
  <c r="P88"/>
  <c r="P87" s="1"/>
  <c r="P85"/>
  <c r="P81"/>
  <c r="P80" s="1"/>
  <c r="P78"/>
  <c r="P77" s="1"/>
  <c r="P75"/>
  <c r="P70"/>
  <c r="P69" s="1"/>
  <c r="P68" s="1"/>
  <c r="P67" s="1"/>
  <c r="P66" s="1"/>
  <c r="P65" s="1"/>
  <c r="M23" i="1" s="1"/>
  <c r="P63" i="5"/>
  <c r="P62" s="1"/>
  <c r="P54"/>
  <c r="P53" s="1"/>
  <c r="P52" s="1"/>
  <c r="P49"/>
  <c r="P47"/>
  <c r="P46" s="1"/>
  <c r="P44"/>
  <c r="P41"/>
  <c r="P40" s="1"/>
  <c r="P38"/>
  <c r="P37" s="1"/>
  <c r="P35"/>
  <c r="P28"/>
  <c r="P27" s="1"/>
  <c r="P26" s="1"/>
  <c r="P25" s="1"/>
  <c r="P24" s="1"/>
  <c r="P23" s="1"/>
  <c r="M20" i="1" s="1"/>
  <c r="M30" i="6"/>
  <c r="O30"/>
  <c r="O28" s="1"/>
  <c r="O27" s="1"/>
  <c r="O1822"/>
  <c r="O1817"/>
  <c r="O1805"/>
  <c r="O1800"/>
  <c r="O1795"/>
  <c r="O1790"/>
  <c r="O1787"/>
  <c r="O1782"/>
  <c r="O1779"/>
  <c r="O1767"/>
  <c r="O1761"/>
  <c r="O1756"/>
  <c r="O1753"/>
  <c r="O1748"/>
  <c r="O1745"/>
  <c r="O1740"/>
  <c r="O1739"/>
  <c r="O1734"/>
  <c r="O1731"/>
  <c r="O1730" s="1"/>
  <c r="O1726"/>
  <c r="O1723"/>
  <c r="O1718"/>
  <c r="O1714"/>
  <c r="O1710"/>
  <c r="O1706"/>
  <c r="O1705" s="1"/>
  <c r="O1701"/>
  <c r="O1697"/>
  <c r="O1693"/>
  <c r="O1691"/>
  <c r="O1686"/>
  <c r="O1680"/>
  <c r="O1677"/>
  <c r="O1667"/>
  <c r="O1661"/>
  <c r="O1655"/>
  <c r="O1649"/>
  <c r="O1643"/>
  <c r="O1637"/>
  <c r="O1630"/>
  <c r="O1625"/>
  <c r="O1620"/>
  <c r="O1617"/>
  <c r="O1613"/>
  <c r="O1610"/>
  <c r="O1606"/>
  <c r="O1603"/>
  <c r="O1600"/>
  <c r="O1596"/>
  <c r="O1593"/>
  <c r="O1589"/>
  <c r="O1586"/>
  <c r="O1583"/>
  <c r="O1579"/>
  <c r="O1576"/>
  <c r="O1573"/>
  <c r="O1569"/>
  <c r="O1567" s="1"/>
  <c r="O1566" s="1"/>
  <c r="O1565"/>
  <c r="O1562"/>
  <c r="O1558"/>
  <c r="O1555"/>
  <c r="O1554" s="1"/>
  <c r="O1552"/>
  <c r="O1549"/>
  <c r="O1548" s="1"/>
  <c r="O1546"/>
  <c r="O1543"/>
  <c r="O1540"/>
  <c r="O1539"/>
  <c r="O1536"/>
  <c r="O1533"/>
  <c r="O1528"/>
  <c r="O1513"/>
  <c r="O1512" s="1"/>
  <c r="O1506"/>
  <c r="O1500"/>
  <c r="O1496"/>
  <c r="O1493"/>
  <c r="O1490"/>
  <c r="O1486"/>
  <c r="O1480"/>
  <c r="O1472"/>
  <c r="O1465"/>
  <c r="O1459"/>
  <c r="O1454"/>
  <c r="O1448"/>
  <c r="O1442"/>
  <c r="O1441" s="1"/>
  <c r="O1437"/>
  <c r="O1431"/>
  <c r="O1418"/>
  <c r="O1417"/>
  <c r="O1411"/>
  <c r="O1410" s="1"/>
  <c r="O1404"/>
  <c r="O1397"/>
  <c r="O1390"/>
  <c r="O1389"/>
  <c r="O1386"/>
  <c r="O1383"/>
  <c r="O1378"/>
  <c r="O1370"/>
  <c r="O1369"/>
  <c r="O1366"/>
  <c r="O1365" s="1"/>
  <c r="O1363"/>
  <c r="O1360"/>
  <c r="O1355"/>
  <c r="O1350"/>
  <c r="O1341"/>
  <c r="O1338"/>
  <c r="O1337" s="1"/>
  <c r="O1332"/>
  <c r="O1330"/>
  <c r="O1306"/>
  <c r="O1304"/>
  <c r="O1299"/>
  <c r="O1297"/>
  <c r="O1291"/>
  <c r="O1286"/>
  <c r="O1281"/>
  <c r="O1279"/>
  <c r="O1276"/>
  <c r="O1275" s="1"/>
  <c r="O1271"/>
  <c r="O1270" s="1"/>
  <c r="O1245"/>
  <c r="O1244"/>
  <c r="O1241"/>
  <c r="O1240" s="1"/>
  <c r="O1238"/>
  <c r="O1237" s="1"/>
  <c r="O1233"/>
  <c r="O1228"/>
  <c r="O1224"/>
  <c r="O1214"/>
  <c r="O1209"/>
  <c r="O1173"/>
  <c r="O1167"/>
  <c r="O1161"/>
  <c r="O1160" s="1"/>
  <c r="O1155"/>
  <c r="O1149"/>
  <c r="O1143"/>
  <c r="O1142" s="1"/>
  <c r="O1133"/>
  <c r="O1132" s="1"/>
  <c r="O1128"/>
  <c r="O1119"/>
  <c r="O1115"/>
  <c r="O1107"/>
  <c r="O1101"/>
  <c r="O1100" s="1"/>
  <c r="O1095"/>
  <c r="O1090"/>
  <c r="O1077"/>
  <c r="O1071"/>
  <c r="O1070" s="1"/>
  <c r="O1064"/>
  <c r="O1058"/>
  <c r="O1052"/>
  <c r="O1047"/>
  <c r="O1041"/>
  <c r="O1038"/>
  <c r="O1037"/>
  <c r="O1034"/>
  <c r="O1033" s="1"/>
  <c r="O1029"/>
  <c r="O1027"/>
  <c r="O1019"/>
  <c r="O1013"/>
  <c r="O1001"/>
  <c r="O994"/>
  <c r="O993" s="1"/>
  <c r="O986"/>
  <c r="O979"/>
  <c r="O967"/>
  <c r="O960"/>
  <c r="O952"/>
  <c r="O940"/>
  <c r="O937"/>
  <c r="O934"/>
  <c r="O933"/>
  <c r="O926"/>
  <c r="O925"/>
  <c r="O920"/>
  <c r="O918"/>
  <c r="O915"/>
  <c r="O909"/>
  <c r="O908" s="1"/>
  <c r="O905"/>
  <c r="O899"/>
  <c r="O890"/>
  <c r="O873"/>
  <c r="O871"/>
  <c r="O865"/>
  <c r="O859"/>
  <c r="O858"/>
  <c r="O836"/>
  <c r="O825"/>
  <c r="O811"/>
  <c r="O801"/>
  <c r="O791"/>
  <c r="O775"/>
  <c r="O769"/>
  <c r="O768" s="1"/>
  <c r="O762"/>
  <c r="O756"/>
  <c r="O755" s="1"/>
  <c r="O753"/>
  <c r="O750"/>
  <c r="O744"/>
  <c r="O743"/>
  <c r="O737"/>
  <c r="O730"/>
  <c r="O725"/>
  <c r="O724" s="1"/>
  <c r="O723" s="1"/>
  <c r="O714"/>
  <c r="O709"/>
  <c r="O708" s="1"/>
  <c r="O703"/>
  <c r="O702" s="1"/>
  <c r="O698"/>
  <c r="O692"/>
  <c r="O687"/>
  <c r="O686" s="1"/>
  <c r="O683"/>
  <c r="O682" s="1"/>
  <c r="O678"/>
  <c r="O672"/>
  <c r="O671" s="1"/>
  <c r="O667"/>
  <c r="O666" s="1"/>
  <c r="O662"/>
  <c r="O660"/>
  <c r="O657"/>
  <c r="O656" s="1"/>
  <c r="O652"/>
  <c r="O646"/>
  <c r="O641"/>
  <c r="O640" s="1"/>
  <c r="O639"/>
  <c r="O636"/>
  <c r="O629"/>
  <c r="O623"/>
  <c r="O622" s="1"/>
  <c r="O617"/>
  <c r="O610"/>
  <c r="O605"/>
  <c r="O604" s="1"/>
  <c r="O600"/>
  <c r="O599" s="1"/>
  <c r="O589"/>
  <c r="O584"/>
  <c r="O578"/>
  <c r="O577" s="1"/>
  <c r="O571"/>
  <c r="O570" s="1"/>
  <c r="O566"/>
  <c r="O560"/>
  <c r="O555"/>
  <c r="O554" s="1"/>
  <c r="O553" s="1"/>
  <c r="O549"/>
  <c r="O542"/>
  <c r="O541" s="1"/>
  <c r="O539"/>
  <c r="O538" s="1"/>
  <c r="O534"/>
  <c r="O533"/>
  <c r="O530"/>
  <c r="O529" s="1"/>
  <c r="O527"/>
  <c r="O526" s="1"/>
  <c r="O521"/>
  <c r="O517"/>
  <c r="O516"/>
  <c r="O515" s="1"/>
  <c r="O511"/>
  <c r="O510" s="1"/>
  <c r="O509"/>
  <c r="O503"/>
  <c r="O502" s="1"/>
  <c r="O501"/>
  <c r="O498"/>
  <c r="O497" s="1"/>
  <c r="O492"/>
  <c r="O491" s="1"/>
  <c r="O490" s="1"/>
  <c r="O489" s="1"/>
  <c r="O486"/>
  <c r="O485" s="1"/>
  <c r="O484"/>
  <c r="O478"/>
  <c r="O477" s="1"/>
  <c r="O476"/>
  <c r="O470"/>
  <c r="O469" s="1"/>
  <c r="O463"/>
  <c r="O462" s="1"/>
  <c r="O461" s="1"/>
  <c r="O451"/>
  <c r="O438"/>
  <c r="O437" s="1"/>
  <c r="O431"/>
  <c r="O430" s="1"/>
  <c r="O429" s="1"/>
  <c r="O425"/>
  <c r="O419"/>
  <c r="O418" s="1"/>
  <c r="O417" s="1"/>
  <c r="O406"/>
  <c r="O404"/>
  <c r="O403" s="1"/>
  <c r="O398"/>
  <c r="O396"/>
  <c r="O390"/>
  <c r="O389" s="1"/>
  <c r="O377"/>
  <c r="O376" s="1"/>
  <c r="O375" s="1"/>
  <c r="O371"/>
  <c r="O370" s="1"/>
  <c r="O365"/>
  <c r="O364" s="1"/>
  <c r="O363" s="1"/>
  <c r="O360"/>
  <c r="O359" s="1"/>
  <c r="O358" s="1"/>
  <c r="O357" s="1"/>
  <c r="O356" s="1"/>
  <c r="O354"/>
  <c r="O353" s="1"/>
  <c r="O352" s="1"/>
  <c r="O351" s="1"/>
  <c r="O350" s="1"/>
  <c r="O349" s="1"/>
  <c r="O341"/>
  <c r="O340" s="1"/>
  <c r="O339" s="1"/>
  <c r="O338" s="1"/>
  <c r="O337" s="1"/>
  <c r="O336" s="1"/>
  <c r="O335"/>
  <c r="O334" s="1"/>
  <c r="O329"/>
  <c r="O328" s="1"/>
  <c r="O323"/>
  <c r="O322" s="1"/>
  <c r="O321" s="1"/>
  <c r="O317"/>
  <c r="O316" s="1"/>
  <c r="O315" s="1"/>
  <c r="O314" s="1"/>
  <c r="O313" s="1"/>
  <c r="O312" s="1"/>
  <c r="O311"/>
  <c r="O310" s="1"/>
  <c r="O309" s="1"/>
  <c r="O308" s="1"/>
  <c r="O307" s="1"/>
  <c r="O306" s="1"/>
  <c r="O292"/>
  <c r="O291" s="1"/>
  <c r="O290" s="1"/>
  <c r="O289" s="1"/>
  <c r="O288" s="1"/>
  <c r="O287" s="1"/>
  <c r="O286"/>
  <c r="O285" s="1"/>
  <c r="O280"/>
  <c r="O279" s="1"/>
  <c r="O278" s="1"/>
  <c r="O277" s="1"/>
  <c r="O276" s="1"/>
  <c r="O275" s="1"/>
  <c r="O274"/>
  <c r="O273" s="1"/>
  <c r="O268"/>
  <c r="O267" s="1"/>
  <c r="O266" s="1"/>
  <c r="O265" s="1"/>
  <c r="O264" s="1"/>
  <c r="O263" s="1"/>
  <c r="O255"/>
  <c r="O254" s="1"/>
  <c r="O253" s="1"/>
  <c r="O252" s="1"/>
  <c r="O251" s="1"/>
  <c r="O250" s="1"/>
  <c r="O249"/>
  <c r="O248" s="1"/>
  <c r="O247" s="1"/>
  <c r="O246"/>
  <c r="O245" s="1"/>
  <c r="O244" s="1"/>
  <c r="O232"/>
  <c r="O231" s="1"/>
  <c r="O230" s="1"/>
  <c r="O229"/>
  <c r="O228"/>
  <c r="O223"/>
  <c r="O222" s="1"/>
  <c r="O221" s="1"/>
  <c r="O220" s="1"/>
  <c r="O219"/>
  <c r="O218" s="1"/>
  <c r="O217" s="1"/>
  <c r="O216"/>
  <c r="O209"/>
  <c r="O208" s="1"/>
  <c r="O207"/>
  <c r="O206" s="1"/>
  <c r="O204"/>
  <c r="O198"/>
  <c r="O197" s="1"/>
  <c r="O196"/>
  <c r="O195"/>
  <c r="O189"/>
  <c r="O188" s="1"/>
  <c r="O187" s="1"/>
  <c r="O186" s="1"/>
  <c r="O185" s="1"/>
  <c r="O184" s="1"/>
  <c r="O183" s="1"/>
  <c r="O182"/>
  <c r="O181" s="1"/>
  <c r="O180" s="1"/>
  <c r="O179" s="1"/>
  <c r="O178" s="1"/>
  <c r="O177" s="1"/>
  <c r="O176"/>
  <c r="O175" s="1"/>
  <c r="O170"/>
  <c r="O169" s="1"/>
  <c r="O168" s="1"/>
  <c r="O167" s="1"/>
  <c r="O166" s="1"/>
  <c r="O165" s="1"/>
  <c r="O162"/>
  <c r="O157"/>
  <c r="O149"/>
  <c r="O143"/>
  <c r="O142" s="1"/>
  <c r="O141" s="1"/>
  <c r="O140" s="1"/>
  <c r="O139" s="1"/>
  <c r="O138" s="1"/>
  <c r="O137"/>
  <c r="O130"/>
  <c r="O128"/>
  <c r="O127" s="1"/>
  <c r="O124"/>
  <c r="O123" s="1"/>
  <c r="O122" s="1"/>
  <c r="O121" s="1"/>
  <c r="O112"/>
  <c r="O111" s="1"/>
  <c r="O105"/>
  <c r="O104" s="1"/>
  <c r="O102"/>
  <c r="O96"/>
  <c r="O95"/>
  <c r="O90"/>
  <c r="O84"/>
  <c r="O83" s="1"/>
  <c r="O82"/>
  <c r="O81" s="1"/>
  <c r="O75"/>
  <c r="O74" s="1"/>
  <c r="O73" s="1"/>
  <c r="O72" s="1"/>
  <c r="O71" s="1"/>
  <c r="O70" s="1"/>
  <c r="O69"/>
  <c r="O68" s="1"/>
  <c r="O67"/>
  <c r="O66" s="1"/>
  <c r="O61"/>
  <c r="O60" s="1"/>
  <c r="O59"/>
  <c r="O58" s="1"/>
  <c r="O52"/>
  <c r="O51" s="1"/>
  <c r="O50"/>
  <c r="O49" s="1"/>
  <c r="O44"/>
  <c r="O43" s="1"/>
  <c r="O42" s="1"/>
  <c r="O41" s="1"/>
  <c r="O40" s="1"/>
  <c r="O39" s="1"/>
  <c r="O38"/>
  <c r="O37"/>
  <c r="O35"/>
  <c r="O34" s="1"/>
  <c r="O24"/>
  <c r="M1643"/>
  <c r="N1643" s="1"/>
  <c r="O174" i="5"/>
  <c r="Q174" s="1"/>
  <c r="S174" s="1"/>
  <c r="U174" s="1"/>
  <c r="N173"/>
  <c r="O173" s="1"/>
  <c r="N41"/>
  <c r="N40" s="1"/>
  <c r="A171"/>
  <c r="A173"/>
  <c r="A172"/>
  <c r="A1639" i="6"/>
  <c r="A1643"/>
  <c r="A174" i="5"/>
  <c r="A1641" i="6"/>
  <c r="A1638"/>
  <c r="A1642"/>
  <c r="O1462" l="1"/>
  <c r="Q1825"/>
  <c r="O70" i="1"/>
  <c r="O69"/>
  <c r="P592" i="5"/>
  <c r="P591" s="1"/>
  <c r="P610"/>
  <c r="P1255"/>
  <c r="P1251" s="1"/>
  <c r="Q173"/>
  <c r="S173" s="1"/>
  <c r="U173" s="1"/>
  <c r="P241"/>
  <c r="P240" s="1"/>
  <c r="Q240" s="1"/>
  <c r="S240" s="1"/>
  <c r="U240" s="1"/>
  <c r="P1430"/>
  <c r="P1429" s="1"/>
  <c r="P246"/>
  <c r="P288"/>
  <c r="P738"/>
  <c r="P737" s="1"/>
  <c r="P736" s="1"/>
  <c r="P1040"/>
  <c r="P1039" s="1"/>
  <c r="P1038" s="1"/>
  <c r="P1494"/>
  <c r="P1493" s="1"/>
  <c r="P1492" s="1"/>
  <c r="O1003" i="6"/>
  <c r="P1004"/>
  <c r="R1004" s="1"/>
  <c r="T1004" s="1"/>
  <c r="P648" i="5"/>
  <c r="P647" s="1"/>
  <c r="P1479"/>
  <c r="P1513"/>
  <c r="P84"/>
  <c r="P209"/>
  <c r="P224"/>
  <c r="P223" s="1"/>
  <c r="P222" s="1"/>
  <c r="P314"/>
  <c r="P749"/>
  <c r="P748" s="1"/>
  <c r="P987"/>
  <c r="P100"/>
  <c r="P96" s="1"/>
  <c r="P95" s="1"/>
  <c r="P845"/>
  <c r="P844" s="1"/>
  <c r="M57" i="1" s="1"/>
  <c r="P1085" i="5"/>
  <c r="P1219"/>
  <c r="P1218" s="1"/>
  <c r="P1217" s="1"/>
  <c r="P1311"/>
  <c r="P1306" s="1"/>
  <c r="P1305" s="1"/>
  <c r="P1304" s="1"/>
  <c r="P305"/>
  <c r="P304" s="1"/>
  <c r="P534"/>
  <c r="M52" i="1"/>
  <c r="M51" s="1"/>
  <c r="P906" i="5"/>
  <c r="M66" i="1"/>
  <c r="M65" s="1"/>
  <c r="P661" i="5"/>
  <c r="P528"/>
  <c r="P278"/>
  <c r="P598"/>
  <c r="P597" s="1"/>
  <c r="P625"/>
  <c r="P624" s="1"/>
  <c r="P623" s="1"/>
  <c r="P622" s="1"/>
  <c r="P731"/>
  <c r="P730" s="1"/>
  <c r="P963"/>
  <c r="P962" s="1"/>
  <c r="P946" s="1"/>
  <c r="P924" s="1"/>
  <c r="P1025"/>
  <c r="P1613"/>
  <c r="P1612" s="1"/>
  <c r="P1611" s="1"/>
  <c r="M37" i="1" s="1"/>
  <c r="M1642" i="6"/>
  <c r="M1641" s="1"/>
  <c r="N1641" s="1"/>
  <c r="P343" i="5"/>
  <c r="P342" s="1"/>
  <c r="P333" s="1"/>
  <c r="P1137"/>
  <c r="P1132" s="1"/>
  <c r="P1156"/>
  <c r="P1155" s="1"/>
  <c r="P1227"/>
  <c r="P1226" s="1"/>
  <c r="P1233"/>
  <c r="P1232" s="1"/>
  <c r="O1131" i="6"/>
  <c r="O1130" s="1"/>
  <c r="O707"/>
  <c r="O706" s="1"/>
  <c r="O705" s="1"/>
  <c r="O767"/>
  <c r="O766" s="1"/>
  <c r="O110"/>
  <c r="O109" s="1"/>
  <c r="O108" s="1"/>
  <c r="O107" s="1"/>
  <c r="O992"/>
  <c r="O991" s="1"/>
  <c r="O1099"/>
  <c r="O1098" s="1"/>
  <c r="O603"/>
  <c r="O602" s="1"/>
  <c r="O601" s="1"/>
  <c r="O1364"/>
  <c r="O369"/>
  <c r="O368" s="1"/>
  <c r="O367" s="1"/>
  <c r="O366" s="1"/>
  <c r="O1440"/>
  <c r="O1439" s="1"/>
  <c r="P1714" i="5"/>
  <c r="P1713" s="1"/>
  <c r="P1712" s="1"/>
  <c r="P1711" s="1"/>
  <c r="P1710" s="1"/>
  <c r="P1709" s="1"/>
  <c r="P1708" s="1"/>
  <c r="P1072"/>
  <c r="O101" i="6"/>
  <c r="O100" s="1"/>
  <c r="O129"/>
  <c r="O126" s="1"/>
  <c r="O125" s="1"/>
  <c r="O114" s="1"/>
  <c r="O333"/>
  <c r="O332" s="1"/>
  <c r="O203"/>
  <c r="O202" s="1"/>
  <c r="O243"/>
  <c r="O242" s="1"/>
  <c r="O241" s="1"/>
  <c r="O240" s="1"/>
  <c r="O565"/>
  <c r="O564" s="1"/>
  <c r="O752"/>
  <c r="O751" s="1"/>
  <c r="O1227"/>
  <c r="O1226" s="1"/>
  <c r="O1453"/>
  <c r="O1564"/>
  <c r="O1563" s="1"/>
  <c r="P116" i="5"/>
  <c r="P115" s="1"/>
  <c r="P114" s="1"/>
  <c r="P504"/>
  <c r="P503" s="1"/>
  <c r="P502" s="1"/>
  <c r="P501" s="1"/>
  <c r="M38" i="1" s="1"/>
  <c r="P634" i="5"/>
  <c r="P633" s="1"/>
  <c r="P720"/>
  <c r="P719" s="1"/>
  <c r="P763"/>
  <c r="P777"/>
  <c r="P773" s="1"/>
  <c r="P788"/>
  <c r="P787" s="1"/>
  <c r="P786" s="1"/>
  <c r="P826"/>
  <c r="P1109"/>
  <c r="P1108" s="1"/>
  <c r="P1103" s="1"/>
  <c r="P1187"/>
  <c r="P1186" s="1"/>
  <c r="P1185" s="1"/>
  <c r="P1184" s="1"/>
  <c r="P1205"/>
  <c r="P1204" s="1"/>
  <c r="P1203" s="1"/>
  <c r="P1202" s="1"/>
  <c r="P1246"/>
  <c r="P1245" s="1"/>
  <c r="P463"/>
  <c r="P1004"/>
  <c r="P1094"/>
  <c r="P1290"/>
  <c r="P1289" s="1"/>
  <c r="P1288" s="1"/>
  <c r="P1287" s="1"/>
  <c r="P1281" s="1"/>
  <c r="P1345"/>
  <c r="P1337" s="1"/>
  <c r="P1651"/>
  <c r="P1650" s="1"/>
  <c r="P1649" s="1"/>
  <c r="O327" i="6"/>
  <c r="O326" s="1"/>
  <c r="O325" s="1"/>
  <c r="O324" s="1"/>
  <c r="O405"/>
  <c r="O402" s="1"/>
  <c r="O514"/>
  <c r="O513" s="1"/>
  <c r="O635"/>
  <c r="O634" s="1"/>
  <c r="O736"/>
  <c r="O735" s="1"/>
  <c r="O734" s="1"/>
  <c r="O749"/>
  <c r="O800"/>
  <c r="O959"/>
  <c r="O1057"/>
  <c r="O1056" s="1"/>
  <c r="O1141"/>
  <c r="O1140" s="1"/>
  <c r="O1166"/>
  <c r="O1298"/>
  <c r="O1340"/>
  <c r="O1339" s="1"/>
  <c r="O1396"/>
  <c r="O1395" s="1"/>
  <c r="O1492"/>
  <c r="O1491" s="1"/>
  <c r="O1532"/>
  <c r="O1609"/>
  <c r="O1690"/>
  <c r="O1713"/>
  <c r="O1712" s="1"/>
  <c r="O1747"/>
  <c r="O1746" s="1"/>
  <c r="O1799"/>
  <c r="O1798" s="1"/>
  <c r="P74" i="5"/>
  <c r="P400"/>
  <c r="P399" s="1"/>
  <c r="P398" s="1"/>
  <c r="P397" s="1"/>
  <c r="P396" s="1"/>
  <c r="P758"/>
  <c r="P754" s="1"/>
  <c r="P871"/>
  <c r="P870" s="1"/>
  <c r="P869" s="1"/>
  <c r="P868" s="1"/>
  <c r="P867" s="1"/>
  <c r="P1455"/>
  <c r="P1454" s="1"/>
  <c r="P1575"/>
  <c r="P1565" s="1"/>
  <c r="P1592"/>
  <c r="P1591" s="1"/>
  <c r="P1590" s="1"/>
  <c r="P1589" s="1"/>
  <c r="P1642"/>
  <c r="P1637" s="1"/>
  <c r="P1636" s="1"/>
  <c r="O156" i="6"/>
  <c r="O155" s="1"/>
  <c r="O154" s="1"/>
  <c r="O395"/>
  <c r="O89"/>
  <c r="O88" s="1"/>
  <c r="O87" s="1"/>
  <c r="O86" s="1"/>
  <c r="O85" s="1"/>
  <c r="O651"/>
  <c r="O914"/>
  <c r="O913" s="1"/>
  <c r="O936"/>
  <c r="O1063"/>
  <c r="O1722"/>
  <c r="O1755"/>
  <c r="O1754" s="1"/>
  <c r="P670" i="5"/>
  <c r="P1174"/>
  <c r="P1173" s="1"/>
  <c r="P1461"/>
  <c r="O1089" i="6"/>
  <c r="O835"/>
  <c r="O834" s="1"/>
  <c r="O1660"/>
  <c r="O1659" s="1"/>
  <c r="P380" i="5"/>
  <c r="O1461" i="6"/>
  <c r="P166" i="5"/>
  <c r="P165" s="1"/>
  <c r="P164" s="1"/>
  <c r="O1542" i="6"/>
  <c r="P34" i="5"/>
  <c r="P33" s="1"/>
  <c r="O528" i="6"/>
  <c r="O670"/>
  <c r="O362"/>
  <c r="O436"/>
  <c r="O174"/>
  <c r="O569"/>
  <c r="O598"/>
  <c r="O701"/>
  <c r="O754"/>
  <c r="O320"/>
  <c r="O388"/>
  <c r="O500"/>
  <c r="O548"/>
  <c r="O588"/>
  <c r="O496"/>
  <c r="O540"/>
  <c r="O537" s="1"/>
  <c r="O713"/>
  <c r="O774"/>
  <c r="O428"/>
  <c r="O460"/>
  <c r="O488"/>
  <c r="O552"/>
  <c r="O576"/>
  <c r="O621"/>
  <c r="O665"/>
  <c r="O681"/>
  <c r="O697"/>
  <c r="O824"/>
  <c r="O864"/>
  <c r="O872"/>
  <c r="O898"/>
  <c r="O907"/>
  <c r="O1012"/>
  <c r="O1040"/>
  <c r="O1118"/>
  <c r="O1159"/>
  <c r="O1213"/>
  <c r="O1269"/>
  <c r="O1285"/>
  <c r="O1305"/>
  <c r="O1354"/>
  <c r="O1382"/>
  <c r="O1409"/>
  <c r="O1430"/>
  <c r="O1557"/>
  <c r="O1582"/>
  <c r="O1592"/>
  <c r="O1612"/>
  <c r="O1692"/>
  <c r="O1766"/>
  <c r="O1789"/>
  <c r="O1821"/>
  <c r="O284"/>
  <c r="O638"/>
  <c r="O655"/>
  <c r="O889"/>
  <c r="O924"/>
  <c r="O932"/>
  <c r="O1388"/>
  <c r="O1485"/>
  <c r="O1605"/>
  <c r="O1629"/>
  <c r="O1648"/>
  <c r="O1685"/>
  <c r="O450"/>
  <c r="O520"/>
  <c r="O609"/>
  <c r="O661"/>
  <c r="O722"/>
  <c r="O919"/>
  <c r="O1028"/>
  <c r="O1114"/>
  <c r="O1280"/>
  <c r="O1296"/>
  <c r="O1331"/>
  <c r="O1499"/>
  <c r="O1511"/>
  <c r="O1547"/>
  <c r="O1578"/>
  <c r="O1588"/>
  <c r="O1602"/>
  <c r="O1624"/>
  <c r="O1642"/>
  <c r="P1643"/>
  <c r="R1643" s="1"/>
  <c r="T1643" s="1"/>
  <c r="O1679"/>
  <c r="O1704"/>
  <c r="O1738"/>
  <c r="O1786"/>
  <c r="O1816"/>
  <c r="O424"/>
  <c r="O645"/>
  <c r="O1094"/>
  <c r="O1106"/>
  <c r="O1362"/>
  <c r="O1416"/>
  <c r="O1447"/>
  <c r="O1458"/>
  <c r="O1479"/>
  <c r="O1495"/>
  <c r="O1538"/>
  <c r="O1545"/>
  <c r="O1553"/>
  <c r="O1575"/>
  <c r="O1599"/>
  <c r="O1619"/>
  <c r="O1636"/>
  <c r="O1654"/>
  <c r="O1676"/>
  <c r="O1700"/>
  <c r="O1781"/>
  <c r="O36"/>
  <c r="O205"/>
  <c r="O272"/>
  <c r="O475"/>
  <c r="O810"/>
  <c r="O870"/>
  <c r="O978"/>
  <c r="O1046"/>
  <c r="O1069"/>
  <c r="O1148"/>
  <c r="O1154"/>
  <c r="O1172"/>
  <c r="O1208"/>
  <c r="O1232"/>
  <c r="O1239"/>
  <c r="O1274"/>
  <c r="O1303"/>
  <c r="O1349"/>
  <c r="O1368"/>
  <c r="O1377"/>
  <c r="O1385"/>
  <c r="O1401"/>
  <c r="O1464"/>
  <c r="O1489"/>
  <c r="O1760"/>
  <c r="O532"/>
  <c r="O677"/>
  <c r="O416"/>
  <c r="O742"/>
  <c r="O1036"/>
  <c r="O468"/>
  <c r="O508"/>
  <c r="O507" s="1"/>
  <c r="O685"/>
  <c r="O1076"/>
  <c r="O1359"/>
  <c r="O1471"/>
  <c r="O1535"/>
  <c r="O1551"/>
  <c r="O1561"/>
  <c r="O1572"/>
  <c r="O1595"/>
  <c r="O1616"/>
  <c r="O1666"/>
  <c r="O1696"/>
  <c r="O1778"/>
  <c r="O1794"/>
  <c r="O23"/>
  <c r="O94"/>
  <c r="O136"/>
  <c r="O374"/>
  <c r="O559"/>
  <c r="O628"/>
  <c r="O691"/>
  <c r="O729"/>
  <c r="O904"/>
  <c r="O966"/>
  <c r="O1000"/>
  <c r="O1018"/>
  <c r="O1051"/>
  <c r="O148"/>
  <c r="O161"/>
  <c r="O215"/>
  <c r="O227"/>
  <c r="O397"/>
  <c r="O483"/>
  <c r="O583"/>
  <c r="O616"/>
  <c r="O659"/>
  <c r="O761"/>
  <c r="O790"/>
  <c r="O857"/>
  <c r="O917"/>
  <c r="O939"/>
  <c r="O951"/>
  <c r="O985"/>
  <c r="O1026"/>
  <c r="O1127"/>
  <c r="O1223"/>
  <c r="O1243"/>
  <c r="O1278"/>
  <c r="O1290"/>
  <c r="O1329"/>
  <c r="O1436"/>
  <c r="O1505"/>
  <c r="O1527"/>
  <c r="O1585"/>
  <c r="O1709"/>
  <c r="O1717"/>
  <c r="O1725"/>
  <c r="O1733"/>
  <c r="O1744"/>
  <c r="O1752"/>
  <c r="O1804"/>
  <c r="P193" i="5"/>
  <c r="P444"/>
  <c r="P443" s="1"/>
  <c r="P442" s="1"/>
  <c r="P432" s="1"/>
  <c r="P552"/>
  <c r="P684"/>
  <c r="P683" s="1"/>
  <c r="P698"/>
  <c r="P697" s="1"/>
  <c r="P976"/>
  <c r="P975" s="1"/>
  <c r="P1416"/>
  <c r="P1467"/>
  <c r="P564"/>
  <c r="P1728"/>
  <c r="P1727" s="1"/>
  <c r="P1726" s="1"/>
  <c r="P1725" s="1"/>
  <c r="M41" i="1" s="1"/>
  <c r="P1743" i="5"/>
  <c r="P1742" s="1"/>
  <c r="P1741" s="1"/>
  <c r="P1740" s="1"/>
  <c r="P1734" s="1"/>
  <c r="M42" i="1" s="1"/>
  <c r="P43" i="5"/>
  <c r="P141"/>
  <c r="P177"/>
  <c r="P256"/>
  <c r="P268"/>
  <c r="P267" s="1"/>
  <c r="P488"/>
  <c r="P487" s="1"/>
  <c r="P480" s="1"/>
  <c r="M36" i="1" s="1"/>
  <c r="P518" i="5"/>
  <c r="P517" s="1"/>
  <c r="P516" s="1"/>
  <c r="P515" s="1"/>
  <c r="M39" i="1" s="1"/>
  <c r="P578" i="5"/>
  <c r="P577" s="1"/>
  <c r="P576" s="1"/>
  <c r="P818"/>
  <c r="P806" s="1"/>
  <c r="P805" s="1"/>
  <c r="P918"/>
  <c r="P917" s="1"/>
  <c r="P916" s="1"/>
  <c r="P915" s="1"/>
  <c r="P1114"/>
  <c r="P1270"/>
  <c r="P1485"/>
  <c r="P1695"/>
  <c r="P1694" s="1"/>
  <c r="P519"/>
  <c r="O48" i="6"/>
  <c r="O80"/>
  <c r="O194"/>
  <c r="O57"/>
  <c r="O65"/>
  <c r="N172" i="5"/>
  <c r="N385"/>
  <c r="N30" i="6"/>
  <c r="P30" s="1"/>
  <c r="R30" s="1"/>
  <c r="M28"/>
  <c r="N28" s="1"/>
  <c r="P28" s="1"/>
  <c r="R28" s="1"/>
  <c r="T28" s="1"/>
  <c r="O702" i="5"/>
  <c r="Q702" s="1"/>
  <c r="S702" s="1"/>
  <c r="U702" s="1"/>
  <c r="N701"/>
  <c r="O701" s="1"/>
  <c r="Q701" s="1"/>
  <c r="S701" s="1"/>
  <c r="U701" s="1"/>
  <c r="N636"/>
  <c r="N889"/>
  <c r="M836" i="6"/>
  <c r="N836" s="1"/>
  <c r="P836" s="1"/>
  <c r="R836" s="1"/>
  <c r="T836" s="1"/>
  <c r="O1382" i="5"/>
  <c r="Q1382" s="1"/>
  <c r="S1382" s="1"/>
  <c r="U1382" s="1"/>
  <c r="N1381"/>
  <c r="N1380" s="1"/>
  <c r="M1661" i="6"/>
  <c r="M1660" s="1"/>
  <c r="A1380" i="5"/>
  <c r="A835" i="6"/>
  <c r="A701" i="5"/>
  <c r="A699"/>
  <c r="A836" i="6"/>
  <c r="A28"/>
  <c r="A830"/>
  <c r="A834"/>
  <c r="A1378" i="5"/>
  <c r="A1661" i="6"/>
  <c r="A702" i="5"/>
  <c r="A26" i="6"/>
  <c r="A25"/>
  <c r="A1660"/>
  <c r="A831"/>
  <c r="A1382" i="5"/>
  <c r="A1379"/>
  <c r="A832" i="6"/>
  <c r="A30"/>
  <c r="A1656"/>
  <c r="A1657"/>
  <c r="A1381" i="5"/>
  <c r="A700"/>
  <c r="A1659" i="6"/>
  <c r="A20"/>
  <c r="T30" l="1"/>
  <c r="R29"/>
  <c r="T29" s="1"/>
  <c r="P590" i="5"/>
  <c r="P589" s="1"/>
  <c r="P588" s="1"/>
  <c r="M44" i="1" s="1"/>
  <c r="P73" i="5"/>
  <c r="P72" s="1"/>
  <c r="M26" i="1" s="1"/>
  <c r="Q241" i="5"/>
  <c r="S241" s="1"/>
  <c r="U241" s="1"/>
  <c r="P1150"/>
  <c r="P1149" s="1"/>
  <c r="M31" i="1"/>
  <c r="P277" i="5"/>
  <c r="M1640" i="6"/>
  <c r="N1640" s="1"/>
  <c r="O201"/>
  <c r="O200" s="1"/>
  <c r="P1604" i="5"/>
  <c r="P714"/>
  <c r="P713" s="1"/>
  <c r="P1224"/>
  <c r="P1216" s="1"/>
  <c r="P1201" s="1"/>
  <c r="P1554"/>
  <c r="P1512" s="1"/>
  <c r="M62" i="1"/>
  <c r="P1240" i="5"/>
  <c r="P1239" s="1"/>
  <c r="M60" i="1" s="1"/>
  <c r="P1066" i="5"/>
  <c r="P632"/>
  <c r="P631" s="1"/>
  <c r="O1002" i="6"/>
  <c r="P1002" s="1"/>
  <c r="R1002" s="1"/>
  <c r="T1002" s="1"/>
  <c r="P1003"/>
  <c r="R1003" s="1"/>
  <c r="T1003" s="1"/>
  <c r="M35" i="1"/>
  <c r="P1453" i="5"/>
  <c r="P1452" s="1"/>
  <c r="P1415" s="1"/>
  <c r="P245"/>
  <c r="P1629"/>
  <c r="M40" i="1"/>
  <c r="P575" i="5"/>
  <c r="M30" i="1"/>
  <c r="P974" i="5"/>
  <c r="P973" s="1"/>
  <c r="M49" i="1" s="1"/>
  <c r="P866" i="5"/>
  <c r="P865" s="1"/>
  <c r="M24" i="1"/>
  <c r="M61"/>
  <c r="P395" i="5"/>
  <c r="P394" s="1"/>
  <c r="M21" i="1"/>
  <c r="P303" i="5"/>
  <c r="M46" i="1"/>
  <c r="N1642" i="6"/>
  <c r="P1642" s="1"/>
  <c r="R1642" s="1"/>
  <c r="T1642" s="1"/>
  <c r="P425" i="5"/>
  <c r="M32" i="1"/>
  <c r="P563" i="5"/>
  <c r="P825"/>
  <c r="P379"/>
  <c r="O1062" i="6"/>
  <c r="O1165"/>
  <c r="P479" i="5"/>
  <c r="P32"/>
  <c r="P31" s="1"/>
  <c r="P30" s="1"/>
  <c r="M22" i="1" s="1"/>
  <c r="O958" i="6"/>
  <c r="O957" s="1"/>
  <c r="O956" s="1"/>
  <c r="O1452"/>
  <c r="O1451" s="1"/>
  <c r="O1450" s="1"/>
  <c r="O650"/>
  <c r="O649" s="1"/>
  <c r="O648" s="1"/>
  <c r="O799"/>
  <c r="O795" s="1"/>
  <c r="O794" s="1"/>
  <c r="O1088"/>
  <c r="O33"/>
  <c r="O32" s="1"/>
  <c r="O26" s="1"/>
  <c r="O25" s="1"/>
  <c r="O1460"/>
  <c r="O1504"/>
  <c r="O1025"/>
  <c r="O147"/>
  <c r="O22"/>
  <c r="O1665"/>
  <c r="O1534"/>
  <c r="O531"/>
  <c r="O79"/>
  <c r="O1708"/>
  <c r="O1435"/>
  <c r="O1242"/>
  <c r="O1236" s="1"/>
  <c r="O984"/>
  <c r="O856"/>
  <c r="O615"/>
  <c r="O226"/>
  <c r="O965"/>
  <c r="O690"/>
  <c r="O331"/>
  <c r="O1376"/>
  <c r="O1171"/>
  <c r="O1139"/>
  <c r="O977"/>
  <c r="O271"/>
  <c r="O1780"/>
  <c r="O1635"/>
  <c r="O1574"/>
  <c r="O1537"/>
  <c r="O1478"/>
  <c r="O1446"/>
  <c r="O1361"/>
  <c r="O1093"/>
  <c r="O1604"/>
  <c r="O923"/>
  <c r="O637"/>
  <c r="O1820"/>
  <c r="O1764"/>
  <c r="O1611"/>
  <c r="O1556"/>
  <c r="O1550" s="1"/>
  <c r="O1429"/>
  <c r="O1302"/>
  <c r="O1268"/>
  <c r="O1158"/>
  <c r="O1055"/>
  <c r="O1011"/>
  <c r="O897"/>
  <c r="O863"/>
  <c r="O733"/>
  <c r="O680"/>
  <c r="O620"/>
  <c r="O563"/>
  <c r="O487"/>
  <c r="O427"/>
  <c r="O712"/>
  <c r="O547"/>
  <c r="O387"/>
  <c r="O748"/>
  <c r="O361"/>
  <c r="O658"/>
  <c r="O1277"/>
  <c r="O373"/>
  <c r="O684"/>
  <c r="O1384"/>
  <c r="O1207"/>
  <c r="O1147"/>
  <c r="O1045"/>
  <c r="O474"/>
  <c r="O1815"/>
  <c r="O1751"/>
  <c r="O1735"/>
  <c r="O1703"/>
  <c r="O1658"/>
  <c r="O1623"/>
  <c r="O1587"/>
  <c r="O1498"/>
  <c r="O1438"/>
  <c r="O1328"/>
  <c r="O1129"/>
  <c r="O1097"/>
  <c r="O990"/>
  <c r="O916"/>
  <c r="O765"/>
  <c r="O449"/>
  <c r="O1628"/>
  <c r="O931"/>
  <c r="O597"/>
  <c r="O173"/>
  <c r="O56"/>
  <c r="O1716"/>
  <c r="O999"/>
  <c r="O1594"/>
  <c r="O467"/>
  <c r="O415"/>
  <c r="O1759"/>
  <c r="O64"/>
  <c r="O99"/>
  <c r="O506"/>
  <c r="P192" i="5"/>
  <c r="P186" s="1"/>
  <c r="P176" s="1"/>
  <c r="O1344" i="6"/>
  <c r="O1803"/>
  <c r="O1724"/>
  <c r="O1526"/>
  <c r="O1289"/>
  <c r="O1126"/>
  <c r="O938"/>
  <c r="O935" s="1"/>
  <c r="O760"/>
  <c r="O160"/>
  <c r="O1017"/>
  <c r="O903"/>
  <c r="O558"/>
  <c r="O93"/>
  <c r="O1400"/>
  <c r="O1348"/>
  <c r="O1231"/>
  <c r="O1153"/>
  <c r="O809"/>
  <c r="O1797"/>
  <c r="O1699"/>
  <c r="O1653"/>
  <c r="O1618"/>
  <c r="O1544"/>
  <c r="O1494"/>
  <c r="O1415"/>
  <c r="O1105"/>
  <c r="O644"/>
  <c r="O423"/>
  <c r="O1647"/>
  <c r="O1387"/>
  <c r="O833"/>
  <c r="O1788"/>
  <c r="O1785" s="1"/>
  <c r="O1689"/>
  <c r="O1408"/>
  <c r="O1353"/>
  <c r="O1284"/>
  <c r="O1212"/>
  <c r="O1117"/>
  <c r="O1039"/>
  <c r="O823"/>
  <c r="O696"/>
  <c r="O664"/>
  <c r="O575"/>
  <c r="O551"/>
  <c r="O459"/>
  <c r="O773"/>
  <c r="O587"/>
  <c r="O499"/>
  <c r="O319"/>
  <c r="O700"/>
  <c r="O568"/>
  <c r="O435"/>
  <c r="O669"/>
  <c r="O394"/>
  <c r="O193"/>
  <c r="O728"/>
  <c r="O1035"/>
  <c r="O401"/>
  <c r="O113"/>
  <c r="O536"/>
  <c r="O47"/>
  <c r="O1732"/>
  <c r="O1584"/>
  <c r="O1222"/>
  <c r="O950"/>
  <c r="O789"/>
  <c r="O582"/>
  <c r="O214"/>
  <c r="O1050"/>
  <c r="O627"/>
  <c r="O135"/>
  <c r="O1793"/>
  <c r="O1695"/>
  <c r="O1470"/>
  <c r="O1075"/>
  <c r="O741"/>
  <c r="O676"/>
  <c r="O1463"/>
  <c r="O1367"/>
  <c r="O1068"/>
  <c r="O869"/>
  <c r="O1743"/>
  <c r="O1678"/>
  <c r="O1641"/>
  <c r="O1601"/>
  <c r="O1577"/>
  <c r="O1510"/>
  <c r="O1394"/>
  <c r="O1295"/>
  <c r="O1225"/>
  <c r="O1113"/>
  <c r="O721"/>
  <c r="O608"/>
  <c r="O519"/>
  <c r="O1684"/>
  <c r="O1484"/>
  <c r="O888"/>
  <c r="O283"/>
  <c r="P1724" i="5"/>
  <c r="P1723" s="1"/>
  <c r="O482" i="6"/>
  <c r="O172" i="5"/>
  <c r="Q172" s="1"/>
  <c r="S172" s="1"/>
  <c r="U172" s="1"/>
  <c r="N171"/>
  <c r="O171" s="1"/>
  <c r="Q171" s="1"/>
  <c r="S171" s="1"/>
  <c r="U171" s="1"/>
  <c r="M27" i="6"/>
  <c r="N700" i="5"/>
  <c r="N1379"/>
  <c r="O1380"/>
  <c r="Q1380" s="1"/>
  <c r="S1380" s="1"/>
  <c r="U1380" s="1"/>
  <c r="O1381"/>
  <c r="Q1381" s="1"/>
  <c r="S1381" s="1"/>
  <c r="U1381" s="1"/>
  <c r="M835" i="6"/>
  <c r="M1659"/>
  <c r="N1660"/>
  <c r="P1660" s="1"/>
  <c r="R1660" s="1"/>
  <c r="T1660" s="1"/>
  <c r="N1661"/>
  <c r="P1661" s="1"/>
  <c r="R1661" s="1"/>
  <c r="T1661" s="1"/>
  <c r="M1649"/>
  <c r="M1648" s="1"/>
  <c r="A1649"/>
  <c r="A1647"/>
  <c r="A1650"/>
  <c r="A1648"/>
  <c r="A1644"/>
  <c r="A1645"/>
  <c r="P1065" i="5" l="1"/>
  <c r="P972" s="1"/>
  <c r="P914" s="1"/>
  <c r="M1639" i="6"/>
  <c r="M1638" s="1"/>
  <c r="N1638" s="1"/>
  <c r="M47" i="1"/>
  <c r="P1491" i="5"/>
  <c r="P1238"/>
  <c r="P1200" s="1"/>
  <c r="M59" i="1"/>
  <c r="M33"/>
  <c r="P233" i="5"/>
  <c r="P416"/>
  <c r="P1325"/>
  <c r="P1296" s="1"/>
  <c r="M58" i="1"/>
  <c r="M19"/>
  <c r="P175" i="5"/>
  <c r="M28" i="1"/>
  <c r="M27" s="1"/>
  <c r="P562" i="5"/>
  <c r="P630"/>
  <c r="P587" s="1"/>
  <c r="M56" i="1"/>
  <c r="P824" i="5"/>
  <c r="P372"/>
  <c r="O1061" i="6"/>
  <c r="O1060" s="1"/>
  <c r="O1059" s="1"/>
  <c r="O1164"/>
  <c r="O1163" s="1"/>
  <c r="O1162" s="1"/>
  <c r="O1358"/>
  <c r="O1357" s="1"/>
  <c r="P22" i="5"/>
  <c r="O1087" i="6"/>
  <c r="O868"/>
  <c r="O1049"/>
  <c r="O946"/>
  <c r="O727"/>
  <c r="O393"/>
  <c r="O668"/>
  <c r="O567"/>
  <c r="O318"/>
  <c r="O586"/>
  <c r="O458"/>
  <c r="O574"/>
  <c r="O695"/>
  <c r="O1211"/>
  <c r="O1352"/>
  <c r="O1560"/>
  <c r="O422"/>
  <c r="O1104"/>
  <c r="O1541"/>
  <c r="O1652"/>
  <c r="O1796"/>
  <c r="O1125"/>
  <c r="O1525"/>
  <c r="O31"/>
  <c r="O98"/>
  <c r="O466"/>
  <c r="O998"/>
  <c r="O55"/>
  <c r="O654"/>
  <c r="O747"/>
  <c r="O546"/>
  <c r="O426"/>
  <c r="O562"/>
  <c r="O679"/>
  <c r="O862"/>
  <c r="O1010"/>
  <c r="O1157"/>
  <c r="O1301"/>
  <c r="O1428"/>
  <c r="O1608"/>
  <c r="O1819"/>
  <c r="O922"/>
  <c r="O1092"/>
  <c r="O1445"/>
  <c r="O1634"/>
  <c r="O270"/>
  <c r="O330"/>
  <c r="O964"/>
  <c r="O225"/>
  <c r="O852"/>
  <c r="O1707"/>
  <c r="O1702" s="1"/>
  <c r="O525"/>
  <c r="O1664"/>
  <c r="O146"/>
  <c r="O1457"/>
  <c r="O1273"/>
  <c r="O1509"/>
  <c r="O1675"/>
  <c r="O1784"/>
  <c r="O1067"/>
  <c r="O740"/>
  <c r="O1074"/>
  <c r="O1792"/>
  <c r="O213"/>
  <c r="O1221"/>
  <c r="O1729"/>
  <c r="O535"/>
  <c r="O1032"/>
  <c r="O192"/>
  <c r="O1230"/>
  <c r="O1399"/>
  <c r="O557"/>
  <c r="O1016"/>
  <c r="O759"/>
  <c r="O1802"/>
  <c r="O1758"/>
  <c r="O172"/>
  <c r="O448"/>
  <c r="O764"/>
  <c r="O989"/>
  <c r="O1657"/>
  <c r="O1814"/>
  <c r="O1503"/>
  <c r="O282"/>
  <c r="O518"/>
  <c r="O955"/>
  <c r="O1598"/>
  <c r="O1483"/>
  <c r="O626"/>
  <c r="O785"/>
  <c r="O434"/>
  <c r="O699"/>
  <c r="O495"/>
  <c r="O772"/>
  <c r="O663"/>
  <c r="O819"/>
  <c r="O1116"/>
  <c r="O1283"/>
  <c r="O1407"/>
  <c r="O1688"/>
  <c r="O1646"/>
  <c r="O643"/>
  <c r="O1414"/>
  <c r="O1488"/>
  <c r="O1615"/>
  <c r="O1698"/>
  <c r="O805"/>
  <c r="O92"/>
  <c r="O159"/>
  <c r="O1288"/>
  <c r="O1721"/>
  <c r="O505"/>
  <c r="O63"/>
  <c r="O414"/>
  <c r="O1591"/>
  <c r="O1715"/>
  <c r="O927"/>
  <c r="O1044"/>
  <c r="O1206"/>
  <c r="O355"/>
  <c r="O386"/>
  <c r="O711"/>
  <c r="O619"/>
  <c r="O732"/>
  <c r="O893"/>
  <c r="O1054"/>
  <c r="O1267"/>
  <c r="O1763"/>
  <c r="O633"/>
  <c r="O1477"/>
  <c r="O1571"/>
  <c r="O1777"/>
  <c r="O1170"/>
  <c r="O689"/>
  <c r="O1434"/>
  <c r="O78"/>
  <c r="O1531"/>
  <c r="O21"/>
  <c r="O1381"/>
  <c r="O481"/>
  <c r="O887"/>
  <c r="O1393"/>
  <c r="O1235"/>
  <c r="O1683"/>
  <c r="O607"/>
  <c r="O793"/>
  <c r="O1112"/>
  <c r="O1294"/>
  <c r="O1449"/>
  <c r="O1640"/>
  <c r="P1641"/>
  <c r="R1641" s="1"/>
  <c r="T1641" s="1"/>
  <c r="O1742"/>
  <c r="O675"/>
  <c r="O1469"/>
  <c r="O1694"/>
  <c r="O134"/>
  <c r="O581"/>
  <c r="O1581"/>
  <c r="O46"/>
  <c r="O199"/>
  <c r="O400"/>
  <c r="O832"/>
  <c r="O1152"/>
  <c r="O1347"/>
  <c r="O902"/>
  <c r="O1343"/>
  <c r="O596"/>
  <c r="O1627"/>
  <c r="O912"/>
  <c r="O1096"/>
  <c r="O1327"/>
  <c r="O1497"/>
  <c r="O1622"/>
  <c r="O1750"/>
  <c r="O473"/>
  <c r="O1146"/>
  <c r="O372"/>
  <c r="O976"/>
  <c r="O1375"/>
  <c r="O614"/>
  <c r="O983"/>
  <c r="O1024"/>
  <c r="N27"/>
  <c r="P27" s="1"/>
  <c r="R27" s="1"/>
  <c r="T27" s="1"/>
  <c r="O700" i="5"/>
  <c r="Q700" s="1"/>
  <c r="S700" s="1"/>
  <c r="U700" s="1"/>
  <c r="N699"/>
  <c r="O699" s="1"/>
  <c r="Q699" s="1"/>
  <c r="S699" s="1"/>
  <c r="U699" s="1"/>
  <c r="N1378"/>
  <c r="O1378" s="1"/>
  <c r="Q1378" s="1"/>
  <c r="S1378" s="1"/>
  <c r="U1378" s="1"/>
  <c r="O1379"/>
  <c r="Q1379" s="1"/>
  <c r="S1379" s="1"/>
  <c r="U1379" s="1"/>
  <c r="M834" i="6"/>
  <c r="N835"/>
  <c r="P835" s="1"/>
  <c r="R835" s="1"/>
  <c r="T835" s="1"/>
  <c r="M1658"/>
  <c r="N1659"/>
  <c r="P1659" s="1"/>
  <c r="R1659" s="1"/>
  <c r="T1659" s="1"/>
  <c r="M1647"/>
  <c r="N1648"/>
  <c r="P1648" s="1"/>
  <c r="R1648" s="1"/>
  <c r="T1648" s="1"/>
  <c r="N1649"/>
  <c r="P1649" s="1"/>
  <c r="R1649" s="1"/>
  <c r="T1649" s="1"/>
  <c r="N585" i="5"/>
  <c r="N584" s="1"/>
  <c r="O584" s="1"/>
  <c r="Q584" s="1"/>
  <c r="S584" s="1"/>
  <c r="U584" s="1"/>
  <c r="N581"/>
  <c r="N580" s="1"/>
  <c r="O582"/>
  <c r="Q582" s="1"/>
  <c r="S582" s="1"/>
  <c r="U582" s="1"/>
  <c r="O586"/>
  <c r="Q586" s="1"/>
  <c r="S586" s="1"/>
  <c r="U586" s="1"/>
  <c r="A585"/>
  <c r="A586"/>
  <c r="A580"/>
  <c r="A581"/>
  <c r="A579"/>
  <c r="A584"/>
  <c r="A578"/>
  <c r="A575"/>
  <c r="A582"/>
  <c r="A577"/>
  <c r="A583"/>
  <c r="M50" i="1" l="1"/>
  <c r="M48" s="1"/>
  <c r="N1639" i="6"/>
  <c r="P561" i="5"/>
  <c r="M45" i="1"/>
  <c r="P574" i="5"/>
  <c r="M53" i="1"/>
  <c r="P371" i="5"/>
  <c r="M64" i="1"/>
  <c r="O1086" i="6"/>
  <c r="O975"/>
  <c r="O1151"/>
  <c r="O606"/>
  <c r="O595" s="1"/>
  <c r="O1380"/>
  <c r="O1530"/>
  <c r="O1433"/>
  <c r="O688"/>
  <c r="O1476"/>
  <c r="O1762"/>
  <c r="O1053"/>
  <c r="O710"/>
  <c r="O1043"/>
  <c r="O1711"/>
  <c r="O413"/>
  <c r="O1287"/>
  <c r="O153"/>
  <c r="O804"/>
  <c r="O1413"/>
  <c r="O1645"/>
  <c r="O1406"/>
  <c r="O771"/>
  <c r="O1482"/>
  <c r="O512"/>
  <c r="O1502"/>
  <c r="O1656"/>
  <c r="O171"/>
  <c r="O1801"/>
  <c r="O1015"/>
  <c r="O1398"/>
  <c r="O191"/>
  <c r="O1220"/>
  <c r="O1791"/>
  <c r="O739"/>
  <c r="O1783"/>
  <c r="O1508"/>
  <c r="O145"/>
  <c r="O851"/>
  <c r="O963"/>
  <c r="O269"/>
  <c r="O1444"/>
  <c r="O921"/>
  <c r="O1300"/>
  <c r="O1009"/>
  <c r="O746"/>
  <c r="O54"/>
  <c r="O465"/>
  <c r="O1124"/>
  <c r="O421"/>
  <c r="O1351"/>
  <c r="O694"/>
  <c r="O305"/>
  <c r="O726"/>
  <c r="O1356"/>
  <c r="O982"/>
  <c r="O1342"/>
  <c r="O1468"/>
  <c r="O1639"/>
  <c r="P1640"/>
  <c r="R1640" s="1"/>
  <c r="T1640" s="1"/>
  <c r="O1293"/>
  <c r="O792"/>
  <c r="O1682"/>
  <c r="O1392"/>
  <c r="O480"/>
  <c r="O1776"/>
  <c r="O348"/>
  <c r="O1614"/>
  <c r="O784"/>
  <c r="O524"/>
  <c r="O1607"/>
  <c r="O1048"/>
  <c r="O1023"/>
  <c r="O1374"/>
  <c r="O1346"/>
  <c r="O1580"/>
  <c r="O20"/>
  <c r="O77"/>
  <c r="O1169"/>
  <c r="O892"/>
  <c r="O385"/>
  <c r="O62"/>
  <c r="O1720"/>
  <c r="O91"/>
  <c r="O642"/>
  <c r="O1687"/>
  <c r="O1282"/>
  <c r="O818"/>
  <c r="O433"/>
  <c r="O625"/>
  <c r="O281"/>
  <c r="O1813"/>
  <c r="O988"/>
  <c r="O447"/>
  <c r="O1757"/>
  <c r="O556"/>
  <c r="O1229"/>
  <c r="O1073"/>
  <c r="O1066"/>
  <c r="O1456"/>
  <c r="O1663"/>
  <c r="O224"/>
  <c r="O1633"/>
  <c r="O1091"/>
  <c r="O1818"/>
  <c r="O1427"/>
  <c r="O1156"/>
  <c r="O861"/>
  <c r="O561"/>
  <c r="O545"/>
  <c r="O653"/>
  <c r="O997"/>
  <c r="O97"/>
  <c r="O1524"/>
  <c r="O1651"/>
  <c r="O1103"/>
  <c r="O1210"/>
  <c r="O573"/>
  <c r="O585"/>
  <c r="O392"/>
  <c r="O867"/>
  <c r="O472"/>
  <c r="O1626"/>
  <c r="O831"/>
  <c r="O133"/>
  <c r="O613"/>
  <c r="O1145"/>
  <c r="O1749"/>
  <c r="O1621"/>
  <c r="O1326"/>
  <c r="O911"/>
  <c r="O901"/>
  <c r="O399"/>
  <c r="O45"/>
  <c r="O580"/>
  <c r="O674"/>
  <c r="O1741"/>
  <c r="O1111"/>
  <c r="O1234"/>
  <c r="O886"/>
  <c r="O1570"/>
  <c r="O632"/>
  <c r="O618"/>
  <c r="O1205"/>
  <c r="O1590"/>
  <c r="O1487"/>
  <c r="O494"/>
  <c r="O1597"/>
  <c r="O758"/>
  <c r="O1031"/>
  <c r="O1728"/>
  <c r="O212"/>
  <c r="O1674"/>
  <c r="O1272"/>
  <c r="O1559"/>
  <c r="O945"/>
  <c r="M833"/>
  <c r="N834"/>
  <c r="P834" s="1"/>
  <c r="R834" s="1"/>
  <c r="T834" s="1"/>
  <c r="O581" i="5"/>
  <c r="Q581" s="1"/>
  <c r="S581" s="1"/>
  <c r="U581" s="1"/>
  <c r="O585"/>
  <c r="Q585" s="1"/>
  <c r="S585" s="1"/>
  <c r="U585" s="1"/>
  <c r="M1657" i="6"/>
  <c r="N1658"/>
  <c r="P1658" s="1"/>
  <c r="R1658" s="1"/>
  <c r="T1658" s="1"/>
  <c r="M1646"/>
  <c r="N1647"/>
  <c r="P1647" s="1"/>
  <c r="R1647" s="1"/>
  <c r="T1647" s="1"/>
  <c r="N583" i="5"/>
  <c r="O583" s="1"/>
  <c r="Q583" s="1"/>
  <c r="S583" s="1"/>
  <c r="U583" s="1"/>
  <c r="O580"/>
  <c r="Q580" s="1"/>
  <c r="S580" s="1"/>
  <c r="U580" s="1"/>
  <c r="N579"/>
  <c r="O579" s="1"/>
  <c r="Q579" s="1"/>
  <c r="S579" s="1"/>
  <c r="U579" s="1"/>
  <c r="N70"/>
  <c r="N69" s="1"/>
  <c r="N68" s="1"/>
  <c r="N67" s="1"/>
  <c r="O67" s="1"/>
  <c r="Q67" s="1"/>
  <c r="S67" s="1"/>
  <c r="U67" s="1"/>
  <c r="A67"/>
  <c r="A70"/>
  <c r="A66"/>
  <c r="A68"/>
  <c r="A69"/>
  <c r="O1266" i="6" l="1"/>
  <c r="P551" i="5"/>
  <c r="M43" i="1"/>
  <c r="P21" i="5"/>
  <c r="M63" i="1"/>
  <c r="O1529" i="6"/>
  <c r="O944"/>
  <c r="O211"/>
  <c r="O1030"/>
  <c r="O1481"/>
  <c r="O1204"/>
  <c r="O631"/>
  <c r="O885"/>
  <c r="O1110"/>
  <c r="O673"/>
  <c r="O900"/>
  <c r="O1144"/>
  <c r="O132"/>
  <c r="O866"/>
  <c r="O1650"/>
  <c r="O647"/>
  <c r="O1632"/>
  <c r="O1662"/>
  <c r="O987"/>
  <c r="O432"/>
  <c r="O1719"/>
  <c r="O76"/>
  <c r="O1373"/>
  <c r="O523"/>
  <c r="O1768"/>
  <c r="O1391"/>
  <c r="O1638"/>
  <c r="P1638" s="1"/>
  <c r="R1638" s="1"/>
  <c r="T1638" s="1"/>
  <c r="P1639"/>
  <c r="R1639" s="1"/>
  <c r="T1639" s="1"/>
  <c r="O1336"/>
  <c r="O1443"/>
  <c r="O962"/>
  <c r="O144"/>
  <c r="O1014"/>
  <c r="O164"/>
  <c r="O1501"/>
  <c r="O770"/>
  <c r="O1644"/>
  <c r="O803"/>
  <c r="O1042"/>
  <c r="O974"/>
  <c r="O1673"/>
  <c r="O1727"/>
  <c r="O757"/>
  <c r="O493"/>
  <c r="O579"/>
  <c r="O1325"/>
  <c r="O612"/>
  <c r="O830"/>
  <c r="O471"/>
  <c r="O391"/>
  <c r="O572"/>
  <c r="O1102"/>
  <c r="O996"/>
  <c r="O995" s="1"/>
  <c r="O544"/>
  <c r="O860"/>
  <c r="O1426"/>
  <c r="O1085"/>
  <c r="O1455"/>
  <c r="O1072"/>
  <c r="O550"/>
  <c r="O446"/>
  <c r="O1812"/>
  <c r="O624"/>
  <c r="O817"/>
  <c r="O891"/>
  <c r="O1168"/>
  <c r="O19"/>
  <c r="O1345"/>
  <c r="O1022"/>
  <c r="O783"/>
  <c r="O479"/>
  <c r="O1681"/>
  <c r="O1292"/>
  <c r="O1467"/>
  <c r="O981"/>
  <c r="O720"/>
  <c r="O693"/>
  <c r="O420"/>
  <c r="O53"/>
  <c r="O1008"/>
  <c r="O262"/>
  <c r="O850"/>
  <c r="O1507"/>
  <c r="O738"/>
  <c r="O1412"/>
  <c r="O704"/>
  <c r="O1475"/>
  <c r="O1432"/>
  <c r="O1379"/>
  <c r="O1150"/>
  <c r="O504"/>
  <c r="O910"/>
  <c r="O152"/>
  <c r="M832"/>
  <c r="N833"/>
  <c r="P833" s="1"/>
  <c r="R833" s="1"/>
  <c r="T833" s="1"/>
  <c r="M1656"/>
  <c r="N1656" s="1"/>
  <c r="P1656" s="1"/>
  <c r="R1656" s="1"/>
  <c r="T1656" s="1"/>
  <c r="N1657"/>
  <c r="P1657" s="1"/>
  <c r="R1657" s="1"/>
  <c r="T1657" s="1"/>
  <c r="M1645"/>
  <c r="N1646"/>
  <c r="P1646" s="1"/>
  <c r="R1646" s="1"/>
  <c r="T1646" s="1"/>
  <c r="N578" i="5"/>
  <c r="O578" s="1"/>
  <c r="Q578" s="1"/>
  <c r="S578" s="1"/>
  <c r="U578" s="1"/>
  <c r="N66"/>
  <c r="O66" s="1"/>
  <c r="Q66" s="1"/>
  <c r="S66" s="1"/>
  <c r="U66" s="1"/>
  <c r="G70"/>
  <c r="G69" s="1"/>
  <c r="A71"/>
  <c r="P550" l="1"/>
  <c r="M34" i="1"/>
  <c r="O611" i="6"/>
  <c r="O802"/>
  <c r="O1474"/>
  <c r="O1084"/>
  <c r="O1109"/>
  <c r="O1523"/>
  <c r="O1405"/>
  <c r="O464"/>
  <c r="O384"/>
  <c r="O980"/>
  <c r="O1021"/>
  <c r="O439"/>
  <c r="O1631"/>
  <c r="O131"/>
  <c r="O630"/>
  <c r="O210"/>
  <c r="O731"/>
  <c r="O1007"/>
  <c r="O782"/>
  <c r="O816"/>
  <c r="O1425"/>
  <c r="O961"/>
  <c r="O522"/>
  <c r="O1065"/>
  <c r="O1265"/>
  <c r="O1372"/>
  <c r="O151"/>
  <c r="O543"/>
  <c r="O1335"/>
  <c r="O745"/>
  <c r="M831"/>
  <c r="N832"/>
  <c r="P832" s="1"/>
  <c r="R832" s="1"/>
  <c r="T832" s="1"/>
  <c r="N65" i="5"/>
  <c r="M1644" i="6"/>
  <c r="N1644" s="1"/>
  <c r="P1644" s="1"/>
  <c r="R1644" s="1"/>
  <c r="T1644" s="1"/>
  <c r="N1645"/>
  <c r="P1645" s="1"/>
  <c r="R1645" s="1"/>
  <c r="T1645" s="1"/>
  <c r="N577" i="5"/>
  <c r="G68"/>
  <c r="I69"/>
  <c r="K69" s="1"/>
  <c r="M69" s="1"/>
  <c r="O69" s="1"/>
  <c r="Q69" s="1"/>
  <c r="S69" s="1"/>
  <c r="U69" s="1"/>
  <c r="I70"/>
  <c r="K70" s="1"/>
  <c r="M70" s="1"/>
  <c r="O70" s="1"/>
  <c r="Q70" s="1"/>
  <c r="S70" s="1"/>
  <c r="U70" s="1"/>
  <c r="I71"/>
  <c r="K71" s="1"/>
  <c r="M71" s="1"/>
  <c r="O71" s="1"/>
  <c r="Q71" s="1"/>
  <c r="S71" s="1"/>
  <c r="U71" s="1"/>
  <c r="M29" i="1" l="1"/>
  <c r="P549" i="5"/>
  <c r="O763" i="6"/>
  <c r="O1020"/>
  <c r="O1334"/>
  <c r="O1371"/>
  <c r="O1473"/>
  <c r="O1108"/>
  <c r="O1522"/>
  <c r="O150"/>
  <c r="O954"/>
  <c r="O239"/>
  <c r="M830"/>
  <c r="N830" s="1"/>
  <c r="P830" s="1"/>
  <c r="R830" s="1"/>
  <c r="T830" s="1"/>
  <c r="N831"/>
  <c r="P831" s="1"/>
  <c r="R831" s="1"/>
  <c r="T831" s="1"/>
  <c r="O577" i="5"/>
  <c r="Q577" s="1"/>
  <c r="S577" s="1"/>
  <c r="U577" s="1"/>
  <c r="N576"/>
  <c r="K30" i="1" s="1"/>
  <c r="G65" i="5"/>
  <c r="I65" s="1"/>
  <c r="K65" s="1"/>
  <c r="M65" s="1"/>
  <c r="O65" s="1"/>
  <c r="Q65" s="1"/>
  <c r="S65" s="1"/>
  <c r="U65" s="1"/>
  <c r="I68"/>
  <c r="K68" s="1"/>
  <c r="M68" s="1"/>
  <c r="O68" s="1"/>
  <c r="Q68" s="1"/>
  <c r="S68" s="1"/>
  <c r="U68" s="1"/>
  <c r="N595"/>
  <c r="M38" i="6"/>
  <c r="N38" s="1"/>
  <c r="P38" s="1"/>
  <c r="R38" s="1"/>
  <c r="T38" s="1"/>
  <c r="A38"/>
  <c r="M67" i="1" l="1"/>
  <c r="P1752" i="5"/>
  <c r="O1333" i="6"/>
  <c r="O18"/>
  <c r="O1521"/>
  <c r="O576" i="5"/>
  <c r="Q576" s="1"/>
  <c r="S576" s="1"/>
  <c r="U576" s="1"/>
  <c r="N575"/>
  <c r="N723"/>
  <c r="L723"/>
  <c r="O725"/>
  <c r="Q725" s="1"/>
  <c r="S725" s="1"/>
  <c r="U725" s="1"/>
  <c r="A725"/>
  <c r="O1264" i="6" l="1"/>
  <c r="O575" i="5"/>
  <c r="Q575" s="1"/>
  <c r="S575" s="1"/>
  <c r="U575" s="1"/>
  <c r="N450"/>
  <c r="N448" s="1"/>
  <c r="N1750"/>
  <c r="N1747"/>
  <c r="N1746" s="1"/>
  <c r="N1744"/>
  <c r="N1738"/>
  <c r="N1737" s="1"/>
  <c r="N1732"/>
  <c r="N1729"/>
  <c r="N1721"/>
  <c r="N1718"/>
  <c r="N1717" s="1"/>
  <c r="N1715"/>
  <c r="N1706"/>
  <c r="N1705" s="1"/>
  <c r="N1700"/>
  <c r="N1685"/>
  <c r="N1684" s="1"/>
  <c r="N1674"/>
  <c r="N1673" s="1"/>
  <c r="N1666"/>
  <c r="N1665" s="1"/>
  <c r="N1664" s="1"/>
  <c r="N1662"/>
  <c r="N1658"/>
  <c r="N1657" s="1"/>
  <c r="N1654"/>
  <c r="N1647"/>
  <c r="N1646" s="1"/>
  <c r="N1644"/>
  <c r="N1640"/>
  <c r="N1639" s="1"/>
  <c r="N1638" s="1"/>
  <c r="N1634"/>
  <c r="N1627"/>
  <c r="N1620"/>
  <c r="N1616"/>
  <c r="N1615" s="1"/>
  <c r="N1614" s="1"/>
  <c r="N1602"/>
  <c r="N1601" s="1"/>
  <c r="N1599"/>
  <c r="N1598" s="1"/>
  <c r="N1596"/>
  <c r="N1593"/>
  <c r="N1582"/>
  <c r="N1581" s="1"/>
  <c r="N1579"/>
  <c r="N1576"/>
  <c r="N1573"/>
  <c r="N1572" s="1"/>
  <c r="N1571" s="1"/>
  <c r="N1563"/>
  <c r="N1562" s="1"/>
  <c r="N1558"/>
  <c r="N1557" s="1"/>
  <c r="N1556" s="1"/>
  <c r="N1555" s="1"/>
  <c r="N1552"/>
  <c r="N1529"/>
  <c r="N1522"/>
  <c r="N1521" s="1"/>
  <c r="N1517"/>
  <c r="N1516" s="1"/>
  <c r="N1506"/>
  <c r="N1505" s="1"/>
  <c r="N1504" s="1"/>
  <c r="N1503" s="1"/>
  <c r="N1501"/>
  <c r="N1500" s="1"/>
  <c r="N1497"/>
  <c r="N1489"/>
  <c r="N1488" s="1"/>
  <c r="N1486"/>
  <c r="N1483"/>
  <c r="N1482" s="1"/>
  <c r="N1480"/>
  <c r="N1476"/>
  <c r="N1471"/>
  <c r="N1470" s="1"/>
  <c r="N1468"/>
  <c r="N1465"/>
  <c r="N1464" s="1"/>
  <c r="N1462"/>
  <c r="N1459"/>
  <c r="N1458" s="1"/>
  <c r="N1456"/>
  <c r="N1444"/>
  <c r="N1443" s="1"/>
  <c r="N1439" s="1"/>
  <c r="N1434"/>
  <c r="N1431"/>
  <c r="N1427"/>
  <c r="N1419"/>
  <c r="N1418" s="1"/>
  <c r="N1417" s="1"/>
  <c r="N1412"/>
  <c r="N1411" s="1"/>
  <c r="N1405"/>
  <c r="N1397"/>
  <c r="N1376"/>
  <c r="N1375" s="1"/>
  <c r="N1371" s="1"/>
  <c r="N1370" s="1"/>
  <c r="N1368"/>
  <c r="N1367" s="1"/>
  <c r="N1360"/>
  <c r="N1359" s="1"/>
  <c r="N1355" s="1"/>
  <c r="N1352"/>
  <c r="N1342"/>
  <c r="N1341" s="1"/>
  <c r="N1340" s="1"/>
  <c r="N1334"/>
  <c r="N1333" s="1"/>
  <c r="N1332" s="1"/>
  <c r="N1327" s="1"/>
  <c r="N1323"/>
  <c r="N1322" s="1"/>
  <c r="N1319"/>
  <c r="N1318" s="1"/>
  <c r="N1317" s="1"/>
  <c r="N1315"/>
  <c r="N1313"/>
  <c r="N1309"/>
  <c r="N1308" s="1"/>
  <c r="N1307" s="1"/>
  <c r="N1294"/>
  <c r="N1293" s="1"/>
  <c r="N1291"/>
  <c r="N1285"/>
  <c r="N1284" s="1"/>
  <c r="N1279"/>
  <c r="N1278" s="1"/>
  <c r="N1274"/>
  <c r="N1273" s="1"/>
  <c r="N1262"/>
  <c r="N1261" s="1"/>
  <c r="N1260" s="1"/>
  <c r="N1258"/>
  <c r="N1256"/>
  <c r="N1253"/>
  <c r="N1252" s="1"/>
  <c r="N1249"/>
  <c r="N1247"/>
  <c r="N1243"/>
  <c r="N1242" s="1"/>
  <c r="N1236"/>
  <c r="N1234"/>
  <c r="N1230"/>
  <c r="N1228"/>
  <c r="N1222"/>
  <c r="N1220"/>
  <c r="N1214"/>
  <c r="N1208"/>
  <c r="N1206"/>
  <c r="N1198"/>
  <c r="N1197" s="1"/>
  <c r="N1196" s="1"/>
  <c r="N1194"/>
  <c r="N1193" s="1"/>
  <c r="N1191"/>
  <c r="N1190" s="1"/>
  <c r="N1188"/>
  <c r="N1177"/>
  <c r="N1175"/>
  <c r="N1159"/>
  <c r="N1157"/>
  <c r="N1153"/>
  <c r="N1152" s="1"/>
  <c r="N1151" s="1"/>
  <c r="N1147"/>
  <c r="N1146" s="1"/>
  <c r="N1143"/>
  <c r="N1142" s="1"/>
  <c r="N1139"/>
  <c r="N1135"/>
  <c r="N1134" s="1"/>
  <c r="N1133" s="1"/>
  <c r="N1130"/>
  <c r="N1125"/>
  <c r="N1121"/>
  <c r="N1117"/>
  <c r="N1116" s="1"/>
  <c r="N1115" s="1"/>
  <c r="N1112"/>
  <c r="N1110"/>
  <c r="N1106"/>
  <c r="N1105" s="1"/>
  <c r="N1101"/>
  <c r="N1100" s="1"/>
  <c r="N1099" s="1"/>
  <c r="N1097"/>
  <c r="N1096" s="1"/>
  <c r="N1092"/>
  <c r="N1091" s="1"/>
  <c r="N1090" s="1"/>
  <c r="N1088"/>
  <c r="N1087" s="1"/>
  <c r="N1079"/>
  <c r="N1078" s="1"/>
  <c r="N1077" s="1"/>
  <c r="N1075"/>
  <c r="N1074" s="1"/>
  <c r="N1070"/>
  <c r="N1069" s="1"/>
  <c r="N1068" s="1"/>
  <c r="N1063"/>
  <c r="N1057"/>
  <c r="N1056" s="1"/>
  <c r="N1052"/>
  <c r="N1043"/>
  <c r="N1041"/>
  <c r="N1032"/>
  <c r="N1031" s="1"/>
  <c r="N1030" s="1"/>
  <c r="N1028"/>
  <c r="N1019"/>
  <c r="N1015"/>
  <c r="N1011"/>
  <c r="N1010" s="1"/>
  <c r="N1007"/>
  <c r="N998"/>
  <c r="N997" s="1"/>
  <c r="N994"/>
  <c r="N990"/>
  <c r="N989" s="1"/>
  <c r="N981"/>
  <c r="N980" s="1"/>
  <c r="N978"/>
  <c r="N970"/>
  <c r="N969" s="1"/>
  <c r="N968" s="1"/>
  <c r="N966"/>
  <c r="N965" s="1"/>
  <c r="N951"/>
  <c r="N950" s="1"/>
  <c r="N949" s="1"/>
  <c r="N948" s="1"/>
  <c r="N944"/>
  <c r="N943" s="1"/>
  <c r="N934"/>
  <c r="N922"/>
  <c r="N919"/>
  <c r="N912"/>
  <c r="N911" s="1"/>
  <c r="N904"/>
  <c r="N903" s="1"/>
  <c r="N902" s="1"/>
  <c r="N901" s="1"/>
  <c r="N896"/>
  <c r="N888"/>
  <c r="N887" s="1"/>
  <c r="N886" s="1"/>
  <c r="N881"/>
  <c r="N878"/>
  <c r="N877" s="1"/>
  <c r="N875"/>
  <c r="N874" s="1"/>
  <c r="N872"/>
  <c r="N863"/>
  <c r="N862" s="1"/>
  <c r="N855"/>
  <c r="N854" s="1"/>
  <c r="N853" s="1"/>
  <c r="N852" s="1"/>
  <c r="N851" s="1"/>
  <c r="N849"/>
  <c r="N841"/>
  <c r="N836"/>
  <c r="N835" s="1"/>
  <c r="N834" s="1"/>
  <c r="N833" s="1"/>
  <c r="N832" s="1"/>
  <c r="N830"/>
  <c r="N822"/>
  <c r="N821" s="1"/>
  <c r="N819"/>
  <c r="N816"/>
  <c r="N815" s="1"/>
  <c r="N814" s="1"/>
  <c r="N812"/>
  <c r="N809"/>
  <c r="N803"/>
  <c r="N802" s="1"/>
  <c r="N801" s="1"/>
  <c r="N797"/>
  <c r="N796" s="1"/>
  <c r="N793"/>
  <c r="N792" s="1"/>
  <c r="N790"/>
  <c r="N789" s="1"/>
  <c r="N780"/>
  <c r="N778"/>
  <c r="N775"/>
  <c r="N774" s="1"/>
  <c r="N770"/>
  <c r="N766"/>
  <c r="N765" s="1"/>
  <c r="N764" s="1"/>
  <c r="N761"/>
  <c r="N759"/>
  <c r="N756"/>
  <c r="N752"/>
  <c r="N750"/>
  <c r="M195" i="6" s="1"/>
  <c r="N746" i="5"/>
  <c r="N745" s="1"/>
  <c r="N741"/>
  <c r="N739"/>
  <c r="N734"/>
  <c r="N732"/>
  <c r="N728"/>
  <c r="N727" s="1"/>
  <c r="N726" s="1"/>
  <c r="N721"/>
  <c r="N720" s="1"/>
  <c r="N719" s="1"/>
  <c r="N717"/>
  <c r="N711"/>
  <c r="N710" s="1"/>
  <c r="N709" s="1"/>
  <c r="N706"/>
  <c r="N689"/>
  <c r="N688" s="1"/>
  <c r="N686"/>
  <c r="N685" s="1"/>
  <c r="N680"/>
  <c r="N679" s="1"/>
  <c r="N678" s="1"/>
  <c r="N674"/>
  <c r="N668"/>
  <c r="N667" s="1"/>
  <c r="N666" s="1"/>
  <c r="N664"/>
  <c r="N657"/>
  <c r="N656" s="1"/>
  <c r="N655" s="1"/>
  <c r="N652"/>
  <c r="N649"/>
  <c r="N644"/>
  <c r="N643" s="1"/>
  <c r="N641"/>
  <c r="N640" s="1"/>
  <c r="N637"/>
  <c r="N635"/>
  <c r="N628"/>
  <c r="N626"/>
  <c r="N620"/>
  <c r="N619" s="1"/>
  <c r="N618" s="1"/>
  <c r="N614"/>
  <c r="N601"/>
  <c r="N599"/>
  <c r="N593"/>
  <c r="N571"/>
  <c r="N570" s="1"/>
  <c r="N568"/>
  <c r="N567" s="1"/>
  <c r="N565"/>
  <c r="N559"/>
  <c r="N558" s="1"/>
  <c r="N547"/>
  <c r="N546" s="1"/>
  <c r="N545" s="1"/>
  <c r="N544" s="1"/>
  <c r="N540"/>
  <c r="N539" s="1"/>
  <c r="N532"/>
  <c r="N531" s="1"/>
  <c r="N530" s="1"/>
  <c r="N529" s="1"/>
  <c r="N526"/>
  <c r="N523"/>
  <c r="N522" s="1"/>
  <c r="N520"/>
  <c r="N513"/>
  <c r="N512" s="1"/>
  <c r="N511" s="1"/>
  <c r="N508"/>
  <c r="N506"/>
  <c r="N495"/>
  <c r="N494" s="1"/>
  <c r="N493" s="1"/>
  <c r="N491"/>
  <c r="N485"/>
  <c r="N484" s="1"/>
  <c r="N483" s="1"/>
  <c r="N477"/>
  <c r="N476" s="1"/>
  <c r="N470"/>
  <c r="N467"/>
  <c r="N466" s="1"/>
  <c r="N461"/>
  <c r="N460" s="1"/>
  <c r="N459" s="1"/>
  <c r="N458" s="1"/>
  <c r="N456"/>
  <c r="N455" s="1"/>
  <c r="N452"/>
  <c r="N451" s="1"/>
  <c r="N445"/>
  <c r="N430"/>
  <c r="N423"/>
  <c r="N422" s="1"/>
  <c r="N421" s="1"/>
  <c r="N420" s="1"/>
  <c r="N414"/>
  <c r="N413" s="1"/>
  <c r="N411"/>
  <c r="N410" s="1"/>
  <c r="N407"/>
  <c r="N406" s="1"/>
  <c r="N404"/>
  <c r="N401"/>
  <c r="N392"/>
  <c r="N387"/>
  <c r="N381"/>
  <c r="N377"/>
  <c r="N376" s="1"/>
  <c r="N369"/>
  <c r="N368" s="1"/>
  <c r="N367" s="1"/>
  <c r="N366" s="1"/>
  <c r="N364"/>
  <c r="N363" s="1"/>
  <c r="N351"/>
  <c r="N350" s="1"/>
  <c r="N349" s="1"/>
  <c r="N346"/>
  <c r="N338"/>
  <c r="N337" s="1"/>
  <c r="N336" s="1"/>
  <c r="N331"/>
  <c r="N321"/>
  <c r="N320" s="1"/>
  <c r="N319" s="1"/>
  <c r="N317"/>
  <c r="N316" s="1"/>
  <c r="N312"/>
  <c r="N311" s="1"/>
  <c r="N310" s="1"/>
  <c r="N308"/>
  <c r="N307" s="1"/>
  <c r="N301"/>
  <c r="N300" s="1"/>
  <c r="N299" s="1"/>
  <c r="N296"/>
  <c r="N293"/>
  <c r="N292" s="1"/>
  <c r="N290"/>
  <c r="N289" s="1"/>
  <c r="N283"/>
  <c r="N282" s="1"/>
  <c r="N280"/>
  <c r="N275"/>
  <c r="N274" s="1"/>
  <c r="N273" s="1"/>
  <c r="N271"/>
  <c r="N265"/>
  <c r="N264" s="1"/>
  <c r="N263" s="1"/>
  <c r="N262" s="1"/>
  <c r="N260"/>
  <c r="N259" s="1"/>
  <c r="N253"/>
  <c r="N252" s="1"/>
  <c r="N251" s="1"/>
  <c r="N249"/>
  <c r="N248" s="1"/>
  <c r="N238"/>
  <c r="N237" s="1"/>
  <c r="N236" s="1"/>
  <c r="N235" s="1"/>
  <c r="N231"/>
  <c r="N230" s="1"/>
  <c r="N228"/>
  <c r="N227" s="1"/>
  <c r="N225"/>
  <c r="N219"/>
  <c r="N218" s="1"/>
  <c r="N216"/>
  <c r="N215" s="1"/>
  <c r="N213"/>
  <c r="N212" s="1"/>
  <c r="N210"/>
  <c r="N207"/>
  <c r="N206" s="1"/>
  <c r="N204"/>
  <c r="N200"/>
  <c r="N199" s="1"/>
  <c r="N197"/>
  <c r="N194"/>
  <c r="N190"/>
  <c r="N184"/>
  <c r="N183" s="1"/>
  <c r="N182" s="1"/>
  <c r="N180"/>
  <c r="N179" s="1"/>
  <c r="N169"/>
  <c r="N168" s="1"/>
  <c r="N167" s="1"/>
  <c r="N166" s="1"/>
  <c r="N162"/>
  <c r="N156"/>
  <c r="N155" s="1"/>
  <c r="N154" s="1"/>
  <c r="N152"/>
  <c r="N148"/>
  <c r="N147" s="1"/>
  <c r="N146" s="1"/>
  <c r="N144"/>
  <c r="N134"/>
  <c r="N133" s="1"/>
  <c r="N132" s="1"/>
  <c r="N129"/>
  <c r="N123"/>
  <c r="N122" s="1"/>
  <c r="N120"/>
  <c r="N119" s="1"/>
  <c r="N117"/>
  <c r="N112"/>
  <c r="N111" s="1"/>
  <c r="N110" s="1"/>
  <c r="N107"/>
  <c r="N106" s="1"/>
  <c r="N103"/>
  <c r="N101"/>
  <c r="N98"/>
  <c r="N97" s="1"/>
  <c r="N93"/>
  <c r="N92" s="1"/>
  <c r="N88"/>
  <c r="N87" s="1"/>
  <c r="N85"/>
  <c r="N81"/>
  <c r="N80" s="1"/>
  <c r="N78"/>
  <c r="N77" s="1"/>
  <c r="N75"/>
  <c r="N63"/>
  <c r="N62" s="1"/>
  <c r="N54"/>
  <c r="N53" s="1"/>
  <c r="N52" s="1"/>
  <c r="N49"/>
  <c r="N47"/>
  <c r="N46" s="1"/>
  <c r="N44"/>
  <c r="N38"/>
  <c r="N37" s="1"/>
  <c r="N35"/>
  <c r="N28"/>
  <c r="N27" s="1"/>
  <c r="N26" s="1"/>
  <c r="N25" s="1"/>
  <c r="N24" s="1"/>
  <c r="N23" s="1"/>
  <c r="M1822" i="6"/>
  <c r="M1817"/>
  <c r="M1805"/>
  <c r="M1800"/>
  <c r="M1795"/>
  <c r="M1790"/>
  <c r="M1787"/>
  <c r="M1782"/>
  <c r="M1779"/>
  <c r="M1767"/>
  <c r="M1761"/>
  <c r="M1756"/>
  <c r="M1753"/>
  <c r="M1748"/>
  <c r="M1745"/>
  <c r="M1740"/>
  <c r="M1739"/>
  <c r="M1734"/>
  <c r="M1731"/>
  <c r="M1726"/>
  <c r="M1723"/>
  <c r="M1718"/>
  <c r="M1714"/>
  <c r="M1710"/>
  <c r="M1706"/>
  <c r="M1701"/>
  <c r="M1700" s="1"/>
  <c r="M1697"/>
  <c r="M1693"/>
  <c r="M1692" s="1"/>
  <c r="M1691"/>
  <c r="M1667"/>
  <c r="M1686"/>
  <c r="M1680"/>
  <c r="M1677"/>
  <c r="M1655"/>
  <c r="M1637"/>
  <c r="M1630"/>
  <c r="M1629" s="1"/>
  <c r="M1625"/>
  <c r="M1620"/>
  <c r="M1619" s="1"/>
  <c r="M1617"/>
  <c r="M1613"/>
  <c r="M1610"/>
  <c r="M1606"/>
  <c r="M1605" s="1"/>
  <c r="M1603"/>
  <c r="M1600"/>
  <c r="M1599" s="1"/>
  <c r="M1596"/>
  <c r="M1593"/>
  <c r="M1589"/>
  <c r="M1586"/>
  <c r="M1585" s="1"/>
  <c r="M1583"/>
  <c r="M1579"/>
  <c r="M1576"/>
  <c r="M1573"/>
  <c r="M1569"/>
  <c r="M1565"/>
  <c r="M1564" s="1"/>
  <c r="M1562"/>
  <c r="M1558"/>
  <c r="M1555"/>
  <c r="M1552"/>
  <c r="M1549"/>
  <c r="M1548" s="1"/>
  <c r="M1546"/>
  <c r="M1543"/>
  <c r="M1540"/>
  <c r="M1539"/>
  <c r="M1536"/>
  <c r="M1533"/>
  <c r="M1528"/>
  <c r="M1513"/>
  <c r="M1506"/>
  <c r="M1505" s="1"/>
  <c r="M1500"/>
  <c r="M1496"/>
  <c r="M1495" s="1"/>
  <c r="M1493"/>
  <c r="M1490"/>
  <c r="M1489" s="1"/>
  <c r="M1486"/>
  <c r="M1480"/>
  <c r="M1479" s="1"/>
  <c r="M1472"/>
  <c r="M1466"/>
  <c r="M1465"/>
  <c r="M1462"/>
  <c r="M1459"/>
  <c r="M1454"/>
  <c r="M1448"/>
  <c r="M1442"/>
  <c r="M1437"/>
  <c r="M1431"/>
  <c r="M1418"/>
  <c r="M1417"/>
  <c r="M1411"/>
  <c r="M1404"/>
  <c r="M1401" s="1"/>
  <c r="M1397"/>
  <c r="M1390"/>
  <c r="M1389"/>
  <c r="M1386"/>
  <c r="M1383"/>
  <c r="M1378"/>
  <c r="M1370"/>
  <c r="M1369"/>
  <c r="M1366"/>
  <c r="M1363"/>
  <c r="M1360"/>
  <c r="M1355"/>
  <c r="M1350"/>
  <c r="M1349" s="1"/>
  <c r="M1341"/>
  <c r="M1338"/>
  <c r="M1337" s="1"/>
  <c r="M1332"/>
  <c r="M1330"/>
  <c r="M1329" s="1"/>
  <c r="M1306"/>
  <c r="M1305" s="1"/>
  <c r="M1304"/>
  <c r="M1303" s="1"/>
  <c r="M1299"/>
  <c r="M1297"/>
  <c r="M1291"/>
  <c r="M1286"/>
  <c r="M1285" s="1"/>
  <c r="M1281"/>
  <c r="M1279"/>
  <c r="M1276"/>
  <c r="M1271"/>
  <c r="M1245"/>
  <c r="M1244"/>
  <c r="M1241"/>
  <c r="M1238"/>
  <c r="M1237" s="1"/>
  <c r="M1233"/>
  <c r="M1228"/>
  <c r="M1227" s="1"/>
  <c r="M1224"/>
  <c r="M1214"/>
  <c r="M1213" s="1"/>
  <c r="M1212" s="1"/>
  <c r="M1209"/>
  <c r="M1208" s="1"/>
  <c r="M1207" s="1"/>
  <c r="M1206" s="1"/>
  <c r="M1173"/>
  <c r="M1167"/>
  <c r="M1166" s="1"/>
  <c r="M1161"/>
  <c r="M1160" s="1"/>
  <c r="M1155"/>
  <c r="M1154" s="1"/>
  <c r="M1149"/>
  <c r="M1148" s="1"/>
  <c r="M1143"/>
  <c r="M1142" s="1"/>
  <c r="M1133"/>
  <c r="M1128"/>
  <c r="M1127" s="1"/>
  <c r="M1119"/>
  <c r="M1118" s="1"/>
  <c r="M1117" s="1"/>
  <c r="M1115"/>
  <c r="M1107"/>
  <c r="M1101"/>
  <c r="M1100" s="1"/>
  <c r="M1099" s="1"/>
  <c r="M1095"/>
  <c r="M1090"/>
  <c r="M1089" s="1"/>
  <c r="M1077"/>
  <c r="M1071"/>
  <c r="M1064"/>
  <c r="M1063" s="1"/>
  <c r="M1058"/>
  <c r="M1057" s="1"/>
  <c r="M1052"/>
  <c r="M1051" s="1"/>
  <c r="M1050" s="1"/>
  <c r="M1049" s="1"/>
  <c r="M1048" s="1"/>
  <c r="M1047"/>
  <c r="M1046" s="1"/>
  <c r="M1045" s="1"/>
  <c r="M1044" s="1"/>
  <c r="M1043" s="1"/>
  <c r="M1041"/>
  <c r="M1037"/>
  <c r="M1034"/>
  <c r="M1029"/>
  <c r="M1028" s="1"/>
  <c r="M1027"/>
  <c r="M1019"/>
  <c r="M1018" s="1"/>
  <c r="M1017" s="1"/>
  <c r="M1013"/>
  <c r="M1001"/>
  <c r="M1000" s="1"/>
  <c r="M999" s="1"/>
  <c r="M998" s="1"/>
  <c r="M994"/>
  <c r="M986"/>
  <c r="M979"/>
  <c r="M978" s="1"/>
  <c r="M977" s="1"/>
  <c r="M967"/>
  <c r="M966" s="1"/>
  <c r="M965" s="1"/>
  <c r="M964" s="1"/>
  <c r="M960"/>
  <c r="M959" s="1"/>
  <c r="M958" s="1"/>
  <c r="M952"/>
  <c r="M940"/>
  <c r="M939" s="1"/>
  <c r="M938" s="1"/>
  <c r="M937"/>
  <c r="M936" s="1"/>
  <c r="M934"/>
  <c r="M933"/>
  <c r="M926"/>
  <c r="M925"/>
  <c r="M920"/>
  <c r="M918"/>
  <c r="M917" s="1"/>
  <c r="M915"/>
  <c r="M914" s="1"/>
  <c r="M913" s="1"/>
  <c r="M909"/>
  <c r="M905"/>
  <c r="M904" s="1"/>
  <c r="M903" s="1"/>
  <c r="M899"/>
  <c r="M898" s="1"/>
  <c r="M897" s="1"/>
  <c r="M893" s="1"/>
  <c r="M890"/>
  <c r="M889" s="1"/>
  <c r="M888" s="1"/>
  <c r="M887" s="1"/>
  <c r="M873"/>
  <c r="M872" s="1"/>
  <c r="M871"/>
  <c r="M870" s="1"/>
  <c r="M869" s="1"/>
  <c r="M865"/>
  <c r="M864" s="1"/>
  <c r="M863" s="1"/>
  <c r="M862" s="1"/>
  <c r="M859"/>
  <c r="M858"/>
  <c r="M825"/>
  <c r="M824" s="1"/>
  <c r="M823" s="1"/>
  <c r="M819" s="1"/>
  <c r="M811"/>
  <c r="M810" s="1"/>
  <c r="M809" s="1"/>
  <c r="M805" s="1"/>
  <c r="M801"/>
  <c r="M791"/>
  <c r="M775"/>
  <c r="M774" s="1"/>
  <c r="M773" s="1"/>
  <c r="M772" s="1"/>
  <c r="M769"/>
  <c r="M768" s="1"/>
  <c r="M767" s="1"/>
  <c r="M762"/>
  <c r="M761" s="1"/>
  <c r="M756"/>
  <c r="M755" s="1"/>
  <c r="M754" s="1"/>
  <c r="M753"/>
  <c r="M752" s="1"/>
  <c r="M750"/>
  <c r="M749" s="1"/>
  <c r="M744"/>
  <c r="M743"/>
  <c r="M737"/>
  <c r="M736" s="1"/>
  <c r="M735" s="1"/>
  <c r="M730"/>
  <c r="M729" s="1"/>
  <c r="M725"/>
  <c r="M724" s="1"/>
  <c r="M723" s="1"/>
  <c r="M722" s="1"/>
  <c r="M714"/>
  <c r="M713" s="1"/>
  <c r="M712" s="1"/>
  <c r="M709"/>
  <c r="M703"/>
  <c r="M698"/>
  <c r="M697" s="1"/>
  <c r="M696" s="1"/>
  <c r="M692"/>
  <c r="M691" s="1"/>
  <c r="M690" s="1"/>
  <c r="M689" s="1"/>
  <c r="M687"/>
  <c r="M686" s="1"/>
  <c r="M683"/>
  <c r="M678"/>
  <c r="M677" s="1"/>
  <c r="M672"/>
  <c r="M671" s="1"/>
  <c r="M667"/>
  <c r="M666" s="1"/>
  <c r="M662"/>
  <c r="M661" s="1"/>
  <c r="M660"/>
  <c r="M659" s="1"/>
  <c r="M657"/>
  <c r="M656" s="1"/>
  <c r="M652"/>
  <c r="M651" s="1"/>
  <c r="M650" s="1"/>
  <c r="M649" s="1"/>
  <c r="M646"/>
  <c r="M645" s="1"/>
  <c r="M644" s="1"/>
  <c r="M641"/>
  <c r="M640" s="1"/>
  <c r="M639"/>
  <c r="M638" s="1"/>
  <c r="M636"/>
  <c r="M629"/>
  <c r="M623"/>
  <c r="M622" s="1"/>
  <c r="M621" s="1"/>
  <c r="M620" s="1"/>
  <c r="M617"/>
  <c r="M616" s="1"/>
  <c r="M610"/>
  <c r="M609" s="1"/>
  <c r="M608" s="1"/>
  <c r="M605"/>
  <c r="M604" s="1"/>
  <c r="M600"/>
  <c r="M599" s="1"/>
  <c r="M598" s="1"/>
  <c r="M597" s="1"/>
  <c r="M589"/>
  <c r="M588" s="1"/>
  <c r="M587" s="1"/>
  <c r="M584"/>
  <c r="M578"/>
  <c r="M577" s="1"/>
  <c r="M576" s="1"/>
  <c r="M571"/>
  <c r="M566"/>
  <c r="M565" s="1"/>
  <c r="M560"/>
  <c r="M559" s="1"/>
  <c r="M555"/>
  <c r="M549"/>
  <c r="M542"/>
  <c r="M541" s="1"/>
  <c r="M539"/>
  <c r="M534"/>
  <c r="M533"/>
  <c r="M530"/>
  <c r="M529" s="1"/>
  <c r="M527"/>
  <c r="M521"/>
  <c r="M517"/>
  <c r="M516"/>
  <c r="M511"/>
  <c r="M509"/>
  <c r="M503"/>
  <c r="M501"/>
  <c r="M498"/>
  <c r="M497" s="1"/>
  <c r="M492"/>
  <c r="M491" s="1"/>
  <c r="M486"/>
  <c r="M485" s="1"/>
  <c r="M484"/>
  <c r="M478"/>
  <c r="M477" s="1"/>
  <c r="M476"/>
  <c r="M475" s="1"/>
  <c r="M470"/>
  <c r="M469" s="1"/>
  <c r="M463"/>
  <c r="M451"/>
  <c r="M438"/>
  <c r="M437" s="1"/>
  <c r="M431"/>
  <c r="M425"/>
  <c r="M419"/>
  <c r="M406"/>
  <c r="M404"/>
  <c r="M398"/>
  <c r="M397" s="1"/>
  <c r="M396"/>
  <c r="M395" s="1"/>
  <c r="M390"/>
  <c r="M377"/>
  <c r="M371"/>
  <c r="M365"/>
  <c r="M360"/>
  <c r="M359" s="1"/>
  <c r="M354"/>
  <c r="M353" s="1"/>
  <c r="M341"/>
  <c r="M335"/>
  <c r="M329"/>
  <c r="M323"/>
  <c r="M317"/>
  <c r="M311"/>
  <c r="M292"/>
  <c r="M291" s="1"/>
  <c r="M286"/>
  <c r="M280"/>
  <c r="M274"/>
  <c r="M273" s="1"/>
  <c r="M268"/>
  <c r="M267" s="1"/>
  <c r="M255"/>
  <c r="M249"/>
  <c r="M246"/>
  <c r="M245" s="1"/>
  <c r="M229"/>
  <c r="M228"/>
  <c r="M223"/>
  <c r="M219"/>
  <c r="M218" s="1"/>
  <c r="M216"/>
  <c r="M209"/>
  <c r="M208" s="1"/>
  <c r="M207"/>
  <c r="M206" s="1"/>
  <c r="M204"/>
  <c r="M198"/>
  <c r="M196"/>
  <c r="M189"/>
  <c r="M182"/>
  <c r="M181" s="1"/>
  <c r="M176"/>
  <c r="M175" s="1"/>
  <c r="M170"/>
  <c r="M169" s="1"/>
  <c r="M168" s="1"/>
  <c r="M162"/>
  <c r="M161" s="1"/>
  <c r="M157"/>
  <c r="M149"/>
  <c r="M148" s="1"/>
  <c r="M143"/>
  <c r="M142" s="1"/>
  <c r="M137"/>
  <c r="M136" s="1"/>
  <c r="M130"/>
  <c r="M129" s="1"/>
  <c r="M128"/>
  <c r="M127" s="1"/>
  <c r="M124"/>
  <c r="M123" s="1"/>
  <c r="M112"/>
  <c r="M105"/>
  <c r="M104" s="1"/>
  <c r="M102"/>
  <c r="M101" s="1"/>
  <c r="M96"/>
  <c r="M95"/>
  <c r="M90"/>
  <c r="M84"/>
  <c r="M83" s="1"/>
  <c r="M82"/>
  <c r="M81" s="1"/>
  <c r="M75"/>
  <c r="M74" s="1"/>
  <c r="M69"/>
  <c r="M67"/>
  <c r="M61"/>
  <c r="M59"/>
  <c r="M58" s="1"/>
  <c r="M52"/>
  <c r="M51" s="1"/>
  <c r="M50"/>
  <c r="M49" s="1"/>
  <c r="M44"/>
  <c r="M37"/>
  <c r="M36" s="1"/>
  <c r="M35"/>
  <c r="M34" s="1"/>
  <c r="M24"/>
  <c r="M23" s="1"/>
  <c r="M22" s="1"/>
  <c r="M1038" l="1"/>
  <c r="M1036" s="1"/>
  <c r="O1823"/>
  <c r="N648" i="5"/>
  <c r="N647" s="1"/>
  <c r="M932" i="6"/>
  <c r="M931" s="1"/>
  <c r="M927" s="1"/>
  <c r="N598" i="5"/>
  <c r="N597" s="1"/>
  <c r="M80" i="6"/>
  <c r="M79" s="1"/>
  <c r="N818" i="5"/>
  <c r="N1219"/>
  <c r="N1218" s="1"/>
  <c r="N1174"/>
  <c r="N1173" s="1"/>
  <c r="M637" i="6"/>
  <c r="M868"/>
  <c r="M867" s="1"/>
  <c r="M924"/>
  <c r="M923" s="1"/>
  <c r="M922" s="1"/>
  <c r="N1255" i="5"/>
  <c r="N1251" s="1"/>
  <c r="N1455"/>
  <c r="N1454" s="1"/>
  <c r="M33" i="6"/>
  <c r="M32" s="1"/>
  <c r="M26" s="1"/>
  <c r="M25" s="1"/>
  <c r="M1243"/>
  <c r="M1242" s="1"/>
  <c r="N270" i="5"/>
  <c r="N269" s="1"/>
  <c r="N403"/>
  <c r="N1227"/>
  <c r="N1226" s="1"/>
  <c r="N1396"/>
  <c r="N1392" s="1"/>
  <c r="N1404"/>
  <c r="N1400" s="1"/>
  <c r="N1479"/>
  <c r="N1633"/>
  <c r="N1632" s="1"/>
  <c r="N1699"/>
  <c r="N1698" s="1"/>
  <c r="M658" i="6"/>
  <c r="M742"/>
  <c r="M741" s="1"/>
  <c r="M740" s="1"/>
  <c r="M739" s="1"/>
  <c r="M857"/>
  <c r="M856" s="1"/>
  <c r="M852" s="1"/>
  <c r="M167"/>
  <c r="M166" s="1"/>
  <c r="M751"/>
  <c r="M748" s="1"/>
  <c r="M997"/>
  <c r="M996" s="1"/>
  <c r="M708"/>
  <c r="M707" s="1"/>
  <c r="M706" s="1"/>
  <c r="M705" s="1"/>
  <c r="M1012"/>
  <c r="M1011" s="1"/>
  <c r="M1010" s="1"/>
  <c r="M1009" s="1"/>
  <c r="M1094"/>
  <c r="M1093" s="1"/>
  <c r="M1092" s="1"/>
  <c r="M1106"/>
  <c r="M1105" s="1"/>
  <c r="M1104" s="1"/>
  <c r="M583"/>
  <c r="N279" i="5"/>
  <c r="N278" s="1"/>
  <c r="M1447" i="6"/>
  <c r="M1446" s="1"/>
  <c r="N151" i="5"/>
  <c r="N150" s="1"/>
  <c r="M1816" i="6"/>
  <c r="M1815" s="1"/>
  <c r="N1626" i="5"/>
  <c r="N988"/>
  <c r="M285" i="6"/>
  <c r="M284" s="1"/>
  <c r="N993" i="5"/>
  <c r="N992" s="1"/>
  <c r="N1736"/>
  <c r="N1735" s="1"/>
  <c r="N1683"/>
  <c r="N1653"/>
  <c r="N1652" s="1"/>
  <c r="N1656"/>
  <c r="M1172" i="6"/>
  <c r="N1551" i="5"/>
  <c r="N1550" s="1"/>
  <c r="M1114" i="6"/>
  <c r="M1113" s="1"/>
  <c r="M1112" s="1"/>
  <c r="N1124" i="5"/>
  <c r="M403" i="6"/>
  <c r="N1018" i="5"/>
  <c r="N1006"/>
  <c r="N1005" s="1"/>
  <c r="N933"/>
  <c r="N663"/>
  <c r="N662" s="1"/>
  <c r="M628" i="6"/>
  <c r="M627" s="1"/>
  <c r="N209" i="5"/>
  <c r="N109"/>
  <c r="M957" i="6"/>
  <c r="M956" s="1"/>
  <c r="M575"/>
  <c r="M574" s="1"/>
  <c r="M607"/>
  <c r="M615"/>
  <c r="M1016"/>
  <c r="M1015" s="1"/>
  <c r="M1205"/>
  <c r="N178" i="5"/>
  <c r="N247"/>
  <c r="N295"/>
  <c r="N288" s="1"/>
  <c r="N298"/>
  <c r="N345"/>
  <c r="N348"/>
  <c r="N362"/>
  <c r="N386"/>
  <c r="N419"/>
  <c r="N490"/>
  <c r="N510"/>
  <c r="N538"/>
  <c r="N673"/>
  <c r="N677"/>
  <c r="N684"/>
  <c r="N738"/>
  <c r="N749"/>
  <c r="N758"/>
  <c r="N829"/>
  <c r="N858"/>
  <c r="N1009"/>
  <c r="N1051"/>
  <c r="N1141"/>
  <c r="N1187"/>
  <c r="N1321"/>
  <c r="N1407"/>
  <c r="N1595"/>
  <c r="M1365" i="6"/>
  <c r="M1364" s="1"/>
  <c r="M1377"/>
  <c r="M1376" s="1"/>
  <c r="M1441"/>
  <c r="M1440" s="1"/>
  <c r="M1453"/>
  <c r="M1452" s="1"/>
  <c r="M1532"/>
  <c r="M1542"/>
  <c r="M1554"/>
  <c r="M1553" s="1"/>
  <c r="M1575"/>
  <c r="M1574" s="1"/>
  <c r="M1595"/>
  <c r="M1594" s="1"/>
  <c r="M1609"/>
  <c r="M1676"/>
  <c r="M1690"/>
  <c r="M1696"/>
  <c r="M1695" s="1"/>
  <c r="M1722"/>
  <c r="M1738"/>
  <c r="M1735" s="1"/>
  <c r="M1752"/>
  <c r="M1778"/>
  <c r="M1794"/>
  <c r="N116" i="5"/>
  <c r="N128"/>
  <c r="N131"/>
  <c r="N196"/>
  <c r="N224"/>
  <c r="N335"/>
  <c r="N375"/>
  <c r="N384"/>
  <c r="N429"/>
  <c r="N454"/>
  <c r="N482"/>
  <c r="N625"/>
  <c r="N639"/>
  <c r="N716"/>
  <c r="N840"/>
  <c r="N848"/>
  <c r="N942"/>
  <c r="N1014"/>
  <c r="N1704"/>
  <c r="M43" i="6"/>
  <c r="M89"/>
  <c r="M88" s="1"/>
  <c r="M111"/>
  <c r="M110" s="1"/>
  <c r="M109" s="1"/>
  <c r="M222"/>
  <c r="M221" s="1"/>
  <c r="M279"/>
  <c r="M389"/>
  <c r="M388" s="1"/>
  <c r="M405"/>
  <c r="M483"/>
  <c r="M482" s="1"/>
  <c r="M515"/>
  <c r="M596"/>
  <c r="M648"/>
  <c r="M670"/>
  <c r="M676"/>
  <c r="M675" s="1"/>
  <c r="M682"/>
  <c r="M681" s="1"/>
  <c r="M702"/>
  <c r="M701" s="1"/>
  <c r="M818"/>
  <c r="M817" s="1"/>
  <c r="M919"/>
  <c r="M916" s="1"/>
  <c r="M985"/>
  <c r="M984" s="1"/>
  <c r="M993"/>
  <c r="M992" s="1"/>
  <c r="M1026"/>
  <c r="M1025" s="1"/>
  <c r="M1223"/>
  <c r="M1222" s="1"/>
  <c r="M1275"/>
  <c r="M1274" s="1"/>
  <c r="M1331"/>
  <c r="N564" i="5"/>
  <c r="N34"/>
  <c r="N91"/>
  <c r="N43"/>
  <c r="N74"/>
  <c r="N105"/>
  <c r="N161"/>
  <c r="N203"/>
  <c r="N234"/>
  <c r="N258"/>
  <c r="N330"/>
  <c r="N447"/>
  <c r="N505"/>
  <c r="N557"/>
  <c r="N613"/>
  <c r="N617"/>
  <c r="N634"/>
  <c r="N705"/>
  <c r="N708"/>
  <c r="N731"/>
  <c r="N996"/>
  <c r="N1055"/>
  <c r="N1086"/>
  <c r="N1129"/>
  <c r="N1241"/>
  <c r="N1433"/>
  <c r="N1473"/>
  <c r="M48" i="6"/>
  <c r="M47" s="1"/>
  <c r="M1070"/>
  <c r="M1132"/>
  <c r="N391" i="5"/>
  <c r="M1359" i="6"/>
  <c r="M1385"/>
  <c r="M1384" s="1"/>
  <c r="M1461"/>
  <c r="M1471"/>
  <c r="M1470" s="1"/>
  <c r="M1485"/>
  <c r="M1499"/>
  <c r="M1498" s="1"/>
  <c r="M1538"/>
  <c r="M1547"/>
  <c r="M1730"/>
  <c r="M1744"/>
  <c r="M1760"/>
  <c r="M1786"/>
  <c r="M1804"/>
  <c r="M1803" s="1"/>
  <c r="N84" i="5"/>
  <c r="N100"/>
  <c r="N143"/>
  <c r="N189"/>
  <c r="N306"/>
  <c r="N315"/>
  <c r="N465"/>
  <c r="N475"/>
  <c r="N525"/>
  <c r="N528"/>
  <c r="N543"/>
  <c r="N555"/>
  <c r="N592"/>
  <c r="N808"/>
  <c r="N1213"/>
  <c r="N1246"/>
  <c r="M790" i="6"/>
  <c r="M1040"/>
  <c r="M1076"/>
  <c r="M688"/>
  <c r="M1042"/>
  <c r="N885" i="5"/>
  <c r="N964"/>
  <c r="N1073"/>
  <c r="N1120"/>
  <c r="N1145"/>
  <c r="N1156"/>
  <c r="N1233"/>
  <c r="N1351"/>
  <c r="N1354"/>
  <c r="N1363"/>
  <c r="N1485"/>
  <c r="N1561"/>
  <c r="N1578"/>
  <c r="N1643"/>
  <c r="N744"/>
  <c r="N755"/>
  <c r="N769"/>
  <c r="N788"/>
  <c r="N800"/>
  <c r="N871"/>
  <c r="N880"/>
  <c r="N900"/>
  <c r="N977"/>
  <c r="N1040"/>
  <c r="N1205"/>
  <c r="N1272"/>
  <c r="N1277"/>
  <c r="N1283"/>
  <c r="N1290"/>
  <c r="N1339"/>
  <c r="N1426"/>
  <c r="N1528"/>
  <c r="N1619"/>
  <c r="N1720"/>
  <c r="N1731"/>
  <c r="N1749"/>
  <c r="N895"/>
  <c r="N910"/>
  <c r="N921"/>
  <c r="N947"/>
  <c r="N1027"/>
  <c r="N1062"/>
  <c r="N1067"/>
  <c r="N1095"/>
  <c r="N1104"/>
  <c r="N1138"/>
  <c r="N1312"/>
  <c r="N1326"/>
  <c r="K55" i="1" s="1"/>
  <c r="N1461" i="5"/>
  <c r="N1496"/>
  <c r="N1499"/>
  <c r="N1515"/>
  <c r="N1520"/>
  <c r="N1661"/>
  <c r="N1672"/>
  <c r="N777"/>
  <c r="N1109"/>
  <c r="M73" i="6"/>
  <c r="M160"/>
  <c r="M21"/>
  <c r="M141"/>
  <c r="M135"/>
  <c r="M147"/>
  <c r="M174"/>
  <c r="M248"/>
  <c r="M695"/>
  <c r="M800"/>
  <c r="M1033"/>
  <c r="M254"/>
  <c r="M603"/>
  <c r="M197"/>
  <c r="M205"/>
  <c r="M215"/>
  <c r="M310"/>
  <c r="M322"/>
  <c r="M334"/>
  <c r="M352"/>
  <c r="M370"/>
  <c r="M570"/>
  <c r="M635"/>
  <c r="M892"/>
  <c r="M935"/>
  <c r="M951"/>
  <c r="M1298"/>
  <c r="M60"/>
  <c r="M66"/>
  <c r="M68"/>
  <c r="M94"/>
  <c r="M100"/>
  <c r="M122"/>
  <c r="M126"/>
  <c r="M156"/>
  <c r="M721"/>
  <c r="M266"/>
  <c r="M290"/>
  <c r="M358"/>
  <c r="M643"/>
  <c r="M711"/>
  <c r="M734"/>
  <c r="M760"/>
  <c r="M908"/>
  <c r="M976"/>
  <c r="M180"/>
  <c r="M203"/>
  <c r="M217"/>
  <c r="M227"/>
  <c r="M244"/>
  <c r="M272"/>
  <c r="M316"/>
  <c r="M328"/>
  <c r="M340"/>
  <c r="M364"/>
  <c r="M376"/>
  <c r="M619"/>
  <c r="M685"/>
  <c r="M804"/>
  <c r="M861"/>
  <c r="M1088"/>
  <c r="M771"/>
  <c r="M963"/>
  <c r="M188"/>
  <c r="M655"/>
  <c r="M586"/>
  <c r="M665"/>
  <c r="M728"/>
  <c r="M766"/>
  <c r="M886"/>
  <c r="M1232"/>
  <c r="M1056"/>
  <c r="M1062"/>
  <c r="M1116"/>
  <c r="M394"/>
  <c r="M418"/>
  <c r="M424"/>
  <c r="M430"/>
  <c r="M436"/>
  <c r="M450"/>
  <c r="M462"/>
  <c r="M468"/>
  <c r="M474"/>
  <c r="M490"/>
  <c r="M496"/>
  <c r="M500"/>
  <c r="M502"/>
  <c r="M508"/>
  <c r="M510"/>
  <c r="M520"/>
  <c r="M526"/>
  <c r="M528"/>
  <c r="M532"/>
  <c r="M538"/>
  <c r="M540"/>
  <c r="M548"/>
  <c r="M554"/>
  <c r="M558"/>
  <c r="M564"/>
  <c r="M1141"/>
  <c r="M1147"/>
  <c r="M1153"/>
  <c r="M1159"/>
  <c r="M1165"/>
  <c r="M1098"/>
  <c r="M1126"/>
  <c r="M1211"/>
  <c r="M1290"/>
  <c r="M1302"/>
  <c r="M1226"/>
  <c r="M1240"/>
  <c r="M1280"/>
  <c r="M1284"/>
  <c r="M1340"/>
  <c r="M1354"/>
  <c r="M1368"/>
  <c r="M1382"/>
  <c r="M1278"/>
  <c r="M1270"/>
  <c r="M1296"/>
  <c r="M1348"/>
  <c r="M1362"/>
  <c r="M1388"/>
  <c r="M1396"/>
  <c r="M1400"/>
  <c r="M1410"/>
  <c r="M1416"/>
  <c r="M1430"/>
  <c r="M1436"/>
  <c r="M1458"/>
  <c r="M1464"/>
  <c r="M1478"/>
  <c r="M1492"/>
  <c r="M1494"/>
  <c r="M1504"/>
  <c r="M1512"/>
  <c r="M1527"/>
  <c r="M1535"/>
  <c r="M1545"/>
  <c r="M1551"/>
  <c r="M1557"/>
  <c r="M1561"/>
  <c r="M1563"/>
  <c r="M1567"/>
  <c r="M1572"/>
  <c r="M1578"/>
  <c r="M1582"/>
  <c r="M1584"/>
  <c r="M1588"/>
  <c r="M1592"/>
  <c r="M1602"/>
  <c r="M1604"/>
  <c r="M1612"/>
  <c r="M1616"/>
  <c r="M1618"/>
  <c r="M1624"/>
  <c r="M1628"/>
  <c r="M1636"/>
  <c r="M1654"/>
  <c r="M1679"/>
  <c r="M1685"/>
  <c r="M1666"/>
  <c r="M1699"/>
  <c r="M1705"/>
  <c r="M1709"/>
  <c r="M1713"/>
  <c r="M1717"/>
  <c r="M1725"/>
  <c r="M1733"/>
  <c r="M1747"/>
  <c r="M1755"/>
  <c r="M1766"/>
  <c r="M1781"/>
  <c r="M1789"/>
  <c r="M1799"/>
  <c r="M1821"/>
  <c r="K23" i="1"/>
  <c r="K20"/>
  <c r="K1233" i="6"/>
  <c r="L1233" s="1"/>
  <c r="N1233" s="1"/>
  <c r="P1233" s="1"/>
  <c r="R1233" s="1"/>
  <c r="T1233" s="1"/>
  <c r="L1685" i="5"/>
  <c r="L1684" s="1"/>
  <c r="M1686"/>
  <c r="O1686" s="1"/>
  <c r="Q1686" s="1"/>
  <c r="S1686" s="1"/>
  <c r="U1686" s="1"/>
  <c r="M979"/>
  <c r="O979" s="1"/>
  <c r="Q979" s="1"/>
  <c r="S979" s="1"/>
  <c r="U979" s="1"/>
  <c r="K246" i="6"/>
  <c r="K245" s="1"/>
  <c r="L978" i="5"/>
  <c r="M978" s="1"/>
  <c r="O978" s="1"/>
  <c r="Q978" s="1"/>
  <c r="S978" s="1"/>
  <c r="U978" s="1"/>
  <c r="L254"/>
  <c r="A1229" i="6"/>
  <c r="A1232"/>
  <c r="A1682" i="5"/>
  <c r="A244" i="6"/>
  <c r="A246"/>
  <c r="A1231"/>
  <c r="A1686" i="5"/>
  <c r="A978"/>
  <c r="A979"/>
  <c r="A1680"/>
  <c r="A245" i="6"/>
  <c r="A1684" i="5"/>
  <c r="A1683"/>
  <c r="A1685"/>
  <c r="A1233" i="6"/>
  <c r="A977" i="5"/>
  <c r="M1685" l="1"/>
  <c r="O1685" s="1"/>
  <c r="Q1685" s="1"/>
  <c r="S1685" s="1"/>
  <c r="U1685" s="1"/>
  <c r="N400"/>
  <c r="N399" s="1"/>
  <c r="N398" s="1"/>
  <c r="N397" s="1"/>
  <c r="M582" i="6"/>
  <c r="N1625" i="5"/>
  <c r="M1035" i="6"/>
  <c r="M278"/>
  <c r="M277" s="1"/>
  <c r="N1682" i="5"/>
  <c r="M1171" i="6"/>
  <c r="N1123" i="5"/>
  <c r="N1017"/>
  <c r="N932"/>
  <c r="M42" i="6"/>
  <c r="M41" s="1"/>
  <c r="M626"/>
  <c r="N1631" i="5"/>
  <c r="N1495"/>
  <c r="N1026"/>
  <c r="N1714"/>
  <c r="N1289"/>
  <c r="N1276"/>
  <c r="N976"/>
  <c r="N899"/>
  <c r="N870"/>
  <c r="N799"/>
  <c r="N754"/>
  <c r="N1697"/>
  <c r="N1217"/>
  <c r="N1119"/>
  <c r="N963"/>
  <c r="N1430"/>
  <c r="N1085"/>
  <c r="N633"/>
  <c r="N612"/>
  <c r="N444"/>
  <c r="N329"/>
  <c r="N160"/>
  <c r="N73"/>
  <c r="N90"/>
  <c r="M680" i="6"/>
  <c r="M614"/>
  <c r="M1484"/>
  <c r="M912"/>
  <c r="M911" s="1"/>
  <c r="N96" i="5"/>
  <c r="N1575"/>
  <c r="N1660"/>
  <c r="N1651" s="1"/>
  <c r="N1514"/>
  <c r="N1311"/>
  <c r="N894"/>
  <c r="N1618"/>
  <c r="N1204"/>
  <c r="N1519"/>
  <c r="N1137"/>
  <c r="N1094"/>
  <c r="N1061"/>
  <c r="N909"/>
  <c r="N1743"/>
  <c r="N1728"/>
  <c r="N1549"/>
  <c r="N1425"/>
  <c r="N1338"/>
  <c r="N1282"/>
  <c r="N1271"/>
  <c r="N1039"/>
  <c r="N768"/>
  <c r="M789" i="6"/>
  <c r="N1211" i="5"/>
  <c r="N807"/>
  <c r="N554"/>
  <c r="N474"/>
  <c r="N314"/>
  <c r="N188"/>
  <c r="N142"/>
  <c r="N390"/>
  <c r="N1054"/>
  <c r="N1013"/>
  <c r="N941"/>
  <c r="N839"/>
  <c r="N661"/>
  <c r="N624"/>
  <c r="N383"/>
  <c r="N334"/>
  <c r="N193"/>
  <c r="N115"/>
  <c r="N1592"/>
  <c r="N1186"/>
  <c r="N1050"/>
  <c r="N857"/>
  <c r="N737"/>
  <c r="N418"/>
  <c r="N361"/>
  <c r="N344"/>
  <c r="N277"/>
  <c r="N246"/>
  <c r="M1537" i="6"/>
  <c r="M1460"/>
  <c r="M514"/>
  <c r="M513" s="1"/>
  <c r="M402"/>
  <c r="M401" s="1"/>
  <c r="M1793"/>
  <c r="M1792" s="1"/>
  <c r="M1759"/>
  <c r="M1758" s="1"/>
  <c r="M1689"/>
  <c r="M1688" s="1"/>
  <c r="M1328"/>
  <c r="N987" i="5"/>
  <c r="N1108"/>
  <c r="N773"/>
  <c r="N787"/>
  <c r="N743"/>
  <c r="N1642"/>
  <c r="N1560"/>
  <c r="N1362"/>
  <c r="N1347"/>
  <c r="N1232"/>
  <c r="N1155"/>
  <c r="N1072"/>
  <c r="N884"/>
  <c r="M1039" i="6"/>
  <c r="M1069"/>
  <c r="N1467" i="5"/>
  <c r="N1453" s="1"/>
  <c r="N1128"/>
  <c r="N730"/>
  <c r="N704"/>
  <c r="N504"/>
  <c r="N257"/>
  <c r="N202"/>
  <c r="M1024" i="6"/>
  <c r="M991"/>
  <c r="M669"/>
  <c r="N1703" i="5"/>
  <c r="M606" i="6"/>
  <c r="N918" i="5"/>
  <c r="N1527"/>
  <c r="M1075" i="6"/>
  <c r="N1245" i="5"/>
  <c r="N1240" s="1"/>
  <c r="N591"/>
  <c r="N542"/>
  <c r="N518"/>
  <c r="N519"/>
  <c r="N464"/>
  <c r="N305"/>
  <c r="M1131" i="6"/>
  <c r="N563" i="5"/>
  <c r="M700" i="6"/>
  <c r="N847" i="5"/>
  <c r="N715"/>
  <c r="N481"/>
  <c r="N428"/>
  <c r="N374"/>
  <c r="N223"/>
  <c r="N165"/>
  <c r="N127"/>
  <c r="N828"/>
  <c r="N748"/>
  <c r="N683"/>
  <c r="N672"/>
  <c r="N537"/>
  <c r="N489"/>
  <c r="N268"/>
  <c r="N177"/>
  <c r="M1802" i="6"/>
  <c r="M1724"/>
  <c r="M1566"/>
  <c r="M1560" s="1"/>
  <c r="M1477"/>
  <c r="M1435"/>
  <c r="M1375"/>
  <c r="M1269"/>
  <c r="M1158"/>
  <c r="M1111"/>
  <c r="M537"/>
  <c r="M449"/>
  <c r="M995"/>
  <c r="M1814"/>
  <c r="M1764"/>
  <c r="M1746"/>
  <c r="M1694"/>
  <c r="M1627"/>
  <c r="M1611"/>
  <c r="M1556"/>
  <c r="M1550" s="1"/>
  <c r="M1544"/>
  <c r="M1497"/>
  <c r="M1409"/>
  <c r="M507"/>
  <c r="M1091"/>
  <c r="M187"/>
  <c r="M375"/>
  <c r="M179"/>
  <c r="M289"/>
  <c r="M891"/>
  <c r="M955"/>
  <c r="M1698"/>
  <c r="M1615"/>
  <c r="M1587"/>
  <c r="M1503"/>
  <c r="M1463"/>
  <c r="M1445"/>
  <c r="M1415"/>
  <c r="M1387"/>
  <c r="M1381" s="1"/>
  <c r="M1361"/>
  <c r="M1367"/>
  <c r="M1353"/>
  <c r="M1283"/>
  <c r="M1239"/>
  <c r="M1301"/>
  <c r="M1125"/>
  <c r="M1164"/>
  <c r="M1152"/>
  <c r="M1140"/>
  <c r="M547"/>
  <c r="M467"/>
  <c r="M429"/>
  <c r="M393"/>
  <c r="M885"/>
  <c r="M816"/>
  <c r="M727"/>
  <c r="M654"/>
  <c r="M770"/>
  <c r="M1014"/>
  <c r="M860"/>
  <c r="M803"/>
  <c r="M618"/>
  <c r="M975"/>
  <c r="M733"/>
  <c r="M125"/>
  <c r="M87"/>
  <c r="M369"/>
  <c r="M333"/>
  <c r="M309"/>
  <c r="M214"/>
  <c r="M194"/>
  <c r="M1221"/>
  <c r="M247"/>
  <c r="M173"/>
  <c r="M78"/>
  <c r="M108"/>
  <c r="M20"/>
  <c r="M72"/>
  <c r="M57"/>
  <c r="M1708"/>
  <c r="M1623"/>
  <c r="M1399"/>
  <c r="M1347"/>
  <c r="M1295"/>
  <c r="M1339"/>
  <c r="M1225"/>
  <c r="M1289"/>
  <c r="M1097"/>
  <c r="M1146"/>
  <c r="M557"/>
  <c r="M519"/>
  <c r="M417"/>
  <c r="M1788"/>
  <c r="M1712"/>
  <c r="M1678"/>
  <c r="M1439"/>
  <c r="M563"/>
  <c r="M489"/>
  <c r="M461"/>
  <c r="M423"/>
  <c r="M1061"/>
  <c r="M1087"/>
  <c r="M339"/>
  <c r="M315"/>
  <c r="M121"/>
  <c r="M950"/>
  <c r="M569"/>
  <c r="M799"/>
  <c r="M694"/>
  <c r="M1820"/>
  <c r="M1732"/>
  <c r="M1716"/>
  <c r="M1684"/>
  <c r="M1635"/>
  <c r="M1601"/>
  <c r="M1534"/>
  <c r="M1798"/>
  <c r="M1780"/>
  <c r="M1754"/>
  <c r="M1704"/>
  <c r="M1665"/>
  <c r="M1653"/>
  <c r="M1591"/>
  <c r="M1577"/>
  <c r="M1511"/>
  <c r="M1491"/>
  <c r="M1469"/>
  <c r="M1451"/>
  <c r="M1429"/>
  <c r="M1395"/>
  <c r="M1210"/>
  <c r="M553"/>
  <c r="M531"/>
  <c r="M499"/>
  <c r="M473"/>
  <c r="M435"/>
  <c r="M1103"/>
  <c r="M1055"/>
  <c r="M1231"/>
  <c r="M232"/>
  <c r="M962"/>
  <c r="M363"/>
  <c r="M327"/>
  <c r="M271"/>
  <c r="M226"/>
  <c r="M202"/>
  <c r="M357"/>
  <c r="M265"/>
  <c r="M155"/>
  <c r="M93"/>
  <c r="M983"/>
  <c r="M921"/>
  <c r="M634"/>
  <c r="M602"/>
  <c r="M747"/>
  <c r="M674"/>
  <c r="M134"/>
  <c r="M140"/>
  <c r="M46"/>
  <c r="M1526"/>
  <c r="M1277"/>
  <c r="M481"/>
  <c r="M866"/>
  <c r="M765"/>
  <c r="M664"/>
  <c r="M585"/>
  <c r="M1008"/>
  <c r="M851"/>
  <c r="M684"/>
  <c r="M907"/>
  <c r="M759"/>
  <c r="M710"/>
  <c r="M642"/>
  <c r="M573"/>
  <c r="M738"/>
  <c r="M165"/>
  <c r="M99"/>
  <c r="M65"/>
  <c r="M387"/>
  <c r="M351"/>
  <c r="M321"/>
  <c r="M283"/>
  <c r="M253"/>
  <c r="M220"/>
  <c r="M146"/>
  <c r="M159"/>
  <c r="L1683" i="5"/>
  <c r="M1684"/>
  <c r="O1684" s="1"/>
  <c r="Q1684" s="1"/>
  <c r="S1684" s="1"/>
  <c r="U1684" s="1"/>
  <c r="K1232" i="6"/>
  <c r="L977" i="5"/>
  <c r="M977" s="1"/>
  <c r="O977" s="1"/>
  <c r="Q977" s="1"/>
  <c r="S977" s="1"/>
  <c r="U977" s="1"/>
  <c r="K244" i="6"/>
  <c r="L244" s="1"/>
  <c r="N244" s="1"/>
  <c r="P244" s="1"/>
  <c r="R244" s="1"/>
  <c r="T244" s="1"/>
  <c r="L245"/>
  <c r="N245" s="1"/>
  <c r="P245" s="1"/>
  <c r="R245" s="1"/>
  <c r="T245" s="1"/>
  <c r="L246"/>
  <c r="N246" s="1"/>
  <c r="P246" s="1"/>
  <c r="R246" s="1"/>
  <c r="T246" s="1"/>
  <c r="L135" i="5"/>
  <c r="L1502"/>
  <c r="L385"/>
  <c r="L214"/>
  <c r="L982"/>
  <c r="A1618"/>
  <c r="M1032" i="6" l="1"/>
  <c r="M1031" s="1"/>
  <c r="N1224" i="5"/>
  <c r="N1216" s="1"/>
  <c r="M1273" i="6"/>
  <c r="M1272" s="1"/>
  <c r="M581"/>
  <c r="N1624" i="5"/>
  <c r="N1681"/>
  <c r="M1170" i="6"/>
  <c r="N927" i="5"/>
  <c r="M625" i="6"/>
  <c r="N164" i="5"/>
  <c r="N1127"/>
  <c r="N1150"/>
  <c r="K54" i="1"/>
  <c r="N1288" i="5"/>
  <c r="N488"/>
  <c r="N846"/>
  <c r="N786"/>
  <c r="N1185"/>
  <c r="N623"/>
  <c r="N838"/>
  <c r="N1239"/>
  <c r="N141"/>
  <c r="N553"/>
  <c r="N1038"/>
  <c r="N1416"/>
  <c r="N1742"/>
  <c r="N1203"/>
  <c r="N893"/>
  <c r="N1306"/>
  <c r="N632"/>
  <c r="N1114"/>
  <c r="N1696"/>
  <c r="N975"/>
  <c r="N1025"/>
  <c r="N267"/>
  <c r="N536"/>
  <c r="N827"/>
  <c r="N126"/>
  <c r="N222"/>
  <c r="N427"/>
  <c r="N517"/>
  <c r="M1074" i="6"/>
  <c r="N917" i="5"/>
  <c r="M668" i="6"/>
  <c r="M1023"/>
  <c r="N396" i="5"/>
  <c r="M1068" i="6"/>
  <c r="N883" i="5"/>
  <c r="N736"/>
  <c r="N1049"/>
  <c r="N380"/>
  <c r="N940"/>
  <c r="N187"/>
  <c r="N473"/>
  <c r="N463" s="1"/>
  <c r="N806"/>
  <c r="N1270"/>
  <c r="N1548"/>
  <c r="N908"/>
  <c r="N1060"/>
  <c r="N1132"/>
  <c r="N1613"/>
  <c r="N1513"/>
  <c r="N1565"/>
  <c r="M613" i="6"/>
  <c r="N159" i="5"/>
  <c r="N328"/>
  <c r="N611"/>
  <c r="N962"/>
  <c r="N1713"/>
  <c r="N1494"/>
  <c r="M1483" i="6"/>
  <c r="M1482" s="1"/>
  <c r="M1581"/>
  <c r="N1004" i="5"/>
  <c r="M525" i="6"/>
  <c r="M524" s="1"/>
  <c r="M1571"/>
  <c r="M1570" s="1"/>
  <c r="M1457"/>
  <c r="M1456" s="1"/>
  <c r="M1327"/>
  <c r="M1326" s="1"/>
  <c r="N1103" i="5"/>
  <c r="M990" i="6"/>
  <c r="N562" i="5"/>
  <c r="N590"/>
  <c r="N703"/>
  <c r="N698" s="1"/>
  <c r="N1346"/>
  <c r="N1345" s="1"/>
  <c r="N1337" s="1"/>
  <c r="N417"/>
  <c r="N763"/>
  <c r="N443"/>
  <c r="N1429"/>
  <c r="N671"/>
  <c r="N1650"/>
  <c r="N373"/>
  <c r="N343"/>
  <c r="N1210"/>
  <c r="N1630"/>
  <c r="M699" i="6"/>
  <c r="M693" s="1"/>
  <c r="M1130"/>
  <c r="N1526" i="5"/>
  <c r="N1452"/>
  <c r="N1702"/>
  <c r="N33"/>
  <c r="N32" s="1"/>
  <c r="N256"/>
  <c r="N503"/>
  <c r="N1637"/>
  <c r="N1591"/>
  <c r="N192"/>
  <c r="M1344" i="6"/>
  <c r="M785"/>
  <c r="N1727" i="5"/>
  <c r="N95"/>
  <c r="N869"/>
  <c r="N898"/>
  <c r="M282" i="6"/>
  <c r="M902"/>
  <c r="M663"/>
  <c r="M601"/>
  <c r="M356"/>
  <c r="M326"/>
  <c r="M472"/>
  <c r="M552"/>
  <c r="M1450"/>
  <c r="M1590"/>
  <c r="M1664"/>
  <c r="M1559"/>
  <c r="M1634"/>
  <c r="M568"/>
  <c r="M460"/>
  <c r="M416"/>
  <c r="M172"/>
  <c r="M86"/>
  <c r="M350"/>
  <c r="M133"/>
  <c r="M92"/>
  <c r="M314"/>
  <c r="M1346"/>
  <c r="M19"/>
  <c r="M243"/>
  <c r="M213"/>
  <c r="M40"/>
  <c r="M466"/>
  <c r="M1502"/>
  <c r="M1614"/>
  <c r="M178"/>
  <c r="M186"/>
  <c r="M1626"/>
  <c r="M1743"/>
  <c r="M1813"/>
  <c r="M448"/>
  <c r="M1434"/>
  <c r="M1721"/>
  <c r="M758"/>
  <c r="M362"/>
  <c r="M1428"/>
  <c r="M1468"/>
  <c r="M1652"/>
  <c r="M1703"/>
  <c r="M1777"/>
  <c r="M1531"/>
  <c r="M1598"/>
  <c r="M1683"/>
  <c r="M1729"/>
  <c r="M1819"/>
  <c r="M795"/>
  <c r="M946"/>
  <c r="M338"/>
  <c r="M422"/>
  <c r="M488"/>
  <c r="M562"/>
  <c r="M1675"/>
  <c r="M1785"/>
  <c r="M518"/>
  <c r="M1145"/>
  <c r="M1288"/>
  <c r="M1398"/>
  <c r="M1707"/>
  <c r="M77"/>
  <c r="M332"/>
  <c r="M802"/>
  <c r="M392"/>
  <c r="M1268"/>
  <c r="M850"/>
  <c r="M1230"/>
  <c r="M400"/>
  <c r="M1394"/>
  <c r="M1488"/>
  <c r="M1751"/>
  <c r="M1797"/>
  <c r="M1715"/>
  <c r="M1711" s="1"/>
  <c r="M1086"/>
  <c r="M1060"/>
  <c r="M1438"/>
  <c r="M556"/>
  <c r="M1380"/>
  <c r="M1622"/>
  <c r="M107"/>
  <c r="M732"/>
  <c r="M64"/>
  <c r="M572"/>
  <c r="M45"/>
  <c r="M225"/>
  <c r="M56"/>
  <c r="M276"/>
  <c r="M546"/>
  <c r="M1151"/>
  <c r="M1300"/>
  <c r="M1282"/>
  <c r="M1444"/>
  <c r="M506"/>
  <c r="M1801"/>
  <c r="M252"/>
  <c r="M98"/>
  <c r="M679"/>
  <c r="M480"/>
  <c r="M1525"/>
  <c r="M633"/>
  <c r="M982"/>
  <c r="M154"/>
  <c r="M201"/>
  <c r="M270"/>
  <c r="M1054"/>
  <c r="M1102"/>
  <c r="M434"/>
  <c r="M1510"/>
  <c r="M145"/>
  <c r="M320"/>
  <c r="M386"/>
  <c r="M910"/>
  <c r="M764"/>
  <c r="M139"/>
  <c r="M264"/>
  <c r="M231"/>
  <c r="M114"/>
  <c r="M1294"/>
  <c r="M1220"/>
  <c r="M193"/>
  <c r="M368"/>
  <c r="M974"/>
  <c r="M961" s="1"/>
  <c r="M653"/>
  <c r="M726"/>
  <c r="M428"/>
  <c r="M1139"/>
  <c r="M1163"/>
  <c r="M1124"/>
  <c r="M1236"/>
  <c r="M1352"/>
  <c r="M1414"/>
  <c r="M1408"/>
  <c r="M1541"/>
  <c r="M1608"/>
  <c r="M1763"/>
  <c r="M536"/>
  <c r="M1157"/>
  <c r="M1476"/>
  <c r="M1687"/>
  <c r="M1757"/>
  <c r="M704"/>
  <c r="M495"/>
  <c r="M1007"/>
  <c r="M746"/>
  <c r="M1791"/>
  <c r="M1096"/>
  <c r="M71"/>
  <c r="M308"/>
  <c r="M1358"/>
  <c r="M288"/>
  <c r="M374"/>
  <c r="M1374"/>
  <c r="L1682" i="5"/>
  <c r="M1683"/>
  <c r="O1683" s="1"/>
  <c r="Q1683" s="1"/>
  <c r="S1683" s="1"/>
  <c r="U1683" s="1"/>
  <c r="K1231" i="6"/>
  <c r="L1232"/>
  <c r="N1232" s="1"/>
  <c r="P1232" s="1"/>
  <c r="R1232" s="1"/>
  <c r="T1232" s="1"/>
  <c r="L450" i="5"/>
  <c r="L1530"/>
  <c r="K1173" i="6"/>
  <c r="L1173" s="1"/>
  <c r="N1173" s="1"/>
  <c r="P1173" s="1"/>
  <c r="R1173" s="1"/>
  <c r="T1173" s="1"/>
  <c r="A1172"/>
  <c r="A1168"/>
  <c r="A1171"/>
  <c r="A1173"/>
  <c r="A1169"/>
  <c r="N1066" i="5" l="1"/>
  <c r="M512" i="6"/>
  <c r="M580"/>
  <c r="N1623" i="5"/>
  <c r="M1580" i="6"/>
  <c r="N1680" i="5"/>
  <c r="M1169" i="6"/>
  <c r="N926" i="5"/>
  <c r="M624" i="6"/>
  <c r="N868" i="5"/>
  <c r="N1726"/>
  <c r="M1343" i="6"/>
  <c r="N1493" i="5"/>
  <c r="N946"/>
  <c r="N327"/>
  <c r="N907"/>
  <c r="K61" i="1"/>
  <c r="N916" i="5"/>
  <c r="N516"/>
  <c r="N826"/>
  <c r="N974"/>
  <c r="N892"/>
  <c r="N1741"/>
  <c r="N845"/>
  <c r="N1287"/>
  <c r="N714"/>
  <c r="N114"/>
  <c r="N245"/>
  <c r="N1590"/>
  <c r="N502"/>
  <c r="M1129" i="6"/>
  <c r="M1110" s="1"/>
  <c r="N1649" i="5"/>
  <c r="N442"/>
  <c r="N561"/>
  <c r="K60" i="1"/>
  <c r="M784" i="6"/>
  <c r="M989"/>
  <c r="N1712" i="5"/>
  <c r="N610"/>
  <c r="N158"/>
  <c r="N1612"/>
  <c r="N1059"/>
  <c r="N1547"/>
  <c r="N805"/>
  <c r="N186"/>
  <c r="N379"/>
  <c r="K25" i="1"/>
  <c r="N395" i="5"/>
  <c r="K21" i="1"/>
  <c r="M1073" i="6"/>
  <c r="N426" i="5"/>
  <c r="N535"/>
  <c r="N1695"/>
  <c r="N1305"/>
  <c r="N1202"/>
  <c r="N1415"/>
  <c r="N552"/>
  <c r="N622"/>
  <c r="N1184"/>
  <c r="N487"/>
  <c r="N1636"/>
  <c r="N1525"/>
  <c r="N342"/>
  <c r="N670"/>
  <c r="M612" i="6"/>
  <c r="M1067"/>
  <c r="M1022"/>
  <c r="N1149" i="5"/>
  <c r="M307" i="6"/>
  <c r="M1162"/>
  <c r="M192"/>
  <c r="M1293"/>
  <c r="M263"/>
  <c r="M433"/>
  <c r="M479"/>
  <c r="M55"/>
  <c r="M1621"/>
  <c r="M1796"/>
  <c r="M1229"/>
  <c r="M1325"/>
  <c r="M331"/>
  <c r="M1674"/>
  <c r="M1530"/>
  <c r="M361"/>
  <c r="M1433"/>
  <c r="M1742"/>
  <c r="M153"/>
  <c r="M632"/>
  <c r="M63"/>
  <c r="M794"/>
  <c r="M1030"/>
  <c r="M91"/>
  <c r="M1607"/>
  <c r="M319"/>
  <c r="M269"/>
  <c r="M1524"/>
  <c r="M251"/>
  <c r="M1150"/>
  <c r="M275"/>
  <c r="M1379"/>
  <c r="M1059"/>
  <c r="M1750"/>
  <c r="M1393"/>
  <c r="M399"/>
  <c r="M391"/>
  <c r="M1144"/>
  <c r="M1784"/>
  <c r="M487"/>
  <c r="M337"/>
  <c r="M1728"/>
  <c r="M1597"/>
  <c r="M1776"/>
  <c r="M1651"/>
  <c r="M1427"/>
  <c r="M1720"/>
  <c r="M1812"/>
  <c r="M177"/>
  <c r="M1501"/>
  <c r="M465"/>
  <c r="M39"/>
  <c r="M242"/>
  <c r="M1345"/>
  <c r="M171"/>
  <c r="M415"/>
  <c r="M459"/>
  <c r="M551"/>
  <c r="M281"/>
  <c r="M1373"/>
  <c r="M287"/>
  <c r="M494"/>
  <c r="M1156"/>
  <c r="M1762"/>
  <c r="M1235"/>
  <c r="M427"/>
  <c r="M144"/>
  <c r="M1053"/>
  <c r="M200"/>
  <c r="M97"/>
  <c r="M1443"/>
  <c r="M545"/>
  <c r="M224"/>
  <c r="M1085"/>
  <c r="M1267"/>
  <c r="M561"/>
  <c r="M421"/>
  <c r="M1818"/>
  <c r="M1682"/>
  <c r="M1467"/>
  <c r="M447"/>
  <c r="M185"/>
  <c r="M212"/>
  <c r="M313"/>
  <c r="M132"/>
  <c r="M349"/>
  <c r="M1455"/>
  <c r="M567"/>
  <c r="M901"/>
  <c r="M720"/>
  <c r="M113"/>
  <c r="M373"/>
  <c r="M1357"/>
  <c r="M70"/>
  <c r="M523"/>
  <c r="M1475"/>
  <c r="M535"/>
  <c r="M1407"/>
  <c r="M1351"/>
  <c r="M367"/>
  <c r="M230"/>
  <c r="M138"/>
  <c r="M1509"/>
  <c r="M505"/>
  <c r="M647"/>
  <c r="M981"/>
  <c r="M731"/>
  <c r="M945"/>
  <c r="M757"/>
  <c r="M85"/>
  <c r="M595"/>
  <c r="M673"/>
  <c r="M1413"/>
  <c r="M385"/>
  <c r="M1487"/>
  <c r="M1287"/>
  <c r="M1702"/>
  <c r="M1633"/>
  <c r="M1663"/>
  <c r="M1449"/>
  <c r="M471"/>
  <c r="M325"/>
  <c r="L1231"/>
  <c r="N1231" s="1"/>
  <c r="P1231" s="1"/>
  <c r="R1231" s="1"/>
  <c r="T1231" s="1"/>
  <c r="K1230"/>
  <c r="M1682" i="5"/>
  <c r="O1682" s="1"/>
  <c r="Q1682" s="1"/>
  <c r="S1682" s="1"/>
  <c r="U1682" s="1"/>
  <c r="L1681"/>
  <c r="K1172" i="6"/>
  <c r="K1171" s="1"/>
  <c r="K1170" s="1"/>
  <c r="K1169" s="1"/>
  <c r="L1169" s="1"/>
  <c r="M1621" i="5"/>
  <c r="O1621" s="1"/>
  <c r="Q1621" s="1"/>
  <c r="S1621" s="1"/>
  <c r="U1621" s="1"/>
  <c r="L1620"/>
  <c r="L1619" s="1"/>
  <c r="L1618" s="1"/>
  <c r="M1618" s="1"/>
  <c r="O1618" s="1"/>
  <c r="Q1618" s="1"/>
  <c r="S1618" s="1"/>
  <c r="U1618" s="1"/>
  <c r="A1620"/>
  <c r="A1619"/>
  <c r="A1621"/>
  <c r="N72" l="1"/>
  <c r="K31" i="1"/>
  <c r="M745" i="6"/>
  <c r="M579"/>
  <c r="N1622" i="5"/>
  <c r="M1168" i="6"/>
  <c r="N1169"/>
  <c r="P1169" s="1"/>
  <c r="R1169" s="1"/>
  <c r="T1169" s="1"/>
  <c r="N925" i="5"/>
  <c r="N333"/>
  <c r="N551"/>
  <c r="N394"/>
  <c r="N1524"/>
  <c r="N480"/>
  <c r="N1694"/>
  <c r="N1611"/>
  <c r="M988" i="6"/>
  <c r="N697" i="5"/>
  <c r="N31"/>
  <c r="N713"/>
  <c r="K47" i="1" s="1"/>
  <c r="N844" i="5"/>
  <c r="K57" i="1" s="1"/>
  <c r="N891" i="5"/>
  <c r="N825"/>
  <c r="K56" i="1" s="1"/>
  <c r="N906" i="5"/>
  <c r="K66" i="1"/>
  <c r="K65" s="1"/>
  <c r="N867" i="5"/>
  <c r="N589"/>
  <c r="N631"/>
  <c r="N372"/>
  <c r="N1629"/>
  <c r="M1066" i="6"/>
  <c r="M1072"/>
  <c r="N176" i="5"/>
  <c r="N1281"/>
  <c r="M1342" i="6"/>
  <c r="N1201" i="5"/>
  <c r="N534"/>
  <c r="K52" i="1"/>
  <c r="K51" s="1"/>
  <c r="M783" i="6"/>
  <c r="N501" i="5"/>
  <c r="N1740"/>
  <c r="N515"/>
  <c r="N973"/>
  <c r="N1725"/>
  <c r="M611" i="6"/>
  <c r="K58" i="1"/>
  <c r="N1304" i="5"/>
  <c r="N1711"/>
  <c r="N432"/>
  <c r="N1589"/>
  <c r="K33" i="1"/>
  <c r="N233" i="5"/>
  <c r="N915"/>
  <c r="N304"/>
  <c r="N1492"/>
  <c r="N1065"/>
  <c r="M366" i="6"/>
  <c r="M131"/>
  <c r="M199"/>
  <c r="M414"/>
  <c r="M1392"/>
  <c r="M1741"/>
  <c r="M1673"/>
  <c r="M1292"/>
  <c r="M324"/>
  <c r="M1632"/>
  <c r="M1631" s="1"/>
  <c r="M384"/>
  <c r="M1356"/>
  <c r="M312"/>
  <c r="M1084"/>
  <c r="M1372"/>
  <c r="M62"/>
  <c r="M54"/>
  <c r="M184"/>
  <c r="M493"/>
  <c r="M458"/>
  <c r="M164"/>
  <c r="M1719"/>
  <c r="M1650"/>
  <c r="M336"/>
  <c r="M1749"/>
  <c r="M318"/>
  <c r="M793"/>
  <c r="M631"/>
  <c r="M1432"/>
  <c r="M1529"/>
  <c r="M262"/>
  <c r="M306"/>
  <c r="M1481"/>
  <c r="M550"/>
  <c r="M1426"/>
  <c r="M1768"/>
  <c r="M1727"/>
  <c r="M1783"/>
  <c r="M1021"/>
  <c r="M432"/>
  <c r="M944"/>
  <c r="M1508"/>
  <c r="M522"/>
  <c r="M544"/>
  <c r="M426"/>
  <c r="M250"/>
  <c r="M152"/>
  <c r="M1662"/>
  <c r="M1412"/>
  <c r="M980"/>
  <c r="M504"/>
  <c r="M1406"/>
  <c r="M372"/>
  <c r="M900"/>
  <c r="M211"/>
  <c r="M446"/>
  <c r="M1681"/>
  <c r="M420"/>
  <c r="M1266"/>
  <c r="M1234"/>
  <c r="M241"/>
  <c r="M330"/>
  <c r="M1204"/>
  <c r="M191"/>
  <c r="M355"/>
  <c r="M76"/>
  <c r="K1229"/>
  <c r="L1229" s="1"/>
  <c r="N1229" s="1"/>
  <c r="P1229" s="1"/>
  <c r="R1229" s="1"/>
  <c r="T1229" s="1"/>
  <c r="L1230"/>
  <c r="N1230" s="1"/>
  <c r="P1230" s="1"/>
  <c r="R1230" s="1"/>
  <c r="T1230" s="1"/>
  <c r="M1681" i="5"/>
  <c r="O1681" s="1"/>
  <c r="Q1681" s="1"/>
  <c r="S1681" s="1"/>
  <c r="U1681" s="1"/>
  <c r="L1680"/>
  <c r="M1680" s="1"/>
  <c r="O1680" s="1"/>
  <c r="Q1680" s="1"/>
  <c r="S1680" s="1"/>
  <c r="U1680" s="1"/>
  <c r="L1172" i="6"/>
  <c r="N1172" s="1"/>
  <c r="P1172" s="1"/>
  <c r="R1172" s="1"/>
  <c r="T1172" s="1"/>
  <c r="L1171"/>
  <c r="N1171" s="1"/>
  <c r="P1171" s="1"/>
  <c r="R1171" s="1"/>
  <c r="T1171" s="1"/>
  <c r="M1620" i="5"/>
  <c r="O1620" s="1"/>
  <c r="Q1620" s="1"/>
  <c r="S1620" s="1"/>
  <c r="U1620" s="1"/>
  <c r="L1170" i="6"/>
  <c r="N1170" s="1"/>
  <c r="P1170" s="1"/>
  <c r="R1170" s="1"/>
  <c r="T1170" s="1"/>
  <c r="M1619" i="5"/>
  <c r="O1619" s="1"/>
  <c r="Q1619" s="1"/>
  <c r="S1619" s="1"/>
  <c r="U1619" s="1"/>
  <c r="K1168" i="6"/>
  <c r="L1168" s="1"/>
  <c r="K53" i="1" l="1"/>
  <c r="N1168" i="6"/>
  <c r="P1168" s="1"/>
  <c r="R1168" s="1"/>
  <c r="T1168" s="1"/>
  <c r="M1109"/>
  <c r="M1108" s="1"/>
  <c r="M1523"/>
  <c r="M1522" s="1"/>
  <c r="N924" i="5"/>
  <c r="K50" i="1"/>
  <c r="N1734" i="5"/>
  <c r="K62" i="1"/>
  <c r="K59" s="1"/>
  <c r="N1238" i="5"/>
  <c r="N1200" s="1"/>
  <c r="N824"/>
  <c r="N30"/>
  <c r="N22" s="1"/>
  <c r="M987" i="6"/>
  <c r="N1554" i="5"/>
  <c r="N1710"/>
  <c r="K41" i="1"/>
  <c r="K39"/>
  <c r="K38"/>
  <c r="N588" i="5"/>
  <c r="N890"/>
  <c r="N866" s="1"/>
  <c r="N1604"/>
  <c r="K37" i="1"/>
  <c r="N479" i="5"/>
  <c r="K36" i="1"/>
  <c r="N1325" i="5"/>
  <c r="N550"/>
  <c r="M1336" i="6"/>
  <c r="N630" i="5"/>
  <c r="M1065" i="6"/>
  <c r="N425" i="5"/>
  <c r="K32" i="1"/>
  <c r="N972" i="5"/>
  <c r="K49" i="1"/>
  <c r="M782" i="6"/>
  <c r="N175" i="5"/>
  <c r="K28" i="1"/>
  <c r="K27" s="1"/>
  <c r="N371" i="5"/>
  <c r="K64" i="1"/>
  <c r="K63" s="1"/>
  <c r="N303" i="5"/>
  <c r="K46" i="1"/>
  <c r="M348" i="6"/>
  <c r="M792"/>
  <c r="M439"/>
  <c r="M954"/>
  <c r="M630"/>
  <c r="M1474"/>
  <c r="M151"/>
  <c r="M1425"/>
  <c r="M240"/>
  <c r="M1265"/>
  <c r="M210"/>
  <c r="M1405"/>
  <c r="M543"/>
  <c r="M1507"/>
  <c r="M305"/>
  <c r="M183"/>
  <c r="M53"/>
  <c r="M1391"/>
  <c r="M413"/>
  <c r="M464"/>
  <c r="L1552" i="5"/>
  <c r="M1552" s="1"/>
  <c r="O1552" s="1"/>
  <c r="Q1552" s="1"/>
  <c r="S1552" s="1"/>
  <c r="U1552" s="1"/>
  <c r="M1553"/>
  <c r="O1553" s="1"/>
  <c r="Q1553" s="1"/>
  <c r="S1553" s="1"/>
  <c r="U1553" s="1"/>
  <c r="K1119" i="6"/>
  <c r="L1119" s="1"/>
  <c r="N1119" s="1"/>
  <c r="P1119" s="1"/>
  <c r="R1119" s="1"/>
  <c r="T1119" s="1"/>
  <c r="L1316" i="5"/>
  <c r="K873" i="6" s="1"/>
  <c r="K872" s="1"/>
  <c r="L556" i="5"/>
  <c r="K1013" i="6" s="1"/>
  <c r="K1012" s="1"/>
  <c r="K1011" s="1"/>
  <c r="K1010" s="1"/>
  <c r="K1009" s="1"/>
  <c r="K1008" s="1"/>
  <c r="L507" i="5"/>
  <c r="K1027" i="6" s="1"/>
  <c r="K1026" s="1"/>
  <c r="K1025" s="1"/>
  <c r="L1580" i="5"/>
  <c r="K1241" i="6" s="1"/>
  <c r="K1240" s="1"/>
  <c r="K1239" s="1"/>
  <c r="I23" i="1"/>
  <c r="K1822" i="6"/>
  <c r="K1821" s="1"/>
  <c r="K1820" s="1"/>
  <c r="K1819" s="1"/>
  <c r="K1818" s="1"/>
  <c r="K1817"/>
  <c r="K1816" s="1"/>
  <c r="K1815" s="1"/>
  <c r="K1814" s="1"/>
  <c r="K1813" s="1"/>
  <c r="K1812" s="1"/>
  <c r="K1805"/>
  <c r="K1804" s="1"/>
  <c r="K1803" s="1"/>
  <c r="K1802" s="1"/>
  <c r="K1801" s="1"/>
  <c r="K1800"/>
  <c r="K1799" s="1"/>
  <c r="K1798" s="1"/>
  <c r="K1797" s="1"/>
  <c r="K1796" s="1"/>
  <c r="K1795"/>
  <c r="K1794" s="1"/>
  <c r="K1793" s="1"/>
  <c r="K1792" s="1"/>
  <c r="K1791" s="1"/>
  <c r="K1790"/>
  <c r="K1789" s="1"/>
  <c r="K1788" s="1"/>
  <c r="K1787"/>
  <c r="K1786" s="1"/>
  <c r="K1782"/>
  <c r="K1781" s="1"/>
  <c r="K1780" s="1"/>
  <c r="K1779"/>
  <c r="K1778" s="1"/>
  <c r="K1767"/>
  <c r="K1766" s="1"/>
  <c r="K1764" s="1"/>
  <c r="K1763" s="1"/>
  <c r="K1762" s="1"/>
  <c r="K1761"/>
  <c r="K1760" s="1"/>
  <c r="K1759" s="1"/>
  <c r="K1758" s="1"/>
  <c r="K1757" s="1"/>
  <c r="K1756"/>
  <c r="K1755" s="1"/>
  <c r="K1754" s="1"/>
  <c r="K1753"/>
  <c r="K1752" s="1"/>
  <c r="K1748"/>
  <c r="K1747" s="1"/>
  <c r="K1746" s="1"/>
  <c r="K1745"/>
  <c r="K1744" s="1"/>
  <c r="K1740"/>
  <c r="K1739"/>
  <c r="K1734"/>
  <c r="K1733" s="1"/>
  <c r="K1732" s="1"/>
  <c r="K1731"/>
  <c r="K1730" s="1"/>
  <c r="K1726"/>
  <c r="K1725" s="1"/>
  <c r="K1724" s="1"/>
  <c r="K1723"/>
  <c r="K1722" s="1"/>
  <c r="K1718"/>
  <c r="K1717" s="1"/>
  <c r="K1716" s="1"/>
  <c r="K1715" s="1"/>
  <c r="K1714"/>
  <c r="K1713" s="1"/>
  <c r="K1712" s="1"/>
  <c r="K1710"/>
  <c r="K1709" s="1"/>
  <c r="K1708" s="1"/>
  <c r="K1707" s="1"/>
  <c r="K1706"/>
  <c r="K1705" s="1"/>
  <c r="K1704" s="1"/>
  <c r="K1703" s="1"/>
  <c r="K1701"/>
  <c r="K1700" s="1"/>
  <c r="K1699" s="1"/>
  <c r="K1698" s="1"/>
  <c r="K1697"/>
  <c r="K1696" s="1"/>
  <c r="K1695" s="1"/>
  <c r="K1694" s="1"/>
  <c r="K1693"/>
  <c r="K1692" s="1"/>
  <c r="K1691"/>
  <c r="K1690" s="1"/>
  <c r="K1667"/>
  <c r="K1666" s="1"/>
  <c r="K1665" s="1"/>
  <c r="K1664" s="1"/>
  <c r="K1663" s="1"/>
  <c r="K1662" s="1"/>
  <c r="K1686"/>
  <c r="K1685" s="1"/>
  <c r="K1684" s="1"/>
  <c r="K1683" s="1"/>
  <c r="K1682" s="1"/>
  <c r="K1680"/>
  <c r="K1679" s="1"/>
  <c r="K1678" s="1"/>
  <c r="K1677"/>
  <c r="K1676" s="1"/>
  <c r="K1655"/>
  <c r="K1654" s="1"/>
  <c r="K1653" s="1"/>
  <c r="K1652" s="1"/>
  <c r="K1651" s="1"/>
  <c r="K1650" s="1"/>
  <c r="K1637"/>
  <c r="K1636" s="1"/>
  <c r="K1635" s="1"/>
  <c r="K1634" s="1"/>
  <c r="K1633" s="1"/>
  <c r="K1632" s="1"/>
  <c r="K1631" s="1"/>
  <c r="K1630"/>
  <c r="K1629" s="1"/>
  <c r="K1628" s="1"/>
  <c r="K1627" s="1"/>
  <c r="K1626" s="1"/>
  <c r="K1625"/>
  <c r="K1624" s="1"/>
  <c r="K1623" s="1"/>
  <c r="K1622" s="1"/>
  <c r="K1621" s="1"/>
  <c r="K1620"/>
  <c r="K1619" s="1"/>
  <c r="K1618" s="1"/>
  <c r="K1617"/>
  <c r="K1616" s="1"/>
  <c r="K1613"/>
  <c r="K1612" s="1"/>
  <c r="K1611" s="1"/>
  <c r="K1610"/>
  <c r="K1609" s="1"/>
  <c r="K1606"/>
  <c r="K1605" s="1"/>
  <c r="K1604" s="1"/>
  <c r="K1603"/>
  <c r="K1602" s="1"/>
  <c r="K1601" s="1"/>
  <c r="K1600"/>
  <c r="K1599" s="1"/>
  <c r="K1596"/>
  <c r="K1595" s="1"/>
  <c r="K1594" s="1"/>
  <c r="K1593"/>
  <c r="K1592" s="1"/>
  <c r="K1589"/>
  <c r="K1588" s="1"/>
  <c r="K1587" s="1"/>
  <c r="K1586"/>
  <c r="K1585" s="1"/>
  <c r="K1584" s="1"/>
  <c r="K1583"/>
  <c r="K1582" s="1"/>
  <c r="K1579"/>
  <c r="K1578" s="1"/>
  <c r="K1577" s="1"/>
  <c r="K1576"/>
  <c r="K1575" s="1"/>
  <c r="K1574" s="1"/>
  <c r="K1573"/>
  <c r="K1572" s="1"/>
  <c r="K1569"/>
  <c r="K1567" s="1"/>
  <c r="K1566" s="1"/>
  <c r="K1565"/>
  <c r="K1564" s="1"/>
  <c r="K1563" s="1"/>
  <c r="K1562"/>
  <c r="K1561" s="1"/>
  <c r="K1558"/>
  <c r="K1557" s="1"/>
  <c r="K1556" s="1"/>
  <c r="K1555"/>
  <c r="K1554" s="1"/>
  <c r="K1553" s="1"/>
  <c r="K1552"/>
  <c r="K1551" s="1"/>
  <c r="K1549"/>
  <c r="K1548" s="1"/>
  <c r="K1547" s="1"/>
  <c r="K1546"/>
  <c r="K1545" s="1"/>
  <c r="K1544" s="1"/>
  <c r="K1543"/>
  <c r="K1542" s="1"/>
  <c r="K1540"/>
  <c r="K1539"/>
  <c r="K1536"/>
  <c r="K1535" s="1"/>
  <c r="K1534" s="1"/>
  <c r="K1533"/>
  <c r="K1532" s="1"/>
  <c r="K1528"/>
  <c r="K1527" s="1"/>
  <c r="K1526" s="1"/>
  <c r="K1525" s="1"/>
  <c r="K1524" s="1"/>
  <c r="K1513"/>
  <c r="K1512" s="1"/>
  <c r="K1511" s="1"/>
  <c r="K1510" s="1"/>
  <c r="K1509" s="1"/>
  <c r="K1508" s="1"/>
  <c r="K1507" s="1"/>
  <c r="K1506"/>
  <c r="K1505" s="1"/>
  <c r="K1504" s="1"/>
  <c r="K1503" s="1"/>
  <c r="K1502" s="1"/>
  <c r="K1501" s="1"/>
  <c r="K1500"/>
  <c r="K1499" s="1"/>
  <c r="K1498" s="1"/>
  <c r="K1497" s="1"/>
  <c r="K1496"/>
  <c r="K1495" s="1"/>
  <c r="K1494" s="1"/>
  <c r="K1493"/>
  <c r="K1492" s="1"/>
  <c r="K1491" s="1"/>
  <c r="K1490"/>
  <c r="K1489" s="1"/>
  <c r="K1486"/>
  <c r="K1485" s="1"/>
  <c r="K1484" s="1"/>
  <c r="K1483" s="1"/>
  <c r="K1482" s="1"/>
  <c r="K1480"/>
  <c r="K1479" s="1"/>
  <c r="K1478" s="1"/>
  <c r="K1477" s="1"/>
  <c r="K1476" s="1"/>
  <c r="K1475" s="1"/>
  <c r="K1472"/>
  <c r="K1471" s="1"/>
  <c r="K1470" s="1"/>
  <c r="K1469" s="1"/>
  <c r="K1468" s="1"/>
  <c r="K1467" s="1"/>
  <c r="K1466"/>
  <c r="K1465"/>
  <c r="K1462"/>
  <c r="K1461" s="1"/>
  <c r="K1460" s="1"/>
  <c r="K1459"/>
  <c r="K1458" s="1"/>
  <c r="K1454"/>
  <c r="K1453" s="1"/>
  <c r="K1452" s="1"/>
  <c r="K1451" s="1"/>
  <c r="K1450" s="1"/>
  <c r="K1449" s="1"/>
  <c r="K1448"/>
  <c r="K1447" s="1"/>
  <c r="K1446" s="1"/>
  <c r="K1445" s="1"/>
  <c r="K1444" s="1"/>
  <c r="K1443" s="1"/>
  <c r="K1442"/>
  <c r="K1441" s="1"/>
  <c r="K1440" s="1"/>
  <c r="K1439" s="1"/>
  <c r="K1438" s="1"/>
  <c r="K1437"/>
  <c r="K1436" s="1"/>
  <c r="K1435" s="1"/>
  <c r="K1434" s="1"/>
  <c r="K1433" s="1"/>
  <c r="K1431"/>
  <c r="K1430" s="1"/>
  <c r="K1429" s="1"/>
  <c r="K1428" s="1"/>
  <c r="K1427" s="1"/>
  <c r="K1426" s="1"/>
  <c r="K1418"/>
  <c r="K1417"/>
  <c r="K1411"/>
  <c r="K1410" s="1"/>
  <c r="K1409" s="1"/>
  <c r="K1408" s="1"/>
  <c r="K1407" s="1"/>
  <c r="K1406" s="1"/>
  <c r="K1404"/>
  <c r="K1401" s="1"/>
  <c r="K1400" s="1"/>
  <c r="K1399" s="1"/>
  <c r="K1398" s="1"/>
  <c r="K1397"/>
  <c r="K1396" s="1"/>
  <c r="K1395" s="1"/>
  <c r="K1394" s="1"/>
  <c r="K1393" s="1"/>
  <c r="K1392" s="1"/>
  <c r="K1390"/>
  <c r="K1389"/>
  <c r="K1386"/>
  <c r="K1385" s="1"/>
  <c r="K1384" s="1"/>
  <c r="K1383"/>
  <c r="K1382" s="1"/>
  <c r="K1378"/>
  <c r="K1377" s="1"/>
  <c r="K1376" s="1"/>
  <c r="K1375" s="1"/>
  <c r="K1374" s="1"/>
  <c r="K1373" s="1"/>
  <c r="K1370"/>
  <c r="K1369"/>
  <c r="K1366"/>
  <c r="K1365" s="1"/>
  <c r="K1364" s="1"/>
  <c r="K1363"/>
  <c r="K1362" s="1"/>
  <c r="K1361" s="1"/>
  <c r="K1360"/>
  <c r="K1359" s="1"/>
  <c r="K1355"/>
  <c r="K1354" s="1"/>
  <c r="K1353" s="1"/>
  <c r="K1352" s="1"/>
  <c r="K1351" s="1"/>
  <c r="K1350"/>
  <c r="K1349" s="1"/>
  <c r="K1348" s="1"/>
  <c r="K1347" s="1"/>
  <c r="K1346" s="1"/>
  <c r="K1345" s="1"/>
  <c r="K1341"/>
  <c r="K1340" s="1"/>
  <c r="K1339" s="1"/>
  <c r="K1338"/>
  <c r="K1337" s="1"/>
  <c r="K1332"/>
  <c r="K1331" s="1"/>
  <c r="K1330"/>
  <c r="K1329" s="1"/>
  <c r="K1306"/>
  <c r="K1305" s="1"/>
  <c r="K1304"/>
  <c r="K1303" s="1"/>
  <c r="K1299"/>
  <c r="K1298" s="1"/>
  <c r="K1297"/>
  <c r="K1296" s="1"/>
  <c r="K1291"/>
  <c r="K1290" s="1"/>
  <c r="K1289" s="1"/>
  <c r="K1288" s="1"/>
  <c r="K1287" s="1"/>
  <c r="K1286"/>
  <c r="K1285" s="1"/>
  <c r="K1284" s="1"/>
  <c r="K1283" s="1"/>
  <c r="K1282" s="1"/>
  <c r="K1281"/>
  <c r="K1280" s="1"/>
  <c r="K1279"/>
  <c r="K1278" s="1"/>
  <c r="K1276"/>
  <c r="K1275" s="1"/>
  <c r="K1274" s="1"/>
  <c r="K1271"/>
  <c r="K1270" s="1"/>
  <c r="K1269" s="1"/>
  <c r="K1268" s="1"/>
  <c r="K1267" s="1"/>
  <c r="K1245"/>
  <c r="K1244"/>
  <c r="K1238"/>
  <c r="K1237" s="1"/>
  <c r="K1228"/>
  <c r="K1227" s="1"/>
  <c r="K1226" s="1"/>
  <c r="K1225" s="1"/>
  <c r="K1224"/>
  <c r="K1223" s="1"/>
  <c r="K1222" s="1"/>
  <c r="K1221" s="1"/>
  <c r="K1214"/>
  <c r="K1213" s="1"/>
  <c r="K1212" s="1"/>
  <c r="K1211" s="1"/>
  <c r="K1210" s="1"/>
  <c r="K1209"/>
  <c r="K1208" s="1"/>
  <c r="K1207" s="1"/>
  <c r="K1206" s="1"/>
  <c r="K1205" s="1"/>
  <c r="K1167"/>
  <c r="K1166" s="1"/>
  <c r="K1165" s="1"/>
  <c r="K1164" s="1"/>
  <c r="K1163" s="1"/>
  <c r="K1162" s="1"/>
  <c r="K1161"/>
  <c r="K1160" s="1"/>
  <c r="K1159" s="1"/>
  <c r="K1158" s="1"/>
  <c r="K1157" s="1"/>
  <c r="K1156" s="1"/>
  <c r="K1155"/>
  <c r="K1154" s="1"/>
  <c r="K1153" s="1"/>
  <c r="K1152" s="1"/>
  <c r="K1151" s="1"/>
  <c r="K1150" s="1"/>
  <c r="K1149"/>
  <c r="K1148" s="1"/>
  <c r="K1147" s="1"/>
  <c r="K1146" s="1"/>
  <c r="K1145" s="1"/>
  <c r="K1144" s="1"/>
  <c r="K1143"/>
  <c r="K1142" s="1"/>
  <c r="K1141" s="1"/>
  <c r="K1140" s="1"/>
  <c r="K1139" s="1"/>
  <c r="K1133"/>
  <c r="K1132" s="1"/>
  <c r="K1131" s="1"/>
  <c r="K1130" s="1"/>
  <c r="K1129" s="1"/>
  <c r="K1128"/>
  <c r="K1127" s="1"/>
  <c r="K1126" s="1"/>
  <c r="K1125" s="1"/>
  <c r="K1124" s="1"/>
  <c r="K1115"/>
  <c r="K1114" s="1"/>
  <c r="K1113" s="1"/>
  <c r="K1112" s="1"/>
  <c r="K1107"/>
  <c r="K1106" s="1"/>
  <c r="K1105" s="1"/>
  <c r="K1104" s="1"/>
  <c r="K1103" s="1"/>
  <c r="K1102" s="1"/>
  <c r="K1101"/>
  <c r="K1100" s="1"/>
  <c r="K1099" s="1"/>
  <c r="K1098" s="1"/>
  <c r="K1097" s="1"/>
  <c r="K1096" s="1"/>
  <c r="K1095"/>
  <c r="K1094" s="1"/>
  <c r="K1093" s="1"/>
  <c r="K1092" s="1"/>
  <c r="K1091" s="1"/>
  <c r="K1090"/>
  <c r="K1089" s="1"/>
  <c r="K1088" s="1"/>
  <c r="K1087" s="1"/>
  <c r="K1086" s="1"/>
  <c r="K1077"/>
  <c r="K1076" s="1"/>
  <c r="K1075" s="1"/>
  <c r="K1074" s="1"/>
  <c r="K1073" s="1"/>
  <c r="K1072" s="1"/>
  <c r="K1071"/>
  <c r="K1070" s="1"/>
  <c r="K1069" s="1"/>
  <c r="K1068" s="1"/>
  <c r="K1067" s="1"/>
  <c r="K1066" s="1"/>
  <c r="K1064"/>
  <c r="K1063" s="1"/>
  <c r="K1062" s="1"/>
  <c r="K1061" s="1"/>
  <c r="K1060" s="1"/>
  <c r="K1059" s="1"/>
  <c r="K1058"/>
  <c r="K1057" s="1"/>
  <c r="K1056" s="1"/>
  <c r="K1055" s="1"/>
  <c r="K1054" s="1"/>
  <c r="K1053" s="1"/>
  <c r="K1052"/>
  <c r="K1051" s="1"/>
  <c r="K1050" s="1"/>
  <c r="K1049" s="1"/>
  <c r="K1048" s="1"/>
  <c r="K1047"/>
  <c r="K1046" s="1"/>
  <c r="K1045" s="1"/>
  <c r="K1044" s="1"/>
  <c r="K1043" s="1"/>
  <c r="K1041"/>
  <c r="K1040" s="1"/>
  <c r="K1039" s="1"/>
  <c r="K1038"/>
  <c r="K1037"/>
  <c r="K1034"/>
  <c r="K1033" s="1"/>
  <c r="K1029"/>
  <c r="K1028" s="1"/>
  <c r="K1019"/>
  <c r="K1018" s="1"/>
  <c r="K1017" s="1"/>
  <c r="K1016" s="1"/>
  <c r="K1015" s="1"/>
  <c r="K1014" s="1"/>
  <c r="K1001"/>
  <c r="K1000" s="1"/>
  <c r="K999" s="1"/>
  <c r="K998" s="1"/>
  <c r="K997" s="1"/>
  <c r="K996" s="1"/>
  <c r="K995" s="1"/>
  <c r="K994"/>
  <c r="K993" s="1"/>
  <c r="K992" s="1"/>
  <c r="K991" s="1"/>
  <c r="K990" s="1"/>
  <c r="K989" s="1"/>
  <c r="K988" s="1"/>
  <c r="K987" s="1"/>
  <c r="K986"/>
  <c r="K985" s="1"/>
  <c r="K984" s="1"/>
  <c r="K983" s="1"/>
  <c r="K982" s="1"/>
  <c r="K981" s="1"/>
  <c r="K980" s="1"/>
  <c r="K979"/>
  <c r="K978" s="1"/>
  <c r="K977" s="1"/>
  <c r="K976" s="1"/>
  <c r="K975" s="1"/>
  <c r="K974" s="1"/>
  <c r="K967"/>
  <c r="K966" s="1"/>
  <c r="K965" s="1"/>
  <c r="K964" s="1"/>
  <c r="K963" s="1"/>
  <c r="K962" s="1"/>
  <c r="K960"/>
  <c r="K959" s="1"/>
  <c r="K958" s="1"/>
  <c r="K957" s="1"/>
  <c r="K956" s="1"/>
  <c r="K955" s="1"/>
  <c r="K952"/>
  <c r="K951" s="1"/>
  <c r="K950" s="1"/>
  <c r="K946" s="1"/>
  <c r="K945" s="1"/>
  <c r="K944" s="1"/>
  <c r="K940"/>
  <c r="K939" s="1"/>
  <c r="K938" s="1"/>
  <c r="K937"/>
  <c r="K936" s="1"/>
  <c r="K934"/>
  <c r="K933"/>
  <c r="K926"/>
  <c r="K925"/>
  <c r="K920"/>
  <c r="K919" s="1"/>
  <c r="K918"/>
  <c r="K917" s="1"/>
  <c r="K915"/>
  <c r="K914" s="1"/>
  <c r="K913" s="1"/>
  <c r="K909"/>
  <c r="K908" s="1"/>
  <c r="K907" s="1"/>
  <c r="K905"/>
  <c r="K904" s="1"/>
  <c r="K903" s="1"/>
  <c r="K899"/>
  <c r="K898" s="1"/>
  <c r="K897" s="1"/>
  <c r="K893" s="1"/>
  <c r="K892" s="1"/>
  <c r="K891" s="1"/>
  <c r="K890"/>
  <c r="K889" s="1"/>
  <c r="K888" s="1"/>
  <c r="K887" s="1"/>
  <c r="K886" s="1"/>
  <c r="K885" s="1"/>
  <c r="K871"/>
  <c r="K870" s="1"/>
  <c r="K869" s="1"/>
  <c r="K865"/>
  <c r="K864" s="1"/>
  <c r="K863" s="1"/>
  <c r="K862" s="1"/>
  <c r="K861" s="1"/>
  <c r="K860" s="1"/>
  <c r="K859"/>
  <c r="K858"/>
  <c r="K825"/>
  <c r="K824" s="1"/>
  <c r="K823" s="1"/>
  <c r="K819" s="1"/>
  <c r="K818" s="1"/>
  <c r="K817" s="1"/>
  <c r="K816" s="1"/>
  <c r="K811"/>
  <c r="K810" s="1"/>
  <c r="K809" s="1"/>
  <c r="K805" s="1"/>
  <c r="K804" s="1"/>
  <c r="K803" s="1"/>
  <c r="K802" s="1"/>
  <c r="K801"/>
  <c r="K800" s="1"/>
  <c r="K799" s="1"/>
  <c r="K795" s="1"/>
  <c r="K794" s="1"/>
  <c r="K793" s="1"/>
  <c r="K792" s="1"/>
  <c r="K791"/>
  <c r="K790" s="1"/>
  <c r="K789" s="1"/>
  <c r="K785" s="1"/>
  <c r="K784" s="1"/>
  <c r="K783" s="1"/>
  <c r="K782" s="1"/>
  <c r="K775"/>
  <c r="K774" s="1"/>
  <c r="K773" s="1"/>
  <c r="K772" s="1"/>
  <c r="K771" s="1"/>
  <c r="K770" s="1"/>
  <c r="K769"/>
  <c r="K768" s="1"/>
  <c r="K767" s="1"/>
  <c r="K766" s="1"/>
  <c r="K765" s="1"/>
  <c r="K764" s="1"/>
  <c r="K762"/>
  <c r="K761" s="1"/>
  <c r="K760" s="1"/>
  <c r="K759" s="1"/>
  <c r="K758" s="1"/>
  <c r="K757" s="1"/>
  <c r="K756"/>
  <c r="K755" s="1"/>
  <c r="K754" s="1"/>
  <c r="K753"/>
  <c r="K752" s="1"/>
  <c r="K751" s="1"/>
  <c r="K750"/>
  <c r="K749" s="1"/>
  <c r="K744"/>
  <c r="K743"/>
  <c r="K737"/>
  <c r="K736" s="1"/>
  <c r="K735" s="1"/>
  <c r="K734" s="1"/>
  <c r="K733" s="1"/>
  <c r="K732" s="1"/>
  <c r="K730"/>
  <c r="K729" s="1"/>
  <c r="K728" s="1"/>
  <c r="K727" s="1"/>
  <c r="K726" s="1"/>
  <c r="K725"/>
  <c r="K724" s="1"/>
  <c r="K723" s="1"/>
  <c r="K722" s="1"/>
  <c r="K721" s="1"/>
  <c r="K714"/>
  <c r="K713" s="1"/>
  <c r="K712" s="1"/>
  <c r="K711" s="1"/>
  <c r="K710" s="1"/>
  <c r="K709"/>
  <c r="K708" s="1"/>
  <c r="K707" s="1"/>
  <c r="K706" s="1"/>
  <c r="K705" s="1"/>
  <c r="K703"/>
  <c r="K702" s="1"/>
  <c r="K701" s="1"/>
  <c r="K700" s="1"/>
  <c r="K699" s="1"/>
  <c r="K698"/>
  <c r="K697" s="1"/>
  <c r="K696" s="1"/>
  <c r="K695" s="1"/>
  <c r="K694" s="1"/>
  <c r="K692"/>
  <c r="K691" s="1"/>
  <c r="K690" s="1"/>
  <c r="K689" s="1"/>
  <c r="K688" s="1"/>
  <c r="K687"/>
  <c r="K686" s="1"/>
  <c r="K685" s="1"/>
  <c r="K684" s="1"/>
  <c r="K683"/>
  <c r="K682" s="1"/>
  <c r="K681" s="1"/>
  <c r="K680" s="1"/>
  <c r="K678"/>
  <c r="K677" s="1"/>
  <c r="K676" s="1"/>
  <c r="K675" s="1"/>
  <c r="K674" s="1"/>
  <c r="K672"/>
  <c r="K671" s="1"/>
  <c r="K670" s="1"/>
  <c r="K669" s="1"/>
  <c r="K668" s="1"/>
  <c r="K667"/>
  <c r="K666" s="1"/>
  <c r="K665" s="1"/>
  <c r="K664" s="1"/>
  <c r="K663" s="1"/>
  <c r="K662"/>
  <c r="K661" s="1"/>
  <c r="K660"/>
  <c r="K659" s="1"/>
  <c r="K657"/>
  <c r="K656" s="1"/>
  <c r="K655" s="1"/>
  <c r="K652"/>
  <c r="K651" s="1"/>
  <c r="K650" s="1"/>
  <c r="K649" s="1"/>
  <c r="K648" s="1"/>
  <c r="K646"/>
  <c r="K645" s="1"/>
  <c r="K644" s="1"/>
  <c r="K643" s="1"/>
  <c r="K642" s="1"/>
  <c r="K641"/>
  <c r="K640" s="1"/>
  <c r="K639"/>
  <c r="K638" s="1"/>
  <c r="K636"/>
  <c r="K635" s="1"/>
  <c r="K634" s="1"/>
  <c r="K629"/>
  <c r="K628" s="1"/>
  <c r="K627" s="1"/>
  <c r="K626" s="1"/>
  <c r="K625" s="1"/>
  <c r="K624" s="1"/>
  <c r="K623"/>
  <c r="K622" s="1"/>
  <c r="K621" s="1"/>
  <c r="K620" s="1"/>
  <c r="K619" s="1"/>
  <c r="K618" s="1"/>
  <c r="K617"/>
  <c r="K616" s="1"/>
  <c r="K615" s="1"/>
  <c r="K614" s="1"/>
  <c r="K613" s="1"/>
  <c r="K612" s="1"/>
  <c r="K610"/>
  <c r="K609" s="1"/>
  <c r="K608" s="1"/>
  <c r="K607" s="1"/>
  <c r="K606" s="1"/>
  <c r="K605"/>
  <c r="K604" s="1"/>
  <c r="K603" s="1"/>
  <c r="K602" s="1"/>
  <c r="K601" s="1"/>
  <c r="K600"/>
  <c r="K599" s="1"/>
  <c r="K598" s="1"/>
  <c r="K597" s="1"/>
  <c r="K596" s="1"/>
  <c r="K589"/>
  <c r="K588" s="1"/>
  <c r="K587" s="1"/>
  <c r="K586" s="1"/>
  <c r="K585" s="1"/>
  <c r="K584"/>
  <c r="K583" s="1"/>
  <c r="K582" s="1"/>
  <c r="K581" s="1"/>
  <c r="K580" s="1"/>
  <c r="K578"/>
  <c r="K577" s="1"/>
  <c r="K576" s="1"/>
  <c r="K575" s="1"/>
  <c r="K574" s="1"/>
  <c r="K573" s="1"/>
  <c r="K572" s="1"/>
  <c r="K571"/>
  <c r="K570" s="1"/>
  <c r="K569" s="1"/>
  <c r="K568" s="1"/>
  <c r="K567" s="1"/>
  <c r="K566"/>
  <c r="K565" s="1"/>
  <c r="K564" s="1"/>
  <c r="K563" s="1"/>
  <c r="K562" s="1"/>
  <c r="K561" s="1"/>
  <c r="K560"/>
  <c r="K559" s="1"/>
  <c r="K558" s="1"/>
  <c r="K557" s="1"/>
  <c r="K556" s="1"/>
  <c r="K555"/>
  <c r="K554" s="1"/>
  <c r="K553" s="1"/>
  <c r="K552" s="1"/>
  <c r="K551" s="1"/>
  <c r="K549"/>
  <c r="K548" s="1"/>
  <c r="K547" s="1"/>
  <c r="K546" s="1"/>
  <c r="K545" s="1"/>
  <c r="K544" s="1"/>
  <c r="K542"/>
  <c r="K541" s="1"/>
  <c r="K540" s="1"/>
  <c r="K539"/>
  <c r="K538" s="1"/>
  <c r="K534"/>
  <c r="K533"/>
  <c r="K530"/>
  <c r="K529" s="1"/>
  <c r="K528" s="1"/>
  <c r="K527"/>
  <c r="K526" s="1"/>
  <c r="K521"/>
  <c r="K520" s="1"/>
  <c r="K519" s="1"/>
  <c r="K518" s="1"/>
  <c r="K517"/>
  <c r="K516"/>
  <c r="K515" s="1"/>
  <c r="K511"/>
  <c r="K510" s="1"/>
  <c r="K509"/>
  <c r="K508" s="1"/>
  <c r="K503"/>
  <c r="K502" s="1"/>
  <c r="K501"/>
  <c r="K500" s="1"/>
  <c r="K498"/>
  <c r="K497" s="1"/>
  <c r="K496" s="1"/>
  <c r="K492"/>
  <c r="K491" s="1"/>
  <c r="K490" s="1"/>
  <c r="K489" s="1"/>
  <c r="K488" s="1"/>
  <c r="K487" s="1"/>
  <c r="K486"/>
  <c r="K485" s="1"/>
  <c r="K484"/>
  <c r="K483" s="1"/>
  <c r="K478"/>
  <c r="K477" s="1"/>
  <c r="K476"/>
  <c r="K475" s="1"/>
  <c r="K470"/>
  <c r="K469" s="1"/>
  <c r="K468" s="1"/>
  <c r="K467" s="1"/>
  <c r="K466" s="1"/>
  <c r="K465" s="1"/>
  <c r="K463"/>
  <c r="K462" s="1"/>
  <c r="K461" s="1"/>
  <c r="K460" s="1"/>
  <c r="K459" s="1"/>
  <c r="K458" s="1"/>
  <c r="K451"/>
  <c r="K450" s="1"/>
  <c r="K449" s="1"/>
  <c r="K448" s="1"/>
  <c r="K447" s="1"/>
  <c r="K446" s="1"/>
  <c r="K439" s="1"/>
  <c r="K438"/>
  <c r="K437" s="1"/>
  <c r="K436" s="1"/>
  <c r="K435" s="1"/>
  <c r="K434" s="1"/>
  <c r="K433" s="1"/>
  <c r="K432" s="1"/>
  <c r="K431"/>
  <c r="K430" s="1"/>
  <c r="K429" s="1"/>
  <c r="K428" s="1"/>
  <c r="K427" s="1"/>
  <c r="K426" s="1"/>
  <c r="K425"/>
  <c r="K424" s="1"/>
  <c r="K423" s="1"/>
  <c r="K422" s="1"/>
  <c r="K421" s="1"/>
  <c r="K420" s="1"/>
  <c r="K419"/>
  <c r="K418" s="1"/>
  <c r="K417" s="1"/>
  <c r="K416" s="1"/>
  <c r="K415" s="1"/>
  <c r="K414" s="1"/>
  <c r="K406"/>
  <c r="K405" s="1"/>
  <c r="K404"/>
  <c r="K403" s="1"/>
  <c r="K398"/>
  <c r="K397" s="1"/>
  <c r="K396"/>
  <c r="K395" s="1"/>
  <c r="K390"/>
  <c r="K389" s="1"/>
  <c r="K388" s="1"/>
  <c r="K387" s="1"/>
  <c r="K386" s="1"/>
  <c r="K385" s="1"/>
  <c r="K377"/>
  <c r="K376" s="1"/>
  <c r="K375" s="1"/>
  <c r="K374" s="1"/>
  <c r="K373" s="1"/>
  <c r="K372" s="1"/>
  <c r="K371"/>
  <c r="K370" s="1"/>
  <c r="K369" s="1"/>
  <c r="K368" s="1"/>
  <c r="K367" s="1"/>
  <c r="K366" s="1"/>
  <c r="K365"/>
  <c r="K364" s="1"/>
  <c r="K363" s="1"/>
  <c r="K362" s="1"/>
  <c r="K361" s="1"/>
  <c r="K360"/>
  <c r="K359" s="1"/>
  <c r="K358" s="1"/>
  <c r="K357" s="1"/>
  <c r="K356" s="1"/>
  <c r="K354"/>
  <c r="K353" s="1"/>
  <c r="K352" s="1"/>
  <c r="K351" s="1"/>
  <c r="K350" s="1"/>
  <c r="K349" s="1"/>
  <c r="K341"/>
  <c r="K340" s="1"/>
  <c r="K339" s="1"/>
  <c r="K338" s="1"/>
  <c r="K337" s="1"/>
  <c r="K336" s="1"/>
  <c r="K335"/>
  <c r="K334" s="1"/>
  <c r="K333" s="1"/>
  <c r="K332" s="1"/>
  <c r="K331" s="1"/>
  <c r="K330" s="1"/>
  <c r="K329"/>
  <c r="K328" s="1"/>
  <c r="K327" s="1"/>
  <c r="K326" s="1"/>
  <c r="K325" s="1"/>
  <c r="K324" s="1"/>
  <c r="K323"/>
  <c r="K322" s="1"/>
  <c r="K321" s="1"/>
  <c r="K320" s="1"/>
  <c r="K319" s="1"/>
  <c r="K318" s="1"/>
  <c r="K317"/>
  <c r="K316" s="1"/>
  <c r="K315" s="1"/>
  <c r="K314" s="1"/>
  <c r="K313" s="1"/>
  <c r="K312" s="1"/>
  <c r="K311"/>
  <c r="K310" s="1"/>
  <c r="K309" s="1"/>
  <c r="K308" s="1"/>
  <c r="K307" s="1"/>
  <c r="K306" s="1"/>
  <c r="K292"/>
  <c r="K291" s="1"/>
  <c r="K290" s="1"/>
  <c r="K289" s="1"/>
  <c r="K288" s="1"/>
  <c r="K287" s="1"/>
  <c r="K286"/>
  <c r="K285" s="1"/>
  <c r="K284" s="1"/>
  <c r="K283" s="1"/>
  <c r="K282" s="1"/>
  <c r="K281" s="1"/>
  <c r="K280"/>
  <c r="K279" s="1"/>
  <c r="K278" s="1"/>
  <c r="K277" s="1"/>
  <c r="K276" s="1"/>
  <c r="K275" s="1"/>
  <c r="K274"/>
  <c r="K273" s="1"/>
  <c r="K272" s="1"/>
  <c r="K271" s="1"/>
  <c r="K270" s="1"/>
  <c r="K269" s="1"/>
  <c r="K268"/>
  <c r="K267" s="1"/>
  <c r="K266" s="1"/>
  <c r="K265" s="1"/>
  <c r="K264" s="1"/>
  <c r="K263" s="1"/>
  <c r="K255"/>
  <c r="K254" s="1"/>
  <c r="K253" s="1"/>
  <c r="K252" s="1"/>
  <c r="K251" s="1"/>
  <c r="K250" s="1"/>
  <c r="K249"/>
  <c r="K248" s="1"/>
  <c r="K247" s="1"/>
  <c r="K232"/>
  <c r="K231" s="1"/>
  <c r="K230" s="1"/>
  <c r="K229"/>
  <c r="K228"/>
  <c r="K223"/>
  <c r="K222" s="1"/>
  <c r="K221" s="1"/>
  <c r="K220" s="1"/>
  <c r="K219"/>
  <c r="K218" s="1"/>
  <c r="K217" s="1"/>
  <c r="K216"/>
  <c r="K215" s="1"/>
  <c r="K214" s="1"/>
  <c r="K209"/>
  <c r="K208" s="1"/>
  <c r="K207"/>
  <c r="K206" s="1"/>
  <c r="K204"/>
  <c r="K203" s="1"/>
  <c r="K202" s="1"/>
  <c r="K198"/>
  <c r="K197" s="1"/>
  <c r="K196"/>
  <c r="K189"/>
  <c r="K188" s="1"/>
  <c r="K187" s="1"/>
  <c r="K186" s="1"/>
  <c r="K185" s="1"/>
  <c r="K184" s="1"/>
  <c r="K183" s="1"/>
  <c r="K182"/>
  <c r="K181" s="1"/>
  <c r="K180" s="1"/>
  <c r="K179" s="1"/>
  <c r="K178" s="1"/>
  <c r="K177" s="1"/>
  <c r="K176"/>
  <c r="K175" s="1"/>
  <c r="K174" s="1"/>
  <c r="K173" s="1"/>
  <c r="K172" s="1"/>
  <c r="K171" s="1"/>
  <c r="K170"/>
  <c r="K169" s="1"/>
  <c r="K168" s="1"/>
  <c r="K167" s="1"/>
  <c r="K166" s="1"/>
  <c r="K165" s="1"/>
  <c r="K162"/>
  <c r="K161" s="1"/>
  <c r="K160" s="1"/>
  <c r="K159" s="1"/>
  <c r="K157"/>
  <c r="K156" s="1"/>
  <c r="K155" s="1"/>
  <c r="K154" s="1"/>
  <c r="K149"/>
  <c r="K148" s="1"/>
  <c r="K147" s="1"/>
  <c r="K146" s="1"/>
  <c r="K145" s="1"/>
  <c r="K144" s="1"/>
  <c r="K143"/>
  <c r="K142" s="1"/>
  <c r="K141" s="1"/>
  <c r="K140" s="1"/>
  <c r="K139" s="1"/>
  <c r="K138" s="1"/>
  <c r="K137"/>
  <c r="K136" s="1"/>
  <c r="K135" s="1"/>
  <c r="K134" s="1"/>
  <c r="K133" s="1"/>
  <c r="K132" s="1"/>
  <c r="K130"/>
  <c r="K129" s="1"/>
  <c r="K128"/>
  <c r="K127" s="1"/>
  <c r="K124"/>
  <c r="K123" s="1"/>
  <c r="K122" s="1"/>
  <c r="K121" s="1"/>
  <c r="K112"/>
  <c r="K111" s="1"/>
  <c r="K110" s="1"/>
  <c r="K109" s="1"/>
  <c r="K108" s="1"/>
  <c r="K107" s="1"/>
  <c r="K105"/>
  <c r="K104" s="1"/>
  <c r="K102"/>
  <c r="K101" s="1"/>
  <c r="K96"/>
  <c r="K95"/>
  <c r="K90"/>
  <c r="K89" s="1"/>
  <c r="K88" s="1"/>
  <c r="K87" s="1"/>
  <c r="K86" s="1"/>
  <c r="K85" s="1"/>
  <c r="K84"/>
  <c r="K83" s="1"/>
  <c r="K82"/>
  <c r="K81" s="1"/>
  <c r="K75"/>
  <c r="K74" s="1"/>
  <c r="K73" s="1"/>
  <c r="K72" s="1"/>
  <c r="K71" s="1"/>
  <c r="K70" s="1"/>
  <c r="K69"/>
  <c r="K68" s="1"/>
  <c r="K67"/>
  <c r="K66" s="1"/>
  <c r="K61"/>
  <c r="K60" s="1"/>
  <c r="K59"/>
  <c r="K58" s="1"/>
  <c r="K52"/>
  <c r="K51" s="1"/>
  <c r="K50"/>
  <c r="K49" s="1"/>
  <c r="K44"/>
  <c r="K43" s="1"/>
  <c r="K42" s="1"/>
  <c r="K41" s="1"/>
  <c r="K40" s="1"/>
  <c r="K39" s="1"/>
  <c r="K37"/>
  <c r="K36" s="1"/>
  <c r="K35"/>
  <c r="K34" s="1"/>
  <c r="K24"/>
  <c r="K23" s="1"/>
  <c r="K22" s="1"/>
  <c r="K21" s="1"/>
  <c r="K20" s="1"/>
  <c r="K19" s="1"/>
  <c r="L1750" i="5"/>
  <c r="L1749" s="1"/>
  <c r="L1747"/>
  <c r="L1746" s="1"/>
  <c r="L1744"/>
  <c r="L1738"/>
  <c r="L1737" s="1"/>
  <c r="L1736" s="1"/>
  <c r="L1735" s="1"/>
  <c r="L1732"/>
  <c r="L1731" s="1"/>
  <c r="L1729"/>
  <c r="L1721"/>
  <c r="L1720" s="1"/>
  <c r="L1718"/>
  <c r="L1717" s="1"/>
  <c r="L1715"/>
  <c r="L1706"/>
  <c r="L1705" s="1"/>
  <c r="L1704" s="1"/>
  <c r="L1703" s="1"/>
  <c r="L1702" s="1"/>
  <c r="L1700"/>
  <c r="L1699" s="1"/>
  <c r="L1698" s="1"/>
  <c r="L1697" s="1"/>
  <c r="L1696" s="1"/>
  <c r="L1674"/>
  <c r="L1673" s="1"/>
  <c r="L1672" s="1"/>
  <c r="L1666"/>
  <c r="L1665" s="1"/>
  <c r="L1664" s="1"/>
  <c r="L1662"/>
  <c r="L1661" s="1"/>
  <c r="L1660" s="1"/>
  <c r="L1658"/>
  <c r="L1654"/>
  <c r="L1653" s="1"/>
  <c r="L1652" s="1"/>
  <c r="L1647"/>
  <c r="L1646" s="1"/>
  <c r="L1644"/>
  <c r="L1643" s="1"/>
  <c r="L1640"/>
  <c r="L1639" s="1"/>
  <c r="L1638" s="1"/>
  <c r="L1634"/>
  <c r="L1633" s="1"/>
  <c r="L1632" s="1"/>
  <c r="L1631" s="1"/>
  <c r="L1630" s="1"/>
  <c r="L1627"/>
  <c r="L1626" s="1"/>
  <c r="L1625" s="1"/>
  <c r="L1624" s="1"/>
  <c r="L1623" s="1"/>
  <c r="L1622" s="1"/>
  <c r="L1616"/>
  <c r="L1615" s="1"/>
  <c r="L1614" s="1"/>
  <c r="L1602"/>
  <c r="L1601" s="1"/>
  <c r="L1599"/>
  <c r="L1598" s="1"/>
  <c r="L1596"/>
  <c r="L1595" s="1"/>
  <c r="L1593"/>
  <c r="L1582"/>
  <c r="L1581" s="1"/>
  <c r="L1576"/>
  <c r="L1573"/>
  <c r="L1572" s="1"/>
  <c r="L1571" s="1"/>
  <c r="L1563"/>
  <c r="L1562" s="1"/>
  <c r="L1561" s="1"/>
  <c r="L1560" s="1"/>
  <c r="L1558"/>
  <c r="L1557" s="1"/>
  <c r="L1556" s="1"/>
  <c r="L1555" s="1"/>
  <c r="L1529"/>
  <c r="L1528" s="1"/>
  <c r="L1527" s="1"/>
  <c r="L1526" s="1"/>
  <c r="L1525" s="1"/>
  <c r="L1524" s="1"/>
  <c r="L1522"/>
  <c r="L1521" s="1"/>
  <c r="L1520" s="1"/>
  <c r="L1519" s="1"/>
  <c r="L1517"/>
  <c r="L1516" s="1"/>
  <c r="L1515" s="1"/>
  <c r="L1514" s="1"/>
  <c r="L1506"/>
  <c r="L1505" s="1"/>
  <c r="L1504" s="1"/>
  <c r="L1503" s="1"/>
  <c r="L1501"/>
  <c r="L1500" s="1"/>
  <c r="L1499" s="1"/>
  <c r="L1497"/>
  <c r="L1496" s="1"/>
  <c r="L1495" s="1"/>
  <c r="L1489"/>
  <c r="L1488" s="1"/>
  <c r="L1486"/>
  <c r="L1483"/>
  <c r="L1482" s="1"/>
  <c r="L1480"/>
  <c r="L1476"/>
  <c r="L1473" s="1"/>
  <c r="L1471"/>
  <c r="L1470" s="1"/>
  <c r="L1468"/>
  <c r="L1465"/>
  <c r="L1464" s="1"/>
  <c r="L1462"/>
  <c r="L1459"/>
  <c r="L1458" s="1"/>
  <c r="L1456"/>
  <c r="L1444"/>
  <c r="L1443" s="1"/>
  <c r="L1439" s="1"/>
  <c r="L1434"/>
  <c r="L1433" s="1"/>
  <c r="L1431"/>
  <c r="L1427"/>
  <c r="L1426" s="1"/>
  <c r="L1425" s="1"/>
  <c r="L1419"/>
  <c r="L1418" s="1"/>
  <c r="L1417" s="1"/>
  <c r="L1412"/>
  <c r="L1411" s="1"/>
  <c r="L1407" s="1"/>
  <c r="L1405"/>
  <c r="L1404" s="1"/>
  <c r="L1400" s="1"/>
  <c r="L1397"/>
  <c r="L1396" s="1"/>
  <c r="L1392" s="1"/>
  <c r="L1376"/>
  <c r="L1375" s="1"/>
  <c r="L1371" s="1"/>
  <c r="L1370" s="1"/>
  <c r="L1368"/>
  <c r="L1367" s="1"/>
  <c r="L1363" s="1"/>
  <c r="L1362" s="1"/>
  <c r="L1360"/>
  <c r="L1359" s="1"/>
  <c r="L1355" s="1"/>
  <c r="L1354" s="1"/>
  <c r="L1352"/>
  <c r="L1351" s="1"/>
  <c r="L1347" s="1"/>
  <c r="L1346" s="1"/>
  <c r="L1342"/>
  <c r="L1341" s="1"/>
  <c r="L1340" s="1"/>
  <c r="L1339" s="1"/>
  <c r="L1338" s="1"/>
  <c r="L1334"/>
  <c r="L1333" s="1"/>
  <c r="L1332" s="1"/>
  <c r="L1327" s="1"/>
  <c r="L1326" s="1"/>
  <c r="I55" i="1" s="1"/>
  <c r="L1323" i="5"/>
  <c r="L1322" s="1"/>
  <c r="L1321" s="1"/>
  <c r="L1319"/>
  <c r="L1318" s="1"/>
  <c r="L1317" s="1"/>
  <c r="L1313"/>
  <c r="L1312" s="1"/>
  <c r="L1309"/>
  <c r="L1308" s="1"/>
  <c r="L1307" s="1"/>
  <c r="L1294"/>
  <c r="L1293" s="1"/>
  <c r="L1291"/>
  <c r="L1285"/>
  <c r="L1284" s="1"/>
  <c r="L1283" s="1"/>
  <c r="L1282" s="1"/>
  <c r="L1279"/>
  <c r="L1278" s="1"/>
  <c r="L1277" s="1"/>
  <c r="L1276" s="1"/>
  <c r="L1274"/>
  <c r="L1273" s="1"/>
  <c r="L1272" s="1"/>
  <c r="L1271" s="1"/>
  <c r="L1262"/>
  <c r="L1261" s="1"/>
  <c r="L1260" s="1"/>
  <c r="L1258"/>
  <c r="L1256"/>
  <c r="L1253"/>
  <c r="L1252" s="1"/>
  <c r="L1249"/>
  <c r="L1247"/>
  <c r="L1243"/>
  <c r="L1242" s="1"/>
  <c r="L1241" s="1"/>
  <c r="L1236"/>
  <c r="L1234"/>
  <c r="L1230"/>
  <c r="L1228"/>
  <c r="L1222"/>
  <c r="L1220"/>
  <c r="L1214"/>
  <c r="L1213" s="1"/>
  <c r="L1211" s="1"/>
  <c r="L1210" s="1"/>
  <c r="L1208"/>
  <c r="L1206"/>
  <c r="L1198"/>
  <c r="L1197" s="1"/>
  <c r="L1196" s="1"/>
  <c r="L1194"/>
  <c r="L1193" s="1"/>
  <c r="L1191"/>
  <c r="L1190" s="1"/>
  <c r="L1188"/>
  <c r="L1177"/>
  <c r="L1175"/>
  <c r="L1159"/>
  <c r="L1157"/>
  <c r="L1153"/>
  <c r="L1152" s="1"/>
  <c r="L1151" s="1"/>
  <c r="L1147"/>
  <c r="L1146" s="1"/>
  <c r="L1145" s="1"/>
  <c r="L1143"/>
  <c r="L1142" s="1"/>
  <c r="L1141" s="1"/>
  <c r="L1139"/>
  <c r="L1138" s="1"/>
  <c r="L1135"/>
  <c r="L1134" s="1"/>
  <c r="L1133" s="1"/>
  <c r="L1130"/>
  <c r="L1129" s="1"/>
  <c r="L1128" s="1"/>
  <c r="L1127" s="1"/>
  <c r="L1125"/>
  <c r="L1124" s="1"/>
  <c r="L1123" s="1"/>
  <c r="L1121"/>
  <c r="L1120" s="1"/>
  <c r="L1119" s="1"/>
  <c r="L1117"/>
  <c r="L1116" s="1"/>
  <c r="L1115" s="1"/>
  <c r="L1112"/>
  <c r="L1110"/>
  <c r="L1106"/>
  <c r="L1105" s="1"/>
  <c r="L1104" s="1"/>
  <c r="L1101"/>
  <c r="L1100" s="1"/>
  <c r="L1099" s="1"/>
  <c r="L1097"/>
  <c r="L1096" s="1"/>
  <c r="L1095" s="1"/>
  <c r="L1092"/>
  <c r="L1091" s="1"/>
  <c r="L1090" s="1"/>
  <c r="L1088"/>
  <c r="L1087" s="1"/>
  <c r="L1086" s="1"/>
  <c r="L1079"/>
  <c r="L1078" s="1"/>
  <c r="L1077" s="1"/>
  <c r="L1075"/>
  <c r="L1074" s="1"/>
  <c r="L1073" s="1"/>
  <c r="L1070"/>
  <c r="L1069" s="1"/>
  <c r="L1068" s="1"/>
  <c r="L1067" s="1"/>
  <c r="L1063"/>
  <c r="L1062" s="1"/>
  <c r="L1061" s="1"/>
  <c r="L1060" s="1"/>
  <c r="L1059" s="1"/>
  <c r="L1057"/>
  <c r="L1056" s="1"/>
  <c r="L1055" s="1"/>
  <c r="L1054" s="1"/>
  <c r="L1052"/>
  <c r="L1051" s="1"/>
  <c r="L1050" s="1"/>
  <c r="L1049" s="1"/>
  <c r="L1043"/>
  <c r="L1041"/>
  <c r="L1032"/>
  <c r="L1031" s="1"/>
  <c r="L1030" s="1"/>
  <c r="L1028"/>
  <c r="L1027" s="1"/>
  <c r="L1026" s="1"/>
  <c r="L1019"/>
  <c r="L1018" s="1"/>
  <c r="L1017" s="1"/>
  <c r="L1015"/>
  <c r="L1014" s="1"/>
  <c r="L1013" s="1"/>
  <c r="L1011"/>
  <c r="L1007"/>
  <c r="L1006" s="1"/>
  <c r="L998"/>
  <c r="L997" s="1"/>
  <c r="L996" s="1"/>
  <c r="L994"/>
  <c r="L993" s="1"/>
  <c r="L992" s="1"/>
  <c r="L990"/>
  <c r="L989" s="1"/>
  <c r="L988" s="1"/>
  <c r="L981"/>
  <c r="L970"/>
  <c r="L969" s="1"/>
  <c r="L968" s="1"/>
  <c r="L966"/>
  <c r="L965" s="1"/>
  <c r="L964" s="1"/>
  <c r="L951"/>
  <c r="L950" s="1"/>
  <c r="L949" s="1"/>
  <c r="L948" s="1"/>
  <c r="L947" s="1"/>
  <c r="L944"/>
  <c r="L943" s="1"/>
  <c r="L942" s="1"/>
  <c r="L941" s="1"/>
  <c r="L940" s="1"/>
  <c r="L934"/>
  <c r="L933" s="1"/>
  <c r="L932" s="1"/>
  <c r="L927" s="1"/>
  <c r="L926" s="1"/>
  <c r="L925" s="1"/>
  <c r="L922"/>
  <c r="L921" s="1"/>
  <c r="L919"/>
  <c r="L912"/>
  <c r="L911" s="1"/>
  <c r="L910" s="1"/>
  <c r="L909" s="1"/>
  <c r="L908" s="1"/>
  <c r="L907" s="1"/>
  <c r="L904"/>
  <c r="L903" s="1"/>
  <c r="L902" s="1"/>
  <c r="L901" s="1"/>
  <c r="L900" s="1"/>
  <c r="L899" s="1"/>
  <c r="L898" s="1"/>
  <c r="L896"/>
  <c r="L895" s="1"/>
  <c r="L894" s="1"/>
  <c r="L893" s="1"/>
  <c r="L892" s="1"/>
  <c r="L891" s="1"/>
  <c r="L890" s="1"/>
  <c r="L888"/>
  <c r="L887" s="1"/>
  <c r="L886" s="1"/>
  <c r="L885" s="1"/>
  <c r="L884" s="1"/>
  <c r="L883" s="1"/>
  <c r="I25" i="1" s="1"/>
  <c r="L881" i="5"/>
  <c r="L880" s="1"/>
  <c r="L878"/>
  <c r="L877" s="1"/>
  <c r="L875"/>
  <c r="L874" s="1"/>
  <c r="L872"/>
  <c r="L863"/>
  <c r="L862" s="1"/>
  <c r="L858" s="1"/>
  <c r="L857" s="1"/>
  <c r="L855"/>
  <c r="L854" s="1"/>
  <c r="L853" s="1"/>
  <c r="L852" s="1"/>
  <c r="L851" s="1"/>
  <c r="L849"/>
  <c r="L848" s="1"/>
  <c r="L847" s="1"/>
  <c r="L846" s="1"/>
  <c r="L841"/>
  <c r="L840" s="1"/>
  <c r="L839" s="1"/>
  <c r="L838" s="1"/>
  <c r="L836"/>
  <c r="L835" s="1"/>
  <c r="L834" s="1"/>
  <c r="L833" s="1"/>
  <c r="L832" s="1"/>
  <c r="L830"/>
  <c r="L829" s="1"/>
  <c r="L828" s="1"/>
  <c r="L827" s="1"/>
  <c r="L822"/>
  <c r="L821" s="1"/>
  <c r="L819"/>
  <c r="L816"/>
  <c r="L815" s="1"/>
  <c r="L814" s="1"/>
  <c r="L812"/>
  <c r="L809"/>
  <c r="L808" s="1"/>
  <c r="L807" s="1"/>
  <c r="L803"/>
  <c r="L802" s="1"/>
  <c r="L801" s="1"/>
  <c r="L800" s="1"/>
  <c r="L799" s="1"/>
  <c r="L797"/>
  <c r="L796" s="1"/>
  <c r="L793"/>
  <c r="L792" s="1"/>
  <c r="L790"/>
  <c r="L789" s="1"/>
  <c r="L780"/>
  <c r="L778"/>
  <c r="L775"/>
  <c r="L774" s="1"/>
  <c r="L770"/>
  <c r="L769" s="1"/>
  <c r="L768" s="1"/>
  <c r="L766"/>
  <c r="L765" s="1"/>
  <c r="L764" s="1"/>
  <c r="L761"/>
  <c r="L759"/>
  <c r="L756"/>
  <c r="L755" s="1"/>
  <c r="L752"/>
  <c r="L750"/>
  <c r="K195" i="6" s="1"/>
  <c r="L746" i="5"/>
  <c r="L745" s="1"/>
  <c r="L744" s="1"/>
  <c r="L743" s="1"/>
  <c r="L741"/>
  <c r="L739"/>
  <c r="L734"/>
  <c r="L732"/>
  <c r="L728"/>
  <c r="L727" s="1"/>
  <c r="L726" s="1"/>
  <c r="L721"/>
  <c r="L720" s="1"/>
  <c r="L719" s="1"/>
  <c r="L717"/>
  <c r="L716" s="1"/>
  <c r="L715" s="1"/>
  <c r="L711"/>
  <c r="L710" s="1"/>
  <c r="L709" s="1"/>
  <c r="L708" s="1"/>
  <c r="L706"/>
  <c r="L705" s="1"/>
  <c r="L704" s="1"/>
  <c r="L703" s="1"/>
  <c r="L698" s="1"/>
  <c r="L689"/>
  <c r="L688" s="1"/>
  <c r="L686"/>
  <c r="L685" s="1"/>
  <c r="L680"/>
  <c r="L679" s="1"/>
  <c r="L678" s="1"/>
  <c r="L677" s="1"/>
  <c r="L674"/>
  <c r="L673" s="1"/>
  <c r="L672" s="1"/>
  <c r="L671" s="1"/>
  <c r="L668"/>
  <c r="L667" s="1"/>
  <c r="L666" s="1"/>
  <c r="L664"/>
  <c r="L663" s="1"/>
  <c r="L662" s="1"/>
  <c r="L657"/>
  <c r="L656" s="1"/>
  <c r="L655" s="1"/>
  <c r="L652"/>
  <c r="L649"/>
  <c r="L644"/>
  <c r="L643" s="1"/>
  <c r="L641"/>
  <c r="L640" s="1"/>
  <c r="L639" s="1"/>
  <c r="L637"/>
  <c r="L635"/>
  <c r="L628"/>
  <c r="L626"/>
  <c r="L620"/>
  <c r="L619" s="1"/>
  <c r="L618" s="1"/>
  <c r="L617" s="1"/>
  <c r="L614"/>
  <c r="L613" s="1"/>
  <c r="L612" s="1"/>
  <c r="L611" s="1"/>
  <c r="L601"/>
  <c r="L599"/>
  <c r="L595"/>
  <c r="L593"/>
  <c r="L571"/>
  <c r="L570" s="1"/>
  <c r="L568"/>
  <c r="L567" s="1"/>
  <c r="L565"/>
  <c r="L559"/>
  <c r="L558" s="1"/>
  <c r="L557" s="1"/>
  <c r="L547"/>
  <c r="L546" s="1"/>
  <c r="L545" s="1"/>
  <c r="L544" s="1"/>
  <c r="L543" s="1"/>
  <c r="L542" s="1"/>
  <c r="L540"/>
  <c r="L539" s="1"/>
  <c r="L538" s="1"/>
  <c r="L537" s="1"/>
  <c r="L536" s="1"/>
  <c r="L535" s="1"/>
  <c r="L532"/>
  <c r="L531" s="1"/>
  <c r="L530" s="1"/>
  <c r="L529" s="1"/>
  <c r="L526"/>
  <c r="L525" s="1"/>
  <c r="L523"/>
  <c r="L522" s="1"/>
  <c r="L520"/>
  <c r="L513"/>
  <c r="L512" s="1"/>
  <c r="L511" s="1"/>
  <c r="L510" s="1"/>
  <c r="L508"/>
  <c r="L495"/>
  <c r="L494" s="1"/>
  <c r="L493" s="1"/>
  <c r="L491"/>
  <c r="L490" s="1"/>
  <c r="L489" s="1"/>
  <c r="L485"/>
  <c r="L484" s="1"/>
  <c r="L483" s="1"/>
  <c r="L482" s="1"/>
  <c r="L481" s="1"/>
  <c r="L477"/>
  <c r="L476" s="1"/>
  <c r="L475" s="1"/>
  <c r="L474" s="1"/>
  <c r="L473" s="1"/>
  <c r="L470"/>
  <c r="L467"/>
  <c r="L466" s="1"/>
  <c r="L465" s="1"/>
  <c r="L464" s="1"/>
  <c r="L461"/>
  <c r="L460" s="1"/>
  <c r="L459" s="1"/>
  <c r="L458" s="1"/>
  <c r="L456"/>
  <c r="L455" s="1"/>
  <c r="L454" s="1"/>
  <c r="L452"/>
  <c r="L451" s="1"/>
  <c r="L448"/>
  <c r="L447" s="1"/>
  <c r="L445"/>
  <c r="L430"/>
  <c r="L429" s="1"/>
  <c r="L428" s="1"/>
  <c r="L427" s="1"/>
  <c r="L426" s="1"/>
  <c r="L423"/>
  <c r="L422" s="1"/>
  <c r="L421" s="1"/>
  <c r="L420" s="1"/>
  <c r="L419" s="1"/>
  <c r="L418" s="1"/>
  <c r="L417" s="1"/>
  <c r="L414"/>
  <c r="L413" s="1"/>
  <c r="L411"/>
  <c r="L410" s="1"/>
  <c r="L407"/>
  <c r="L406" s="1"/>
  <c r="L404"/>
  <c r="L403" s="1"/>
  <c r="L401"/>
  <c r="L392"/>
  <c r="L391" s="1"/>
  <c r="L390" s="1"/>
  <c r="L387"/>
  <c r="L386" s="1"/>
  <c r="L384"/>
  <c r="L383" s="1"/>
  <c r="L381"/>
  <c r="L377"/>
  <c r="L376" s="1"/>
  <c r="L375" s="1"/>
  <c r="L374" s="1"/>
  <c r="L373" s="1"/>
  <c r="L369"/>
  <c r="L368" s="1"/>
  <c r="L367" s="1"/>
  <c r="L366" s="1"/>
  <c r="L364"/>
  <c r="L363" s="1"/>
  <c r="L362" s="1"/>
  <c r="L361" s="1"/>
  <c r="L351"/>
  <c r="L350" s="1"/>
  <c r="L349" s="1"/>
  <c r="L348" s="1"/>
  <c r="L346"/>
  <c r="L345" s="1"/>
  <c r="L344" s="1"/>
  <c r="L338"/>
  <c r="L337" s="1"/>
  <c r="L336" s="1"/>
  <c r="L335" s="1"/>
  <c r="L334" s="1"/>
  <c r="I54" i="1" s="1"/>
  <c r="L331" i="5"/>
  <c r="L330" s="1"/>
  <c r="L329" s="1"/>
  <c r="L328" s="1"/>
  <c r="L327" s="1"/>
  <c r="L321"/>
  <c r="L320" s="1"/>
  <c r="L319" s="1"/>
  <c r="L317"/>
  <c r="L316" s="1"/>
  <c r="L315" s="1"/>
  <c r="L312"/>
  <c r="L311" s="1"/>
  <c r="L310" s="1"/>
  <c r="L308"/>
  <c r="L307" s="1"/>
  <c r="L306" s="1"/>
  <c r="L301"/>
  <c r="L300" s="1"/>
  <c r="L299" s="1"/>
  <c r="L298" s="1"/>
  <c r="L296"/>
  <c r="L295" s="1"/>
  <c r="L293"/>
  <c r="L292" s="1"/>
  <c r="L290"/>
  <c r="L289" s="1"/>
  <c r="L283"/>
  <c r="L282" s="1"/>
  <c r="L280"/>
  <c r="L279" s="1"/>
  <c r="L275"/>
  <c r="L274" s="1"/>
  <c r="L273" s="1"/>
  <c r="L271"/>
  <c r="L270" s="1"/>
  <c r="L269" s="1"/>
  <c r="L265"/>
  <c r="L264" s="1"/>
  <c r="L263" s="1"/>
  <c r="L262" s="1"/>
  <c r="L260"/>
  <c r="L259" s="1"/>
  <c r="L258" s="1"/>
  <c r="L257" s="1"/>
  <c r="L253"/>
  <c r="L252" s="1"/>
  <c r="L251" s="1"/>
  <c r="L249"/>
  <c r="L248" s="1"/>
  <c r="L247" s="1"/>
  <c r="L238"/>
  <c r="L237" s="1"/>
  <c r="L236" s="1"/>
  <c r="L235" s="1"/>
  <c r="L234" s="1"/>
  <c r="I30" i="1" s="1"/>
  <c r="L231" i="5"/>
  <c r="L230" s="1"/>
  <c r="L228"/>
  <c r="L227" s="1"/>
  <c r="L225"/>
  <c r="L219"/>
  <c r="L218" s="1"/>
  <c r="L216"/>
  <c r="L215" s="1"/>
  <c r="L213"/>
  <c r="L212" s="1"/>
  <c r="L210"/>
  <c r="L207"/>
  <c r="L206" s="1"/>
  <c r="L204"/>
  <c r="L203" s="1"/>
  <c r="L202" s="1"/>
  <c r="L200"/>
  <c r="L199" s="1"/>
  <c r="L197"/>
  <c r="L196" s="1"/>
  <c r="L194"/>
  <c r="L190"/>
  <c r="L189" s="1"/>
  <c r="L188" s="1"/>
  <c r="L187" s="1"/>
  <c r="L184"/>
  <c r="L183" s="1"/>
  <c r="L182" s="1"/>
  <c r="L180"/>
  <c r="L179" s="1"/>
  <c r="L178" s="1"/>
  <c r="L169"/>
  <c r="L168" s="1"/>
  <c r="L167" s="1"/>
  <c r="L166" s="1"/>
  <c r="L165" s="1"/>
  <c r="L164" s="1"/>
  <c r="L162"/>
  <c r="L161" s="1"/>
  <c r="L160" s="1"/>
  <c r="L159" s="1"/>
  <c r="L158" s="1"/>
  <c r="L156"/>
  <c r="L155" s="1"/>
  <c r="L154" s="1"/>
  <c r="L152"/>
  <c r="L151" s="1"/>
  <c r="L150" s="1"/>
  <c r="L148"/>
  <c r="L147" s="1"/>
  <c r="L146" s="1"/>
  <c r="L144"/>
  <c r="L143" s="1"/>
  <c r="L142" s="1"/>
  <c r="L134"/>
  <c r="L133" s="1"/>
  <c r="L132" s="1"/>
  <c r="L131" s="1"/>
  <c r="L129"/>
  <c r="L128" s="1"/>
  <c r="L127" s="1"/>
  <c r="L126" s="1"/>
  <c r="L123"/>
  <c r="L122" s="1"/>
  <c r="L120"/>
  <c r="L119" s="1"/>
  <c r="L117"/>
  <c r="L112"/>
  <c r="L111" s="1"/>
  <c r="L110" s="1"/>
  <c r="L109" s="1"/>
  <c r="L107"/>
  <c r="L106" s="1"/>
  <c r="L105" s="1"/>
  <c r="L103"/>
  <c r="L101"/>
  <c r="L98"/>
  <c r="L97" s="1"/>
  <c r="L93"/>
  <c r="L92" s="1"/>
  <c r="L91" s="1"/>
  <c r="L90" s="1"/>
  <c r="L88"/>
  <c r="L87" s="1"/>
  <c r="L85"/>
  <c r="L81"/>
  <c r="L80" s="1"/>
  <c r="L78"/>
  <c r="L77" s="1"/>
  <c r="L75"/>
  <c r="L63"/>
  <c r="L62" s="1"/>
  <c r="L54"/>
  <c r="L53" s="1"/>
  <c r="L52" s="1"/>
  <c r="L49"/>
  <c r="L47"/>
  <c r="L46" s="1"/>
  <c r="L44"/>
  <c r="L41"/>
  <c r="L40" s="1"/>
  <c r="L38"/>
  <c r="L37" s="1"/>
  <c r="L35"/>
  <c r="L28"/>
  <c r="L27" s="1"/>
  <c r="L26" s="1"/>
  <c r="L25" s="1"/>
  <c r="L24" s="1"/>
  <c r="L23" s="1"/>
  <c r="I20" i="1" s="1"/>
  <c r="K102" i="5"/>
  <c r="M102" s="1"/>
  <c r="O102" s="1"/>
  <c r="Q102" s="1"/>
  <c r="S102" s="1"/>
  <c r="U102" s="1"/>
  <c r="J760"/>
  <c r="J757"/>
  <c r="I1697" i="6"/>
  <c r="J1697" s="1"/>
  <c r="A1550" i="5"/>
  <c r="A1549"/>
  <c r="A1117" i="6"/>
  <c r="A1118"/>
  <c r="A1119"/>
  <c r="A1696"/>
  <c r="A1695"/>
  <c r="A1551" i="5"/>
  <c r="A1548"/>
  <c r="A1552"/>
  <c r="A1553"/>
  <c r="A1697" i="6"/>
  <c r="L506" i="5" l="1"/>
  <c r="L505" s="1"/>
  <c r="L504" s="1"/>
  <c r="L1579"/>
  <c r="L1578" s="1"/>
  <c r="L1575" s="1"/>
  <c r="L1697" i="6"/>
  <c r="N1697" s="1"/>
  <c r="P1697" s="1"/>
  <c r="R1697" s="1"/>
  <c r="T1697" s="1"/>
  <c r="L555" i="5"/>
  <c r="L554" s="1"/>
  <c r="L553" s="1"/>
  <c r="L552" s="1"/>
  <c r="M763" i="6"/>
  <c r="L777" i="5"/>
  <c r="L773" s="1"/>
  <c r="L1315"/>
  <c r="L1311" s="1"/>
  <c r="L1306" s="1"/>
  <c r="M1371" i="6"/>
  <c r="K48" i="1"/>
  <c r="K35"/>
  <c r="K34"/>
  <c r="K29" s="1"/>
  <c r="N1512" i="5"/>
  <c r="N1296"/>
  <c r="N416"/>
  <c r="K45" i="1"/>
  <c r="M1020" i="6"/>
  <c r="N914" i="5"/>
  <c r="N865"/>
  <c r="N549"/>
  <c r="K26" i="1"/>
  <c r="K42"/>
  <c r="K40" s="1"/>
  <c r="M1335" i="6"/>
  <c r="N1709" i="5"/>
  <c r="K22" i="1"/>
  <c r="N587" i="5"/>
  <c r="N574" s="1"/>
  <c r="K44" i="1"/>
  <c r="K24"/>
  <c r="N1724" i="5"/>
  <c r="M239" i="6"/>
  <c r="M1473"/>
  <c r="M150"/>
  <c r="L1255" i="5"/>
  <c r="L1251" s="1"/>
  <c r="L1227"/>
  <c r="L1226" s="1"/>
  <c r="K243" i="6"/>
  <c r="K242" s="1"/>
  <c r="K241" s="1"/>
  <c r="K240" s="1"/>
  <c r="L598" i="5"/>
  <c r="L597" s="1"/>
  <c r="L1551"/>
  <c r="L1550" s="1"/>
  <c r="M1550" s="1"/>
  <c r="O1550" s="1"/>
  <c r="Q1550" s="1"/>
  <c r="S1550" s="1"/>
  <c r="U1550" s="1"/>
  <c r="L592"/>
  <c r="L591" s="1"/>
  <c r="L463"/>
  <c r="L1613"/>
  <c r="L1612" s="1"/>
  <c r="L1611" s="1"/>
  <c r="L268"/>
  <c r="L267" s="1"/>
  <c r="L488"/>
  <c r="L487" s="1"/>
  <c r="L480" s="1"/>
  <c r="L278"/>
  <c r="L670"/>
  <c r="L763"/>
  <c r="L918"/>
  <c r="L917" s="1"/>
  <c r="L916" s="1"/>
  <c r="L915" s="1"/>
  <c r="L1156"/>
  <c r="L1155" s="1"/>
  <c r="L1233"/>
  <c r="L1232" s="1"/>
  <c r="L534"/>
  <c r="I52" i="1"/>
  <c r="I51" s="1"/>
  <c r="L528" i="5"/>
  <c r="L906"/>
  <c r="I66" i="1"/>
  <c r="I65" s="1"/>
  <c r="L634" i="5"/>
  <c r="L633" s="1"/>
  <c r="L1085"/>
  <c r="L1137"/>
  <c r="L1132" s="1"/>
  <c r="L1246"/>
  <c r="L1245" s="1"/>
  <c r="L1728"/>
  <c r="L1727" s="1"/>
  <c r="L1726" s="1"/>
  <c r="L1725" s="1"/>
  <c r="I41" i="1" s="1"/>
  <c r="L314" i="5"/>
  <c r="K1118" i="6"/>
  <c r="K1117" s="1"/>
  <c r="K1116" s="1"/>
  <c r="K1111" s="1"/>
  <c r="K532"/>
  <c r="K531" s="1"/>
  <c r="K525" s="1"/>
  <c r="K524" s="1"/>
  <c r="K523" s="1"/>
  <c r="K1464"/>
  <c r="K1463" s="1"/>
  <c r="K1457" s="1"/>
  <c r="K1456" s="1"/>
  <c r="K1455" s="1"/>
  <c r="L1657" i="5"/>
  <c r="K742" i="6"/>
  <c r="K741" s="1"/>
  <c r="K740" s="1"/>
  <c r="K739" s="1"/>
  <c r="K738" s="1"/>
  <c r="K731" s="1"/>
  <c r="K857"/>
  <c r="K856" s="1"/>
  <c r="K852" s="1"/>
  <c r="K851" s="1"/>
  <c r="K850" s="1"/>
  <c r="K1036"/>
  <c r="K1035" s="1"/>
  <c r="K1032" s="1"/>
  <c r="K1031" s="1"/>
  <c r="K1030" s="1"/>
  <c r="K1277"/>
  <c r="K1273" s="1"/>
  <c r="K1272" s="1"/>
  <c r="K1266" s="1"/>
  <c r="K1368"/>
  <c r="K1367" s="1"/>
  <c r="K1358" s="1"/>
  <c r="K1357" s="1"/>
  <c r="K1356" s="1"/>
  <c r="K1388"/>
  <c r="K1387" s="1"/>
  <c r="K1381" s="1"/>
  <c r="K1380" s="1"/>
  <c r="K1379" s="1"/>
  <c r="K1372" s="1"/>
  <c r="K1538"/>
  <c r="K1537" s="1"/>
  <c r="K1531" s="1"/>
  <c r="K1738"/>
  <c r="K1735" s="1"/>
  <c r="K1729" s="1"/>
  <c r="K1728" s="1"/>
  <c r="K1727" s="1"/>
  <c r="K1721"/>
  <c r="K1720" s="1"/>
  <c r="K1719" s="1"/>
  <c r="K1560"/>
  <c r="K1559" s="1"/>
  <c r="K1711"/>
  <c r="K205"/>
  <c r="K201" s="1"/>
  <c r="K200" s="1"/>
  <c r="K199" s="1"/>
  <c r="K413"/>
  <c r="K514"/>
  <c r="K513" s="1"/>
  <c r="K512" s="1"/>
  <c r="K924"/>
  <c r="K923" s="1"/>
  <c r="K922" s="1"/>
  <c r="K932"/>
  <c r="K931" s="1"/>
  <c r="K927" s="1"/>
  <c r="K1065"/>
  <c r="K1751"/>
  <c r="K1750" s="1"/>
  <c r="K1749" s="1"/>
  <c r="K94"/>
  <c r="K93" s="1"/>
  <c r="K92" s="1"/>
  <c r="K91" s="1"/>
  <c r="K227"/>
  <c r="K226" s="1"/>
  <c r="K225" s="1"/>
  <c r="K224" s="1"/>
  <c r="K658"/>
  <c r="K654" s="1"/>
  <c r="K653" s="1"/>
  <c r="K647" s="1"/>
  <c r="K720"/>
  <c r="K1024"/>
  <c r="K1023" s="1"/>
  <c r="K1022" s="1"/>
  <c r="K1243"/>
  <c r="K1242" s="1"/>
  <c r="K1236" s="1"/>
  <c r="K1235" s="1"/>
  <c r="K1234" s="1"/>
  <c r="K1416"/>
  <c r="K1415" s="1"/>
  <c r="K1414" s="1"/>
  <c r="K1413" s="1"/>
  <c r="K868"/>
  <c r="K867" s="1"/>
  <c r="K866" s="1"/>
  <c r="L980" i="5"/>
  <c r="L976" s="1"/>
  <c r="L975" s="1"/>
  <c r="L1010"/>
  <c r="L1005"/>
  <c r="K262" i="6"/>
  <c r="K57"/>
  <c r="K56" s="1"/>
  <c r="K55" s="1"/>
  <c r="K54" s="1"/>
  <c r="K65"/>
  <c r="K64" s="1"/>
  <c r="K63" s="1"/>
  <c r="K62" s="1"/>
  <c r="K194"/>
  <c r="K193" s="1"/>
  <c r="K192" s="1"/>
  <c r="K191" s="1"/>
  <c r="K213"/>
  <c r="K212" s="1"/>
  <c r="K537"/>
  <c r="K536" s="1"/>
  <c r="K535" s="1"/>
  <c r="K550"/>
  <c r="K543" s="1"/>
  <c r="K595"/>
  <c r="K611"/>
  <c r="K637"/>
  <c r="K633" s="1"/>
  <c r="K632" s="1"/>
  <c r="K631" s="1"/>
  <c r="K693"/>
  <c r="K748"/>
  <c r="K747" s="1"/>
  <c r="K746" s="1"/>
  <c r="K745" s="1"/>
  <c r="K1295"/>
  <c r="K1294" s="1"/>
  <c r="K1293" s="1"/>
  <c r="K33"/>
  <c r="K32" s="1"/>
  <c r="K26" s="1"/>
  <c r="K25" s="1"/>
  <c r="K100"/>
  <c r="K99" s="1"/>
  <c r="K98" s="1"/>
  <c r="K97" s="1"/>
  <c r="K126"/>
  <c r="K125" s="1"/>
  <c r="K114" s="1"/>
  <c r="K113" s="1"/>
  <c r="K153"/>
  <c r="K152" s="1"/>
  <c r="K151" s="1"/>
  <c r="K499"/>
  <c r="K495" s="1"/>
  <c r="K494" s="1"/>
  <c r="K493" s="1"/>
  <c r="K1689"/>
  <c r="K1688" s="1"/>
  <c r="K1687" s="1"/>
  <c r="K1702"/>
  <c r="K1743"/>
  <c r="K1742" s="1"/>
  <c r="K1741" s="1"/>
  <c r="K1007"/>
  <c r="K1550"/>
  <c r="K902"/>
  <c r="K901" s="1"/>
  <c r="K900" s="1"/>
  <c r="K916"/>
  <c r="K912" s="1"/>
  <c r="K911" s="1"/>
  <c r="K961"/>
  <c r="K954" s="1"/>
  <c r="K1220"/>
  <c r="K1204" s="1"/>
  <c r="K1302"/>
  <c r="K1301" s="1"/>
  <c r="K1300" s="1"/>
  <c r="K1328"/>
  <c r="K1327" s="1"/>
  <c r="K1326" s="1"/>
  <c r="K1325" s="1"/>
  <c r="K1581"/>
  <c r="K1580" s="1"/>
  <c r="K1608"/>
  <c r="K1607" s="1"/>
  <c r="K1777"/>
  <c r="K1776" s="1"/>
  <c r="K1768" s="1"/>
  <c r="K1785"/>
  <c r="K1784" s="1"/>
  <c r="K1783" s="1"/>
  <c r="K48"/>
  <c r="K47" s="1"/>
  <c r="K46" s="1"/>
  <c r="K45" s="1"/>
  <c r="K80"/>
  <c r="K79" s="1"/>
  <c r="K78" s="1"/>
  <c r="K77" s="1"/>
  <c r="K131"/>
  <c r="K164"/>
  <c r="K402"/>
  <c r="K401" s="1"/>
  <c r="K400" s="1"/>
  <c r="K399" s="1"/>
  <c r="K474"/>
  <c r="K473" s="1"/>
  <c r="K472" s="1"/>
  <c r="K471" s="1"/>
  <c r="K579"/>
  <c r="K679"/>
  <c r="K673" s="1"/>
  <c r="K1042"/>
  <c r="K1432"/>
  <c r="K1488"/>
  <c r="K1487" s="1"/>
  <c r="K1481" s="1"/>
  <c r="K1474" s="1"/>
  <c r="K1473" s="1"/>
  <c r="K1598"/>
  <c r="K1597" s="1"/>
  <c r="K1675"/>
  <c r="K1674" s="1"/>
  <c r="K1673" s="1"/>
  <c r="K305"/>
  <c r="K1571"/>
  <c r="K1570" s="1"/>
  <c r="K355"/>
  <c r="K348" s="1"/>
  <c r="K394"/>
  <c r="K393" s="1"/>
  <c r="K392" s="1"/>
  <c r="K391" s="1"/>
  <c r="K482"/>
  <c r="K481" s="1"/>
  <c r="K480" s="1"/>
  <c r="K479" s="1"/>
  <c r="K704"/>
  <c r="K935"/>
  <c r="K1391"/>
  <c r="K507"/>
  <c r="K506" s="1"/>
  <c r="K505" s="1"/>
  <c r="K1085"/>
  <c r="K1084" s="1"/>
  <c r="K1541"/>
  <c r="K1591"/>
  <c r="K1590" s="1"/>
  <c r="K1615"/>
  <c r="K1614" s="1"/>
  <c r="L625" i="5"/>
  <c r="L624" s="1"/>
  <c r="L623" s="1"/>
  <c r="L622" s="1"/>
  <c r="L1494"/>
  <c r="L1493" s="1"/>
  <c r="L1492" s="1"/>
  <c r="L141"/>
  <c r="L177"/>
  <c r="L1695"/>
  <c r="L1694" s="1"/>
  <c r="L193"/>
  <c r="K1344" i="6" s="1"/>
  <c r="K1343" s="1"/>
  <c r="K1342" s="1"/>
  <c r="K1336" s="1"/>
  <c r="L684" i="5"/>
  <c r="L683" s="1"/>
  <c r="L34"/>
  <c r="L33" s="1"/>
  <c r="L343"/>
  <c r="L342" s="1"/>
  <c r="L333" s="1"/>
  <c r="L738"/>
  <c r="L737" s="1"/>
  <c r="L736" s="1"/>
  <c r="L749"/>
  <c r="L748" s="1"/>
  <c r="L758"/>
  <c r="L754" s="1"/>
  <c r="L1040"/>
  <c r="L1109"/>
  <c r="L1108" s="1"/>
  <c r="L1219"/>
  <c r="L1218" s="1"/>
  <c r="L1217" s="1"/>
  <c r="L1485"/>
  <c r="L564"/>
  <c r="L563" s="1"/>
  <c r="L562" s="1"/>
  <c r="L561" s="1"/>
  <c r="L818"/>
  <c r="L806" s="1"/>
  <c r="L805" s="1"/>
  <c r="L987"/>
  <c r="L1025"/>
  <c r="L1072"/>
  <c r="L1103"/>
  <c r="L288"/>
  <c r="L610"/>
  <c r="L648"/>
  <c r="L647" s="1"/>
  <c r="L731"/>
  <c r="L730" s="1"/>
  <c r="L826"/>
  <c r="L825" s="1"/>
  <c r="L871"/>
  <c r="L870" s="1"/>
  <c r="L869" s="1"/>
  <c r="L868" s="1"/>
  <c r="L867" s="1"/>
  <c r="L963"/>
  <c r="L962" s="1"/>
  <c r="L946" s="1"/>
  <c r="L924" s="1"/>
  <c r="L1114"/>
  <c r="L1174"/>
  <c r="L1173" s="1"/>
  <c r="L1205"/>
  <c r="L1290"/>
  <c r="L1289" s="1"/>
  <c r="L1288" s="1"/>
  <c r="L1287" s="1"/>
  <c r="L1281" s="1"/>
  <c r="L1345"/>
  <c r="L1337" s="1"/>
  <c r="L1461"/>
  <c r="L1479"/>
  <c r="L1592"/>
  <c r="L1591" s="1"/>
  <c r="L1590" s="1"/>
  <c r="L1589" s="1"/>
  <c r="L1642"/>
  <c r="L1637" s="1"/>
  <c r="L1636" s="1"/>
  <c r="L1743"/>
  <c r="L1742" s="1"/>
  <c r="L1741" s="1"/>
  <c r="L1740" s="1"/>
  <c r="L1734" s="1"/>
  <c r="L84"/>
  <c r="L518"/>
  <c r="L517" s="1"/>
  <c r="L516" s="1"/>
  <c r="L515" s="1"/>
  <c r="I39" i="1" s="1"/>
  <c r="L788" i="5"/>
  <c r="L787" s="1"/>
  <c r="L786" s="1"/>
  <c r="L1467"/>
  <c r="L444"/>
  <c r="L400"/>
  <c r="L399" s="1"/>
  <c r="L398" s="1"/>
  <c r="L397" s="1"/>
  <c r="L396" s="1"/>
  <c r="L380"/>
  <c r="L209"/>
  <c r="L100"/>
  <c r="L96" s="1"/>
  <c r="L95" s="1"/>
  <c r="L74"/>
  <c r="L43"/>
  <c r="L224"/>
  <c r="L1094"/>
  <c r="L246"/>
  <c r="L256"/>
  <c r="L305"/>
  <c r="L697"/>
  <c r="L1187"/>
  <c r="L1186" s="1"/>
  <c r="L1185" s="1"/>
  <c r="L1184" s="1"/>
  <c r="L1416"/>
  <c r="L1513"/>
  <c r="I31" i="1" s="1"/>
  <c r="L845" i="5"/>
  <c r="L844" s="1"/>
  <c r="L1270"/>
  <c r="I61" i="1" s="1"/>
  <c r="L1430" i="5"/>
  <c r="L1429" s="1"/>
  <c r="L1455"/>
  <c r="L1454" s="1"/>
  <c r="L1714"/>
  <c r="L1713" s="1"/>
  <c r="L1712" s="1"/>
  <c r="L1711" s="1"/>
  <c r="L1710" s="1"/>
  <c r="L1709" s="1"/>
  <c r="L1708" s="1"/>
  <c r="L116"/>
  <c r="L115" s="1"/>
  <c r="L114" s="1"/>
  <c r="L661"/>
  <c r="L519"/>
  <c r="I1696" i="6"/>
  <c r="K332" i="5"/>
  <c r="M332" s="1"/>
  <c r="O332" s="1"/>
  <c r="Q332" s="1"/>
  <c r="S332" s="1"/>
  <c r="U332" s="1"/>
  <c r="J331"/>
  <c r="K331" s="1"/>
  <c r="M331" s="1"/>
  <c r="O331" s="1"/>
  <c r="Q331" s="1"/>
  <c r="S331" s="1"/>
  <c r="U331" s="1"/>
  <c r="A330"/>
  <c r="A328"/>
  <c r="A332"/>
  <c r="A329"/>
  <c r="A327"/>
  <c r="A331"/>
  <c r="L1549" l="1"/>
  <c r="M1549" s="1"/>
  <c r="O1549" s="1"/>
  <c r="Q1549" s="1"/>
  <c r="S1549" s="1"/>
  <c r="U1549" s="1"/>
  <c r="L590"/>
  <c r="L589" s="1"/>
  <c r="L1724"/>
  <c r="L1723" s="1"/>
  <c r="K1412" i="6"/>
  <c r="K1405" s="1"/>
  <c r="K1371" s="1"/>
  <c r="N1491" i="5"/>
  <c r="K43" i="1"/>
  <c r="K19"/>
  <c r="N1708" i="5"/>
  <c r="N21"/>
  <c r="N1723"/>
  <c r="M1334" i="6"/>
  <c r="M18"/>
  <c r="M1521"/>
  <c r="L32" i="5"/>
  <c r="L31" s="1"/>
  <c r="L30" s="1"/>
  <c r="I22" i="1" s="1"/>
  <c r="L1066" i="5"/>
  <c r="L1150"/>
  <c r="L1149" s="1"/>
  <c r="L1224"/>
  <c r="L1216" s="1"/>
  <c r="M1551"/>
  <c r="O1551" s="1"/>
  <c r="Q1551" s="1"/>
  <c r="S1551" s="1"/>
  <c r="U1551" s="1"/>
  <c r="I62" i="1"/>
  <c r="L277" i="5"/>
  <c r="L1240"/>
  <c r="L1239" s="1"/>
  <c r="I60" i="1" s="1"/>
  <c r="L632" i="5"/>
  <c r="L631" s="1"/>
  <c r="I37" i="1"/>
  <c r="L1604" i="5"/>
  <c r="K522" i="6"/>
  <c r="K384"/>
  <c r="K239" s="1"/>
  <c r="L395" i="5"/>
  <c r="L394" s="1"/>
  <c r="I21" i="1"/>
  <c r="L551" i="5"/>
  <c r="L550" s="1"/>
  <c r="I42" i="1"/>
  <c r="I40" s="1"/>
  <c r="L866" i="5"/>
  <c r="L865" s="1"/>
  <c r="I24" i="1"/>
  <c r="L824" i="5"/>
  <c r="I57" i="1"/>
  <c r="K1425" i="6"/>
  <c r="K1681"/>
  <c r="K1021"/>
  <c r="K1020" s="1"/>
  <c r="L1118"/>
  <c r="N1118" s="1"/>
  <c r="P1118" s="1"/>
  <c r="R1118" s="1"/>
  <c r="T1118" s="1"/>
  <c r="K211"/>
  <c r="K210" s="1"/>
  <c r="L1656" i="5"/>
  <c r="K921" i="6"/>
  <c r="K910" s="1"/>
  <c r="K763" s="1"/>
  <c r="K1292"/>
  <c r="K1265" s="1"/>
  <c r="K53"/>
  <c r="K150"/>
  <c r="I56" i="1"/>
  <c r="L304" i="5"/>
  <c r="L379"/>
  <c r="L223"/>
  <c r="L192"/>
  <c r="L186" s="1"/>
  <c r="L1305"/>
  <c r="L1009"/>
  <c r="L1039"/>
  <c r="L1204"/>
  <c r="L443"/>
  <c r="I36" i="1"/>
  <c r="L503" i="5"/>
  <c r="L1565"/>
  <c r="K76" i="6"/>
  <c r="K1530"/>
  <c r="K1529" s="1"/>
  <c r="K1523" s="1"/>
  <c r="K1335"/>
  <c r="K504"/>
  <c r="K464" s="1"/>
  <c r="K630"/>
  <c r="L714" i="5"/>
  <c r="L1453"/>
  <c r="L1452" s="1"/>
  <c r="L1415" s="1"/>
  <c r="L73"/>
  <c r="L245"/>
  <c r="I1695" i="6"/>
  <c r="J1696"/>
  <c r="L1696" s="1"/>
  <c r="N1696" s="1"/>
  <c r="P1696" s="1"/>
  <c r="R1696" s="1"/>
  <c r="T1696" s="1"/>
  <c r="J330" i="5"/>
  <c r="J905"/>
  <c r="I1167" i="6"/>
  <c r="I1166" s="1"/>
  <c r="J1166" s="1"/>
  <c r="L1166" s="1"/>
  <c r="N1166" s="1"/>
  <c r="P1166" s="1"/>
  <c r="R1166" s="1"/>
  <c r="T1166" s="1"/>
  <c r="A1162"/>
  <c r="A1167"/>
  <c r="A1166"/>
  <c r="A1165"/>
  <c r="A1163"/>
  <c r="L1548" i="5" l="1"/>
  <c r="L1547" s="1"/>
  <c r="I46" i="1"/>
  <c r="N1752" i="5"/>
  <c r="L1238"/>
  <c r="K67" i="1"/>
  <c r="M1333" i="6"/>
  <c r="L1065" i="5"/>
  <c r="I50" i="1" s="1"/>
  <c r="L233" i="5"/>
  <c r="I59" i="1"/>
  <c r="K1522" i="6"/>
  <c r="K1521" s="1"/>
  <c r="L72" i="5"/>
  <c r="L22" s="1"/>
  <c r="L1325"/>
  <c r="I58" i="1"/>
  <c r="I53" s="1"/>
  <c r="L1117" i="6"/>
  <c r="N1117" s="1"/>
  <c r="P1117" s="1"/>
  <c r="R1117" s="1"/>
  <c r="T1117" s="1"/>
  <c r="K18"/>
  <c r="L1651" i="5"/>
  <c r="L303"/>
  <c r="L372"/>
  <c r="L222"/>
  <c r="L1304"/>
  <c r="L713"/>
  <c r="L630"/>
  <c r="L588"/>
  <c r="L1004"/>
  <c r="L1038"/>
  <c r="L1203"/>
  <c r="L549"/>
  <c r="L442"/>
  <c r="L502"/>
  <c r="L1554"/>
  <c r="K1334" i="6"/>
  <c r="I1694"/>
  <c r="J1695"/>
  <c r="L1695" s="1"/>
  <c r="N1695" s="1"/>
  <c r="P1695" s="1"/>
  <c r="R1695" s="1"/>
  <c r="T1695" s="1"/>
  <c r="J329" i="5"/>
  <c r="K330"/>
  <c r="M330" s="1"/>
  <c r="O330" s="1"/>
  <c r="Q330" s="1"/>
  <c r="S330" s="1"/>
  <c r="U330" s="1"/>
  <c r="J1167" i="6"/>
  <c r="L1167" s="1"/>
  <c r="N1167" s="1"/>
  <c r="P1167" s="1"/>
  <c r="R1167" s="1"/>
  <c r="T1167" s="1"/>
  <c r="I1165"/>
  <c r="I1214"/>
  <c r="J1214" s="1"/>
  <c r="L1214" s="1"/>
  <c r="N1214" s="1"/>
  <c r="P1214" s="1"/>
  <c r="R1214" s="1"/>
  <c r="T1214" s="1"/>
  <c r="A1214"/>
  <c r="A1210"/>
  <c r="A1212"/>
  <c r="A1213"/>
  <c r="M1548" i="5" l="1"/>
  <c r="O1548" s="1"/>
  <c r="Q1548" s="1"/>
  <c r="S1548" s="1"/>
  <c r="U1548" s="1"/>
  <c r="I26" i="1"/>
  <c r="I19" s="1"/>
  <c r="M1264" i="6"/>
  <c r="L974" i="5"/>
  <c r="L1296"/>
  <c r="M1547"/>
  <c r="O1547" s="1"/>
  <c r="Q1547" s="1"/>
  <c r="S1547" s="1"/>
  <c r="U1547" s="1"/>
  <c r="I33" i="1"/>
  <c r="L1512" i="5"/>
  <c r="L1116" i="6"/>
  <c r="N1116" s="1"/>
  <c r="P1116" s="1"/>
  <c r="R1116" s="1"/>
  <c r="T1116" s="1"/>
  <c r="K1110"/>
  <c r="L1650" i="5"/>
  <c r="L371"/>
  <c r="I64" i="1"/>
  <c r="L176" i="5"/>
  <c r="I44" i="1"/>
  <c r="L587" i="5"/>
  <c r="L1202"/>
  <c r="L432"/>
  <c r="L501"/>
  <c r="I34" i="1"/>
  <c r="K1333" i="6"/>
  <c r="J1694"/>
  <c r="L1694" s="1"/>
  <c r="N1694" s="1"/>
  <c r="P1694" s="1"/>
  <c r="R1694" s="1"/>
  <c r="T1694" s="1"/>
  <c r="J328" i="5"/>
  <c r="K329"/>
  <c r="M329" s="1"/>
  <c r="O329" s="1"/>
  <c r="Q329" s="1"/>
  <c r="S329" s="1"/>
  <c r="U329" s="1"/>
  <c r="I1164" i="6"/>
  <c r="J1165"/>
  <c r="L1165" s="1"/>
  <c r="N1165" s="1"/>
  <c r="P1165" s="1"/>
  <c r="R1165" s="1"/>
  <c r="T1165" s="1"/>
  <c r="I1213"/>
  <c r="I1212" s="1"/>
  <c r="I1211" s="1"/>
  <c r="J1211" s="1"/>
  <c r="L1211" s="1"/>
  <c r="N1211" s="1"/>
  <c r="P1211" s="1"/>
  <c r="R1211" s="1"/>
  <c r="T1211" s="1"/>
  <c r="K1574" i="5"/>
  <c r="M1574" s="1"/>
  <c r="O1574" s="1"/>
  <c r="Q1574" s="1"/>
  <c r="S1574" s="1"/>
  <c r="U1574" s="1"/>
  <c r="J1573"/>
  <c r="K1573" s="1"/>
  <c r="M1573" s="1"/>
  <c r="O1573" s="1"/>
  <c r="Q1573" s="1"/>
  <c r="S1573" s="1"/>
  <c r="U1573" s="1"/>
  <c r="A1572"/>
  <c r="A1573"/>
  <c r="A1574"/>
  <c r="A1571"/>
  <c r="M1823" i="6" l="1"/>
  <c r="K1109"/>
  <c r="K1108" s="1"/>
  <c r="L1649" i="5"/>
  <c r="I63" i="1"/>
  <c r="L175" i="5"/>
  <c r="I28" i="1"/>
  <c r="L574" i="5"/>
  <c r="L973"/>
  <c r="I49" i="1" s="1"/>
  <c r="I45"/>
  <c r="L1201" i="5"/>
  <c r="L425"/>
  <c r="I32" i="1"/>
  <c r="I29" s="1"/>
  <c r="I38"/>
  <c r="L479" i="5"/>
  <c r="K1264" i="6"/>
  <c r="J327" i="5"/>
  <c r="K328"/>
  <c r="M328" s="1"/>
  <c r="O328" s="1"/>
  <c r="Q328" s="1"/>
  <c r="S328" s="1"/>
  <c r="U328" s="1"/>
  <c r="J1572"/>
  <c r="J1213" i="6"/>
  <c r="L1213" s="1"/>
  <c r="N1213" s="1"/>
  <c r="P1213" s="1"/>
  <c r="R1213" s="1"/>
  <c r="T1213" s="1"/>
  <c r="I1163"/>
  <c r="J1164"/>
  <c r="L1164" s="1"/>
  <c r="N1164" s="1"/>
  <c r="P1164" s="1"/>
  <c r="R1164" s="1"/>
  <c r="T1164" s="1"/>
  <c r="J1212"/>
  <c r="L1212" s="1"/>
  <c r="N1212" s="1"/>
  <c r="P1212" s="1"/>
  <c r="R1212" s="1"/>
  <c r="T1212" s="1"/>
  <c r="I1210"/>
  <c r="J1210" s="1"/>
  <c r="L1210" s="1"/>
  <c r="N1210" s="1"/>
  <c r="P1210" s="1"/>
  <c r="R1210" s="1"/>
  <c r="T1210" s="1"/>
  <c r="K1667" i="5"/>
  <c r="M1667" s="1"/>
  <c r="O1667" s="1"/>
  <c r="J1666"/>
  <c r="J1665" s="1"/>
  <c r="J1664" s="1"/>
  <c r="K1664" s="1"/>
  <c r="M1664" s="1"/>
  <c r="O1664" s="1"/>
  <c r="Q1664" s="1"/>
  <c r="S1664" s="1"/>
  <c r="U1664" s="1"/>
  <c r="A1664"/>
  <c r="A1667"/>
  <c r="A1665"/>
  <c r="A1666"/>
  <c r="Q1667" l="1"/>
  <c r="S1667" s="1"/>
  <c r="U1667" s="1"/>
  <c r="L1629"/>
  <c r="L1491" s="1"/>
  <c r="I47" i="1"/>
  <c r="I43" s="1"/>
  <c r="L21" i="5"/>
  <c r="I27" i="1"/>
  <c r="L972" i="5"/>
  <c r="L1200"/>
  <c r="L416"/>
  <c r="I35" i="1"/>
  <c r="K1823" i="6"/>
  <c r="K327" i="5"/>
  <c r="M327" s="1"/>
  <c r="O327" s="1"/>
  <c r="Q327" s="1"/>
  <c r="S327" s="1"/>
  <c r="U327" s="1"/>
  <c r="J1571"/>
  <c r="K1572"/>
  <c r="M1572" s="1"/>
  <c r="O1572" s="1"/>
  <c r="Q1572" s="1"/>
  <c r="S1572" s="1"/>
  <c r="U1572" s="1"/>
  <c r="K1665"/>
  <c r="M1665" s="1"/>
  <c r="O1665" s="1"/>
  <c r="Q1665" s="1"/>
  <c r="S1665" s="1"/>
  <c r="U1665" s="1"/>
  <c r="I1162" i="6"/>
  <c r="J1162" s="1"/>
  <c r="L1162" s="1"/>
  <c r="N1162" s="1"/>
  <c r="P1162" s="1"/>
  <c r="R1162" s="1"/>
  <c r="T1162" s="1"/>
  <c r="J1163"/>
  <c r="L1163" s="1"/>
  <c r="N1163" s="1"/>
  <c r="P1163" s="1"/>
  <c r="R1163" s="1"/>
  <c r="T1163" s="1"/>
  <c r="K1666" i="5"/>
  <c r="M1666" s="1"/>
  <c r="O1666" s="1"/>
  <c r="Q1666" s="1"/>
  <c r="S1666" s="1"/>
  <c r="U1666" s="1"/>
  <c r="I918" i="6"/>
  <c r="K1215" i="5"/>
  <c r="M1215" s="1"/>
  <c r="O1215" s="1"/>
  <c r="Q1215" s="1"/>
  <c r="S1215" s="1"/>
  <c r="U1215" s="1"/>
  <c r="J1214"/>
  <c r="J1213" s="1"/>
  <c r="A1211"/>
  <c r="A1214"/>
  <c r="A1213"/>
  <c r="A1215"/>
  <c r="L914" l="1"/>
  <c r="I48" i="1"/>
  <c r="K1571" i="5"/>
  <c r="M1571" s="1"/>
  <c r="O1571" s="1"/>
  <c r="Q1571" s="1"/>
  <c r="S1571" s="1"/>
  <c r="U1571" s="1"/>
  <c r="J1211"/>
  <c r="K1213"/>
  <c r="M1213" s="1"/>
  <c r="O1213" s="1"/>
  <c r="Q1213" s="1"/>
  <c r="S1213" s="1"/>
  <c r="K1214"/>
  <c r="M1214" s="1"/>
  <c r="O1214" s="1"/>
  <c r="Q1214" s="1"/>
  <c r="S1214" s="1"/>
  <c r="U1214" s="1"/>
  <c r="I920" i="6"/>
  <c r="J920" s="1"/>
  <c r="L920" s="1"/>
  <c r="N920" s="1"/>
  <c r="P920" s="1"/>
  <c r="R920" s="1"/>
  <c r="T920" s="1"/>
  <c r="A919"/>
  <c r="A920"/>
  <c r="U1213" i="5" l="1"/>
  <c r="S1212"/>
  <c r="U1212" s="1"/>
  <c r="I67" i="1"/>
  <c r="L1752" i="5"/>
  <c r="J1210"/>
  <c r="K1210" s="1"/>
  <c r="M1210" s="1"/>
  <c r="O1210" s="1"/>
  <c r="Q1210" s="1"/>
  <c r="S1210" s="1"/>
  <c r="U1210" s="1"/>
  <c r="K1211"/>
  <c r="M1211" s="1"/>
  <c r="O1211" s="1"/>
  <c r="Q1211" s="1"/>
  <c r="I919" i="6"/>
  <c r="J919" s="1"/>
  <c r="L919" s="1"/>
  <c r="N919" s="1"/>
  <c r="P919" s="1"/>
  <c r="R919" s="1"/>
  <c r="T919" s="1"/>
  <c r="A916"/>
  <c r="A917"/>
  <c r="A918"/>
  <c r="S1211" i="5" l="1"/>
  <c r="U1211" s="1"/>
  <c r="I917" i="6"/>
  <c r="I916" s="1"/>
  <c r="J918"/>
  <c r="L918" s="1"/>
  <c r="N918" s="1"/>
  <c r="P918" s="1"/>
  <c r="R918" s="1"/>
  <c r="T918" s="1"/>
  <c r="K712" i="5"/>
  <c r="M712" s="1"/>
  <c r="O712" s="1"/>
  <c r="Q712" s="1"/>
  <c r="S712" s="1"/>
  <c r="U712" s="1"/>
  <c r="J711"/>
  <c r="J710" s="1"/>
  <c r="A708"/>
  <c r="A710"/>
  <c r="A712"/>
  <c r="A711"/>
  <c r="A709"/>
  <c r="J916" i="6" l="1"/>
  <c r="L916" s="1"/>
  <c r="N916" s="1"/>
  <c r="P916" s="1"/>
  <c r="R916" s="1"/>
  <c r="T916" s="1"/>
  <c r="J917"/>
  <c r="L917" s="1"/>
  <c r="N917" s="1"/>
  <c r="P917" s="1"/>
  <c r="R917" s="1"/>
  <c r="T917" s="1"/>
  <c r="J709" i="5"/>
  <c r="J708" s="1"/>
  <c r="K710"/>
  <c r="M710" s="1"/>
  <c r="O710" s="1"/>
  <c r="Q710" s="1"/>
  <c r="S710" s="1"/>
  <c r="U710" s="1"/>
  <c r="K711"/>
  <c r="M711" s="1"/>
  <c r="O711" s="1"/>
  <c r="Q711" s="1"/>
  <c r="S711" s="1"/>
  <c r="U711" s="1"/>
  <c r="K945"/>
  <c r="M945" s="1"/>
  <c r="O945" s="1"/>
  <c r="Q945" s="1"/>
  <c r="S945" s="1"/>
  <c r="U945" s="1"/>
  <c r="J944"/>
  <c r="J943" s="1"/>
  <c r="J942" s="1"/>
  <c r="J941" s="1"/>
  <c r="A943"/>
  <c r="A945"/>
  <c r="A941"/>
  <c r="A942"/>
  <c r="A944"/>
  <c r="K941" l="1"/>
  <c r="M941" s="1"/>
  <c r="O941" s="1"/>
  <c r="Q941" s="1"/>
  <c r="S941" s="1"/>
  <c r="U941" s="1"/>
  <c r="J940"/>
  <c r="K940" s="1"/>
  <c r="M940" s="1"/>
  <c r="O940" s="1"/>
  <c r="Q940" s="1"/>
  <c r="S940" s="1"/>
  <c r="U940" s="1"/>
  <c r="K708"/>
  <c r="M708" s="1"/>
  <c r="O708" s="1"/>
  <c r="Q708" s="1"/>
  <c r="S708" s="1"/>
  <c r="U708" s="1"/>
  <c r="K709"/>
  <c r="M709" s="1"/>
  <c r="O709" s="1"/>
  <c r="Q709" s="1"/>
  <c r="S709" s="1"/>
  <c r="U709" s="1"/>
  <c r="K943"/>
  <c r="M943" s="1"/>
  <c r="O943" s="1"/>
  <c r="Q943" s="1"/>
  <c r="S943" s="1"/>
  <c r="U943" s="1"/>
  <c r="K944"/>
  <c r="M944" s="1"/>
  <c r="O944" s="1"/>
  <c r="Q944" s="1"/>
  <c r="S944" s="1"/>
  <c r="U944" s="1"/>
  <c r="K942"/>
  <c r="M942" s="1"/>
  <c r="O942" s="1"/>
  <c r="Q942" s="1"/>
  <c r="S942" s="1"/>
  <c r="U942" s="1"/>
  <c r="I533" i="6"/>
  <c r="I534"/>
  <c r="J534" s="1"/>
  <c r="L534" s="1"/>
  <c r="N534" s="1"/>
  <c r="P534" s="1"/>
  <c r="R534" s="1"/>
  <c r="T534" s="1"/>
  <c r="A534"/>
  <c r="I532" l="1"/>
  <c r="I531" s="1"/>
  <c r="J221" i="5"/>
  <c r="J214"/>
  <c r="J385"/>
  <c r="J78"/>
  <c r="J77" s="1"/>
  <c r="J81"/>
  <c r="J80" s="1"/>
  <c r="K83"/>
  <c r="M83" s="1"/>
  <c r="O83" s="1"/>
  <c r="Q83" s="1"/>
  <c r="S83" s="1"/>
  <c r="U83" s="1"/>
  <c r="A83"/>
  <c r="I1291" i="6" l="1"/>
  <c r="I1290" s="1"/>
  <c r="I1289" s="1"/>
  <c r="I1288" s="1"/>
  <c r="I1287" s="1"/>
  <c r="J1287" s="1"/>
  <c r="L1287" s="1"/>
  <c r="N1287" s="1"/>
  <c r="P1287" s="1"/>
  <c r="R1287" s="1"/>
  <c r="T1287" s="1"/>
  <c r="A1290"/>
  <c r="A1289"/>
  <c r="A1291"/>
  <c r="A1287"/>
  <c r="J1289" l="1"/>
  <c r="L1289" s="1"/>
  <c r="N1289" s="1"/>
  <c r="P1289" s="1"/>
  <c r="R1289" s="1"/>
  <c r="T1289" s="1"/>
  <c r="J1290"/>
  <c r="L1290" s="1"/>
  <c r="N1290" s="1"/>
  <c r="P1290" s="1"/>
  <c r="R1290" s="1"/>
  <c r="T1290" s="1"/>
  <c r="J1291"/>
  <c r="L1291" s="1"/>
  <c r="N1291" s="1"/>
  <c r="P1291" s="1"/>
  <c r="R1291" s="1"/>
  <c r="T1291" s="1"/>
  <c r="J1288"/>
  <c r="L1288" s="1"/>
  <c r="N1288" s="1"/>
  <c r="P1288" s="1"/>
  <c r="R1288" s="1"/>
  <c r="T1288" s="1"/>
  <c r="K378" i="5"/>
  <c r="M378" s="1"/>
  <c r="O378" s="1"/>
  <c r="Q378" s="1"/>
  <c r="S378" s="1"/>
  <c r="U378" s="1"/>
  <c r="J377"/>
  <c r="K377" s="1"/>
  <c r="M377" s="1"/>
  <c r="O377" s="1"/>
  <c r="Q377" s="1"/>
  <c r="S377" s="1"/>
  <c r="U377" s="1"/>
  <c r="A374"/>
  <c r="A378"/>
  <c r="A373"/>
  <c r="A375"/>
  <c r="A376"/>
  <c r="A377"/>
  <c r="J376" l="1"/>
  <c r="I1539" i="6"/>
  <c r="J1539" s="1"/>
  <c r="L1539" s="1"/>
  <c r="N1539" s="1"/>
  <c r="P1539" s="1"/>
  <c r="R1539" s="1"/>
  <c r="T1539" s="1"/>
  <c r="A1539"/>
  <c r="J375" i="5" l="1"/>
  <c r="K376"/>
  <c r="M376" s="1"/>
  <c r="O376" s="1"/>
  <c r="Q376" s="1"/>
  <c r="S376" s="1"/>
  <c r="U376" s="1"/>
  <c r="J407"/>
  <c r="J406" s="1"/>
  <c r="K408"/>
  <c r="M408" s="1"/>
  <c r="O408" s="1"/>
  <c r="Q408" s="1"/>
  <c r="S408" s="1"/>
  <c r="U408" s="1"/>
  <c r="A408"/>
  <c r="J374" l="1"/>
  <c r="K375"/>
  <c r="M375" s="1"/>
  <c r="O375" s="1"/>
  <c r="Q375" s="1"/>
  <c r="S375" s="1"/>
  <c r="U375" s="1"/>
  <c r="J373" l="1"/>
  <c r="K373" s="1"/>
  <c r="M373" s="1"/>
  <c r="O373" s="1"/>
  <c r="Q373" s="1"/>
  <c r="S373" s="1"/>
  <c r="U373" s="1"/>
  <c r="K374"/>
  <c r="M374" s="1"/>
  <c r="O374" s="1"/>
  <c r="Q374" s="1"/>
  <c r="S374" s="1"/>
  <c r="U374" s="1"/>
  <c r="I639" i="6"/>
  <c r="I638" s="1"/>
  <c r="A638"/>
  <c r="A637"/>
  <c r="A639"/>
  <c r="J638" l="1"/>
  <c r="L638" s="1"/>
  <c r="N638" s="1"/>
  <c r="P638" s="1"/>
  <c r="R638" s="1"/>
  <c r="T638" s="1"/>
  <c r="J639"/>
  <c r="L639" s="1"/>
  <c r="N639" s="1"/>
  <c r="P639" s="1"/>
  <c r="R639" s="1"/>
  <c r="T639" s="1"/>
  <c r="J101" i="5"/>
  <c r="A102"/>
  <c r="A101"/>
  <c r="A100"/>
  <c r="K101" l="1"/>
  <c r="M101" s="1"/>
  <c r="O101" s="1"/>
  <c r="Q101" s="1"/>
  <c r="S101" s="1"/>
  <c r="U101" s="1"/>
  <c r="J104"/>
  <c r="J740" l="1"/>
  <c r="J658"/>
  <c r="J254" l="1"/>
  <c r="I1558" i="6"/>
  <c r="I1555"/>
  <c r="I1552"/>
  <c r="J1721" i="5"/>
  <c r="J1720" s="1"/>
  <c r="J1718"/>
  <c r="J1717" s="1"/>
  <c r="K1717" s="1"/>
  <c r="M1717" s="1"/>
  <c r="O1717" s="1"/>
  <c r="Q1717" s="1"/>
  <c r="S1717" s="1"/>
  <c r="U1717" s="1"/>
  <c r="J1715"/>
  <c r="K1715" s="1"/>
  <c r="M1715" s="1"/>
  <c r="O1715" s="1"/>
  <c r="Q1715" s="1"/>
  <c r="S1715" s="1"/>
  <c r="U1715" s="1"/>
  <c r="K1716"/>
  <c r="M1716" s="1"/>
  <c r="O1716" s="1"/>
  <c r="Q1716" s="1"/>
  <c r="S1716" s="1"/>
  <c r="U1716" s="1"/>
  <c r="K1719"/>
  <c r="M1719" s="1"/>
  <c r="O1719" s="1"/>
  <c r="Q1719" s="1"/>
  <c r="S1719" s="1"/>
  <c r="U1719" s="1"/>
  <c r="K1722"/>
  <c r="M1722" s="1"/>
  <c r="O1722" s="1"/>
  <c r="Q1722" s="1"/>
  <c r="S1722" s="1"/>
  <c r="U1722" s="1"/>
  <c r="A1721"/>
  <c r="A1722"/>
  <c r="A1720"/>
  <c r="A1718"/>
  <c r="A1713"/>
  <c r="A1712"/>
  <c r="A1717"/>
  <c r="A1708"/>
  <c r="A1714"/>
  <c r="A1716"/>
  <c r="A1715"/>
  <c r="A1711"/>
  <c r="A1709"/>
  <c r="A1719"/>
  <c r="K1721" l="1"/>
  <c r="M1721" s="1"/>
  <c r="O1721" s="1"/>
  <c r="Q1721" s="1"/>
  <c r="S1721" s="1"/>
  <c r="U1721" s="1"/>
  <c r="K1718"/>
  <c r="M1718" s="1"/>
  <c r="O1718" s="1"/>
  <c r="Q1718" s="1"/>
  <c r="S1718" s="1"/>
  <c r="U1718" s="1"/>
  <c r="J1714"/>
  <c r="K1714" s="1"/>
  <c r="M1714" s="1"/>
  <c r="O1714" s="1"/>
  <c r="Q1714" s="1"/>
  <c r="S1714" s="1"/>
  <c r="U1714" s="1"/>
  <c r="K1720"/>
  <c r="M1720" s="1"/>
  <c r="O1720" s="1"/>
  <c r="Q1720" s="1"/>
  <c r="S1720" s="1"/>
  <c r="U1720" s="1"/>
  <c r="J121"/>
  <c r="J404"/>
  <c r="J403" s="1"/>
  <c r="I1710" i="6"/>
  <c r="J1710" s="1"/>
  <c r="L1710" s="1"/>
  <c r="N1710" s="1"/>
  <c r="P1710" s="1"/>
  <c r="R1710" s="1"/>
  <c r="T1710" s="1"/>
  <c r="I1706"/>
  <c r="I1705" s="1"/>
  <c r="J1705" s="1"/>
  <c r="L1705" s="1"/>
  <c r="N1705" s="1"/>
  <c r="P1705" s="1"/>
  <c r="R1705" s="1"/>
  <c r="T1705" s="1"/>
  <c r="A1710"/>
  <c r="A1706"/>
  <c r="A1704"/>
  <c r="A1705"/>
  <c r="A1702"/>
  <c r="A1708"/>
  <c r="A1709"/>
  <c r="J1713" i="5" l="1"/>
  <c r="K1713" s="1"/>
  <c r="M1713" s="1"/>
  <c r="O1713" s="1"/>
  <c r="Q1713" s="1"/>
  <c r="S1713" s="1"/>
  <c r="U1713" s="1"/>
  <c r="I1709" i="6"/>
  <c r="J1709" s="1"/>
  <c r="L1709" s="1"/>
  <c r="N1709" s="1"/>
  <c r="P1709" s="1"/>
  <c r="R1709" s="1"/>
  <c r="T1709" s="1"/>
  <c r="J1706"/>
  <c r="L1706" s="1"/>
  <c r="N1706" s="1"/>
  <c r="P1706" s="1"/>
  <c r="R1706" s="1"/>
  <c r="T1706" s="1"/>
  <c r="I1704"/>
  <c r="I1703" s="1"/>
  <c r="J1703" s="1"/>
  <c r="L1703" s="1"/>
  <c r="N1703" s="1"/>
  <c r="P1703" s="1"/>
  <c r="R1703" s="1"/>
  <c r="T1703" s="1"/>
  <c r="K1199" i="5"/>
  <c r="M1199" s="1"/>
  <c r="O1199" s="1"/>
  <c r="Q1199" s="1"/>
  <c r="S1199" s="1"/>
  <c r="U1199" s="1"/>
  <c r="J1198"/>
  <c r="K1198" s="1"/>
  <c r="M1198" s="1"/>
  <c r="O1198" s="1"/>
  <c r="Q1198" s="1"/>
  <c r="S1198" s="1"/>
  <c r="U1198" s="1"/>
  <c r="A1196"/>
  <c r="A1199"/>
  <c r="A1198"/>
  <c r="A1197"/>
  <c r="J1712" l="1"/>
  <c r="J1711" s="1"/>
  <c r="K1711" s="1"/>
  <c r="M1711" s="1"/>
  <c r="O1711" s="1"/>
  <c r="Q1711" s="1"/>
  <c r="S1711" s="1"/>
  <c r="U1711" s="1"/>
  <c r="I1708" i="6"/>
  <c r="J1708" s="1"/>
  <c r="L1708" s="1"/>
  <c r="N1708" s="1"/>
  <c r="P1708" s="1"/>
  <c r="R1708" s="1"/>
  <c r="T1708" s="1"/>
  <c r="J1704"/>
  <c r="L1704" s="1"/>
  <c r="N1704" s="1"/>
  <c r="P1704" s="1"/>
  <c r="R1704" s="1"/>
  <c r="T1704" s="1"/>
  <c r="J1197" i="5"/>
  <c r="J1063"/>
  <c r="K1063" s="1"/>
  <c r="M1063" s="1"/>
  <c r="O1063" s="1"/>
  <c r="Q1063" s="1"/>
  <c r="S1063" s="1"/>
  <c r="U1063" s="1"/>
  <c r="K1064"/>
  <c r="M1064" s="1"/>
  <c r="O1064" s="1"/>
  <c r="Q1064" s="1"/>
  <c r="S1064" s="1"/>
  <c r="U1064" s="1"/>
  <c r="A1059"/>
  <c r="A1064"/>
  <c r="A1060"/>
  <c r="A1061"/>
  <c r="A1063"/>
  <c r="A1062"/>
  <c r="K1712" l="1"/>
  <c r="M1712" s="1"/>
  <c r="O1712" s="1"/>
  <c r="Q1712" s="1"/>
  <c r="S1712" s="1"/>
  <c r="U1712" s="1"/>
  <c r="J1710"/>
  <c r="K1710" s="1"/>
  <c r="M1710" s="1"/>
  <c r="O1710" s="1"/>
  <c r="Q1710" s="1"/>
  <c r="S1710" s="1"/>
  <c r="U1710" s="1"/>
  <c r="I1707" i="6"/>
  <c r="J1707" s="1"/>
  <c r="L1707" s="1"/>
  <c r="N1707" s="1"/>
  <c r="P1707" s="1"/>
  <c r="R1707" s="1"/>
  <c r="T1707" s="1"/>
  <c r="J1196" i="5"/>
  <c r="K1197"/>
  <c r="M1197" s="1"/>
  <c r="O1197" s="1"/>
  <c r="Q1197" s="1"/>
  <c r="S1197" s="1"/>
  <c r="U1197" s="1"/>
  <c r="J1062"/>
  <c r="K1062" s="1"/>
  <c r="M1062" s="1"/>
  <c r="O1062" s="1"/>
  <c r="Q1062" s="1"/>
  <c r="S1062" s="1"/>
  <c r="U1062" s="1"/>
  <c r="J1709" l="1"/>
  <c r="J1708" s="1"/>
  <c r="K1708" s="1"/>
  <c r="M1708" s="1"/>
  <c r="O1708" s="1"/>
  <c r="Q1708" s="1"/>
  <c r="S1708" s="1"/>
  <c r="U1708" s="1"/>
  <c r="I1702" i="6"/>
  <c r="J1702" s="1"/>
  <c r="L1702" s="1"/>
  <c r="N1702" s="1"/>
  <c r="P1702" s="1"/>
  <c r="R1702" s="1"/>
  <c r="T1702" s="1"/>
  <c r="K1196" i="5"/>
  <c r="M1196" s="1"/>
  <c r="O1196" s="1"/>
  <c r="Q1196" s="1"/>
  <c r="S1196" s="1"/>
  <c r="U1196" s="1"/>
  <c r="J1061"/>
  <c r="K1709" l="1"/>
  <c r="M1709" s="1"/>
  <c r="O1709" s="1"/>
  <c r="Q1709" s="1"/>
  <c r="S1709" s="1"/>
  <c r="U1709" s="1"/>
  <c r="K1061"/>
  <c r="M1061" s="1"/>
  <c r="O1061" s="1"/>
  <c r="Q1061" s="1"/>
  <c r="S1061" s="1"/>
  <c r="U1061" s="1"/>
  <c r="J1060"/>
  <c r="I1366" i="6"/>
  <c r="J1366" s="1"/>
  <c r="L1366" s="1"/>
  <c r="N1366" s="1"/>
  <c r="P1366" s="1"/>
  <c r="R1366" s="1"/>
  <c r="T1366" s="1"/>
  <c r="A1366"/>
  <c r="A1364"/>
  <c r="A1365"/>
  <c r="K1060" i="5" l="1"/>
  <c r="M1060" s="1"/>
  <c r="O1060" s="1"/>
  <c r="Q1060" s="1"/>
  <c r="S1060" s="1"/>
  <c r="U1060" s="1"/>
  <c r="J1059"/>
  <c r="K1059" s="1"/>
  <c r="M1059" s="1"/>
  <c r="O1059" s="1"/>
  <c r="Q1059" s="1"/>
  <c r="S1059" s="1"/>
  <c r="U1059" s="1"/>
  <c r="I1365" i="6"/>
  <c r="J1365" s="1"/>
  <c r="L1365" s="1"/>
  <c r="N1365" s="1"/>
  <c r="P1365" s="1"/>
  <c r="R1365" s="1"/>
  <c r="T1365" s="1"/>
  <c r="J1344"/>
  <c r="L1344" s="1"/>
  <c r="N1344" s="1"/>
  <c r="P1344" s="1"/>
  <c r="R1344" s="1"/>
  <c r="T1344" s="1"/>
  <c r="I1343"/>
  <c r="I1342" s="1"/>
  <c r="J1342" s="1"/>
  <c r="L1342" s="1"/>
  <c r="N1342" s="1"/>
  <c r="P1342" s="1"/>
  <c r="R1342" s="1"/>
  <c r="T1342" s="1"/>
  <c r="A1343"/>
  <c r="A1342"/>
  <c r="A1344"/>
  <c r="J1343" l="1"/>
  <c r="L1343" s="1"/>
  <c r="N1343" s="1"/>
  <c r="P1343" s="1"/>
  <c r="R1343" s="1"/>
  <c r="T1343" s="1"/>
  <c r="I1364"/>
  <c r="J1364" s="1"/>
  <c r="L1364" s="1"/>
  <c r="N1364" s="1"/>
  <c r="P1364" s="1"/>
  <c r="R1364" s="1"/>
  <c r="T1364" s="1"/>
  <c r="J219" i="5"/>
  <c r="J218" s="1"/>
  <c r="K217"/>
  <c r="M217" s="1"/>
  <c r="O217" s="1"/>
  <c r="Q217" s="1"/>
  <c r="S217" s="1"/>
  <c r="U217" s="1"/>
  <c r="J216"/>
  <c r="J215" s="1"/>
  <c r="K215" s="1"/>
  <c r="M215" s="1"/>
  <c r="O215" s="1"/>
  <c r="Q215" s="1"/>
  <c r="S215" s="1"/>
  <c r="U215" s="1"/>
  <c r="A216"/>
  <c r="A217"/>
  <c r="A215"/>
  <c r="K216" l="1"/>
  <c r="M216" s="1"/>
  <c r="O216" s="1"/>
  <c r="Q216" s="1"/>
  <c r="S216" s="1"/>
  <c r="U216" s="1"/>
  <c r="K201"/>
  <c r="M201" s="1"/>
  <c r="O201" s="1"/>
  <c r="Q201" s="1"/>
  <c r="S201" s="1"/>
  <c r="U201" s="1"/>
  <c r="J200"/>
  <c r="K200" s="1"/>
  <c r="M200" s="1"/>
  <c r="O200" s="1"/>
  <c r="Q200" s="1"/>
  <c r="S200" s="1"/>
  <c r="U200" s="1"/>
  <c r="A201"/>
  <c r="A200"/>
  <c r="A199"/>
  <c r="J199" l="1"/>
  <c r="K199" s="1"/>
  <c r="M199" s="1"/>
  <c r="O199" s="1"/>
  <c r="Q199" s="1"/>
  <c r="S199" s="1"/>
  <c r="U199" s="1"/>
  <c r="J118"/>
  <c r="J113"/>
  <c r="J112" s="1"/>
  <c r="J111" s="1"/>
  <c r="J110" s="1"/>
  <c r="J109" s="1"/>
  <c r="J1460"/>
  <c r="J889"/>
  <c r="J384"/>
  <c r="J383" s="1"/>
  <c r="J387"/>
  <c r="J386" s="1"/>
  <c r="J381"/>
  <c r="I37" i="6"/>
  <c r="I36" s="1"/>
  <c r="J36" s="1"/>
  <c r="L36" s="1"/>
  <c r="N36" s="1"/>
  <c r="P36" s="1"/>
  <c r="R36" s="1"/>
  <c r="T36" s="1"/>
  <c r="A36"/>
  <c r="A37"/>
  <c r="J380" i="5" l="1"/>
  <c r="J37" i="6"/>
  <c r="L37" s="1"/>
  <c r="N37" s="1"/>
  <c r="P37" s="1"/>
  <c r="R37" s="1"/>
  <c r="T37" s="1"/>
  <c r="K724" i="5"/>
  <c r="M724" s="1"/>
  <c r="O724" s="1"/>
  <c r="Q724" s="1"/>
  <c r="S724" s="1"/>
  <c r="U724" s="1"/>
  <c r="J723"/>
  <c r="K723" s="1"/>
  <c r="M723" s="1"/>
  <c r="O723" s="1"/>
  <c r="Q723" s="1"/>
  <c r="S723" s="1"/>
  <c r="U723" s="1"/>
  <c r="A724"/>
  <c r="A723"/>
  <c r="I873" i="6" l="1"/>
  <c r="I872" s="1"/>
  <c r="A872"/>
  <c r="A873"/>
  <c r="J872" l="1"/>
  <c r="L872" s="1"/>
  <c r="N872" s="1"/>
  <c r="P872" s="1"/>
  <c r="R872" s="1"/>
  <c r="T872" s="1"/>
  <c r="J873"/>
  <c r="L873" s="1"/>
  <c r="N873" s="1"/>
  <c r="P873" s="1"/>
  <c r="R873" s="1"/>
  <c r="T873" s="1"/>
  <c r="K1316" i="5"/>
  <c r="M1316" s="1"/>
  <c r="O1316" s="1"/>
  <c r="Q1316" s="1"/>
  <c r="S1316" s="1"/>
  <c r="U1316" s="1"/>
  <c r="J1315"/>
  <c r="K1315" s="1"/>
  <c r="M1315" s="1"/>
  <c r="O1315" s="1"/>
  <c r="Q1315" s="1"/>
  <c r="S1315" s="1"/>
  <c r="U1315" s="1"/>
  <c r="A1316"/>
  <c r="A1315"/>
  <c r="J509" l="1"/>
  <c r="I1090" i="6" l="1"/>
  <c r="K113" i="5" l="1"/>
  <c r="M113" s="1"/>
  <c r="O113" s="1"/>
  <c r="Q113" s="1"/>
  <c r="S113" s="1"/>
  <c r="U113" s="1"/>
  <c r="K112"/>
  <c r="M112" s="1"/>
  <c r="O112" s="1"/>
  <c r="Q112" s="1"/>
  <c r="S112" s="1"/>
  <c r="U112" s="1"/>
  <c r="A110"/>
  <c r="A111"/>
  <c r="A113"/>
  <c r="A112"/>
  <c r="A109"/>
  <c r="J627" l="1"/>
  <c r="K111" l="1"/>
  <c r="M111" s="1"/>
  <c r="O111" s="1"/>
  <c r="Q111" s="1"/>
  <c r="S111" s="1"/>
  <c r="U111" s="1"/>
  <c r="K109" l="1"/>
  <c r="M109" s="1"/>
  <c r="O109" s="1"/>
  <c r="Q109" s="1"/>
  <c r="S109" s="1"/>
  <c r="U109" s="1"/>
  <c r="K110"/>
  <c r="M110" s="1"/>
  <c r="O110" s="1"/>
  <c r="Q110" s="1"/>
  <c r="S110" s="1"/>
  <c r="U110" s="1"/>
  <c r="I1718" i="6" l="1"/>
  <c r="I1717" s="1"/>
  <c r="I1716" s="1"/>
  <c r="I1715" s="1"/>
  <c r="A1716"/>
  <c r="A1718"/>
  <c r="A1717"/>
  <c r="J1706" i="5" l="1"/>
  <c r="K1706" s="1"/>
  <c r="M1706" s="1"/>
  <c r="O1706" s="1"/>
  <c r="Q1706" s="1"/>
  <c r="S1706" s="1"/>
  <c r="U1706" s="1"/>
  <c r="K1707"/>
  <c r="M1707" s="1"/>
  <c r="O1707" s="1"/>
  <c r="Q1707" s="1"/>
  <c r="S1707" s="1"/>
  <c r="U1707" s="1"/>
  <c r="A1702"/>
  <c r="A1704"/>
  <c r="A1706"/>
  <c r="A1705"/>
  <c r="A1707"/>
  <c r="A1703"/>
  <c r="J1705" l="1"/>
  <c r="J1704" s="1"/>
  <c r="J1703" s="1"/>
  <c r="K1703" s="1"/>
  <c r="M1703" s="1"/>
  <c r="O1703" s="1"/>
  <c r="Q1703" s="1"/>
  <c r="S1703" s="1"/>
  <c r="U1703" s="1"/>
  <c r="J1715" i="6"/>
  <c r="L1715" s="1"/>
  <c r="N1715" s="1"/>
  <c r="P1715" s="1"/>
  <c r="R1715" s="1"/>
  <c r="T1715" s="1"/>
  <c r="J1716"/>
  <c r="L1716" s="1"/>
  <c r="N1716" s="1"/>
  <c r="P1716" s="1"/>
  <c r="R1716" s="1"/>
  <c r="T1716" s="1"/>
  <c r="J1717"/>
  <c r="L1717" s="1"/>
  <c r="N1717" s="1"/>
  <c r="P1717" s="1"/>
  <c r="R1717" s="1"/>
  <c r="T1717" s="1"/>
  <c r="J1718"/>
  <c r="L1718" s="1"/>
  <c r="N1718" s="1"/>
  <c r="P1718" s="1"/>
  <c r="R1718" s="1"/>
  <c r="T1718" s="1"/>
  <c r="I1714"/>
  <c r="I1713" s="1"/>
  <c r="J1713" s="1"/>
  <c r="L1713" s="1"/>
  <c r="N1713" s="1"/>
  <c r="P1713" s="1"/>
  <c r="R1713" s="1"/>
  <c r="T1713" s="1"/>
  <c r="A1713"/>
  <c r="A1714"/>
  <c r="A1711"/>
  <c r="K1704" i="5" l="1"/>
  <c r="M1704" s="1"/>
  <c r="O1704" s="1"/>
  <c r="Q1704" s="1"/>
  <c r="S1704" s="1"/>
  <c r="U1704" s="1"/>
  <c r="K1705"/>
  <c r="M1705" s="1"/>
  <c r="O1705" s="1"/>
  <c r="Q1705" s="1"/>
  <c r="S1705" s="1"/>
  <c r="U1705" s="1"/>
  <c r="J1702"/>
  <c r="K1702" s="1"/>
  <c r="M1702" s="1"/>
  <c r="O1702" s="1"/>
  <c r="Q1702" s="1"/>
  <c r="S1702" s="1"/>
  <c r="U1702" s="1"/>
  <c r="J1714" i="6"/>
  <c r="L1714" s="1"/>
  <c r="N1714" s="1"/>
  <c r="P1714" s="1"/>
  <c r="R1714" s="1"/>
  <c r="T1714" s="1"/>
  <c r="I1712"/>
  <c r="I1711" s="1"/>
  <c r="J1279" i="5"/>
  <c r="K1279" s="1"/>
  <c r="M1279" s="1"/>
  <c r="O1279" s="1"/>
  <c r="Q1279" s="1"/>
  <c r="S1279" s="1"/>
  <c r="U1279" s="1"/>
  <c r="K1280"/>
  <c r="M1280" s="1"/>
  <c r="O1280" s="1"/>
  <c r="Q1280" s="1"/>
  <c r="S1280" s="1"/>
  <c r="U1280" s="1"/>
  <c r="A1279"/>
  <c r="A1280"/>
  <c r="A1277"/>
  <c r="A1278"/>
  <c r="A1276"/>
  <c r="J1278" l="1"/>
  <c r="K1278" s="1"/>
  <c r="M1278" s="1"/>
  <c r="O1278" s="1"/>
  <c r="Q1278" s="1"/>
  <c r="S1278" s="1"/>
  <c r="U1278" s="1"/>
  <c r="J1711" i="6"/>
  <c r="L1711" s="1"/>
  <c r="N1711" s="1"/>
  <c r="P1711" s="1"/>
  <c r="R1711" s="1"/>
  <c r="T1711" s="1"/>
  <c r="J1712"/>
  <c r="L1712" s="1"/>
  <c r="N1712" s="1"/>
  <c r="P1712" s="1"/>
  <c r="R1712" s="1"/>
  <c r="T1712" s="1"/>
  <c r="I1701"/>
  <c r="I1700" s="1"/>
  <c r="I1699" s="1"/>
  <c r="A1699"/>
  <c r="A1700"/>
  <c r="A1701"/>
  <c r="I1698" l="1"/>
  <c r="J1698" s="1"/>
  <c r="L1698" s="1"/>
  <c r="N1698" s="1"/>
  <c r="P1698" s="1"/>
  <c r="R1698" s="1"/>
  <c r="T1698" s="1"/>
  <c r="J1699"/>
  <c r="L1699" s="1"/>
  <c r="N1699" s="1"/>
  <c r="P1699" s="1"/>
  <c r="R1699" s="1"/>
  <c r="T1699" s="1"/>
  <c r="J1277" i="5"/>
  <c r="K817"/>
  <c r="M817" s="1"/>
  <c r="O817" s="1"/>
  <c r="Q817" s="1"/>
  <c r="S817" s="1"/>
  <c r="U817" s="1"/>
  <c r="J816"/>
  <c r="K816" s="1"/>
  <c r="M816" s="1"/>
  <c r="O816" s="1"/>
  <c r="Q816" s="1"/>
  <c r="S816" s="1"/>
  <c r="U816" s="1"/>
  <c r="A815"/>
  <c r="A817"/>
  <c r="A814"/>
  <c r="A816"/>
  <c r="K1277" l="1"/>
  <c r="M1277" s="1"/>
  <c r="O1277" s="1"/>
  <c r="Q1277" s="1"/>
  <c r="S1277" s="1"/>
  <c r="U1277" s="1"/>
  <c r="J1276"/>
  <c r="K1276" s="1"/>
  <c r="M1276" s="1"/>
  <c r="O1276" s="1"/>
  <c r="Q1276" s="1"/>
  <c r="S1276" s="1"/>
  <c r="U1276" s="1"/>
  <c r="J815"/>
  <c r="J1700" i="6"/>
  <c r="L1700" s="1"/>
  <c r="N1700" s="1"/>
  <c r="P1700" s="1"/>
  <c r="R1700" s="1"/>
  <c r="T1700" s="1"/>
  <c r="J1701"/>
  <c r="L1701" s="1"/>
  <c r="N1701" s="1"/>
  <c r="P1701" s="1"/>
  <c r="R1701" s="1"/>
  <c r="T1701" s="1"/>
  <c r="I1693"/>
  <c r="I1692" s="1"/>
  <c r="J1692" s="1"/>
  <c r="L1692" s="1"/>
  <c r="N1692" s="1"/>
  <c r="P1692" s="1"/>
  <c r="R1692" s="1"/>
  <c r="T1692" s="1"/>
  <c r="I1691"/>
  <c r="I1690" s="1"/>
  <c r="A1693"/>
  <c r="A1691"/>
  <c r="A1689"/>
  <c r="A1690"/>
  <c r="A1687"/>
  <c r="A1692"/>
  <c r="J814" i="5" l="1"/>
  <c r="K814" s="1"/>
  <c r="M814" s="1"/>
  <c r="O814" s="1"/>
  <c r="Q814" s="1"/>
  <c r="S814" s="1"/>
  <c r="U814" s="1"/>
  <c r="K815"/>
  <c r="M815" s="1"/>
  <c r="O815" s="1"/>
  <c r="Q815" s="1"/>
  <c r="S815" s="1"/>
  <c r="U815" s="1"/>
  <c r="J1691" i="6"/>
  <c r="L1691" s="1"/>
  <c r="N1691" s="1"/>
  <c r="P1691" s="1"/>
  <c r="R1691" s="1"/>
  <c r="T1691" s="1"/>
  <c r="I1689"/>
  <c r="I1688" s="1"/>
  <c r="I1687" s="1"/>
  <c r="J1690"/>
  <c r="L1690" s="1"/>
  <c r="N1690" s="1"/>
  <c r="P1690" s="1"/>
  <c r="R1690" s="1"/>
  <c r="T1690" s="1"/>
  <c r="J1693"/>
  <c r="L1693" s="1"/>
  <c r="N1693" s="1"/>
  <c r="P1693" s="1"/>
  <c r="R1693" s="1"/>
  <c r="T1693" s="1"/>
  <c r="K627" i="5"/>
  <c r="M627" s="1"/>
  <c r="O627" s="1"/>
  <c r="Q627" s="1"/>
  <c r="S627" s="1"/>
  <c r="U627" s="1"/>
  <c r="K629"/>
  <c r="M629" s="1"/>
  <c r="O629" s="1"/>
  <c r="Q629" s="1"/>
  <c r="S629" s="1"/>
  <c r="U629" s="1"/>
  <c r="J626"/>
  <c r="K626" s="1"/>
  <c r="M626" s="1"/>
  <c r="O626" s="1"/>
  <c r="Q626" s="1"/>
  <c r="S626" s="1"/>
  <c r="U626" s="1"/>
  <c r="J628"/>
  <c r="K628" s="1"/>
  <c r="M628" s="1"/>
  <c r="O628" s="1"/>
  <c r="Q628" s="1"/>
  <c r="S628" s="1"/>
  <c r="U628" s="1"/>
  <c r="A626"/>
  <c r="A622"/>
  <c r="A629"/>
  <c r="A623"/>
  <c r="A624"/>
  <c r="A628"/>
  <c r="A625"/>
  <c r="A627"/>
  <c r="J1687" i="6" l="1"/>
  <c r="L1687" s="1"/>
  <c r="N1687" s="1"/>
  <c r="P1687" s="1"/>
  <c r="R1687" s="1"/>
  <c r="T1687" s="1"/>
  <c r="J1688"/>
  <c r="L1688" s="1"/>
  <c r="N1688" s="1"/>
  <c r="P1688" s="1"/>
  <c r="R1688" s="1"/>
  <c r="T1688" s="1"/>
  <c r="J1689"/>
  <c r="L1689" s="1"/>
  <c r="N1689" s="1"/>
  <c r="P1689" s="1"/>
  <c r="R1689" s="1"/>
  <c r="T1689" s="1"/>
  <c r="J625" i="5"/>
  <c r="J624" l="1"/>
  <c r="K625"/>
  <c r="M625" s="1"/>
  <c r="O625" s="1"/>
  <c r="Q625" s="1"/>
  <c r="S625" s="1"/>
  <c r="U625" s="1"/>
  <c r="J623" l="1"/>
  <c r="K624"/>
  <c r="M624" s="1"/>
  <c r="O624" s="1"/>
  <c r="Q624" s="1"/>
  <c r="S624" s="1"/>
  <c r="U624" s="1"/>
  <c r="J622" l="1"/>
  <c r="K622" s="1"/>
  <c r="M622" s="1"/>
  <c r="O622" s="1"/>
  <c r="Q622" s="1"/>
  <c r="S622" s="1"/>
  <c r="U622" s="1"/>
  <c r="K623"/>
  <c r="M623" s="1"/>
  <c r="O623" s="1"/>
  <c r="Q623" s="1"/>
  <c r="S623" s="1"/>
  <c r="U623" s="1"/>
  <c r="I1740" i="6" l="1"/>
  <c r="I1739"/>
  <c r="J1739" s="1"/>
  <c r="L1739" s="1"/>
  <c r="N1739" s="1"/>
  <c r="P1739" s="1"/>
  <c r="R1739" s="1"/>
  <c r="T1739" s="1"/>
  <c r="A1740"/>
  <c r="A1738"/>
  <c r="A1735"/>
  <c r="A1739"/>
  <c r="I1738" l="1"/>
  <c r="I1735" s="1"/>
  <c r="J1735" s="1"/>
  <c r="L1735" s="1"/>
  <c r="N1735" s="1"/>
  <c r="P1735" s="1"/>
  <c r="R1735" s="1"/>
  <c r="T1735" s="1"/>
  <c r="J1740"/>
  <c r="L1740" s="1"/>
  <c r="N1740" s="1"/>
  <c r="P1740" s="1"/>
  <c r="R1740" s="1"/>
  <c r="T1740" s="1"/>
  <c r="I1680"/>
  <c r="J1680" s="1"/>
  <c r="L1680" s="1"/>
  <c r="N1680" s="1"/>
  <c r="P1680" s="1"/>
  <c r="R1680" s="1"/>
  <c r="T1680" s="1"/>
  <c r="A1679"/>
  <c r="A1680"/>
  <c r="A1678"/>
  <c r="J1738" l="1"/>
  <c r="L1738" s="1"/>
  <c r="N1738" s="1"/>
  <c r="P1738" s="1"/>
  <c r="R1738" s="1"/>
  <c r="T1738" s="1"/>
  <c r="I1679"/>
  <c r="J1679" s="1"/>
  <c r="L1679" s="1"/>
  <c r="N1679" s="1"/>
  <c r="P1679" s="1"/>
  <c r="R1679" s="1"/>
  <c r="T1679" s="1"/>
  <c r="K1477" i="5"/>
  <c r="M1477" s="1"/>
  <c r="O1477" s="1"/>
  <c r="Q1477" s="1"/>
  <c r="S1477" s="1"/>
  <c r="U1477" s="1"/>
  <c r="K1478"/>
  <c r="M1478" s="1"/>
  <c r="O1478" s="1"/>
  <c r="Q1478" s="1"/>
  <c r="S1478" s="1"/>
  <c r="U1478" s="1"/>
  <c r="J1476"/>
  <c r="K1476" s="1"/>
  <c r="M1476" s="1"/>
  <c r="O1476" s="1"/>
  <c r="Q1476" s="1"/>
  <c r="S1476" s="1"/>
  <c r="U1476" s="1"/>
  <c r="A1478"/>
  <c r="A1473"/>
  <c r="A1477"/>
  <c r="A1476"/>
  <c r="I1678" i="6" l="1"/>
  <c r="J1678" s="1"/>
  <c r="L1678" s="1"/>
  <c r="N1678" s="1"/>
  <c r="P1678" s="1"/>
  <c r="R1678" s="1"/>
  <c r="T1678" s="1"/>
  <c r="J1473" i="5"/>
  <c r="K1466"/>
  <c r="M1466" s="1"/>
  <c r="O1466" s="1"/>
  <c r="Q1466" s="1"/>
  <c r="S1466" s="1"/>
  <c r="U1466" s="1"/>
  <c r="J1465"/>
  <c r="K1465" s="1"/>
  <c r="M1465" s="1"/>
  <c r="O1465" s="1"/>
  <c r="Q1465" s="1"/>
  <c r="S1465" s="1"/>
  <c r="U1465" s="1"/>
  <c r="A1466"/>
  <c r="A1464"/>
  <c r="A1465"/>
  <c r="J1464" l="1"/>
  <c r="K1464" s="1"/>
  <c r="M1464" s="1"/>
  <c r="O1464" s="1"/>
  <c r="Q1464" s="1"/>
  <c r="S1464" s="1"/>
  <c r="U1464" s="1"/>
  <c r="K1473"/>
  <c r="M1473" s="1"/>
  <c r="O1473" s="1"/>
  <c r="Q1473" s="1"/>
  <c r="S1473" s="1"/>
  <c r="U1473" s="1"/>
  <c r="J657"/>
  <c r="K735"/>
  <c r="M735" s="1"/>
  <c r="O735" s="1"/>
  <c r="Q735" s="1"/>
  <c r="S735" s="1"/>
  <c r="U735" s="1"/>
  <c r="K742"/>
  <c r="M742" s="1"/>
  <c r="O742" s="1"/>
  <c r="Q742" s="1"/>
  <c r="S742" s="1"/>
  <c r="U742" s="1"/>
  <c r="I130" i="6"/>
  <c r="J130" s="1"/>
  <c r="L130" s="1"/>
  <c r="N130" s="1"/>
  <c r="P130" s="1"/>
  <c r="R130" s="1"/>
  <c r="T130" s="1"/>
  <c r="A129"/>
  <c r="A130"/>
  <c r="I129" l="1"/>
  <c r="J129" s="1"/>
  <c r="L129" s="1"/>
  <c r="N129" s="1"/>
  <c r="P129" s="1"/>
  <c r="R129" s="1"/>
  <c r="T129" s="1"/>
  <c r="J656" i="5"/>
  <c r="J741"/>
  <c r="A741"/>
  <c r="A742"/>
  <c r="K741" l="1"/>
  <c r="M741" s="1"/>
  <c r="O741" s="1"/>
  <c r="Q741" s="1"/>
  <c r="S741" s="1"/>
  <c r="U741" s="1"/>
  <c r="J655"/>
  <c r="I52" i="6"/>
  <c r="J52" s="1"/>
  <c r="L52" s="1"/>
  <c r="N52" s="1"/>
  <c r="P52" s="1"/>
  <c r="R52" s="1"/>
  <c r="T52" s="1"/>
  <c r="A52"/>
  <c r="A51"/>
  <c r="I51" l="1"/>
  <c r="J51" s="1"/>
  <c r="L51" s="1"/>
  <c r="N51" s="1"/>
  <c r="P51" s="1"/>
  <c r="R51" s="1"/>
  <c r="T51" s="1"/>
  <c r="J734" i="5"/>
  <c r="K734" s="1"/>
  <c r="M734" s="1"/>
  <c r="O734" s="1"/>
  <c r="Q734" s="1"/>
  <c r="S734" s="1"/>
  <c r="U734" s="1"/>
  <c r="H738"/>
  <c r="I738" s="1"/>
  <c r="G128" i="6"/>
  <c r="G127" s="1"/>
  <c r="G126" s="1"/>
  <c r="G125" s="1"/>
  <c r="I128"/>
  <c r="F128"/>
  <c r="F127" s="1"/>
  <c r="F126" s="1"/>
  <c r="F125" s="1"/>
  <c r="A126"/>
  <c r="A127"/>
  <c r="A735" i="5"/>
  <c r="A734"/>
  <c r="A128" i="6"/>
  <c r="I127" l="1"/>
  <c r="I739" i="5"/>
  <c r="I740"/>
  <c r="K740" s="1"/>
  <c r="M740" s="1"/>
  <c r="O740" s="1"/>
  <c r="Q740" s="1"/>
  <c r="S740" s="1"/>
  <c r="U740" s="1"/>
  <c r="J739"/>
  <c r="J738" s="1"/>
  <c r="A736"/>
  <c r="A740"/>
  <c r="A739"/>
  <c r="K739" l="1"/>
  <c r="M739" s="1"/>
  <c r="O739" s="1"/>
  <c r="Q739" s="1"/>
  <c r="S739" s="1"/>
  <c r="U739" s="1"/>
  <c r="K738"/>
  <c r="M738" s="1"/>
  <c r="O738" s="1"/>
  <c r="Q738" s="1"/>
  <c r="S738" s="1"/>
  <c r="U738" s="1"/>
  <c r="I126" i="6"/>
  <c r="H128"/>
  <c r="A738" i="5"/>
  <c r="H127" i="6" l="1"/>
  <c r="J128"/>
  <c r="L128" s="1"/>
  <c r="N128" s="1"/>
  <c r="P128" s="1"/>
  <c r="R128" s="1"/>
  <c r="T128" s="1"/>
  <c r="I125"/>
  <c r="J737" i="5"/>
  <c r="H737"/>
  <c r="I737" s="1"/>
  <c r="A737"/>
  <c r="H126" i="6" l="1"/>
  <c r="J127"/>
  <c r="L127" s="1"/>
  <c r="N127" s="1"/>
  <c r="P127" s="1"/>
  <c r="R127" s="1"/>
  <c r="T127" s="1"/>
  <c r="K737" i="5"/>
  <c r="M737" s="1"/>
  <c r="O737" s="1"/>
  <c r="Q737" s="1"/>
  <c r="S737" s="1"/>
  <c r="U737" s="1"/>
  <c r="J736"/>
  <c r="H125" i="6" l="1"/>
  <c r="J125" s="1"/>
  <c r="L125" s="1"/>
  <c r="N125" s="1"/>
  <c r="P125" s="1"/>
  <c r="R125" s="1"/>
  <c r="T125" s="1"/>
  <c r="J126"/>
  <c r="L126" s="1"/>
  <c r="N126" s="1"/>
  <c r="P126" s="1"/>
  <c r="R126" s="1"/>
  <c r="T126" s="1"/>
  <c r="G23" i="1" l="1"/>
  <c r="J1750" i="5"/>
  <c r="J1749" s="1"/>
  <c r="J1747"/>
  <c r="J1746" s="1"/>
  <c r="J1744"/>
  <c r="J1738"/>
  <c r="J1737" s="1"/>
  <c r="J1736" s="1"/>
  <c r="J1735" s="1"/>
  <c r="J1732"/>
  <c r="J1731" s="1"/>
  <c r="J1729"/>
  <c r="J1700"/>
  <c r="J1699" s="1"/>
  <c r="J1698" s="1"/>
  <c r="J1697" s="1"/>
  <c r="J1696" s="1"/>
  <c r="J1674"/>
  <c r="J1673" s="1"/>
  <c r="J1672" s="1"/>
  <c r="J1662"/>
  <c r="J1661" s="1"/>
  <c r="J1660" s="1"/>
  <c r="J1658"/>
  <c r="J1657" s="1"/>
  <c r="J1656" s="1"/>
  <c r="J1654"/>
  <c r="J1653" s="1"/>
  <c r="J1652" s="1"/>
  <c r="J1647"/>
  <c r="J1646" s="1"/>
  <c r="J1644"/>
  <c r="J1643" s="1"/>
  <c r="J1640"/>
  <c r="J1639" s="1"/>
  <c r="J1638" s="1"/>
  <c r="J1634"/>
  <c r="J1633" s="1"/>
  <c r="J1632" s="1"/>
  <c r="J1631" s="1"/>
  <c r="J1630" s="1"/>
  <c r="J1627"/>
  <c r="J1626" s="1"/>
  <c r="J1625" s="1"/>
  <c r="J1624" s="1"/>
  <c r="J1623" s="1"/>
  <c r="J1622" s="1"/>
  <c r="J1616"/>
  <c r="J1615" s="1"/>
  <c r="J1614" s="1"/>
  <c r="J1613" s="1"/>
  <c r="J1612" s="1"/>
  <c r="J1611" s="1"/>
  <c r="J1602"/>
  <c r="J1601" s="1"/>
  <c r="J1599"/>
  <c r="J1598" s="1"/>
  <c r="J1596"/>
  <c r="J1595" s="1"/>
  <c r="J1593"/>
  <c r="J1582"/>
  <c r="J1581" s="1"/>
  <c r="J1579"/>
  <c r="J1578" s="1"/>
  <c r="J1576"/>
  <c r="J1563"/>
  <c r="J1562" s="1"/>
  <c r="J1561" s="1"/>
  <c r="J1560" s="1"/>
  <c r="J1558"/>
  <c r="J1557" s="1"/>
  <c r="J1556" s="1"/>
  <c r="J1555" s="1"/>
  <c r="J1529"/>
  <c r="J1528" s="1"/>
  <c r="J1527" s="1"/>
  <c r="J1526" s="1"/>
  <c r="J1525" s="1"/>
  <c r="J1524" s="1"/>
  <c r="J1522"/>
  <c r="J1521" s="1"/>
  <c r="J1520" s="1"/>
  <c r="J1519" s="1"/>
  <c r="J1517"/>
  <c r="J1516" s="1"/>
  <c r="J1515" s="1"/>
  <c r="J1514" s="1"/>
  <c r="J1506"/>
  <c r="J1505" s="1"/>
  <c r="J1504" s="1"/>
  <c r="J1503" s="1"/>
  <c r="J1501"/>
  <c r="J1500" s="1"/>
  <c r="J1499" s="1"/>
  <c r="J1497"/>
  <c r="J1496" s="1"/>
  <c r="J1495" s="1"/>
  <c r="J1489"/>
  <c r="J1488" s="1"/>
  <c r="J1486"/>
  <c r="J1483"/>
  <c r="J1482" s="1"/>
  <c r="J1480"/>
  <c r="J1471"/>
  <c r="J1468"/>
  <c r="J1462"/>
  <c r="J1461" s="1"/>
  <c r="J1459"/>
  <c r="J1458" s="1"/>
  <c r="J1456"/>
  <c r="J1444"/>
  <c r="J1443" s="1"/>
  <c r="J1439" s="1"/>
  <c r="J1434"/>
  <c r="J1431"/>
  <c r="J1427"/>
  <c r="J1426" s="1"/>
  <c r="J1425" s="1"/>
  <c r="J1419"/>
  <c r="J1418" s="1"/>
  <c r="J1417" s="1"/>
  <c r="J1412"/>
  <c r="J1411" s="1"/>
  <c r="J1407" s="1"/>
  <c r="J1405"/>
  <c r="J1404" s="1"/>
  <c r="J1400" s="1"/>
  <c r="J1397"/>
  <c r="J1396" s="1"/>
  <c r="J1392" s="1"/>
  <c r="J1376"/>
  <c r="J1375" s="1"/>
  <c r="J1371" s="1"/>
  <c r="J1370" s="1"/>
  <c r="J1368"/>
  <c r="J1367" s="1"/>
  <c r="J1363" s="1"/>
  <c r="J1362" s="1"/>
  <c r="J1360"/>
  <c r="J1359" s="1"/>
  <c r="J1355" s="1"/>
  <c r="J1354" s="1"/>
  <c r="J1352"/>
  <c r="J1351" s="1"/>
  <c r="J1347" s="1"/>
  <c r="J1346" s="1"/>
  <c r="J1342"/>
  <c r="J1341" s="1"/>
  <c r="J1340" s="1"/>
  <c r="J1339" s="1"/>
  <c r="J1338" s="1"/>
  <c r="J1334"/>
  <c r="J1333" s="1"/>
  <c r="J1332" s="1"/>
  <c r="J1327" s="1"/>
  <c r="J1326" s="1"/>
  <c r="G55" i="1" s="1"/>
  <c r="J1323" i="5"/>
  <c r="J1322" s="1"/>
  <c r="J1321" s="1"/>
  <c r="J1319"/>
  <c r="J1318" s="1"/>
  <c r="J1317" s="1"/>
  <c r="J1313"/>
  <c r="J1312" s="1"/>
  <c r="J1311" s="1"/>
  <c r="J1309"/>
  <c r="J1308" s="1"/>
  <c r="J1307" s="1"/>
  <c r="J1294"/>
  <c r="J1293" s="1"/>
  <c r="J1291"/>
  <c r="J1285"/>
  <c r="J1284" s="1"/>
  <c r="J1283" s="1"/>
  <c r="J1282" s="1"/>
  <c r="J1274"/>
  <c r="J1273" s="1"/>
  <c r="J1272" s="1"/>
  <c r="J1271" s="1"/>
  <c r="J1262"/>
  <c r="J1258"/>
  <c r="J1256"/>
  <c r="J1253"/>
  <c r="J1252" s="1"/>
  <c r="J1249"/>
  <c r="J1247"/>
  <c r="J1243"/>
  <c r="J1242" s="1"/>
  <c r="J1241" s="1"/>
  <c r="J1236"/>
  <c r="J1234"/>
  <c r="J1230"/>
  <c r="J1228"/>
  <c r="J1222"/>
  <c r="J1220"/>
  <c r="J1208"/>
  <c r="J1206"/>
  <c r="J1194"/>
  <c r="J1193" s="1"/>
  <c r="J1191"/>
  <c r="J1190" s="1"/>
  <c r="J1188"/>
  <c r="J1177"/>
  <c r="J1175"/>
  <c r="J1159"/>
  <c r="J1157"/>
  <c r="J1153"/>
  <c r="J1152" s="1"/>
  <c r="J1151" s="1"/>
  <c r="J1147"/>
  <c r="J1146" s="1"/>
  <c r="J1145" s="1"/>
  <c r="J1143"/>
  <c r="J1142" s="1"/>
  <c r="J1141" s="1"/>
  <c r="J1139"/>
  <c r="J1138" s="1"/>
  <c r="J1135"/>
  <c r="J1134" s="1"/>
  <c r="J1133" s="1"/>
  <c r="J1130"/>
  <c r="J1129" s="1"/>
  <c r="J1128" s="1"/>
  <c r="J1127" s="1"/>
  <c r="J1125"/>
  <c r="J1124" s="1"/>
  <c r="J1123" s="1"/>
  <c r="J1121"/>
  <c r="J1120" s="1"/>
  <c r="J1119" s="1"/>
  <c r="J1117"/>
  <c r="J1116" s="1"/>
  <c r="J1115" s="1"/>
  <c r="J1112"/>
  <c r="J1110"/>
  <c r="J1106"/>
  <c r="J1105" s="1"/>
  <c r="J1104" s="1"/>
  <c r="J1101"/>
  <c r="J1100" s="1"/>
  <c r="J1099" s="1"/>
  <c r="J1097"/>
  <c r="J1096" s="1"/>
  <c r="J1095" s="1"/>
  <c r="J1092"/>
  <c r="J1091" s="1"/>
  <c r="J1090" s="1"/>
  <c r="J1088"/>
  <c r="J1087" s="1"/>
  <c r="J1086" s="1"/>
  <c r="J1079"/>
  <c r="J1078" s="1"/>
  <c r="J1077" s="1"/>
  <c r="J1075"/>
  <c r="J1074" s="1"/>
  <c r="J1073" s="1"/>
  <c r="J1070"/>
  <c r="J1069" s="1"/>
  <c r="J1068" s="1"/>
  <c r="J1067" s="1"/>
  <c r="J1057"/>
  <c r="J1056" s="1"/>
  <c r="J1055" s="1"/>
  <c r="J1054" s="1"/>
  <c r="J1052"/>
  <c r="J1051" s="1"/>
  <c r="J1050" s="1"/>
  <c r="J1049" s="1"/>
  <c r="J1043"/>
  <c r="J1041"/>
  <c r="J1032"/>
  <c r="J1031" s="1"/>
  <c r="J1030" s="1"/>
  <c r="J1028"/>
  <c r="J1027" s="1"/>
  <c r="J1026" s="1"/>
  <c r="J1019"/>
  <c r="J1018" s="1"/>
  <c r="J1017" s="1"/>
  <c r="J1015"/>
  <c r="J1014" s="1"/>
  <c r="J1013" s="1"/>
  <c r="J1011"/>
  <c r="J1010" s="1"/>
  <c r="J1009" s="1"/>
  <c r="J1007"/>
  <c r="J1006" s="1"/>
  <c r="J1005" s="1"/>
  <c r="J998"/>
  <c r="J997" s="1"/>
  <c r="J996" s="1"/>
  <c r="J994"/>
  <c r="J993" s="1"/>
  <c r="J992" s="1"/>
  <c r="J990"/>
  <c r="J989" s="1"/>
  <c r="J988" s="1"/>
  <c r="J981"/>
  <c r="J980" s="1"/>
  <c r="J976" s="1"/>
  <c r="J975" s="1"/>
  <c r="J970"/>
  <c r="J969" s="1"/>
  <c r="J968" s="1"/>
  <c r="J966"/>
  <c r="J965" s="1"/>
  <c r="J964" s="1"/>
  <c r="J951"/>
  <c r="J950" s="1"/>
  <c r="J949" s="1"/>
  <c r="J948" s="1"/>
  <c r="J947" s="1"/>
  <c r="J934"/>
  <c r="J933" s="1"/>
  <c r="J932" s="1"/>
  <c r="J927" s="1"/>
  <c r="J926" s="1"/>
  <c r="J925" s="1"/>
  <c r="J922"/>
  <c r="J921" s="1"/>
  <c r="J919"/>
  <c r="J912"/>
  <c r="J911" s="1"/>
  <c r="J910" s="1"/>
  <c r="J909" s="1"/>
  <c r="J908" s="1"/>
  <c r="J907" s="1"/>
  <c r="J906" s="1"/>
  <c r="J904"/>
  <c r="J896"/>
  <c r="J895" s="1"/>
  <c r="J894" s="1"/>
  <c r="J893" s="1"/>
  <c r="J892" s="1"/>
  <c r="J891" s="1"/>
  <c r="J890" s="1"/>
  <c r="J888"/>
  <c r="J887" s="1"/>
  <c r="J886" s="1"/>
  <c r="J885" s="1"/>
  <c r="J884" s="1"/>
  <c r="J883" s="1"/>
  <c r="G25" i="1" s="1"/>
  <c r="J881" i="5"/>
  <c r="J880" s="1"/>
  <c r="J878"/>
  <c r="J877" s="1"/>
  <c r="J875"/>
  <c r="J874" s="1"/>
  <c r="J872"/>
  <c r="J863"/>
  <c r="J862" s="1"/>
  <c r="J858" s="1"/>
  <c r="J857" s="1"/>
  <c r="J855"/>
  <c r="J854" s="1"/>
  <c r="J853" s="1"/>
  <c r="J852" s="1"/>
  <c r="J851" s="1"/>
  <c r="J849"/>
  <c r="J848" s="1"/>
  <c r="J847" s="1"/>
  <c r="J846" s="1"/>
  <c r="J841"/>
  <c r="J840" s="1"/>
  <c r="J839" s="1"/>
  <c r="J838" s="1"/>
  <c r="J836"/>
  <c r="J835" s="1"/>
  <c r="J834" s="1"/>
  <c r="J833" s="1"/>
  <c r="J832" s="1"/>
  <c r="J830"/>
  <c r="J829" s="1"/>
  <c r="J828" s="1"/>
  <c r="J827" s="1"/>
  <c r="J822"/>
  <c r="J821" s="1"/>
  <c r="J819"/>
  <c r="J812"/>
  <c r="J809"/>
  <c r="J808" s="1"/>
  <c r="J807" s="1"/>
  <c r="J803"/>
  <c r="J802" s="1"/>
  <c r="J801" s="1"/>
  <c r="J800" s="1"/>
  <c r="J799" s="1"/>
  <c r="J797"/>
  <c r="J796" s="1"/>
  <c r="J793"/>
  <c r="J792" s="1"/>
  <c r="J790"/>
  <c r="J789" s="1"/>
  <c r="J780"/>
  <c r="J778"/>
  <c r="J775"/>
  <c r="J774" s="1"/>
  <c r="J770"/>
  <c r="J769" s="1"/>
  <c r="J768" s="1"/>
  <c r="J766"/>
  <c r="J765" s="1"/>
  <c r="J764" s="1"/>
  <c r="J761"/>
  <c r="J759"/>
  <c r="J756"/>
  <c r="J755" s="1"/>
  <c r="J752"/>
  <c r="J750"/>
  <c r="I195" i="6" s="1"/>
  <c r="J746" i="5"/>
  <c r="J745" s="1"/>
  <c r="J732"/>
  <c r="J731" s="1"/>
  <c r="J730" s="1"/>
  <c r="J728"/>
  <c r="J727" s="1"/>
  <c r="J726" s="1"/>
  <c r="J721"/>
  <c r="J720" s="1"/>
  <c r="J719" s="1"/>
  <c r="J717"/>
  <c r="J716" s="1"/>
  <c r="J715" s="1"/>
  <c r="J706"/>
  <c r="J705" s="1"/>
  <c r="J704" s="1"/>
  <c r="J703" s="1"/>
  <c r="J698" s="1"/>
  <c r="J697" s="1"/>
  <c r="J689"/>
  <c r="J688" s="1"/>
  <c r="J686"/>
  <c r="J685" s="1"/>
  <c r="J680"/>
  <c r="J679" s="1"/>
  <c r="J678" s="1"/>
  <c r="J677" s="1"/>
  <c r="J674"/>
  <c r="J673" s="1"/>
  <c r="J672" s="1"/>
  <c r="J671" s="1"/>
  <c r="J668"/>
  <c r="J667" s="1"/>
  <c r="J666" s="1"/>
  <c r="J664"/>
  <c r="J663" s="1"/>
  <c r="J662" s="1"/>
  <c r="J652"/>
  <c r="J649"/>
  <c r="J644"/>
  <c r="J643" s="1"/>
  <c r="J641"/>
  <c r="J640" s="1"/>
  <c r="J639" s="1"/>
  <c r="J637"/>
  <c r="J635"/>
  <c r="J620"/>
  <c r="J619" s="1"/>
  <c r="J618" s="1"/>
  <c r="J617" s="1"/>
  <c r="J614"/>
  <c r="J613" s="1"/>
  <c r="J612" s="1"/>
  <c r="J611" s="1"/>
  <c r="J601"/>
  <c r="J599"/>
  <c r="J595"/>
  <c r="J593"/>
  <c r="J571"/>
  <c r="J570" s="1"/>
  <c r="J568"/>
  <c r="J567" s="1"/>
  <c r="J565"/>
  <c r="J559"/>
  <c r="J558" s="1"/>
  <c r="J557" s="1"/>
  <c r="J555"/>
  <c r="J554" s="1"/>
  <c r="J553" s="1"/>
  <c r="J547"/>
  <c r="J546" s="1"/>
  <c r="J545" s="1"/>
  <c r="J544" s="1"/>
  <c r="J543" s="1"/>
  <c r="J542" s="1"/>
  <c r="J540"/>
  <c r="J539" s="1"/>
  <c r="J538" s="1"/>
  <c r="J537" s="1"/>
  <c r="J536" s="1"/>
  <c r="J535" s="1"/>
  <c r="J534" s="1"/>
  <c r="J532"/>
  <c r="J531" s="1"/>
  <c r="J530" s="1"/>
  <c r="J529" s="1"/>
  <c r="J528" s="1"/>
  <c r="J526"/>
  <c r="J525" s="1"/>
  <c r="J523"/>
  <c r="J522" s="1"/>
  <c r="J520"/>
  <c r="J513"/>
  <c r="J512" s="1"/>
  <c r="J511" s="1"/>
  <c r="J510" s="1"/>
  <c r="J508"/>
  <c r="J506"/>
  <c r="J505" s="1"/>
  <c r="J495"/>
  <c r="J494" s="1"/>
  <c r="J493" s="1"/>
  <c r="J491"/>
  <c r="J490" s="1"/>
  <c r="J489" s="1"/>
  <c r="J485"/>
  <c r="J484" s="1"/>
  <c r="J483" s="1"/>
  <c r="J482" s="1"/>
  <c r="J481" s="1"/>
  <c r="J477"/>
  <c r="J476" s="1"/>
  <c r="J475" s="1"/>
  <c r="J474" s="1"/>
  <c r="J473" s="1"/>
  <c r="J470"/>
  <c r="J467"/>
  <c r="J466" s="1"/>
  <c r="J465" s="1"/>
  <c r="J464" s="1"/>
  <c r="J461"/>
  <c r="J460" s="1"/>
  <c r="J459" s="1"/>
  <c r="J458" s="1"/>
  <c r="J456"/>
  <c r="J455" s="1"/>
  <c r="J454" s="1"/>
  <c r="J452"/>
  <c r="J451" s="1"/>
  <c r="J448"/>
  <c r="J447" s="1"/>
  <c r="J445"/>
  <c r="J430"/>
  <c r="J429" s="1"/>
  <c r="J428" s="1"/>
  <c r="J427" s="1"/>
  <c r="J426" s="1"/>
  <c r="J423"/>
  <c r="J422" s="1"/>
  <c r="J421" s="1"/>
  <c r="J420" s="1"/>
  <c r="J419" s="1"/>
  <c r="J418" s="1"/>
  <c r="J417" s="1"/>
  <c r="J414"/>
  <c r="J413" s="1"/>
  <c r="J411"/>
  <c r="J410" s="1"/>
  <c r="J401"/>
  <c r="J392"/>
  <c r="J391" s="1"/>
  <c r="J390" s="1"/>
  <c r="J379" s="1"/>
  <c r="J369"/>
  <c r="J368" s="1"/>
  <c r="J367" s="1"/>
  <c r="J366" s="1"/>
  <c r="J364"/>
  <c r="J363" s="1"/>
  <c r="J362" s="1"/>
  <c r="J361" s="1"/>
  <c r="J351"/>
  <c r="J350" s="1"/>
  <c r="J349" s="1"/>
  <c r="J348" s="1"/>
  <c r="J346"/>
  <c r="J345" s="1"/>
  <c r="J344" s="1"/>
  <c r="J338"/>
  <c r="J337" s="1"/>
  <c r="J336" s="1"/>
  <c r="J335" s="1"/>
  <c r="J334" s="1"/>
  <c r="G54" i="1" s="1"/>
  <c r="J321" i="5"/>
  <c r="J320" s="1"/>
  <c r="J319" s="1"/>
  <c r="J317"/>
  <c r="J316" s="1"/>
  <c r="J315" s="1"/>
  <c r="J312"/>
  <c r="J311" s="1"/>
  <c r="J310" s="1"/>
  <c r="J308"/>
  <c r="J307" s="1"/>
  <c r="J306" s="1"/>
  <c r="J301"/>
  <c r="J300" s="1"/>
  <c r="J299" s="1"/>
  <c r="J298" s="1"/>
  <c r="J296"/>
  <c r="J295" s="1"/>
  <c r="J293"/>
  <c r="J292" s="1"/>
  <c r="J290"/>
  <c r="J289" s="1"/>
  <c r="J283"/>
  <c r="J282" s="1"/>
  <c r="J280"/>
  <c r="J279" s="1"/>
  <c r="J275"/>
  <c r="J274" s="1"/>
  <c r="J273" s="1"/>
  <c r="J271"/>
  <c r="J270" s="1"/>
  <c r="J269" s="1"/>
  <c r="J265"/>
  <c r="J264" s="1"/>
  <c r="J263" s="1"/>
  <c r="J262" s="1"/>
  <c r="J260"/>
  <c r="J259" s="1"/>
  <c r="J258" s="1"/>
  <c r="J257" s="1"/>
  <c r="J253"/>
  <c r="J252" s="1"/>
  <c r="J251" s="1"/>
  <c r="J249"/>
  <c r="J248" s="1"/>
  <c r="J247" s="1"/>
  <c r="J238"/>
  <c r="J237" s="1"/>
  <c r="J236" s="1"/>
  <c r="J235" s="1"/>
  <c r="J234" s="1"/>
  <c r="G30" i="1" s="1"/>
  <c r="J231" i="5"/>
  <c r="J230" s="1"/>
  <c r="J228"/>
  <c r="J227" s="1"/>
  <c r="J225"/>
  <c r="J213"/>
  <c r="J212" s="1"/>
  <c r="J210"/>
  <c r="J207"/>
  <c r="J206" s="1"/>
  <c r="J204"/>
  <c r="J203" s="1"/>
  <c r="J202" s="1"/>
  <c r="J197"/>
  <c r="J196" s="1"/>
  <c r="J194"/>
  <c r="J190"/>
  <c r="J189" s="1"/>
  <c r="J188" s="1"/>
  <c r="J187" s="1"/>
  <c r="J184"/>
  <c r="J183" s="1"/>
  <c r="J182" s="1"/>
  <c r="J180"/>
  <c r="J179" s="1"/>
  <c r="J178" s="1"/>
  <c r="J169"/>
  <c r="J168" s="1"/>
  <c r="J167" s="1"/>
  <c r="J166" s="1"/>
  <c r="J165" s="1"/>
  <c r="J164" s="1"/>
  <c r="J162"/>
  <c r="J161" s="1"/>
  <c r="J160" s="1"/>
  <c r="J159" s="1"/>
  <c r="J158" s="1"/>
  <c r="J156"/>
  <c r="J155" s="1"/>
  <c r="J154" s="1"/>
  <c r="J152"/>
  <c r="J151" s="1"/>
  <c r="J150" s="1"/>
  <c r="J148"/>
  <c r="J147" s="1"/>
  <c r="J146" s="1"/>
  <c r="J144"/>
  <c r="J143" s="1"/>
  <c r="J142" s="1"/>
  <c r="J134"/>
  <c r="J133" s="1"/>
  <c r="J132" s="1"/>
  <c r="J131" s="1"/>
  <c r="J129"/>
  <c r="J128" s="1"/>
  <c r="J127" s="1"/>
  <c r="J126" s="1"/>
  <c r="J123"/>
  <c r="J122" s="1"/>
  <c r="J120"/>
  <c r="J119" s="1"/>
  <c r="J117"/>
  <c r="J107"/>
  <c r="J106" s="1"/>
  <c r="J105" s="1"/>
  <c r="J103"/>
  <c r="J100" s="1"/>
  <c r="J98"/>
  <c r="J97" s="1"/>
  <c r="J93"/>
  <c r="J92" s="1"/>
  <c r="J91" s="1"/>
  <c r="J90" s="1"/>
  <c r="J88"/>
  <c r="J87" s="1"/>
  <c r="J85"/>
  <c r="J75"/>
  <c r="J74" s="1"/>
  <c r="J63"/>
  <c r="J62" s="1"/>
  <c r="J54"/>
  <c r="J53" s="1"/>
  <c r="J52" s="1"/>
  <c r="J49"/>
  <c r="J47"/>
  <c r="J46" s="1"/>
  <c r="J44"/>
  <c r="J41"/>
  <c r="J40" s="1"/>
  <c r="J38"/>
  <c r="J37" s="1"/>
  <c r="J35"/>
  <c r="J28"/>
  <c r="J27" s="1"/>
  <c r="J26" s="1"/>
  <c r="J25" s="1"/>
  <c r="J24" s="1"/>
  <c r="J23" s="1"/>
  <c r="G20" i="1" s="1"/>
  <c r="I1822" i="6"/>
  <c r="I1821" s="1"/>
  <c r="I1820" s="1"/>
  <c r="I1819" s="1"/>
  <c r="I1818" s="1"/>
  <c r="I1817"/>
  <c r="I1816" s="1"/>
  <c r="I1815" s="1"/>
  <c r="I1814" s="1"/>
  <c r="I1813" s="1"/>
  <c r="I1812" s="1"/>
  <c r="I1805"/>
  <c r="I1804" s="1"/>
  <c r="I1803" s="1"/>
  <c r="I1802" s="1"/>
  <c r="I1801" s="1"/>
  <c r="I1800"/>
  <c r="I1799" s="1"/>
  <c r="I1798" s="1"/>
  <c r="I1797" s="1"/>
  <c r="I1796" s="1"/>
  <c r="I1795"/>
  <c r="I1794" s="1"/>
  <c r="I1793" s="1"/>
  <c r="I1792" s="1"/>
  <c r="I1791" s="1"/>
  <c r="I1790"/>
  <c r="I1789" s="1"/>
  <c r="I1788" s="1"/>
  <c r="I1787"/>
  <c r="I1786" s="1"/>
  <c r="I1782"/>
  <c r="I1781" s="1"/>
  <c r="I1780" s="1"/>
  <c r="I1779"/>
  <c r="I1778" s="1"/>
  <c r="I1767"/>
  <c r="I1766" s="1"/>
  <c r="I1764" s="1"/>
  <c r="I1763" s="1"/>
  <c r="I1762" s="1"/>
  <c r="I1761"/>
  <c r="I1760" s="1"/>
  <c r="I1759" s="1"/>
  <c r="I1758" s="1"/>
  <c r="I1757" s="1"/>
  <c r="I1756"/>
  <c r="I1755" s="1"/>
  <c r="I1754" s="1"/>
  <c r="I1753"/>
  <c r="I1752" s="1"/>
  <c r="I1748"/>
  <c r="I1747" s="1"/>
  <c r="I1746" s="1"/>
  <c r="I1745"/>
  <c r="I1744" s="1"/>
  <c r="I1734"/>
  <c r="I1733" s="1"/>
  <c r="I1732" s="1"/>
  <c r="I1731"/>
  <c r="I1730" s="1"/>
  <c r="I1726"/>
  <c r="I1725" s="1"/>
  <c r="I1724" s="1"/>
  <c r="I1723"/>
  <c r="I1722" s="1"/>
  <c r="I1677"/>
  <c r="I1667"/>
  <c r="I1666" s="1"/>
  <c r="I1665" s="1"/>
  <c r="I1664" s="1"/>
  <c r="I1663" s="1"/>
  <c r="I1662" s="1"/>
  <c r="I1686"/>
  <c r="I1685" s="1"/>
  <c r="I1684" s="1"/>
  <c r="I1683" s="1"/>
  <c r="I1682" s="1"/>
  <c r="I1681" s="1"/>
  <c r="I1655"/>
  <c r="I1654" s="1"/>
  <c r="I1653" s="1"/>
  <c r="I1652" s="1"/>
  <c r="I1651" s="1"/>
  <c r="I1650" s="1"/>
  <c r="I1637"/>
  <c r="I1636" s="1"/>
  <c r="I1635" s="1"/>
  <c r="I1634" s="1"/>
  <c r="I1633" s="1"/>
  <c r="I1632" s="1"/>
  <c r="I1631" s="1"/>
  <c r="I1630"/>
  <c r="I1629" s="1"/>
  <c r="I1628" s="1"/>
  <c r="I1627" s="1"/>
  <c r="I1626" s="1"/>
  <c r="I1625"/>
  <c r="I1624" s="1"/>
  <c r="I1623" s="1"/>
  <c r="I1622" s="1"/>
  <c r="I1621" s="1"/>
  <c r="I1620"/>
  <c r="I1619" s="1"/>
  <c r="I1618" s="1"/>
  <c r="I1617"/>
  <c r="I1616" s="1"/>
  <c r="I1613"/>
  <c r="I1612" s="1"/>
  <c r="I1611" s="1"/>
  <c r="I1610"/>
  <c r="I1609" s="1"/>
  <c r="I1606"/>
  <c r="I1605" s="1"/>
  <c r="I1604" s="1"/>
  <c r="I1603"/>
  <c r="I1602" s="1"/>
  <c r="I1601" s="1"/>
  <c r="I1600"/>
  <c r="I1599" s="1"/>
  <c r="I1596"/>
  <c r="I1595" s="1"/>
  <c r="I1594" s="1"/>
  <c r="I1593"/>
  <c r="I1592" s="1"/>
  <c r="I1589"/>
  <c r="I1588" s="1"/>
  <c r="I1587" s="1"/>
  <c r="I1586"/>
  <c r="I1585" s="1"/>
  <c r="I1584" s="1"/>
  <c r="I1583"/>
  <c r="I1582" s="1"/>
  <c r="I1579"/>
  <c r="I1578" s="1"/>
  <c r="I1577" s="1"/>
  <c r="I1576"/>
  <c r="I1575" s="1"/>
  <c r="I1574" s="1"/>
  <c r="I1573"/>
  <c r="I1572" s="1"/>
  <c r="I1569"/>
  <c r="I1567" s="1"/>
  <c r="I1566" s="1"/>
  <c r="I1565"/>
  <c r="I1564" s="1"/>
  <c r="I1563" s="1"/>
  <c r="I1562"/>
  <c r="I1561" s="1"/>
  <c r="I1557"/>
  <c r="I1556" s="1"/>
  <c r="I1554"/>
  <c r="I1553" s="1"/>
  <c r="I1551"/>
  <c r="I1549"/>
  <c r="I1548" s="1"/>
  <c r="I1547" s="1"/>
  <c r="I1546"/>
  <c r="I1545" s="1"/>
  <c r="I1544" s="1"/>
  <c r="I1543"/>
  <c r="I1542" s="1"/>
  <c r="I1540"/>
  <c r="I1538" s="1"/>
  <c r="I1537" s="1"/>
  <c r="I1536"/>
  <c r="I1535" s="1"/>
  <c r="I1534" s="1"/>
  <c r="I1533"/>
  <c r="I1532" s="1"/>
  <c r="I1528"/>
  <c r="I1527" s="1"/>
  <c r="I1526" s="1"/>
  <c r="I1525" s="1"/>
  <c r="I1524" s="1"/>
  <c r="I1513"/>
  <c r="I1512" s="1"/>
  <c r="I1511" s="1"/>
  <c r="I1510" s="1"/>
  <c r="I1509" s="1"/>
  <c r="I1508" s="1"/>
  <c r="I1507" s="1"/>
  <c r="I1506"/>
  <c r="I1505" s="1"/>
  <c r="I1504" s="1"/>
  <c r="I1503" s="1"/>
  <c r="I1502" s="1"/>
  <c r="I1501" s="1"/>
  <c r="I1500"/>
  <c r="I1499" s="1"/>
  <c r="I1498" s="1"/>
  <c r="I1497" s="1"/>
  <c r="I1496"/>
  <c r="I1495" s="1"/>
  <c r="I1494" s="1"/>
  <c r="I1493"/>
  <c r="I1492" s="1"/>
  <c r="I1491" s="1"/>
  <c r="I1490"/>
  <c r="I1489" s="1"/>
  <c r="I1486"/>
  <c r="I1485" s="1"/>
  <c r="I1484" s="1"/>
  <c r="I1483" s="1"/>
  <c r="I1482" s="1"/>
  <c r="I1480"/>
  <c r="I1479" s="1"/>
  <c r="I1478" s="1"/>
  <c r="I1477" s="1"/>
  <c r="I1476" s="1"/>
  <c r="I1475" s="1"/>
  <c r="I1472"/>
  <c r="I1471" s="1"/>
  <c r="I1470" s="1"/>
  <c r="I1469" s="1"/>
  <c r="I1468" s="1"/>
  <c r="I1467" s="1"/>
  <c r="I1466"/>
  <c r="I1465"/>
  <c r="I1462"/>
  <c r="I1461" s="1"/>
  <c r="I1460" s="1"/>
  <c r="I1459"/>
  <c r="I1458" s="1"/>
  <c r="I1454"/>
  <c r="I1453" s="1"/>
  <c r="I1452" s="1"/>
  <c r="I1451" s="1"/>
  <c r="I1450" s="1"/>
  <c r="I1449" s="1"/>
  <c r="I1448"/>
  <c r="I1447" s="1"/>
  <c r="I1446" s="1"/>
  <c r="I1445" s="1"/>
  <c r="I1444" s="1"/>
  <c r="I1443" s="1"/>
  <c r="I1442"/>
  <c r="I1441" s="1"/>
  <c r="I1440" s="1"/>
  <c r="I1439" s="1"/>
  <c r="I1438" s="1"/>
  <c r="I1437"/>
  <c r="I1436" s="1"/>
  <c r="I1435" s="1"/>
  <c r="I1434" s="1"/>
  <c r="I1433" s="1"/>
  <c r="I1431"/>
  <c r="I1430" s="1"/>
  <c r="I1429" s="1"/>
  <c r="I1428" s="1"/>
  <c r="I1427" s="1"/>
  <c r="I1426" s="1"/>
  <c r="I1418"/>
  <c r="I1417"/>
  <c r="I1411"/>
  <c r="I1410" s="1"/>
  <c r="I1409" s="1"/>
  <c r="I1408" s="1"/>
  <c r="I1407" s="1"/>
  <c r="I1406" s="1"/>
  <c r="I1404"/>
  <c r="I1401" s="1"/>
  <c r="I1400" s="1"/>
  <c r="I1399" s="1"/>
  <c r="I1398" s="1"/>
  <c r="I1397"/>
  <c r="I1396" s="1"/>
  <c r="I1395" s="1"/>
  <c r="I1394" s="1"/>
  <c r="I1393" s="1"/>
  <c r="I1392" s="1"/>
  <c r="I1390"/>
  <c r="I1389"/>
  <c r="I1386"/>
  <c r="I1385" s="1"/>
  <c r="I1384" s="1"/>
  <c r="I1383"/>
  <c r="I1382" s="1"/>
  <c r="I1378"/>
  <c r="I1377" s="1"/>
  <c r="I1376" s="1"/>
  <c r="I1375" s="1"/>
  <c r="I1374" s="1"/>
  <c r="I1373" s="1"/>
  <c r="I1370"/>
  <c r="I1369"/>
  <c r="I1363"/>
  <c r="I1362" s="1"/>
  <c r="I1361" s="1"/>
  <c r="I1360"/>
  <c r="I1359" s="1"/>
  <c r="I1355"/>
  <c r="I1354" s="1"/>
  <c r="I1353" s="1"/>
  <c r="I1352" s="1"/>
  <c r="I1351" s="1"/>
  <c r="I1350"/>
  <c r="I1349" s="1"/>
  <c r="I1348" s="1"/>
  <c r="I1347" s="1"/>
  <c r="I1346" s="1"/>
  <c r="I1345" s="1"/>
  <c r="I1341"/>
  <c r="I1340" s="1"/>
  <c r="I1339" s="1"/>
  <c r="I1338"/>
  <c r="I1337" s="1"/>
  <c r="I1332"/>
  <c r="I1331" s="1"/>
  <c r="I1330"/>
  <c r="I1329" s="1"/>
  <c r="I1306"/>
  <c r="I1305" s="1"/>
  <c r="I1304"/>
  <c r="I1303" s="1"/>
  <c r="I1299"/>
  <c r="I1298" s="1"/>
  <c r="I1297"/>
  <c r="I1296" s="1"/>
  <c r="I1286"/>
  <c r="I1285" s="1"/>
  <c r="I1284" s="1"/>
  <c r="I1283" s="1"/>
  <c r="I1282" s="1"/>
  <c r="I1281"/>
  <c r="I1280" s="1"/>
  <c r="I1279"/>
  <c r="I1278" s="1"/>
  <c r="I1276"/>
  <c r="I1275" s="1"/>
  <c r="I1274" s="1"/>
  <c r="I1271"/>
  <c r="I1270" s="1"/>
  <c r="I1269" s="1"/>
  <c r="I1268" s="1"/>
  <c r="I1267" s="1"/>
  <c r="I1245"/>
  <c r="I1244"/>
  <c r="I1241"/>
  <c r="I1240" s="1"/>
  <c r="I1239" s="1"/>
  <c r="I1238"/>
  <c r="I1237" s="1"/>
  <c r="I1228"/>
  <c r="I1227" s="1"/>
  <c r="I1226" s="1"/>
  <c r="I1225" s="1"/>
  <c r="I1224"/>
  <c r="I1223" s="1"/>
  <c r="I1222" s="1"/>
  <c r="I1221" s="1"/>
  <c r="I1209"/>
  <c r="I1208" s="1"/>
  <c r="I1207" s="1"/>
  <c r="I1206" s="1"/>
  <c r="I1205" s="1"/>
  <c r="I1161"/>
  <c r="I1160" s="1"/>
  <c r="I1159" s="1"/>
  <c r="I1158" s="1"/>
  <c r="I1157" s="1"/>
  <c r="I1156" s="1"/>
  <c r="I1155"/>
  <c r="I1154" s="1"/>
  <c r="I1153" s="1"/>
  <c r="I1152" s="1"/>
  <c r="I1151" s="1"/>
  <c r="I1150" s="1"/>
  <c r="I1149"/>
  <c r="I1148" s="1"/>
  <c r="I1147" s="1"/>
  <c r="I1146" s="1"/>
  <c r="I1145" s="1"/>
  <c r="I1144" s="1"/>
  <c r="I1143"/>
  <c r="I1142" s="1"/>
  <c r="I1141" s="1"/>
  <c r="I1140" s="1"/>
  <c r="I1139" s="1"/>
  <c r="I1133"/>
  <c r="I1132" s="1"/>
  <c r="I1131" s="1"/>
  <c r="I1130" s="1"/>
  <c r="I1129" s="1"/>
  <c r="I1128"/>
  <c r="I1127" s="1"/>
  <c r="I1126" s="1"/>
  <c r="I1125" s="1"/>
  <c r="I1124" s="1"/>
  <c r="I1115"/>
  <c r="I1114" s="1"/>
  <c r="I1113" s="1"/>
  <c r="I1112" s="1"/>
  <c r="I1111" s="1"/>
  <c r="I1107"/>
  <c r="I1106" s="1"/>
  <c r="I1105" s="1"/>
  <c r="I1104" s="1"/>
  <c r="I1103" s="1"/>
  <c r="I1102" s="1"/>
  <c r="I1101"/>
  <c r="I1100" s="1"/>
  <c r="I1099" s="1"/>
  <c r="I1098" s="1"/>
  <c r="I1097" s="1"/>
  <c r="I1096" s="1"/>
  <c r="I1095"/>
  <c r="I1094" s="1"/>
  <c r="I1093" s="1"/>
  <c r="I1092" s="1"/>
  <c r="I1091" s="1"/>
  <c r="I1089"/>
  <c r="I1088" s="1"/>
  <c r="I1087" s="1"/>
  <c r="I1086" s="1"/>
  <c r="I1077"/>
  <c r="I1076" s="1"/>
  <c r="I1075" s="1"/>
  <c r="I1074" s="1"/>
  <c r="I1073" s="1"/>
  <c r="I1072" s="1"/>
  <c r="I1071"/>
  <c r="I1070" s="1"/>
  <c r="I1069" s="1"/>
  <c r="I1068" s="1"/>
  <c r="I1067" s="1"/>
  <c r="I1066" s="1"/>
  <c r="I1064"/>
  <c r="I1063" s="1"/>
  <c r="I1062" s="1"/>
  <c r="I1061" s="1"/>
  <c r="I1060" s="1"/>
  <c r="I1059" s="1"/>
  <c r="I1058"/>
  <c r="I1057" s="1"/>
  <c r="I1056" s="1"/>
  <c r="I1055" s="1"/>
  <c r="I1054" s="1"/>
  <c r="I1053" s="1"/>
  <c r="I1052"/>
  <c r="I1051" s="1"/>
  <c r="I1050" s="1"/>
  <c r="I1049" s="1"/>
  <c r="I1048" s="1"/>
  <c r="I1047"/>
  <c r="I1046" s="1"/>
  <c r="I1045" s="1"/>
  <c r="I1044" s="1"/>
  <c r="I1043" s="1"/>
  <c r="I1041"/>
  <c r="I1040" s="1"/>
  <c r="I1039" s="1"/>
  <c r="I1038"/>
  <c r="I1037"/>
  <c r="I1034"/>
  <c r="I1033" s="1"/>
  <c r="I1029"/>
  <c r="I1028" s="1"/>
  <c r="I1027"/>
  <c r="I1026" s="1"/>
  <c r="I1025" s="1"/>
  <c r="I1019"/>
  <c r="I1018" s="1"/>
  <c r="I1017" s="1"/>
  <c r="I1016" s="1"/>
  <c r="I1015" s="1"/>
  <c r="I1014" s="1"/>
  <c r="I1013"/>
  <c r="I1012" s="1"/>
  <c r="I1011" s="1"/>
  <c r="I1010" s="1"/>
  <c r="I1009" s="1"/>
  <c r="I1008" s="1"/>
  <c r="I1001"/>
  <c r="I1000" s="1"/>
  <c r="I999" s="1"/>
  <c r="I998" s="1"/>
  <c r="I997" s="1"/>
  <c r="I996" s="1"/>
  <c r="I995" s="1"/>
  <c r="I994"/>
  <c r="I993" s="1"/>
  <c r="I992" s="1"/>
  <c r="I991" s="1"/>
  <c r="I990" s="1"/>
  <c r="I989" s="1"/>
  <c r="I988" s="1"/>
  <c r="I987" s="1"/>
  <c r="I986"/>
  <c r="I985" s="1"/>
  <c r="I984" s="1"/>
  <c r="I983" s="1"/>
  <c r="I982" s="1"/>
  <c r="I981" s="1"/>
  <c r="I980" s="1"/>
  <c r="I979"/>
  <c r="I978" s="1"/>
  <c r="I977" s="1"/>
  <c r="I976" s="1"/>
  <c r="I975" s="1"/>
  <c r="I974" s="1"/>
  <c r="I967"/>
  <c r="I966" s="1"/>
  <c r="I965" s="1"/>
  <c r="I964" s="1"/>
  <c r="I963" s="1"/>
  <c r="I962" s="1"/>
  <c r="I960"/>
  <c r="I959" s="1"/>
  <c r="I958" s="1"/>
  <c r="I957" s="1"/>
  <c r="I956" s="1"/>
  <c r="I955" s="1"/>
  <c r="I952"/>
  <c r="I951" s="1"/>
  <c r="I950" s="1"/>
  <c r="I946" s="1"/>
  <c r="I945" s="1"/>
  <c r="I944" s="1"/>
  <c r="I940"/>
  <c r="I937"/>
  <c r="I934"/>
  <c r="I933"/>
  <c r="I926"/>
  <c r="I925"/>
  <c r="I915"/>
  <c r="I914" s="1"/>
  <c r="I913" s="1"/>
  <c r="I912" s="1"/>
  <c r="I911" s="1"/>
  <c r="I909"/>
  <c r="I908" s="1"/>
  <c r="I907" s="1"/>
  <c r="I905"/>
  <c r="I904" s="1"/>
  <c r="I903" s="1"/>
  <c r="I899"/>
  <c r="I898" s="1"/>
  <c r="I897" s="1"/>
  <c r="I893" s="1"/>
  <c r="I892" s="1"/>
  <c r="I891" s="1"/>
  <c r="I890"/>
  <c r="I889" s="1"/>
  <c r="I888" s="1"/>
  <c r="I887" s="1"/>
  <c r="I886" s="1"/>
  <c r="I885" s="1"/>
  <c r="I871"/>
  <c r="I870" s="1"/>
  <c r="I869" s="1"/>
  <c r="I865"/>
  <c r="I864" s="1"/>
  <c r="I863" s="1"/>
  <c r="I862" s="1"/>
  <c r="I861" s="1"/>
  <c r="I860" s="1"/>
  <c r="I859"/>
  <c r="I858"/>
  <c r="I825"/>
  <c r="I824" s="1"/>
  <c r="I823" s="1"/>
  <c r="I819" s="1"/>
  <c r="I818" s="1"/>
  <c r="I817" s="1"/>
  <c r="I816" s="1"/>
  <c r="I811"/>
  <c r="I810" s="1"/>
  <c r="I809" s="1"/>
  <c r="I805" s="1"/>
  <c r="I804" s="1"/>
  <c r="I803" s="1"/>
  <c r="I802" s="1"/>
  <c r="I801"/>
  <c r="I800" s="1"/>
  <c r="I799" s="1"/>
  <c r="I795" s="1"/>
  <c r="I794" s="1"/>
  <c r="I793" s="1"/>
  <c r="I792" s="1"/>
  <c r="I791"/>
  <c r="I790" s="1"/>
  <c r="I789" s="1"/>
  <c r="I785" s="1"/>
  <c r="I784" s="1"/>
  <c r="I783" s="1"/>
  <c r="I782" s="1"/>
  <c r="I775"/>
  <c r="I774" s="1"/>
  <c r="I773" s="1"/>
  <c r="I772" s="1"/>
  <c r="I771" s="1"/>
  <c r="I770" s="1"/>
  <c r="I769"/>
  <c r="I768" s="1"/>
  <c r="I767" s="1"/>
  <c r="I766" s="1"/>
  <c r="I765" s="1"/>
  <c r="I764" s="1"/>
  <c r="I762"/>
  <c r="I761" s="1"/>
  <c r="I760" s="1"/>
  <c r="I759" s="1"/>
  <c r="I758" s="1"/>
  <c r="I757" s="1"/>
  <c r="I756"/>
  <c r="I755" s="1"/>
  <c r="I754" s="1"/>
  <c r="I753"/>
  <c r="I752" s="1"/>
  <c r="I751" s="1"/>
  <c r="I750"/>
  <c r="I749" s="1"/>
  <c r="I744"/>
  <c r="I743"/>
  <c r="I737"/>
  <c r="I736" s="1"/>
  <c r="I735" s="1"/>
  <c r="I734" s="1"/>
  <c r="I733" s="1"/>
  <c r="I732" s="1"/>
  <c r="I730"/>
  <c r="I729" s="1"/>
  <c r="I728" s="1"/>
  <c r="I727" s="1"/>
  <c r="I726" s="1"/>
  <c r="I725"/>
  <c r="I724" s="1"/>
  <c r="I723" s="1"/>
  <c r="I722" s="1"/>
  <c r="I721" s="1"/>
  <c r="I714"/>
  <c r="I713" s="1"/>
  <c r="I712" s="1"/>
  <c r="I711" s="1"/>
  <c r="I710" s="1"/>
  <c r="I709"/>
  <c r="I708" s="1"/>
  <c r="I707" s="1"/>
  <c r="I706" s="1"/>
  <c r="I705" s="1"/>
  <c r="I703"/>
  <c r="I702" s="1"/>
  <c r="I701" s="1"/>
  <c r="I700" s="1"/>
  <c r="I699" s="1"/>
  <c r="I698"/>
  <c r="I697" s="1"/>
  <c r="I696" s="1"/>
  <c r="I695" s="1"/>
  <c r="I694" s="1"/>
  <c r="I692"/>
  <c r="I691" s="1"/>
  <c r="I690" s="1"/>
  <c r="I689" s="1"/>
  <c r="I688" s="1"/>
  <c r="I687"/>
  <c r="I686" s="1"/>
  <c r="I685" s="1"/>
  <c r="I684" s="1"/>
  <c r="I683"/>
  <c r="I682" s="1"/>
  <c r="I681" s="1"/>
  <c r="I680" s="1"/>
  <c r="I678"/>
  <c r="I677" s="1"/>
  <c r="I676" s="1"/>
  <c r="I675" s="1"/>
  <c r="I674" s="1"/>
  <c r="I672"/>
  <c r="I671" s="1"/>
  <c r="I670" s="1"/>
  <c r="I669" s="1"/>
  <c r="I668" s="1"/>
  <c r="I667"/>
  <c r="I666" s="1"/>
  <c r="I665" s="1"/>
  <c r="I664" s="1"/>
  <c r="I663" s="1"/>
  <c r="I662"/>
  <c r="I661" s="1"/>
  <c r="I660"/>
  <c r="I659" s="1"/>
  <c r="I657"/>
  <c r="I656" s="1"/>
  <c r="I655" s="1"/>
  <c r="I652"/>
  <c r="I651" s="1"/>
  <c r="I650" s="1"/>
  <c r="I649" s="1"/>
  <c r="I648" s="1"/>
  <c r="I646"/>
  <c r="I645" s="1"/>
  <c r="I644" s="1"/>
  <c r="I643" s="1"/>
  <c r="I642" s="1"/>
  <c r="I641"/>
  <c r="I640" s="1"/>
  <c r="I636"/>
  <c r="I635" s="1"/>
  <c r="I634" s="1"/>
  <c r="I629"/>
  <c r="I628" s="1"/>
  <c r="I627" s="1"/>
  <c r="I626" s="1"/>
  <c r="I625" s="1"/>
  <c r="I624" s="1"/>
  <c r="I623"/>
  <c r="I622" s="1"/>
  <c r="I621" s="1"/>
  <c r="I620" s="1"/>
  <c r="I619" s="1"/>
  <c r="I618" s="1"/>
  <c r="I617"/>
  <c r="I616" s="1"/>
  <c r="I615" s="1"/>
  <c r="I614" s="1"/>
  <c r="I613" s="1"/>
  <c r="I612" s="1"/>
  <c r="I610"/>
  <c r="I609" s="1"/>
  <c r="I608" s="1"/>
  <c r="I607" s="1"/>
  <c r="I606" s="1"/>
  <c r="I605"/>
  <c r="I604" s="1"/>
  <c r="I603" s="1"/>
  <c r="I602" s="1"/>
  <c r="I601" s="1"/>
  <c r="I600"/>
  <c r="I599" s="1"/>
  <c r="I598" s="1"/>
  <c r="I597" s="1"/>
  <c r="I596" s="1"/>
  <c r="I589"/>
  <c r="I588" s="1"/>
  <c r="I587" s="1"/>
  <c r="I586" s="1"/>
  <c r="I585" s="1"/>
  <c r="I584"/>
  <c r="I583" s="1"/>
  <c r="I582" s="1"/>
  <c r="I581" s="1"/>
  <c r="I580" s="1"/>
  <c r="I578"/>
  <c r="I577" s="1"/>
  <c r="I576" s="1"/>
  <c r="I575" s="1"/>
  <c r="I574" s="1"/>
  <c r="I573" s="1"/>
  <c r="I572" s="1"/>
  <c r="I571"/>
  <c r="I570" s="1"/>
  <c r="I569" s="1"/>
  <c r="I568" s="1"/>
  <c r="I567" s="1"/>
  <c r="I566"/>
  <c r="I565" s="1"/>
  <c r="I564" s="1"/>
  <c r="I563" s="1"/>
  <c r="I562" s="1"/>
  <c r="I561" s="1"/>
  <c r="I560"/>
  <c r="I559" s="1"/>
  <c r="I558" s="1"/>
  <c r="I557" s="1"/>
  <c r="I556" s="1"/>
  <c r="I555"/>
  <c r="I554" s="1"/>
  <c r="I553" s="1"/>
  <c r="I552" s="1"/>
  <c r="I551" s="1"/>
  <c r="I549"/>
  <c r="I548" s="1"/>
  <c r="I547" s="1"/>
  <c r="I546" s="1"/>
  <c r="I545" s="1"/>
  <c r="I544" s="1"/>
  <c r="I542"/>
  <c r="I541" s="1"/>
  <c r="I540" s="1"/>
  <c r="I539"/>
  <c r="I538" s="1"/>
  <c r="I530"/>
  <c r="I529" s="1"/>
  <c r="I528" s="1"/>
  <c r="I527"/>
  <c r="I526" s="1"/>
  <c r="I521"/>
  <c r="I520" s="1"/>
  <c r="I519" s="1"/>
  <c r="I518" s="1"/>
  <c r="I517"/>
  <c r="I516"/>
  <c r="I515" s="1"/>
  <c r="I511"/>
  <c r="I510" s="1"/>
  <c r="I509"/>
  <c r="I508" s="1"/>
  <c r="I503"/>
  <c r="I502" s="1"/>
  <c r="I501"/>
  <c r="I500" s="1"/>
  <c r="I498"/>
  <c r="I497" s="1"/>
  <c r="I496" s="1"/>
  <c r="I492"/>
  <c r="I491" s="1"/>
  <c r="I490" s="1"/>
  <c r="I489" s="1"/>
  <c r="I488" s="1"/>
  <c r="I487" s="1"/>
  <c r="I486"/>
  <c r="I485" s="1"/>
  <c r="I484"/>
  <c r="I483" s="1"/>
  <c r="I478"/>
  <c r="I477" s="1"/>
  <c r="I476"/>
  <c r="I475" s="1"/>
  <c r="I470"/>
  <c r="I469" s="1"/>
  <c r="I468" s="1"/>
  <c r="I467" s="1"/>
  <c r="I466" s="1"/>
  <c r="I465" s="1"/>
  <c r="I463"/>
  <c r="I462" s="1"/>
  <c r="I461" s="1"/>
  <c r="I460" s="1"/>
  <c r="I459" s="1"/>
  <c r="I458" s="1"/>
  <c r="I451"/>
  <c r="I450" s="1"/>
  <c r="I449" s="1"/>
  <c r="I448" s="1"/>
  <c r="I447" s="1"/>
  <c r="I446" s="1"/>
  <c r="I439" s="1"/>
  <c r="I438"/>
  <c r="I437" s="1"/>
  <c r="I436" s="1"/>
  <c r="I435" s="1"/>
  <c r="I434" s="1"/>
  <c r="I433" s="1"/>
  <c r="I432" s="1"/>
  <c r="I431"/>
  <c r="I430" s="1"/>
  <c r="I429" s="1"/>
  <c r="I428" s="1"/>
  <c r="I427" s="1"/>
  <c r="I426" s="1"/>
  <c r="I425"/>
  <c r="I424" s="1"/>
  <c r="I423" s="1"/>
  <c r="I422" s="1"/>
  <c r="I421" s="1"/>
  <c r="I420" s="1"/>
  <c r="I419"/>
  <c r="I418" s="1"/>
  <c r="I417" s="1"/>
  <c r="I416" s="1"/>
  <c r="I415" s="1"/>
  <c r="I414" s="1"/>
  <c r="I406"/>
  <c r="I405" s="1"/>
  <c r="I404"/>
  <c r="I403" s="1"/>
  <c r="I398"/>
  <c r="I397" s="1"/>
  <c r="I396"/>
  <c r="I395" s="1"/>
  <c r="I390"/>
  <c r="I389" s="1"/>
  <c r="I388" s="1"/>
  <c r="I387" s="1"/>
  <c r="I386" s="1"/>
  <c r="I385" s="1"/>
  <c r="I377"/>
  <c r="I376" s="1"/>
  <c r="I375" s="1"/>
  <c r="I374" s="1"/>
  <c r="I373" s="1"/>
  <c r="I372" s="1"/>
  <c r="I371"/>
  <c r="I370" s="1"/>
  <c r="I369" s="1"/>
  <c r="I368" s="1"/>
  <c r="I367" s="1"/>
  <c r="I366" s="1"/>
  <c r="I365"/>
  <c r="I364" s="1"/>
  <c r="I363" s="1"/>
  <c r="I362" s="1"/>
  <c r="I361" s="1"/>
  <c r="I360"/>
  <c r="I359" s="1"/>
  <c r="I358" s="1"/>
  <c r="I357" s="1"/>
  <c r="I356" s="1"/>
  <c r="I354"/>
  <c r="I353" s="1"/>
  <c r="I352" s="1"/>
  <c r="I351" s="1"/>
  <c r="I350" s="1"/>
  <c r="I349" s="1"/>
  <c r="I341"/>
  <c r="I340" s="1"/>
  <c r="I339" s="1"/>
  <c r="I338" s="1"/>
  <c r="I337" s="1"/>
  <c r="I336" s="1"/>
  <c r="I335"/>
  <c r="I334" s="1"/>
  <c r="I333" s="1"/>
  <c r="I332" s="1"/>
  <c r="I331" s="1"/>
  <c r="I330" s="1"/>
  <c r="I329"/>
  <c r="I328" s="1"/>
  <c r="I327" s="1"/>
  <c r="I326" s="1"/>
  <c r="I325" s="1"/>
  <c r="I324" s="1"/>
  <c r="I323"/>
  <c r="I322" s="1"/>
  <c r="I321" s="1"/>
  <c r="I320" s="1"/>
  <c r="I319" s="1"/>
  <c r="I318" s="1"/>
  <c r="I317"/>
  <c r="I316" s="1"/>
  <c r="I315" s="1"/>
  <c r="I314" s="1"/>
  <c r="I313" s="1"/>
  <c r="I312" s="1"/>
  <c r="I311"/>
  <c r="I310" s="1"/>
  <c r="I309" s="1"/>
  <c r="I308" s="1"/>
  <c r="I307" s="1"/>
  <c r="I306" s="1"/>
  <c r="I292"/>
  <c r="I291" s="1"/>
  <c r="I290" s="1"/>
  <c r="I289" s="1"/>
  <c r="I288" s="1"/>
  <c r="I287" s="1"/>
  <c r="I286"/>
  <c r="I285" s="1"/>
  <c r="I284" s="1"/>
  <c r="I283" s="1"/>
  <c r="I282" s="1"/>
  <c r="I281" s="1"/>
  <c r="I280"/>
  <c r="I279" s="1"/>
  <c r="I278" s="1"/>
  <c r="I277" s="1"/>
  <c r="I276" s="1"/>
  <c r="I275" s="1"/>
  <c r="I274"/>
  <c r="I273" s="1"/>
  <c r="I272" s="1"/>
  <c r="I271" s="1"/>
  <c r="I270" s="1"/>
  <c r="I269" s="1"/>
  <c r="I268"/>
  <c r="I267" s="1"/>
  <c r="I266" s="1"/>
  <c r="I265" s="1"/>
  <c r="I264" s="1"/>
  <c r="I263" s="1"/>
  <c r="I255"/>
  <c r="I254" s="1"/>
  <c r="I253" s="1"/>
  <c r="I252" s="1"/>
  <c r="I251" s="1"/>
  <c r="I250" s="1"/>
  <c r="I249"/>
  <c r="I248" s="1"/>
  <c r="I247" s="1"/>
  <c r="I243" s="1"/>
  <c r="I242" s="1"/>
  <c r="I241" s="1"/>
  <c r="I232"/>
  <c r="I231" s="1"/>
  <c r="I230" s="1"/>
  <c r="I229"/>
  <c r="I228"/>
  <c r="I223"/>
  <c r="I222" s="1"/>
  <c r="I221" s="1"/>
  <c r="I220" s="1"/>
  <c r="I219"/>
  <c r="I218" s="1"/>
  <c r="I217" s="1"/>
  <c r="I216"/>
  <c r="I215" s="1"/>
  <c r="I214" s="1"/>
  <c r="I209"/>
  <c r="I208" s="1"/>
  <c r="I207"/>
  <c r="I206" s="1"/>
  <c r="I204"/>
  <c r="I203" s="1"/>
  <c r="I202" s="1"/>
  <c r="I198"/>
  <c r="I197" s="1"/>
  <c r="I196"/>
  <c r="I189"/>
  <c r="I188" s="1"/>
  <c r="I187" s="1"/>
  <c r="I186" s="1"/>
  <c r="I185" s="1"/>
  <c r="I184" s="1"/>
  <c r="I183" s="1"/>
  <c r="I182"/>
  <c r="I181" s="1"/>
  <c r="I180" s="1"/>
  <c r="I179" s="1"/>
  <c r="I178" s="1"/>
  <c r="I177" s="1"/>
  <c r="I176"/>
  <c r="I175" s="1"/>
  <c r="I174" s="1"/>
  <c r="I173" s="1"/>
  <c r="I172" s="1"/>
  <c r="I171" s="1"/>
  <c r="I170"/>
  <c r="I169" s="1"/>
  <c r="I168" s="1"/>
  <c r="I167" s="1"/>
  <c r="I166" s="1"/>
  <c r="I165" s="1"/>
  <c r="I162"/>
  <c r="I161" s="1"/>
  <c r="I160" s="1"/>
  <c r="I159" s="1"/>
  <c r="I157"/>
  <c r="I156" s="1"/>
  <c r="I155" s="1"/>
  <c r="I154" s="1"/>
  <c r="I149"/>
  <c r="I148" s="1"/>
  <c r="I147" s="1"/>
  <c r="I146" s="1"/>
  <c r="I145" s="1"/>
  <c r="I144" s="1"/>
  <c r="I143"/>
  <c r="I142" s="1"/>
  <c r="I141" s="1"/>
  <c r="I140" s="1"/>
  <c r="I139" s="1"/>
  <c r="I138" s="1"/>
  <c r="I137"/>
  <c r="I136" s="1"/>
  <c r="I135" s="1"/>
  <c r="I134" s="1"/>
  <c r="I133" s="1"/>
  <c r="I132" s="1"/>
  <c r="I124"/>
  <c r="I112"/>
  <c r="I111" s="1"/>
  <c r="I110" s="1"/>
  <c r="I109" s="1"/>
  <c r="I108" s="1"/>
  <c r="I107" s="1"/>
  <c r="I105"/>
  <c r="I104" s="1"/>
  <c r="I102"/>
  <c r="I101" s="1"/>
  <c r="I96"/>
  <c r="I95"/>
  <c r="I90"/>
  <c r="I89" s="1"/>
  <c r="I88" s="1"/>
  <c r="I87" s="1"/>
  <c r="I86" s="1"/>
  <c r="I85" s="1"/>
  <c r="I84"/>
  <c r="I83" s="1"/>
  <c r="I82"/>
  <c r="I81" s="1"/>
  <c r="I75"/>
  <c r="I74" s="1"/>
  <c r="I73" s="1"/>
  <c r="I72" s="1"/>
  <c r="I71" s="1"/>
  <c r="I70" s="1"/>
  <c r="I69"/>
  <c r="I68" s="1"/>
  <c r="I67"/>
  <c r="I66" s="1"/>
  <c r="I61"/>
  <c r="I60" s="1"/>
  <c r="I59"/>
  <c r="I58" s="1"/>
  <c r="I50"/>
  <c r="I49" s="1"/>
  <c r="I44"/>
  <c r="I43" s="1"/>
  <c r="I42" s="1"/>
  <c r="I41" s="1"/>
  <c r="I40" s="1"/>
  <c r="I39" s="1"/>
  <c r="I35"/>
  <c r="I34" s="1"/>
  <c r="I33" s="1"/>
  <c r="I32" s="1"/>
  <c r="I31" s="1"/>
  <c r="I25" s="1"/>
  <c r="I24"/>
  <c r="I23" s="1"/>
  <c r="I22" s="1"/>
  <c r="I21" s="1"/>
  <c r="I20" s="1"/>
  <c r="I19" s="1"/>
  <c r="I637" l="1"/>
  <c r="I633" s="1"/>
  <c r="I632" s="1"/>
  <c r="I631" s="1"/>
  <c r="J504" i="5"/>
  <c r="J503" s="1"/>
  <c r="J96"/>
  <c r="J95" s="1"/>
  <c r="J1651"/>
  <c r="J1650" s="1"/>
  <c r="J1649" s="1"/>
  <c r="J758"/>
  <c r="J754" s="1"/>
  <c r="J1306"/>
  <c r="J1305" s="1"/>
  <c r="J1304" s="1"/>
  <c r="I1729" i="6"/>
  <c r="I1728" s="1"/>
  <c r="I1727" s="1"/>
  <c r="I525"/>
  <c r="I524" s="1"/>
  <c r="I523" s="1"/>
  <c r="J372" i="5"/>
  <c r="J371" s="1"/>
  <c r="J1261"/>
  <c r="J1260" s="1"/>
  <c r="J400"/>
  <c r="J399" s="1"/>
  <c r="J398" s="1"/>
  <c r="J397" s="1"/>
  <c r="J396" s="1"/>
  <c r="J395" s="1"/>
  <c r="J394" s="1"/>
  <c r="J116"/>
  <c r="J115" s="1"/>
  <c r="J114" s="1"/>
  <c r="J193"/>
  <c r="J209"/>
  <c r="I1336" i="6"/>
  <c r="I1335" s="1"/>
  <c r="I1334" s="1"/>
  <c r="I868"/>
  <c r="I867" s="1"/>
  <c r="I866" s="1"/>
  <c r="J1695" i="5"/>
  <c r="J1694" s="1"/>
  <c r="J1270"/>
  <c r="G61" i="1" s="1"/>
  <c r="J1728" i="5"/>
  <c r="J1727" s="1"/>
  <c r="J1726" s="1"/>
  <c r="J1725" s="1"/>
  <c r="G41" i="1" s="1"/>
  <c r="J43" i="5"/>
  <c r="J777"/>
  <c r="J773" s="1"/>
  <c r="J552"/>
  <c r="J826"/>
  <c r="J825" s="1"/>
  <c r="J634"/>
  <c r="J633" s="1"/>
  <c r="J648"/>
  <c r="J647" s="1"/>
  <c r="J1455"/>
  <c r="J1454" s="1"/>
  <c r="J903"/>
  <c r="J1470"/>
  <c r="J1467" s="1"/>
  <c r="I939" i="6"/>
  <c r="J1433" i="5"/>
  <c r="I936" i="6"/>
  <c r="I123"/>
  <c r="I48"/>
  <c r="I47" s="1"/>
  <c r="I46" s="1"/>
  <c r="I45" s="1"/>
  <c r="J1205" i="5"/>
  <c r="J1204" s="1"/>
  <c r="J1203" s="1"/>
  <c r="J1202" s="1"/>
  <c r="J1255"/>
  <c r="J1251" s="1"/>
  <c r="I1368" i="6"/>
  <c r="I1367" s="1"/>
  <c r="I1358" s="1"/>
  <c r="J177" i="5"/>
  <c r="J1040"/>
  <c r="J1039" s="1"/>
  <c r="J1038" s="1"/>
  <c r="J1137"/>
  <c r="J1132" s="1"/>
  <c r="J1174"/>
  <c r="J1173" s="1"/>
  <c r="J1219"/>
  <c r="J1218" s="1"/>
  <c r="J1217" s="1"/>
  <c r="J1233"/>
  <c r="J1232" s="1"/>
  <c r="J1246"/>
  <c r="J1245" s="1"/>
  <c r="J744"/>
  <c r="J743" s="1"/>
  <c r="J1109"/>
  <c r="J1108" s="1"/>
  <c r="J1103" s="1"/>
  <c r="I1615" i="6"/>
  <c r="I1614" s="1"/>
  <c r="I1388"/>
  <c r="I1387" s="1"/>
  <c r="I1381" s="1"/>
  <c r="I1380" s="1"/>
  <c r="I1379" s="1"/>
  <c r="I1372" s="1"/>
  <c r="J598" i="5"/>
  <c r="J597" s="1"/>
  <c r="J1227"/>
  <c r="J1226" s="1"/>
  <c r="I1464" i="6"/>
  <c r="I1463" s="1"/>
  <c r="I1457" s="1"/>
  <c r="I1456" s="1"/>
  <c r="I1455" s="1"/>
  <c r="J788" i="5"/>
  <c r="J787" s="1"/>
  <c r="J786" s="1"/>
  <c r="J592"/>
  <c r="J591" s="1"/>
  <c r="J749"/>
  <c r="J748" s="1"/>
  <c r="J1156"/>
  <c r="J1155" s="1"/>
  <c r="J1642"/>
  <c r="J1637" s="1"/>
  <c r="J1636" s="1"/>
  <c r="I499" i="6"/>
  <c r="I495" s="1"/>
  <c r="I494" s="1"/>
  <c r="I493" s="1"/>
  <c r="I514"/>
  <c r="I513" s="1"/>
  <c r="I512" s="1"/>
  <c r="I1751"/>
  <c r="I1750" s="1"/>
  <c r="I1749" s="1"/>
  <c r="I94"/>
  <c r="I93" s="1"/>
  <c r="I92" s="1"/>
  <c r="I91" s="1"/>
  <c r="I961"/>
  <c r="I954" s="1"/>
  <c r="I537"/>
  <c r="I536" s="1"/>
  <c r="I535" s="1"/>
  <c r="I205"/>
  <c r="I201" s="1"/>
  <c r="I200" s="1"/>
  <c r="I199" s="1"/>
  <c r="J1416" i="5"/>
  <c r="J1604"/>
  <c r="G37" i="1"/>
  <c r="J610" i="5"/>
  <c r="I402" i="6"/>
  <c r="I401" s="1"/>
  <c r="I400" s="1"/>
  <c r="I399" s="1"/>
  <c r="I227"/>
  <c r="I226" s="1"/>
  <c r="I225" s="1"/>
  <c r="I224" s="1"/>
  <c r="I413"/>
  <c r="I932"/>
  <c r="I931" s="1"/>
  <c r="I927" s="1"/>
  <c r="I1036"/>
  <c r="I1035" s="1"/>
  <c r="I1032" s="1"/>
  <c r="I1031" s="1"/>
  <c r="I1030" s="1"/>
  <c r="J305" i="5"/>
  <c r="J1479"/>
  <c r="G52" i="1"/>
  <c r="G51" s="1"/>
  <c r="G66"/>
  <c r="G65" s="1"/>
  <c r="J141" i="5"/>
  <c r="J224"/>
  <c r="J223" s="1"/>
  <c r="J222" s="1"/>
  <c r="J246"/>
  <c r="J278"/>
  <c r="J564"/>
  <c r="J563" s="1"/>
  <c r="J562" s="1"/>
  <c r="J561" s="1"/>
  <c r="J763"/>
  <c r="J1485"/>
  <c r="J1743"/>
  <c r="J1742" s="1"/>
  <c r="J1741" s="1"/>
  <c r="J1740" s="1"/>
  <c r="J1734" s="1"/>
  <c r="I742" i="6"/>
  <c r="I741" s="1"/>
  <c r="I740" s="1"/>
  <c r="I739" s="1"/>
  <c r="I738" s="1"/>
  <c r="I731" s="1"/>
  <c r="I1007"/>
  <c r="I1065"/>
  <c r="I1416"/>
  <c r="I1415" s="1"/>
  <c r="I1414" s="1"/>
  <c r="I1413" s="1"/>
  <c r="I1721"/>
  <c r="I1720" s="1"/>
  <c r="I1719" s="1"/>
  <c r="J684" i="5"/>
  <c r="J683" s="1"/>
  <c r="J818"/>
  <c r="J806" s="1"/>
  <c r="J805" s="1"/>
  <c r="J1513"/>
  <c r="G31" i="1" s="1"/>
  <c r="J1592" i="5"/>
  <c r="J1591" s="1"/>
  <c r="J1590" s="1"/>
  <c r="J1589" s="1"/>
  <c r="I153" i="6"/>
  <c r="I152" s="1"/>
  <c r="I151" s="1"/>
  <c r="I355"/>
  <c r="I348" s="1"/>
  <c r="I1777"/>
  <c r="I1776" s="1"/>
  <c r="I1768" s="1"/>
  <c r="I1785"/>
  <c r="I1784" s="1"/>
  <c r="I1783" s="1"/>
  <c r="J84" i="5"/>
  <c r="J73" s="1"/>
  <c r="J444"/>
  <c r="J443" s="1"/>
  <c r="J442" s="1"/>
  <c r="J432" s="1"/>
  <c r="G32" i="1" s="1"/>
  <c r="J488" i="5"/>
  <c r="J487" s="1"/>
  <c r="J480" s="1"/>
  <c r="J518"/>
  <c r="J517" s="1"/>
  <c r="J516" s="1"/>
  <c r="J515" s="1"/>
  <c r="G39" i="1" s="1"/>
  <c r="J1072" i="5"/>
  <c r="J1187"/>
  <c r="J1186" s="1"/>
  <c r="I1676" i="6"/>
  <c r="I1675" s="1"/>
  <c r="I1085"/>
  <c r="I1084" s="1"/>
  <c r="I1432"/>
  <c r="J1094" i="5"/>
  <c r="J1494"/>
  <c r="J1493" s="1"/>
  <c r="J1492" s="1"/>
  <c r="J34"/>
  <c r="J33" s="1"/>
  <c r="J268"/>
  <c r="J267" s="1"/>
  <c r="J314"/>
  <c r="J670"/>
  <c r="J918"/>
  <c r="J917" s="1"/>
  <c r="J916" s="1"/>
  <c r="J915" s="1"/>
  <c r="J1025"/>
  <c r="J1114"/>
  <c r="J1290"/>
  <c r="J1289" s="1"/>
  <c r="J1288" s="1"/>
  <c r="J1287" s="1"/>
  <c r="J1281" s="1"/>
  <c r="J1575"/>
  <c r="J1565" s="1"/>
  <c r="J1554" s="1"/>
  <c r="J256"/>
  <c r="J288"/>
  <c r="J463"/>
  <c r="J661"/>
  <c r="J845"/>
  <c r="J844" s="1"/>
  <c r="J871"/>
  <c r="J870" s="1"/>
  <c r="J869" s="1"/>
  <c r="J868" s="1"/>
  <c r="J867" s="1"/>
  <c r="G24" i="1" s="1"/>
  <c r="J963" i="5"/>
  <c r="J962" s="1"/>
  <c r="J946" s="1"/>
  <c r="J924" s="1"/>
  <c r="J987"/>
  <c r="J1004"/>
  <c r="J1085"/>
  <c r="J1345"/>
  <c r="J1337" s="1"/>
  <c r="J343"/>
  <c r="J342" s="1"/>
  <c r="I474" i="6"/>
  <c r="I473" s="1"/>
  <c r="I472" s="1"/>
  <c r="I471" s="1"/>
  <c r="I658"/>
  <c r="I1295"/>
  <c r="I1294" s="1"/>
  <c r="I1293" s="1"/>
  <c r="I1608"/>
  <c r="I1607" s="1"/>
  <c r="J519" i="5"/>
  <c r="I100" i="6"/>
  <c r="I99" s="1"/>
  <c r="I98" s="1"/>
  <c r="I97" s="1"/>
  <c r="I194"/>
  <c r="I193" s="1"/>
  <c r="I192" s="1"/>
  <c r="I191" s="1"/>
  <c r="I482"/>
  <c r="I481" s="1"/>
  <c r="I480" s="1"/>
  <c r="I479" s="1"/>
  <c r="I679"/>
  <c r="I673" s="1"/>
  <c r="I1243"/>
  <c r="I1242" s="1"/>
  <c r="I1236" s="1"/>
  <c r="I1235" s="1"/>
  <c r="I1234" s="1"/>
  <c r="I1598"/>
  <c r="I1597" s="1"/>
  <c r="I57"/>
  <c r="I56" s="1"/>
  <c r="I55" s="1"/>
  <c r="I54" s="1"/>
  <c r="I394"/>
  <c r="I393" s="1"/>
  <c r="I392" s="1"/>
  <c r="I391" s="1"/>
  <c r="I654"/>
  <c r="I653" s="1"/>
  <c r="I647" s="1"/>
  <c r="I704"/>
  <c r="I1277"/>
  <c r="I1273" s="1"/>
  <c r="I1272" s="1"/>
  <c r="I1266" s="1"/>
  <c r="I1391"/>
  <c r="I1581"/>
  <c r="I1580" s="1"/>
  <c r="I65"/>
  <c r="I64" s="1"/>
  <c r="I63" s="1"/>
  <c r="I62" s="1"/>
  <c r="I80"/>
  <c r="I79" s="1"/>
  <c r="I78" s="1"/>
  <c r="I77" s="1"/>
  <c r="I262"/>
  <c r="I579"/>
  <c r="I857"/>
  <c r="I856" s="1"/>
  <c r="I852" s="1"/>
  <c r="I851" s="1"/>
  <c r="I850" s="1"/>
  <c r="I924"/>
  <c r="I923" s="1"/>
  <c r="I922" s="1"/>
  <c r="I1110"/>
  <c r="I1109" s="1"/>
  <c r="I1220"/>
  <c r="I1204" s="1"/>
  <c r="I1328"/>
  <c r="I1327" s="1"/>
  <c r="I1326" s="1"/>
  <c r="I1325" s="1"/>
  <c r="I1531"/>
  <c r="I131"/>
  <c r="I164"/>
  <c r="I550"/>
  <c r="I543" s="1"/>
  <c r="I595"/>
  <c r="I213"/>
  <c r="I212" s="1"/>
  <c r="I240"/>
  <c r="I305"/>
  <c r="I611"/>
  <c r="I693"/>
  <c r="I720"/>
  <c r="I748"/>
  <c r="I747" s="1"/>
  <c r="I746" s="1"/>
  <c r="I745" s="1"/>
  <c r="I1042"/>
  <c r="I1302"/>
  <c r="I1301" s="1"/>
  <c r="I1300" s="1"/>
  <c r="I1488"/>
  <c r="I1487" s="1"/>
  <c r="I1481" s="1"/>
  <c r="I1474" s="1"/>
  <c r="I1473" s="1"/>
  <c r="I1541"/>
  <c r="I1550"/>
  <c r="I1743"/>
  <c r="I1742" s="1"/>
  <c r="I1741" s="1"/>
  <c r="I1560"/>
  <c r="I1559" s="1"/>
  <c r="I1571"/>
  <c r="I1570" s="1"/>
  <c r="I507"/>
  <c r="I506" s="1"/>
  <c r="I505" s="1"/>
  <c r="I902"/>
  <c r="I901" s="1"/>
  <c r="I900" s="1"/>
  <c r="I1024"/>
  <c r="I1023" s="1"/>
  <c r="I1022" s="1"/>
  <c r="I1591"/>
  <c r="I1590" s="1"/>
  <c r="G1095"/>
  <c r="H430" i="5"/>
  <c r="H429" s="1"/>
  <c r="I431"/>
  <c r="K431" s="1"/>
  <c r="M431" s="1"/>
  <c r="O431" s="1"/>
  <c r="Q431" s="1"/>
  <c r="S431" s="1"/>
  <c r="U431" s="1"/>
  <c r="A425"/>
  <c r="A429"/>
  <c r="A428"/>
  <c r="A430"/>
  <c r="A427"/>
  <c r="A431"/>
  <c r="G62" i="1" l="1"/>
  <c r="I1412" i="6"/>
  <c r="I1405" s="1"/>
  <c r="I1371" s="1"/>
  <c r="J304" i="5"/>
  <c r="G46" i="1" s="1"/>
  <c r="J551" i="5"/>
  <c r="J550" s="1"/>
  <c r="J549" s="1"/>
  <c r="J1224"/>
  <c r="J1216" s="1"/>
  <c r="J1201" s="1"/>
  <c r="J1185"/>
  <c r="J1184" s="1"/>
  <c r="J502"/>
  <c r="J501" s="1"/>
  <c r="G38" i="1" s="1"/>
  <c r="J1453" i="5"/>
  <c r="I1357" i="6"/>
  <c r="I1356" s="1"/>
  <c r="I1333" s="1"/>
  <c r="J1150" i="5"/>
  <c r="J1149" s="1"/>
  <c r="J72"/>
  <c r="G26" i="1" s="1"/>
  <c r="J632" i="5"/>
  <c r="J631" s="1"/>
  <c r="J32"/>
  <c r="J31" s="1"/>
  <c r="J30" s="1"/>
  <c r="G22" i="1" s="1"/>
  <c r="J714" i="5"/>
  <c r="J713" s="1"/>
  <c r="J902"/>
  <c r="I938" i="6"/>
  <c r="J1430" i="5"/>
  <c r="J1429" s="1"/>
  <c r="I122" i="6"/>
  <c r="I211"/>
  <c r="I210" s="1"/>
  <c r="I150"/>
  <c r="I384"/>
  <c r="I239" s="1"/>
  <c r="J1240" i="5"/>
  <c r="J1239" s="1"/>
  <c r="G60" i="1" s="1"/>
  <c r="J1066" i="5"/>
  <c r="I53" i="6"/>
  <c r="I1425"/>
  <c r="J974" i="5"/>
  <c r="J277"/>
  <c r="J1512"/>
  <c r="J192"/>
  <c r="J186" s="1"/>
  <c r="J176" s="1"/>
  <c r="J1629"/>
  <c r="J590"/>
  <c r="J589" s="1"/>
  <c r="J425"/>
  <c r="I522" i="6"/>
  <c r="I1292"/>
  <c r="I1265" s="1"/>
  <c r="I1530"/>
  <c r="I1529" s="1"/>
  <c r="I1523" s="1"/>
  <c r="H428" i="5"/>
  <c r="I428" s="1"/>
  <c r="K428" s="1"/>
  <c r="M428" s="1"/>
  <c r="O428" s="1"/>
  <c r="Q428" s="1"/>
  <c r="S428" s="1"/>
  <c r="U428" s="1"/>
  <c r="I429"/>
  <c r="K429" s="1"/>
  <c r="M429" s="1"/>
  <c r="O429" s="1"/>
  <c r="Q429" s="1"/>
  <c r="S429" s="1"/>
  <c r="U429" s="1"/>
  <c r="J1724"/>
  <c r="J1723" s="1"/>
  <c r="G42" i="1"/>
  <c r="G40" s="1"/>
  <c r="G64"/>
  <c r="G63" s="1"/>
  <c r="J245" i="5"/>
  <c r="J333"/>
  <c r="G56" i="1"/>
  <c r="I430" i="5"/>
  <c r="K430" s="1"/>
  <c r="M430" s="1"/>
  <c r="O430" s="1"/>
  <c r="Q430" s="1"/>
  <c r="S430" s="1"/>
  <c r="U430" s="1"/>
  <c r="J824"/>
  <c r="G57" i="1"/>
  <c r="J866" i="5"/>
  <c r="G36" i="1"/>
  <c r="G21"/>
  <c r="I1108" i="6"/>
  <c r="I504"/>
  <c r="I464" s="1"/>
  <c r="I1021"/>
  <c r="I1020" s="1"/>
  <c r="I630"/>
  <c r="H889" i="5"/>
  <c r="G1817" i="6" s="1"/>
  <c r="H312" i="5"/>
  <c r="H308"/>
  <c r="H301"/>
  <c r="H300" s="1"/>
  <c r="H296"/>
  <c r="H295" s="1"/>
  <c r="H293"/>
  <c r="H292" s="1"/>
  <c r="H290"/>
  <c r="H289" s="1"/>
  <c r="H283"/>
  <c r="H282" s="1"/>
  <c r="H280"/>
  <c r="H279" s="1"/>
  <c r="H275"/>
  <c r="H274" s="1"/>
  <c r="H273" s="1"/>
  <c r="H271"/>
  <c r="H270" s="1"/>
  <c r="H265"/>
  <c r="H264" s="1"/>
  <c r="H260"/>
  <c r="H259" s="1"/>
  <c r="H258" s="1"/>
  <c r="H253"/>
  <c r="H249"/>
  <c r="H248" s="1"/>
  <c r="H238"/>
  <c r="H237" s="1"/>
  <c r="H231"/>
  <c r="H230" s="1"/>
  <c r="H228"/>
  <c r="H225"/>
  <c r="H218"/>
  <c r="H213"/>
  <c r="H210"/>
  <c r="H207"/>
  <c r="H206" s="1"/>
  <c r="H204"/>
  <c r="H203" s="1"/>
  <c r="H197"/>
  <c r="H196" s="1"/>
  <c r="H194"/>
  <c r="H190"/>
  <c r="H189" s="1"/>
  <c r="H184"/>
  <c r="H183" s="1"/>
  <c r="H182" s="1"/>
  <c r="H180"/>
  <c r="H179" s="1"/>
  <c r="H169"/>
  <c r="H162"/>
  <c r="H161" s="1"/>
  <c r="H156"/>
  <c r="H155" s="1"/>
  <c r="H154" s="1"/>
  <c r="H152"/>
  <c r="H151" s="1"/>
  <c r="H148"/>
  <c r="H147" s="1"/>
  <c r="H144"/>
  <c r="H143" s="1"/>
  <c r="H134"/>
  <c r="H129"/>
  <c r="H123"/>
  <c r="H122" s="1"/>
  <c r="H120"/>
  <c r="H119" s="1"/>
  <c r="H107"/>
  <c r="H106" s="1"/>
  <c r="H103"/>
  <c r="H98"/>
  <c r="H97" s="1"/>
  <c r="H93"/>
  <c r="H92" s="1"/>
  <c r="H91" s="1"/>
  <c r="H88"/>
  <c r="H87" s="1"/>
  <c r="H85"/>
  <c r="H81"/>
  <c r="H80" s="1"/>
  <c r="H77"/>
  <c r="H75"/>
  <c r="H63"/>
  <c r="H62" s="1"/>
  <c r="H54"/>
  <c r="H53" s="1"/>
  <c r="H52" s="1"/>
  <c r="H44"/>
  <c r="H47"/>
  <c r="H46" s="1"/>
  <c r="H41"/>
  <c r="H40" s="1"/>
  <c r="H38"/>
  <c r="H37" s="1"/>
  <c r="H35"/>
  <c r="H28"/>
  <c r="H27" s="1"/>
  <c r="G1822" i="6"/>
  <c r="G1821" s="1"/>
  <c r="G1820" s="1"/>
  <c r="G1819" s="1"/>
  <c r="G1818" s="1"/>
  <c r="G1805"/>
  <c r="G1804" s="1"/>
  <c r="G1803" s="1"/>
  <c r="G1802" s="1"/>
  <c r="G1801" s="1"/>
  <c r="G1800"/>
  <c r="G1799" s="1"/>
  <c r="G1798" s="1"/>
  <c r="G1797" s="1"/>
  <c r="G1796" s="1"/>
  <c r="G1795"/>
  <c r="G1794" s="1"/>
  <c r="G1793" s="1"/>
  <c r="G1792" s="1"/>
  <c r="G1791" s="1"/>
  <c r="G1790"/>
  <c r="G1789" s="1"/>
  <c r="G1788" s="1"/>
  <c r="G1787"/>
  <c r="G1786" s="1"/>
  <c r="G1782"/>
  <c r="G1781" s="1"/>
  <c r="G1780" s="1"/>
  <c r="G1779"/>
  <c r="G1778" s="1"/>
  <c r="G1767"/>
  <c r="G1766" s="1"/>
  <c r="G1764" s="1"/>
  <c r="G1761"/>
  <c r="G1760" s="1"/>
  <c r="G1759" s="1"/>
  <c r="G1758" s="1"/>
  <c r="G1757" s="1"/>
  <c r="G1756"/>
  <c r="G1755" s="1"/>
  <c r="G1754" s="1"/>
  <c r="G1753"/>
  <c r="G1748"/>
  <c r="G1747" s="1"/>
  <c r="G1746" s="1"/>
  <c r="G1745"/>
  <c r="G1744" s="1"/>
  <c r="G1734"/>
  <c r="G1733" s="1"/>
  <c r="G1732" s="1"/>
  <c r="G1731"/>
  <c r="G1730" s="1"/>
  <c r="G1726"/>
  <c r="G1725" s="1"/>
  <c r="G1724" s="1"/>
  <c r="G1723"/>
  <c r="G1722" s="1"/>
  <c r="G1677"/>
  <c r="G1676" s="1"/>
  <c r="G1675" s="1"/>
  <c r="G1674" s="1"/>
  <c r="G1673" s="1"/>
  <c r="G1667"/>
  <c r="G1666" s="1"/>
  <c r="G1665" s="1"/>
  <c r="G1664" s="1"/>
  <c r="G1663" s="1"/>
  <c r="G1662" s="1"/>
  <c r="G1686"/>
  <c r="G1655"/>
  <c r="G1654" s="1"/>
  <c r="G1653" s="1"/>
  <c r="G1652" s="1"/>
  <c r="G1651" s="1"/>
  <c r="G1650" s="1"/>
  <c r="G1637"/>
  <c r="G1636" s="1"/>
  <c r="G1630"/>
  <c r="G1629" s="1"/>
  <c r="G1628" s="1"/>
  <c r="G1627" s="1"/>
  <c r="G1626" s="1"/>
  <c r="G1625"/>
  <c r="G1624" s="1"/>
  <c r="G1623" s="1"/>
  <c r="G1622" s="1"/>
  <c r="G1621" s="1"/>
  <c r="G1620"/>
  <c r="G1619" s="1"/>
  <c r="G1618" s="1"/>
  <c r="G1617"/>
  <c r="G1616" s="1"/>
  <c r="G1613"/>
  <c r="G1612" s="1"/>
  <c r="G1611" s="1"/>
  <c r="G1610"/>
  <c r="G1609" s="1"/>
  <c r="G1606"/>
  <c r="G1605" s="1"/>
  <c r="G1604" s="1"/>
  <c r="G1603"/>
  <c r="G1602" s="1"/>
  <c r="G1601" s="1"/>
  <c r="G1600"/>
  <c r="G1599" s="1"/>
  <c r="G1596"/>
  <c r="G1595" s="1"/>
  <c r="G1594" s="1"/>
  <c r="G1593"/>
  <c r="G1592" s="1"/>
  <c r="G1589"/>
  <c r="G1588" s="1"/>
  <c r="G1587" s="1"/>
  <c r="G1586"/>
  <c r="G1585" s="1"/>
  <c r="G1584" s="1"/>
  <c r="G1583"/>
  <c r="G1582" s="1"/>
  <c r="G1579"/>
  <c r="G1578" s="1"/>
  <c r="G1577" s="1"/>
  <c r="G1576"/>
  <c r="G1575" s="1"/>
  <c r="G1574" s="1"/>
  <c r="G1573"/>
  <c r="G1572" s="1"/>
  <c r="G1569"/>
  <c r="G1567" s="1"/>
  <c r="G1566" s="1"/>
  <c r="G1565"/>
  <c r="G1564" s="1"/>
  <c r="G1563" s="1"/>
  <c r="G1562"/>
  <c r="G1561" s="1"/>
  <c r="G1558"/>
  <c r="G1557" s="1"/>
  <c r="G1556" s="1"/>
  <c r="G1555"/>
  <c r="G1554" s="1"/>
  <c r="G1553" s="1"/>
  <c r="G1552"/>
  <c r="G1551" s="1"/>
  <c r="G1549"/>
  <c r="G1548" s="1"/>
  <c r="G1547" s="1"/>
  <c r="G1546"/>
  <c r="G1545" s="1"/>
  <c r="G1544" s="1"/>
  <c r="G1543"/>
  <c r="G1542" s="1"/>
  <c r="G1540"/>
  <c r="G1538" s="1"/>
  <c r="G1537" s="1"/>
  <c r="G1536"/>
  <c r="G1535" s="1"/>
  <c r="G1534" s="1"/>
  <c r="G1533"/>
  <c r="G1532" s="1"/>
  <c r="G1528"/>
  <c r="G1527" s="1"/>
  <c r="G1526" s="1"/>
  <c r="G1525" s="1"/>
  <c r="G1524" s="1"/>
  <c r="G1513"/>
  <c r="G1512" s="1"/>
  <c r="G1511" s="1"/>
  <c r="G1510" s="1"/>
  <c r="G1509" s="1"/>
  <c r="G1508" s="1"/>
  <c r="G1507" s="1"/>
  <c r="G1506"/>
  <c r="G1505" s="1"/>
  <c r="G1504" s="1"/>
  <c r="G1503" s="1"/>
  <c r="G1502" s="1"/>
  <c r="G1501" s="1"/>
  <c r="G1500"/>
  <c r="G1499" s="1"/>
  <c r="G1498" s="1"/>
  <c r="G1497" s="1"/>
  <c r="G1496"/>
  <c r="G1493"/>
  <c r="G1492" s="1"/>
  <c r="G1491" s="1"/>
  <c r="G1490"/>
  <c r="G1486"/>
  <c r="G1485" s="1"/>
  <c r="G1480"/>
  <c r="G1472"/>
  <c r="G1471" s="1"/>
  <c r="G1470" s="1"/>
  <c r="G1469" s="1"/>
  <c r="G1468" s="1"/>
  <c r="G1467" s="1"/>
  <c r="G1466"/>
  <c r="G1465"/>
  <c r="G1462"/>
  <c r="G1461" s="1"/>
  <c r="G1460" s="1"/>
  <c r="G1459"/>
  <c r="G1458" s="1"/>
  <c r="G1454"/>
  <c r="G1453" s="1"/>
  <c r="G1448"/>
  <c r="G1442"/>
  <c r="G1441" s="1"/>
  <c r="G1440" s="1"/>
  <c r="G1439" s="1"/>
  <c r="G1438" s="1"/>
  <c r="G1437"/>
  <c r="G1436" s="1"/>
  <c r="G1435" s="1"/>
  <c r="G1434" s="1"/>
  <c r="G1431"/>
  <c r="G1418"/>
  <c r="G1417"/>
  <c r="G1411"/>
  <c r="G1404"/>
  <c r="G1401" s="1"/>
  <c r="G1400" s="1"/>
  <c r="G1399" s="1"/>
  <c r="G1398" s="1"/>
  <c r="G1397"/>
  <c r="G1396" s="1"/>
  <c r="G1395" s="1"/>
  <c r="G1390"/>
  <c r="G1389"/>
  <c r="G1386"/>
  <c r="G1385" s="1"/>
  <c r="G1384" s="1"/>
  <c r="G1383"/>
  <c r="G1378"/>
  <c r="G1377" s="1"/>
  <c r="G1376" s="1"/>
  <c r="G1375" s="1"/>
  <c r="G1374" s="1"/>
  <c r="G1370"/>
  <c r="G1369"/>
  <c r="G1363"/>
  <c r="G1362" s="1"/>
  <c r="G1361" s="1"/>
  <c r="G1360"/>
  <c r="G1359" s="1"/>
  <c r="G1355"/>
  <c r="G1354" s="1"/>
  <c r="G1353" s="1"/>
  <c r="G1352" s="1"/>
  <c r="G1351" s="1"/>
  <c r="G1350"/>
  <c r="G1341"/>
  <c r="G1340" s="1"/>
  <c r="G1338"/>
  <c r="G1337" s="1"/>
  <c r="G1332"/>
  <c r="G1331" s="1"/>
  <c r="G1330"/>
  <c r="G1329" s="1"/>
  <c r="G1306"/>
  <c r="G1305" s="1"/>
  <c r="G1304"/>
  <c r="G1303" s="1"/>
  <c r="G1299"/>
  <c r="G1298" s="1"/>
  <c r="G1297"/>
  <c r="G1296" s="1"/>
  <c r="G1286"/>
  <c r="G1285" s="1"/>
  <c r="G1284" s="1"/>
  <c r="G1283" s="1"/>
  <c r="G1282" s="1"/>
  <c r="G1281"/>
  <c r="G1280" s="1"/>
  <c r="G1279"/>
  <c r="G1278" s="1"/>
  <c r="G1276"/>
  <c r="G1275" s="1"/>
  <c r="G1274" s="1"/>
  <c r="G1271"/>
  <c r="G1270" s="1"/>
  <c r="G1245"/>
  <c r="G1244"/>
  <c r="G1241"/>
  <c r="G1240" s="1"/>
  <c r="G1239" s="1"/>
  <c r="G1238"/>
  <c r="G1237" s="1"/>
  <c r="G1228"/>
  <c r="G1227" s="1"/>
  <c r="G1226" s="1"/>
  <c r="G1225" s="1"/>
  <c r="G1224"/>
  <c r="G1223" s="1"/>
  <c r="G1222" s="1"/>
  <c r="G1221" s="1"/>
  <c r="G1209"/>
  <c r="G1208" s="1"/>
  <c r="G1207" s="1"/>
  <c r="G1206" s="1"/>
  <c r="G1205" s="1"/>
  <c r="G1161"/>
  <c r="G1160" s="1"/>
  <c r="G1159" s="1"/>
  <c r="G1158" s="1"/>
  <c r="G1157" s="1"/>
  <c r="G1156" s="1"/>
  <c r="G1155"/>
  <c r="G1154" s="1"/>
  <c r="G1153" s="1"/>
  <c r="G1152" s="1"/>
  <c r="G1151" s="1"/>
  <c r="G1150" s="1"/>
  <c r="G1149"/>
  <c r="G1148" s="1"/>
  <c r="G1147" s="1"/>
  <c r="G1146" s="1"/>
  <c r="G1145" s="1"/>
  <c r="G1144" s="1"/>
  <c r="G1143"/>
  <c r="G1142" s="1"/>
  <c r="G1141" s="1"/>
  <c r="G1140" s="1"/>
  <c r="G1139" s="1"/>
  <c r="G1133"/>
  <c r="G1132" s="1"/>
  <c r="G1131" s="1"/>
  <c r="G1130" s="1"/>
  <c r="G1129" s="1"/>
  <c r="G1128"/>
  <c r="G1127" s="1"/>
  <c r="G1126" s="1"/>
  <c r="G1125" s="1"/>
  <c r="G1124" s="1"/>
  <c r="G1115"/>
  <c r="G1114" s="1"/>
  <c r="G1113" s="1"/>
  <c r="G1112" s="1"/>
  <c r="G1111" s="1"/>
  <c r="G1107"/>
  <c r="G1106" s="1"/>
  <c r="G1105" s="1"/>
  <c r="G1104" s="1"/>
  <c r="G1103" s="1"/>
  <c r="G1102" s="1"/>
  <c r="G1101"/>
  <c r="G1100" s="1"/>
  <c r="G1099" s="1"/>
  <c r="G1098" s="1"/>
  <c r="G1097" s="1"/>
  <c r="G1096" s="1"/>
  <c r="G1094"/>
  <c r="G1093" s="1"/>
  <c r="G1092" s="1"/>
  <c r="G1091" s="1"/>
  <c r="G1090"/>
  <c r="G1089" s="1"/>
  <c r="G1088" s="1"/>
  <c r="G1087" s="1"/>
  <c r="G1086" s="1"/>
  <c r="G1077"/>
  <c r="G1076" s="1"/>
  <c r="G1075" s="1"/>
  <c r="G1074" s="1"/>
  <c r="G1073" s="1"/>
  <c r="G1072" s="1"/>
  <c r="G1071"/>
  <c r="G1070" s="1"/>
  <c r="G1069" s="1"/>
  <c r="G1068" s="1"/>
  <c r="G1067" s="1"/>
  <c r="G1066" s="1"/>
  <c r="G1064"/>
  <c r="G1063" s="1"/>
  <c r="G1062" s="1"/>
  <c r="G1061" s="1"/>
  <c r="G1060" s="1"/>
  <c r="G1059" s="1"/>
  <c r="G1058"/>
  <c r="G1057" s="1"/>
  <c r="G1056" s="1"/>
  <c r="G1055" s="1"/>
  <c r="G1054" s="1"/>
  <c r="G1053" s="1"/>
  <c r="G1052"/>
  <c r="G1051" s="1"/>
  <c r="G1050" s="1"/>
  <c r="G1049" s="1"/>
  <c r="G1048" s="1"/>
  <c r="G1047"/>
  <c r="G1046" s="1"/>
  <c r="G1045" s="1"/>
  <c r="G1044" s="1"/>
  <c r="G1043" s="1"/>
  <c r="G1041"/>
  <c r="G1040" s="1"/>
  <c r="G1039" s="1"/>
  <c r="G1038"/>
  <c r="G1037"/>
  <c r="G1034"/>
  <c r="G1033" s="1"/>
  <c r="G1029"/>
  <c r="G1028" s="1"/>
  <c r="G1027"/>
  <c r="G1026" s="1"/>
  <c r="G1025" s="1"/>
  <c r="G1019"/>
  <c r="G1018" s="1"/>
  <c r="G1017" s="1"/>
  <c r="G1016" s="1"/>
  <c r="G1015" s="1"/>
  <c r="G1014" s="1"/>
  <c r="G1013"/>
  <c r="G1012" s="1"/>
  <c r="G1011" s="1"/>
  <c r="G1010" s="1"/>
  <c r="G1009" s="1"/>
  <c r="G1008" s="1"/>
  <c r="G1001"/>
  <c r="G1000" s="1"/>
  <c r="G999" s="1"/>
  <c r="G998" s="1"/>
  <c r="G997" s="1"/>
  <c r="G996" s="1"/>
  <c r="G995" s="1"/>
  <c r="G994"/>
  <c r="G993" s="1"/>
  <c r="G992" s="1"/>
  <c r="G991" s="1"/>
  <c r="G990" s="1"/>
  <c r="G989" s="1"/>
  <c r="G988" s="1"/>
  <c r="G987" s="1"/>
  <c r="G986"/>
  <c r="G985" s="1"/>
  <c r="G984" s="1"/>
  <c r="G983" s="1"/>
  <c r="G982" s="1"/>
  <c r="G981" s="1"/>
  <c r="G980" s="1"/>
  <c r="G979"/>
  <c r="G978" s="1"/>
  <c r="G977" s="1"/>
  <c r="G976" s="1"/>
  <c r="G975" s="1"/>
  <c r="G974" s="1"/>
  <c r="G967"/>
  <c r="G966" s="1"/>
  <c r="G965" s="1"/>
  <c r="G964" s="1"/>
  <c r="G963" s="1"/>
  <c r="G962" s="1"/>
  <c r="G960"/>
  <c r="G959" s="1"/>
  <c r="G958" s="1"/>
  <c r="G957" s="1"/>
  <c r="G956" s="1"/>
  <c r="G955" s="1"/>
  <c r="G952"/>
  <c r="G951" s="1"/>
  <c r="G950" s="1"/>
  <c r="G946" s="1"/>
  <c r="G945" s="1"/>
  <c r="G944" s="1"/>
  <c r="G940"/>
  <c r="G939" s="1"/>
  <c r="G938" s="1"/>
  <c r="G937"/>
  <c r="G936" s="1"/>
  <c r="G934"/>
  <c r="G933"/>
  <c r="G926"/>
  <c r="G925"/>
  <c r="G915"/>
  <c r="G914" s="1"/>
  <c r="G913" s="1"/>
  <c r="G912" s="1"/>
  <c r="G911" s="1"/>
  <c r="G909"/>
  <c r="G908" s="1"/>
  <c r="G907" s="1"/>
  <c r="G905"/>
  <c r="G904" s="1"/>
  <c r="G903" s="1"/>
  <c r="G899"/>
  <c r="G898" s="1"/>
  <c r="G897" s="1"/>
  <c r="G893" s="1"/>
  <c r="G892" s="1"/>
  <c r="G891" s="1"/>
  <c r="G890"/>
  <c r="G889" s="1"/>
  <c r="G888" s="1"/>
  <c r="G887" s="1"/>
  <c r="G886" s="1"/>
  <c r="G885" s="1"/>
  <c r="G871"/>
  <c r="G870" s="1"/>
  <c r="G869" s="1"/>
  <c r="G868" s="1"/>
  <c r="G867" s="1"/>
  <c r="G866" s="1"/>
  <c r="G865"/>
  <c r="G864" s="1"/>
  <c r="G863" s="1"/>
  <c r="G862" s="1"/>
  <c r="G861" s="1"/>
  <c r="G860" s="1"/>
  <c r="G859"/>
  <c r="G858"/>
  <c r="G825"/>
  <c r="G824" s="1"/>
  <c r="G823" s="1"/>
  <c r="G819" s="1"/>
  <c r="G818" s="1"/>
  <c r="G817" s="1"/>
  <c r="G816" s="1"/>
  <c r="G811"/>
  <c r="G810" s="1"/>
  <c r="G809" s="1"/>
  <c r="G805" s="1"/>
  <c r="G804" s="1"/>
  <c r="G803" s="1"/>
  <c r="G802" s="1"/>
  <c r="G801"/>
  <c r="G800" s="1"/>
  <c r="G799" s="1"/>
  <c r="G795" s="1"/>
  <c r="G794" s="1"/>
  <c r="G793" s="1"/>
  <c r="G792" s="1"/>
  <c r="G791"/>
  <c r="G790" s="1"/>
  <c r="G789" s="1"/>
  <c r="G785" s="1"/>
  <c r="G784" s="1"/>
  <c r="G783" s="1"/>
  <c r="G782" s="1"/>
  <c r="G775"/>
  <c r="G774" s="1"/>
  <c r="G773" s="1"/>
  <c r="G772" s="1"/>
  <c r="G771" s="1"/>
  <c r="G770" s="1"/>
  <c r="G769"/>
  <c r="G768" s="1"/>
  <c r="G767" s="1"/>
  <c r="G766" s="1"/>
  <c r="G765" s="1"/>
  <c r="G764" s="1"/>
  <c r="G762"/>
  <c r="G761" s="1"/>
  <c r="G760" s="1"/>
  <c r="G759" s="1"/>
  <c r="G758" s="1"/>
  <c r="G757" s="1"/>
  <c r="G756"/>
  <c r="G755" s="1"/>
  <c r="G754" s="1"/>
  <c r="G753"/>
  <c r="G752" s="1"/>
  <c r="G750"/>
  <c r="G749" s="1"/>
  <c r="G744"/>
  <c r="G743"/>
  <c r="G737"/>
  <c r="G736" s="1"/>
  <c r="G735" s="1"/>
  <c r="G730"/>
  <c r="G729" s="1"/>
  <c r="G728" s="1"/>
  <c r="G727" s="1"/>
  <c r="G726" s="1"/>
  <c r="G725"/>
  <c r="G724" s="1"/>
  <c r="G723" s="1"/>
  <c r="G722" s="1"/>
  <c r="G721" s="1"/>
  <c r="G714"/>
  <c r="G713" s="1"/>
  <c r="G712" s="1"/>
  <c r="G711" s="1"/>
  <c r="G710" s="1"/>
  <c r="G709"/>
  <c r="G708" s="1"/>
  <c r="G707" s="1"/>
  <c r="G703"/>
  <c r="G702" s="1"/>
  <c r="G701" s="1"/>
  <c r="G700" s="1"/>
  <c r="G699" s="1"/>
  <c r="G698"/>
  <c r="G697" s="1"/>
  <c r="G696" s="1"/>
  <c r="G695" s="1"/>
  <c r="G694" s="1"/>
  <c r="G692"/>
  <c r="G691" s="1"/>
  <c r="G690" s="1"/>
  <c r="G689" s="1"/>
  <c r="G688" s="1"/>
  <c r="G687"/>
  <c r="G686" s="1"/>
  <c r="G685" s="1"/>
  <c r="G684" s="1"/>
  <c r="G683"/>
  <c r="G682" s="1"/>
  <c r="G681" s="1"/>
  <c r="G680" s="1"/>
  <c r="G678"/>
  <c r="G677" s="1"/>
  <c r="G676" s="1"/>
  <c r="G675" s="1"/>
  <c r="G674" s="1"/>
  <c r="G672"/>
  <c r="G671" s="1"/>
  <c r="G670" s="1"/>
  <c r="G669" s="1"/>
  <c r="G668" s="1"/>
  <c r="G667"/>
  <c r="G666" s="1"/>
  <c r="G665" s="1"/>
  <c r="G664" s="1"/>
  <c r="G663" s="1"/>
  <c r="G662"/>
  <c r="G661" s="1"/>
  <c r="G660"/>
  <c r="G659" s="1"/>
  <c r="G657"/>
  <c r="G656" s="1"/>
  <c r="G655" s="1"/>
  <c r="G652"/>
  <c r="G651" s="1"/>
  <c r="G650" s="1"/>
  <c r="G646"/>
  <c r="G645" s="1"/>
  <c r="G644" s="1"/>
  <c r="G643" s="1"/>
  <c r="G642" s="1"/>
  <c r="G641"/>
  <c r="G640" s="1"/>
  <c r="G636"/>
  <c r="G635" s="1"/>
  <c r="G634" s="1"/>
  <c r="G623"/>
  <c r="G622" s="1"/>
  <c r="G621" s="1"/>
  <c r="G620" s="1"/>
  <c r="G619" s="1"/>
  <c r="G618" s="1"/>
  <c r="G617"/>
  <c r="G616" s="1"/>
  <c r="G610"/>
  <c r="G605"/>
  <c r="G600"/>
  <c r="G599" s="1"/>
  <c r="G598" s="1"/>
  <c r="G597" s="1"/>
  <c r="G596" s="1"/>
  <c r="G589"/>
  <c r="G584"/>
  <c r="G583" s="1"/>
  <c r="G578"/>
  <c r="G577" s="1"/>
  <c r="G576" s="1"/>
  <c r="G575" s="1"/>
  <c r="G571"/>
  <c r="G570" s="1"/>
  <c r="G569" s="1"/>
  <c r="G568" s="1"/>
  <c r="G567" s="1"/>
  <c r="G566"/>
  <c r="G565" s="1"/>
  <c r="G564" s="1"/>
  <c r="G563" s="1"/>
  <c r="G562" s="1"/>
  <c r="G561" s="1"/>
  <c r="G560"/>
  <c r="G559" s="1"/>
  <c r="G558" s="1"/>
  <c r="G557" s="1"/>
  <c r="G556" s="1"/>
  <c r="G555"/>
  <c r="G554" s="1"/>
  <c r="G553" s="1"/>
  <c r="G552" s="1"/>
  <c r="G551" s="1"/>
  <c r="G549"/>
  <c r="G548" s="1"/>
  <c r="G547" s="1"/>
  <c r="G546" s="1"/>
  <c r="G545" s="1"/>
  <c r="G544" s="1"/>
  <c r="G542"/>
  <c r="G541" s="1"/>
  <c r="G540" s="1"/>
  <c r="G539"/>
  <c r="G538" s="1"/>
  <c r="G533"/>
  <c r="G532" s="1"/>
  <c r="G531" s="1"/>
  <c r="G530"/>
  <c r="G529" s="1"/>
  <c r="G528" s="1"/>
  <c r="G527"/>
  <c r="G526" s="1"/>
  <c r="G521"/>
  <c r="G520" s="1"/>
  <c r="G519" s="1"/>
  <c r="G518" s="1"/>
  <c r="G517"/>
  <c r="G516"/>
  <c r="G515" s="1"/>
  <c r="G511"/>
  <c r="G510" s="1"/>
  <c r="G509"/>
  <c r="G508" s="1"/>
  <c r="G503"/>
  <c r="G502" s="1"/>
  <c r="G501"/>
  <c r="G500" s="1"/>
  <c r="G498"/>
  <c r="G497" s="1"/>
  <c r="G496" s="1"/>
  <c r="G492"/>
  <c r="G491" s="1"/>
  <c r="G490" s="1"/>
  <c r="G489" s="1"/>
  <c r="G488" s="1"/>
  <c r="G487" s="1"/>
  <c r="G486"/>
  <c r="G485" s="1"/>
  <c r="G484"/>
  <c r="G483" s="1"/>
  <c r="G478"/>
  <c r="G477" s="1"/>
  <c r="G476"/>
  <c r="G475" s="1"/>
  <c r="G470"/>
  <c r="G469" s="1"/>
  <c r="G468" s="1"/>
  <c r="G467" s="1"/>
  <c r="G466" s="1"/>
  <c r="G465" s="1"/>
  <c r="G463"/>
  <c r="G462" s="1"/>
  <c r="G461" s="1"/>
  <c r="G460" s="1"/>
  <c r="G459" s="1"/>
  <c r="G458" s="1"/>
  <c r="G451"/>
  <c r="G450" s="1"/>
  <c r="G449" s="1"/>
  <c r="G448" s="1"/>
  <c r="G447" s="1"/>
  <c r="G446" s="1"/>
  <c r="G439" s="1"/>
  <c r="G438"/>
  <c r="G437" s="1"/>
  <c r="G436" s="1"/>
  <c r="G435" s="1"/>
  <c r="G434" s="1"/>
  <c r="G433" s="1"/>
  <c r="G432" s="1"/>
  <c r="G431"/>
  <c r="G430" s="1"/>
  <c r="G429" s="1"/>
  <c r="G428" s="1"/>
  <c r="G427" s="1"/>
  <c r="G426" s="1"/>
  <c r="G425"/>
  <c r="G424" s="1"/>
  <c r="G423" s="1"/>
  <c r="G422" s="1"/>
  <c r="G421" s="1"/>
  <c r="G420" s="1"/>
  <c r="G419"/>
  <c r="G418" s="1"/>
  <c r="G417" s="1"/>
  <c r="G416" s="1"/>
  <c r="G415" s="1"/>
  <c r="G414" s="1"/>
  <c r="G406"/>
  <c r="G405" s="1"/>
  <c r="G404"/>
  <c r="G403" s="1"/>
  <c r="G398"/>
  <c r="G397" s="1"/>
  <c r="G396"/>
  <c r="G395" s="1"/>
  <c r="G390"/>
  <c r="G389" s="1"/>
  <c r="G388" s="1"/>
  <c r="G387" s="1"/>
  <c r="G386" s="1"/>
  <c r="G385" s="1"/>
  <c r="G377"/>
  <c r="G376" s="1"/>
  <c r="G375" s="1"/>
  <c r="G374" s="1"/>
  <c r="G373" s="1"/>
  <c r="G372" s="1"/>
  <c r="G371"/>
  <c r="G370" s="1"/>
  <c r="G369" s="1"/>
  <c r="G368" s="1"/>
  <c r="G367" s="1"/>
  <c r="G366" s="1"/>
  <c r="G365"/>
  <c r="G364" s="1"/>
  <c r="G363" s="1"/>
  <c r="G362" s="1"/>
  <c r="G361" s="1"/>
  <c r="G360"/>
  <c r="G359" s="1"/>
  <c r="G358" s="1"/>
  <c r="G357" s="1"/>
  <c r="G356" s="1"/>
  <c r="G354"/>
  <c r="G353" s="1"/>
  <c r="G352" s="1"/>
  <c r="G351" s="1"/>
  <c r="G350" s="1"/>
  <c r="G349" s="1"/>
  <c r="G341"/>
  <c r="G340" s="1"/>
  <c r="G339" s="1"/>
  <c r="G338" s="1"/>
  <c r="G337" s="1"/>
  <c r="G336" s="1"/>
  <c r="G335"/>
  <c r="G334" s="1"/>
  <c r="G333" s="1"/>
  <c r="G332" s="1"/>
  <c r="G331" s="1"/>
  <c r="G330" s="1"/>
  <c r="G329"/>
  <c r="G328" s="1"/>
  <c r="G327" s="1"/>
  <c r="G326" s="1"/>
  <c r="G325" s="1"/>
  <c r="G324" s="1"/>
  <c r="G323"/>
  <c r="G322" s="1"/>
  <c r="G321" s="1"/>
  <c r="G320" s="1"/>
  <c r="G319" s="1"/>
  <c r="G318" s="1"/>
  <c r="G317"/>
  <c r="G316" s="1"/>
  <c r="G315" s="1"/>
  <c r="G314" s="1"/>
  <c r="G313" s="1"/>
  <c r="G312" s="1"/>
  <c r="G311"/>
  <c r="G310" s="1"/>
  <c r="G309" s="1"/>
  <c r="G308" s="1"/>
  <c r="G307" s="1"/>
  <c r="G306" s="1"/>
  <c r="G292"/>
  <c r="G291" s="1"/>
  <c r="G290" s="1"/>
  <c r="G289" s="1"/>
  <c r="G288" s="1"/>
  <c r="G287" s="1"/>
  <c r="G286"/>
  <c r="G285" s="1"/>
  <c r="G284" s="1"/>
  <c r="G283" s="1"/>
  <c r="G282" s="1"/>
  <c r="G281" s="1"/>
  <c r="G280"/>
  <c r="G279" s="1"/>
  <c r="G278" s="1"/>
  <c r="G277" s="1"/>
  <c r="G276" s="1"/>
  <c r="G275" s="1"/>
  <c r="G274"/>
  <c r="G273" s="1"/>
  <c r="G272" s="1"/>
  <c r="G271" s="1"/>
  <c r="G270" s="1"/>
  <c r="G269" s="1"/>
  <c r="G268"/>
  <c r="G267" s="1"/>
  <c r="G266" s="1"/>
  <c r="G265" s="1"/>
  <c r="G264" s="1"/>
  <c r="G263" s="1"/>
  <c r="G255"/>
  <c r="G254" s="1"/>
  <c r="G253" s="1"/>
  <c r="G252" s="1"/>
  <c r="G251" s="1"/>
  <c r="G250" s="1"/>
  <c r="G249"/>
  <c r="G248" s="1"/>
  <c r="G247" s="1"/>
  <c r="G243" s="1"/>
  <c r="G242" s="1"/>
  <c r="G241" s="1"/>
  <c r="G232"/>
  <c r="G231" s="1"/>
  <c r="G230" s="1"/>
  <c r="G229"/>
  <c r="G228"/>
  <c r="G223"/>
  <c r="G222" s="1"/>
  <c r="G221" s="1"/>
  <c r="G220" s="1"/>
  <c r="G219"/>
  <c r="G218" s="1"/>
  <c r="G217" s="1"/>
  <c r="G216"/>
  <c r="G215" s="1"/>
  <c r="G214" s="1"/>
  <c r="G209"/>
  <c r="G208" s="1"/>
  <c r="G207"/>
  <c r="G206" s="1"/>
  <c r="G204"/>
  <c r="G203" s="1"/>
  <c r="G202" s="1"/>
  <c r="G198"/>
  <c r="G197" s="1"/>
  <c r="G196"/>
  <c r="G189"/>
  <c r="G188" s="1"/>
  <c r="G187" s="1"/>
  <c r="G186" s="1"/>
  <c r="G185" s="1"/>
  <c r="G184" s="1"/>
  <c r="G183" s="1"/>
  <c r="G182"/>
  <c r="G181" s="1"/>
  <c r="G180" s="1"/>
  <c r="G179" s="1"/>
  <c r="G178" s="1"/>
  <c r="G177" s="1"/>
  <c r="G176"/>
  <c r="G175" s="1"/>
  <c r="G174" s="1"/>
  <c r="G173" s="1"/>
  <c r="G172" s="1"/>
  <c r="G171" s="1"/>
  <c r="G170"/>
  <c r="G169" s="1"/>
  <c r="G168" s="1"/>
  <c r="G167" s="1"/>
  <c r="G166" s="1"/>
  <c r="G165" s="1"/>
  <c r="G162"/>
  <c r="G161" s="1"/>
  <c r="G160" s="1"/>
  <c r="G159" s="1"/>
  <c r="G157"/>
  <c r="G156" s="1"/>
  <c r="G155" s="1"/>
  <c r="G154" s="1"/>
  <c r="G149"/>
  <c r="G148" s="1"/>
  <c r="G147" s="1"/>
  <c r="G146" s="1"/>
  <c r="G145" s="1"/>
  <c r="G144" s="1"/>
  <c r="G143"/>
  <c r="G142" s="1"/>
  <c r="G141" s="1"/>
  <c r="G140" s="1"/>
  <c r="G139" s="1"/>
  <c r="G138" s="1"/>
  <c r="G137"/>
  <c r="G136" s="1"/>
  <c r="G135" s="1"/>
  <c r="G134" s="1"/>
  <c r="G133" s="1"/>
  <c r="G132" s="1"/>
  <c r="G124"/>
  <c r="G123" s="1"/>
  <c r="G122" s="1"/>
  <c r="G121" s="1"/>
  <c r="G112"/>
  <c r="G111" s="1"/>
  <c r="G110" s="1"/>
  <c r="G109" s="1"/>
  <c r="G108" s="1"/>
  <c r="G107" s="1"/>
  <c r="G105"/>
  <c r="G104" s="1"/>
  <c r="G102"/>
  <c r="G101" s="1"/>
  <c r="G96"/>
  <c r="G95"/>
  <c r="G90"/>
  <c r="G89" s="1"/>
  <c r="G88" s="1"/>
  <c r="G87" s="1"/>
  <c r="G86" s="1"/>
  <c r="G85" s="1"/>
  <c r="G84"/>
  <c r="G83" s="1"/>
  <c r="G82"/>
  <c r="G81" s="1"/>
  <c r="G75"/>
  <c r="G74" s="1"/>
  <c r="G73" s="1"/>
  <c r="G72" s="1"/>
  <c r="G71" s="1"/>
  <c r="G70" s="1"/>
  <c r="G69"/>
  <c r="G68" s="1"/>
  <c r="G67"/>
  <c r="G66" s="1"/>
  <c r="G61"/>
  <c r="G60" s="1"/>
  <c r="G59"/>
  <c r="G58" s="1"/>
  <c r="G50"/>
  <c r="G49" s="1"/>
  <c r="G48" s="1"/>
  <c r="G47" s="1"/>
  <c r="G46" s="1"/>
  <c r="G45" s="1"/>
  <c r="G44"/>
  <c r="G43" s="1"/>
  <c r="G42" s="1"/>
  <c r="G41" s="1"/>
  <c r="G40" s="1"/>
  <c r="G39" s="1"/>
  <c r="G35"/>
  <c r="G34" s="1"/>
  <c r="G33" s="1"/>
  <c r="G32" s="1"/>
  <c r="G31" s="1"/>
  <c r="G25" s="1"/>
  <c r="G24"/>
  <c r="G23" s="1"/>
  <c r="G22" s="1"/>
  <c r="G21" s="1"/>
  <c r="G20" s="1"/>
  <c r="G19" s="1"/>
  <c r="E23" i="1"/>
  <c r="I1751" i="5"/>
  <c r="K1751" s="1"/>
  <c r="M1751" s="1"/>
  <c r="O1751" s="1"/>
  <c r="Q1751" s="1"/>
  <c r="S1751" s="1"/>
  <c r="U1751" s="1"/>
  <c r="I1748"/>
  <c r="K1748" s="1"/>
  <c r="M1748" s="1"/>
  <c r="O1748" s="1"/>
  <c r="Q1748" s="1"/>
  <c r="S1748" s="1"/>
  <c r="U1748" s="1"/>
  <c r="I1745"/>
  <c r="K1745" s="1"/>
  <c r="M1745" s="1"/>
  <c r="O1745" s="1"/>
  <c r="Q1745" s="1"/>
  <c r="S1745" s="1"/>
  <c r="U1745" s="1"/>
  <c r="I1739"/>
  <c r="K1739" s="1"/>
  <c r="M1739" s="1"/>
  <c r="O1739" s="1"/>
  <c r="Q1739" s="1"/>
  <c r="S1739" s="1"/>
  <c r="U1739" s="1"/>
  <c r="I1733"/>
  <c r="K1733" s="1"/>
  <c r="M1733" s="1"/>
  <c r="O1733" s="1"/>
  <c r="Q1733" s="1"/>
  <c r="S1733" s="1"/>
  <c r="U1733" s="1"/>
  <c r="I1730"/>
  <c r="K1730" s="1"/>
  <c r="M1730" s="1"/>
  <c r="O1730" s="1"/>
  <c r="Q1730" s="1"/>
  <c r="S1730" s="1"/>
  <c r="U1730" s="1"/>
  <c r="I1701"/>
  <c r="K1701" s="1"/>
  <c r="M1701" s="1"/>
  <c r="O1701" s="1"/>
  <c r="Q1701" s="1"/>
  <c r="S1701" s="1"/>
  <c r="U1701" s="1"/>
  <c r="I1675"/>
  <c r="K1675" s="1"/>
  <c r="M1675" s="1"/>
  <c r="O1675" s="1"/>
  <c r="Q1675" s="1"/>
  <c r="S1675" s="1"/>
  <c r="U1675" s="1"/>
  <c r="I1663"/>
  <c r="K1663" s="1"/>
  <c r="M1663" s="1"/>
  <c r="O1663" s="1"/>
  <c r="Q1663" s="1"/>
  <c r="S1663" s="1"/>
  <c r="U1663" s="1"/>
  <c r="I1659"/>
  <c r="K1659" s="1"/>
  <c r="M1659" s="1"/>
  <c r="O1659" s="1"/>
  <c r="Q1659" s="1"/>
  <c r="S1659" s="1"/>
  <c r="U1659" s="1"/>
  <c r="I1655"/>
  <c r="K1655" s="1"/>
  <c r="M1655" s="1"/>
  <c r="O1655" s="1"/>
  <c r="Q1655" s="1"/>
  <c r="S1655" s="1"/>
  <c r="U1655" s="1"/>
  <c r="I1648"/>
  <c r="K1648" s="1"/>
  <c r="M1648" s="1"/>
  <c r="O1648" s="1"/>
  <c r="Q1648" s="1"/>
  <c r="S1648" s="1"/>
  <c r="U1648" s="1"/>
  <c r="I1645"/>
  <c r="K1645" s="1"/>
  <c r="M1645" s="1"/>
  <c r="O1645" s="1"/>
  <c r="Q1645" s="1"/>
  <c r="S1645" s="1"/>
  <c r="U1645" s="1"/>
  <c r="I1641"/>
  <c r="K1641" s="1"/>
  <c r="M1641" s="1"/>
  <c r="O1641" s="1"/>
  <c r="Q1641" s="1"/>
  <c r="S1641" s="1"/>
  <c r="U1641" s="1"/>
  <c r="I1635"/>
  <c r="K1635" s="1"/>
  <c r="M1635" s="1"/>
  <c r="O1635" s="1"/>
  <c r="Q1635" s="1"/>
  <c r="S1635" s="1"/>
  <c r="U1635" s="1"/>
  <c r="I1628"/>
  <c r="K1628" s="1"/>
  <c r="M1628" s="1"/>
  <c r="O1628" s="1"/>
  <c r="Q1628" s="1"/>
  <c r="S1628" s="1"/>
  <c r="U1628" s="1"/>
  <c r="I1617"/>
  <c r="K1617" s="1"/>
  <c r="M1617" s="1"/>
  <c r="O1617" s="1"/>
  <c r="Q1617" s="1"/>
  <c r="S1617" s="1"/>
  <c r="U1617" s="1"/>
  <c r="I1603"/>
  <c r="K1603" s="1"/>
  <c r="M1603" s="1"/>
  <c r="O1603" s="1"/>
  <c r="Q1603" s="1"/>
  <c r="S1603" s="1"/>
  <c r="U1603" s="1"/>
  <c r="I1600"/>
  <c r="K1600" s="1"/>
  <c r="M1600" s="1"/>
  <c r="O1600" s="1"/>
  <c r="Q1600" s="1"/>
  <c r="S1600" s="1"/>
  <c r="U1600" s="1"/>
  <c r="I1597"/>
  <c r="K1597" s="1"/>
  <c r="M1597" s="1"/>
  <c r="O1597" s="1"/>
  <c r="Q1597" s="1"/>
  <c r="S1597" s="1"/>
  <c r="U1597" s="1"/>
  <c r="I1594"/>
  <c r="K1594" s="1"/>
  <c r="M1594" s="1"/>
  <c r="O1594" s="1"/>
  <c r="Q1594" s="1"/>
  <c r="S1594" s="1"/>
  <c r="U1594" s="1"/>
  <c r="I1584"/>
  <c r="K1584" s="1"/>
  <c r="M1584" s="1"/>
  <c r="O1584" s="1"/>
  <c r="Q1584" s="1"/>
  <c r="S1584" s="1"/>
  <c r="U1584" s="1"/>
  <c r="I1583"/>
  <c r="K1583" s="1"/>
  <c r="M1583" s="1"/>
  <c r="O1583" s="1"/>
  <c r="Q1583" s="1"/>
  <c r="S1583" s="1"/>
  <c r="U1583" s="1"/>
  <c r="I1580"/>
  <c r="K1580" s="1"/>
  <c r="M1580" s="1"/>
  <c r="O1580" s="1"/>
  <c r="Q1580" s="1"/>
  <c r="S1580" s="1"/>
  <c r="U1580" s="1"/>
  <c r="I1577"/>
  <c r="K1577" s="1"/>
  <c r="M1577" s="1"/>
  <c r="O1577" s="1"/>
  <c r="Q1577" s="1"/>
  <c r="S1577" s="1"/>
  <c r="U1577" s="1"/>
  <c r="I1564"/>
  <c r="K1564" s="1"/>
  <c r="M1564" s="1"/>
  <c r="O1564" s="1"/>
  <c r="Q1564" s="1"/>
  <c r="S1564" s="1"/>
  <c r="U1564" s="1"/>
  <c r="I1559"/>
  <c r="K1559" s="1"/>
  <c r="M1559" s="1"/>
  <c r="O1559" s="1"/>
  <c r="Q1559" s="1"/>
  <c r="S1559" s="1"/>
  <c r="U1559" s="1"/>
  <c r="I1530"/>
  <c r="K1530" s="1"/>
  <c r="M1530" s="1"/>
  <c r="O1530" s="1"/>
  <c r="Q1530" s="1"/>
  <c r="S1530" s="1"/>
  <c r="U1530" s="1"/>
  <c r="I1523"/>
  <c r="K1523" s="1"/>
  <c r="M1523" s="1"/>
  <c r="O1523" s="1"/>
  <c r="Q1523" s="1"/>
  <c r="S1523" s="1"/>
  <c r="U1523" s="1"/>
  <c r="I1518"/>
  <c r="K1518" s="1"/>
  <c r="M1518" s="1"/>
  <c r="O1518" s="1"/>
  <c r="Q1518" s="1"/>
  <c r="S1518" s="1"/>
  <c r="U1518" s="1"/>
  <c r="I1507"/>
  <c r="K1507" s="1"/>
  <c r="M1507" s="1"/>
  <c r="O1507" s="1"/>
  <c r="Q1507" s="1"/>
  <c r="S1507" s="1"/>
  <c r="U1507" s="1"/>
  <c r="I1502"/>
  <c r="K1502" s="1"/>
  <c r="M1502" s="1"/>
  <c r="O1502" s="1"/>
  <c r="Q1502" s="1"/>
  <c r="S1502" s="1"/>
  <c r="U1502" s="1"/>
  <c r="I1498"/>
  <c r="K1498" s="1"/>
  <c r="M1498" s="1"/>
  <c r="O1498" s="1"/>
  <c r="Q1498" s="1"/>
  <c r="S1498" s="1"/>
  <c r="U1498" s="1"/>
  <c r="I1490"/>
  <c r="K1490" s="1"/>
  <c r="M1490" s="1"/>
  <c r="O1490" s="1"/>
  <c r="Q1490" s="1"/>
  <c r="S1490" s="1"/>
  <c r="U1490" s="1"/>
  <c r="I1487"/>
  <c r="K1487" s="1"/>
  <c r="M1487" s="1"/>
  <c r="O1487" s="1"/>
  <c r="Q1487" s="1"/>
  <c r="S1487" s="1"/>
  <c r="U1487" s="1"/>
  <c r="I1484"/>
  <c r="K1484" s="1"/>
  <c r="M1484" s="1"/>
  <c r="O1484" s="1"/>
  <c r="Q1484" s="1"/>
  <c r="S1484" s="1"/>
  <c r="U1484" s="1"/>
  <c r="I1481"/>
  <c r="K1481" s="1"/>
  <c r="M1481" s="1"/>
  <c r="O1481" s="1"/>
  <c r="Q1481" s="1"/>
  <c r="S1481" s="1"/>
  <c r="U1481" s="1"/>
  <c r="I1463"/>
  <c r="K1463" s="1"/>
  <c r="M1463" s="1"/>
  <c r="O1463" s="1"/>
  <c r="Q1463" s="1"/>
  <c r="S1463" s="1"/>
  <c r="U1463" s="1"/>
  <c r="I1460"/>
  <c r="K1460" s="1"/>
  <c r="M1460" s="1"/>
  <c r="O1460" s="1"/>
  <c r="Q1460" s="1"/>
  <c r="S1460" s="1"/>
  <c r="U1460" s="1"/>
  <c r="I1457"/>
  <c r="K1457" s="1"/>
  <c r="M1457" s="1"/>
  <c r="O1457" s="1"/>
  <c r="Q1457" s="1"/>
  <c r="S1457" s="1"/>
  <c r="U1457" s="1"/>
  <c r="I1445"/>
  <c r="K1445" s="1"/>
  <c r="M1445" s="1"/>
  <c r="O1445" s="1"/>
  <c r="Q1445" s="1"/>
  <c r="S1445" s="1"/>
  <c r="U1445" s="1"/>
  <c r="I1435"/>
  <c r="K1435" s="1"/>
  <c r="M1435" s="1"/>
  <c r="O1435" s="1"/>
  <c r="Q1435" s="1"/>
  <c r="S1435" s="1"/>
  <c r="U1435" s="1"/>
  <c r="I1428"/>
  <c r="K1428" s="1"/>
  <c r="M1428" s="1"/>
  <c r="O1428" s="1"/>
  <c r="Q1428" s="1"/>
  <c r="S1428" s="1"/>
  <c r="U1428" s="1"/>
  <c r="I1420"/>
  <c r="K1420" s="1"/>
  <c r="M1420" s="1"/>
  <c r="O1420" s="1"/>
  <c r="Q1420" s="1"/>
  <c r="S1420" s="1"/>
  <c r="U1420" s="1"/>
  <c r="I1406"/>
  <c r="K1406" s="1"/>
  <c r="M1406" s="1"/>
  <c r="O1406" s="1"/>
  <c r="Q1406" s="1"/>
  <c r="S1406" s="1"/>
  <c r="U1406" s="1"/>
  <c r="I1399"/>
  <c r="K1399" s="1"/>
  <c r="M1399" s="1"/>
  <c r="O1399" s="1"/>
  <c r="Q1399" s="1"/>
  <c r="S1399" s="1"/>
  <c r="U1399" s="1"/>
  <c r="I1398"/>
  <c r="K1398" s="1"/>
  <c r="M1398" s="1"/>
  <c r="O1398" s="1"/>
  <c r="Q1398" s="1"/>
  <c r="S1398" s="1"/>
  <c r="U1398" s="1"/>
  <c r="I1377"/>
  <c r="K1377" s="1"/>
  <c r="M1377" s="1"/>
  <c r="O1377" s="1"/>
  <c r="Q1377" s="1"/>
  <c r="S1377" s="1"/>
  <c r="U1377" s="1"/>
  <c r="I1369"/>
  <c r="K1369" s="1"/>
  <c r="M1369" s="1"/>
  <c r="O1369" s="1"/>
  <c r="Q1369" s="1"/>
  <c r="S1369" s="1"/>
  <c r="U1369" s="1"/>
  <c r="I1361"/>
  <c r="K1361" s="1"/>
  <c r="M1361" s="1"/>
  <c r="O1361" s="1"/>
  <c r="Q1361" s="1"/>
  <c r="S1361" s="1"/>
  <c r="U1361" s="1"/>
  <c r="I1353"/>
  <c r="K1353" s="1"/>
  <c r="M1353" s="1"/>
  <c r="O1353" s="1"/>
  <c r="Q1353" s="1"/>
  <c r="S1353" s="1"/>
  <c r="U1353" s="1"/>
  <c r="I1343"/>
  <c r="K1343" s="1"/>
  <c r="M1343" s="1"/>
  <c r="O1343" s="1"/>
  <c r="Q1343" s="1"/>
  <c r="S1343" s="1"/>
  <c r="U1343" s="1"/>
  <c r="I1335"/>
  <c r="K1335" s="1"/>
  <c r="M1335" s="1"/>
  <c r="O1335" s="1"/>
  <c r="Q1335" s="1"/>
  <c r="S1335" s="1"/>
  <c r="U1335" s="1"/>
  <c r="I1320"/>
  <c r="K1320" s="1"/>
  <c r="M1320" s="1"/>
  <c r="O1320" s="1"/>
  <c r="Q1320" s="1"/>
  <c r="S1320" s="1"/>
  <c r="U1320" s="1"/>
  <c r="I1314"/>
  <c r="K1314" s="1"/>
  <c r="M1314" s="1"/>
  <c r="O1314" s="1"/>
  <c r="Q1314" s="1"/>
  <c r="S1314" s="1"/>
  <c r="U1314" s="1"/>
  <c r="I1310"/>
  <c r="K1310" s="1"/>
  <c r="M1310" s="1"/>
  <c r="O1310" s="1"/>
  <c r="Q1310" s="1"/>
  <c r="S1310" s="1"/>
  <c r="U1310" s="1"/>
  <c r="I1295"/>
  <c r="K1295" s="1"/>
  <c r="M1295" s="1"/>
  <c r="O1295" s="1"/>
  <c r="Q1295" s="1"/>
  <c r="S1295" s="1"/>
  <c r="U1295" s="1"/>
  <c r="I1292"/>
  <c r="K1292" s="1"/>
  <c r="M1292" s="1"/>
  <c r="O1292" s="1"/>
  <c r="Q1292" s="1"/>
  <c r="S1292" s="1"/>
  <c r="U1292" s="1"/>
  <c r="I1286"/>
  <c r="K1286" s="1"/>
  <c r="M1286" s="1"/>
  <c r="O1286" s="1"/>
  <c r="Q1286" s="1"/>
  <c r="S1286" s="1"/>
  <c r="U1286" s="1"/>
  <c r="I1275"/>
  <c r="K1275" s="1"/>
  <c r="M1275" s="1"/>
  <c r="O1275" s="1"/>
  <c r="Q1275" s="1"/>
  <c r="S1275" s="1"/>
  <c r="U1275" s="1"/>
  <c r="I1264"/>
  <c r="K1264" s="1"/>
  <c r="M1264" s="1"/>
  <c r="O1264" s="1"/>
  <c r="Q1264" s="1"/>
  <c r="S1264" s="1"/>
  <c r="U1264" s="1"/>
  <c r="I1263"/>
  <c r="K1263" s="1"/>
  <c r="M1263" s="1"/>
  <c r="O1263" s="1"/>
  <c r="Q1263" s="1"/>
  <c r="S1263" s="1"/>
  <c r="U1263" s="1"/>
  <c r="I1259"/>
  <c r="K1259" s="1"/>
  <c r="M1259" s="1"/>
  <c r="O1259" s="1"/>
  <c r="Q1259" s="1"/>
  <c r="S1259" s="1"/>
  <c r="U1259" s="1"/>
  <c r="I1257"/>
  <c r="K1257" s="1"/>
  <c r="M1257" s="1"/>
  <c r="O1257" s="1"/>
  <c r="Q1257" s="1"/>
  <c r="S1257" s="1"/>
  <c r="U1257" s="1"/>
  <c r="I1254"/>
  <c r="K1254" s="1"/>
  <c r="M1254" s="1"/>
  <c r="O1254" s="1"/>
  <c r="I1250"/>
  <c r="K1250" s="1"/>
  <c r="M1250" s="1"/>
  <c r="O1250" s="1"/>
  <c r="Q1250" s="1"/>
  <c r="S1250" s="1"/>
  <c r="U1250" s="1"/>
  <c r="I1248"/>
  <c r="K1248" s="1"/>
  <c r="M1248" s="1"/>
  <c r="O1248" s="1"/>
  <c r="Q1248" s="1"/>
  <c r="S1248" s="1"/>
  <c r="U1248" s="1"/>
  <c r="I1244"/>
  <c r="K1244" s="1"/>
  <c r="M1244" s="1"/>
  <c r="O1244" s="1"/>
  <c r="Q1244" s="1"/>
  <c r="S1244" s="1"/>
  <c r="U1244" s="1"/>
  <c r="I1237"/>
  <c r="K1237" s="1"/>
  <c r="M1237" s="1"/>
  <c r="O1237" s="1"/>
  <c r="Q1237" s="1"/>
  <c r="S1237" s="1"/>
  <c r="U1237" s="1"/>
  <c r="I1235"/>
  <c r="K1235" s="1"/>
  <c r="M1235" s="1"/>
  <c r="O1235" s="1"/>
  <c r="Q1235" s="1"/>
  <c r="S1235" s="1"/>
  <c r="U1235" s="1"/>
  <c r="I1231"/>
  <c r="K1231" s="1"/>
  <c r="M1231" s="1"/>
  <c r="O1231" s="1"/>
  <c r="Q1231" s="1"/>
  <c r="S1231" s="1"/>
  <c r="U1231" s="1"/>
  <c r="I1229"/>
  <c r="K1229" s="1"/>
  <c r="M1229" s="1"/>
  <c r="O1229" s="1"/>
  <c r="Q1229" s="1"/>
  <c r="S1229" s="1"/>
  <c r="U1229" s="1"/>
  <c r="I1223"/>
  <c r="K1223" s="1"/>
  <c r="M1223" s="1"/>
  <c r="O1223" s="1"/>
  <c r="Q1223" s="1"/>
  <c r="S1223" s="1"/>
  <c r="U1223" s="1"/>
  <c r="I1221"/>
  <c r="K1221" s="1"/>
  <c r="M1221" s="1"/>
  <c r="O1221" s="1"/>
  <c r="Q1221" s="1"/>
  <c r="S1221" s="1"/>
  <c r="U1221" s="1"/>
  <c r="I1209"/>
  <c r="K1209" s="1"/>
  <c r="M1209" s="1"/>
  <c r="O1209" s="1"/>
  <c r="Q1209" s="1"/>
  <c r="S1209" s="1"/>
  <c r="U1209" s="1"/>
  <c r="I1207"/>
  <c r="K1207" s="1"/>
  <c r="M1207" s="1"/>
  <c r="O1207" s="1"/>
  <c r="Q1207" s="1"/>
  <c r="S1207" s="1"/>
  <c r="U1207" s="1"/>
  <c r="I1195"/>
  <c r="K1195" s="1"/>
  <c r="M1195" s="1"/>
  <c r="O1195" s="1"/>
  <c r="Q1195" s="1"/>
  <c r="S1195" s="1"/>
  <c r="U1195" s="1"/>
  <c r="I1192"/>
  <c r="K1192" s="1"/>
  <c r="M1192" s="1"/>
  <c r="O1192" s="1"/>
  <c r="Q1192" s="1"/>
  <c r="S1192" s="1"/>
  <c r="U1192" s="1"/>
  <c r="I1189"/>
  <c r="K1189" s="1"/>
  <c r="M1189" s="1"/>
  <c r="O1189" s="1"/>
  <c r="Q1189" s="1"/>
  <c r="S1189" s="1"/>
  <c r="U1189" s="1"/>
  <c r="I1178"/>
  <c r="K1178" s="1"/>
  <c r="M1178" s="1"/>
  <c r="O1178" s="1"/>
  <c r="Q1178" s="1"/>
  <c r="S1178" s="1"/>
  <c r="U1178" s="1"/>
  <c r="I1176"/>
  <c r="K1176" s="1"/>
  <c r="M1176" s="1"/>
  <c r="O1176" s="1"/>
  <c r="Q1176" s="1"/>
  <c r="S1176" s="1"/>
  <c r="U1176" s="1"/>
  <c r="I1160"/>
  <c r="K1160" s="1"/>
  <c r="M1160" s="1"/>
  <c r="O1160" s="1"/>
  <c r="Q1160" s="1"/>
  <c r="S1160" s="1"/>
  <c r="U1160" s="1"/>
  <c r="I1158"/>
  <c r="K1158" s="1"/>
  <c r="M1158" s="1"/>
  <c r="O1158" s="1"/>
  <c r="Q1158" s="1"/>
  <c r="S1158" s="1"/>
  <c r="U1158" s="1"/>
  <c r="I1154"/>
  <c r="K1154" s="1"/>
  <c r="M1154" s="1"/>
  <c r="O1154" s="1"/>
  <c r="Q1154" s="1"/>
  <c r="S1154" s="1"/>
  <c r="U1154" s="1"/>
  <c r="I1148"/>
  <c r="K1148" s="1"/>
  <c r="M1148" s="1"/>
  <c r="O1148" s="1"/>
  <c r="Q1148" s="1"/>
  <c r="S1148" s="1"/>
  <c r="U1148" s="1"/>
  <c r="I1144"/>
  <c r="K1144" s="1"/>
  <c r="M1144" s="1"/>
  <c r="O1144" s="1"/>
  <c r="Q1144" s="1"/>
  <c r="S1144" s="1"/>
  <c r="U1144" s="1"/>
  <c r="I1140"/>
  <c r="K1140" s="1"/>
  <c r="M1140" s="1"/>
  <c r="O1140" s="1"/>
  <c r="Q1140" s="1"/>
  <c r="S1140" s="1"/>
  <c r="U1140" s="1"/>
  <c r="I1136"/>
  <c r="K1136" s="1"/>
  <c r="M1136" s="1"/>
  <c r="O1136" s="1"/>
  <c r="Q1136" s="1"/>
  <c r="S1136" s="1"/>
  <c r="U1136" s="1"/>
  <c r="I1131"/>
  <c r="K1131" s="1"/>
  <c r="M1131" s="1"/>
  <c r="O1131" s="1"/>
  <c r="Q1131" s="1"/>
  <c r="S1131" s="1"/>
  <c r="U1131" s="1"/>
  <c r="I1126"/>
  <c r="K1126" s="1"/>
  <c r="M1126" s="1"/>
  <c r="O1126" s="1"/>
  <c r="Q1126" s="1"/>
  <c r="S1126" s="1"/>
  <c r="U1126" s="1"/>
  <c r="I1122"/>
  <c r="K1122" s="1"/>
  <c r="M1122" s="1"/>
  <c r="O1122" s="1"/>
  <c r="Q1122" s="1"/>
  <c r="S1122" s="1"/>
  <c r="U1122" s="1"/>
  <c r="I1118"/>
  <c r="K1118" s="1"/>
  <c r="M1118" s="1"/>
  <c r="O1118" s="1"/>
  <c r="Q1118" s="1"/>
  <c r="S1118" s="1"/>
  <c r="U1118" s="1"/>
  <c r="I1113"/>
  <c r="K1113" s="1"/>
  <c r="M1113" s="1"/>
  <c r="O1113" s="1"/>
  <c r="Q1113" s="1"/>
  <c r="S1113" s="1"/>
  <c r="U1113" s="1"/>
  <c r="I1111"/>
  <c r="K1111" s="1"/>
  <c r="M1111" s="1"/>
  <c r="O1111" s="1"/>
  <c r="Q1111" s="1"/>
  <c r="S1111" s="1"/>
  <c r="U1111" s="1"/>
  <c r="I1107"/>
  <c r="K1107" s="1"/>
  <c r="M1107" s="1"/>
  <c r="O1107" s="1"/>
  <c r="Q1107" s="1"/>
  <c r="S1107" s="1"/>
  <c r="U1107" s="1"/>
  <c r="I1102"/>
  <c r="K1102" s="1"/>
  <c r="M1102" s="1"/>
  <c r="O1102" s="1"/>
  <c r="Q1102" s="1"/>
  <c r="S1102" s="1"/>
  <c r="U1102" s="1"/>
  <c r="I1098"/>
  <c r="K1098" s="1"/>
  <c r="M1098" s="1"/>
  <c r="O1098" s="1"/>
  <c r="Q1098" s="1"/>
  <c r="S1098" s="1"/>
  <c r="U1098" s="1"/>
  <c r="I1093"/>
  <c r="K1093" s="1"/>
  <c r="M1093" s="1"/>
  <c r="O1093" s="1"/>
  <c r="Q1093" s="1"/>
  <c r="S1093" s="1"/>
  <c r="U1093" s="1"/>
  <c r="I1089"/>
  <c r="K1089" s="1"/>
  <c r="M1089" s="1"/>
  <c r="O1089" s="1"/>
  <c r="Q1089" s="1"/>
  <c r="S1089" s="1"/>
  <c r="U1089" s="1"/>
  <c r="I1080"/>
  <c r="K1080" s="1"/>
  <c r="M1080" s="1"/>
  <c r="O1080" s="1"/>
  <c r="Q1080" s="1"/>
  <c r="S1080" s="1"/>
  <c r="U1080" s="1"/>
  <c r="I1076"/>
  <c r="K1076" s="1"/>
  <c r="M1076" s="1"/>
  <c r="O1076" s="1"/>
  <c r="Q1076" s="1"/>
  <c r="S1076" s="1"/>
  <c r="U1076" s="1"/>
  <c r="I1071"/>
  <c r="K1071" s="1"/>
  <c r="M1071" s="1"/>
  <c r="O1071" s="1"/>
  <c r="Q1071" s="1"/>
  <c r="S1071" s="1"/>
  <c r="U1071" s="1"/>
  <c r="I1058"/>
  <c r="K1058" s="1"/>
  <c r="M1058" s="1"/>
  <c r="O1058" s="1"/>
  <c r="Q1058" s="1"/>
  <c r="S1058" s="1"/>
  <c r="U1058" s="1"/>
  <c r="I1053"/>
  <c r="K1053" s="1"/>
  <c r="M1053" s="1"/>
  <c r="O1053" s="1"/>
  <c r="Q1053" s="1"/>
  <c r="S1053" s="1"/>
  <c r="U1053" s="1"/>
  <c r="I1044"/>
  <c r="K1044" s="1"/>
  <c r="M1044" s="1"/>
  <c r="O1044" s="1"/>
  <c r="Q1044" s="1"/>
  <c r="S1044" s="1"/>
  <c r="U1044" s="1"/>
  <c r="I1042"/>
  <c r="K1042" s="1"/>
  <c r="M1042" s="1"/>
  <c r="O1042" s="1"/>
  <c r="Q1042" s="1"/>
  <c r="S1042" s="1"/>
  <c r="U1042" s="1"/>
  <c r="I1033"/>
  <c r="K1033" s="1"/>
  <c r="M1033" s="1"/>
  <c r="O1033" s="1"/>
  <c r="Q1033" s="1"/>
  <c r="S1033" s="1"/>
  <c r="U1033" s="1"/>
  <c r="I1029"/>
  <c r="K1029" s="1"/>
  <c r="M1029" s="1"/>
  <c r="O1029" s="1"/>
  <c r="Q1029" s="1"/>
  <c r="S1029" s="1"/>
  <c r="U1029" s="1"/>
  <c r="I1020"/>
  <c r="K1020" s="1"/>
  <c r="M1020" s="1"/>
  <c r="O1020" s="1"/>
  <c r="Q1020" s="1"/>
  <c r="S1020" s="1"/>
  <c r="U1020" s="1"/>
  <c r="I1016"/>
  <c r="K1016" s="1"/>
  <c r="M1016" s="1"/>
  <c r="O1016" s="1"/>
  <c r="Q1016" s="1"/>
  <c r="S1016" s="1"/>
  <c r="U1016" s="1"/>
  <c r="I1012"/>
  <c r="K1012" s="1"/>
  <c r="M1012" s="1"/>
  <c r="O1012" s="1"/>
  <c r="Q1012" s="1"/>
  <c r="S1012" s="1"/>
  <c r="U1012" s="1"/>
  <c r="I1008"/>
  <c r="K1008" s="1"/>
  <c r="M1008" s="1"/>
  <c r="O1008" s="1"/>
  <c r="Q1008" s="1"/>
  <c r="S1008" s="1"/>
  <c r="U1008" s="1"/>
  <c r="I999"/>
  <c r="K999" s="1"/>
  <c r="M999" s="1"/>
  <c r="O999" s="1"/>
  <c r="Q999" s="1"/>
  <c r="S999" s="1"/>
  <c r="U999" s="1"/>
  <c r="I995"/>
  <c r="K995" s="1"/>
  <c r="M995" s="1"/>
  <c r="O995" s="1"/>
  <c r="Q995" s="1"/>
  <c r="S995" s="1"/>
  <c r="U995" s="1"/>
  <c r="I991"/>
  <c r="K991" s="1"/>
  <c r="M991" s="1"/>
  <c r="O991" s="1"/>
  <c r="Q991" s="1"/>
  <c r="S991" s="1"/>
  <c r="U991" s="1"/>
  <c r="I982"/>
  <c r="K982" s="1"/>
  <c r="M982" s="1"/>
  <c r="O982" s="1"/>
  <c r="Q982" s="1"/>
  <c r="S982" s="1"/>
  <c r="U982" s="1"/>
  <c r="I971"/>
  <c r="K971" s="1"/>
  <c r="M971" s="1"/>
  <c r="O971" s="1"/>
  <c r="Q971" s="1"/>
  <c r="S971" s="1"/>
  <c r="U971" s="1"/>
  <c r="I967"/>
  <c r="K967" s="1"/>
  <c r="M967" s="1"/>
  <c r="O967" s="1"/>
  <c r="Q967" s="1"/>
  <c r="S967" s="1"/>
  <c r="U967" s="1"/>
  <c r="I952"/>
  <c r="K952" s="1"/>
  <c r="M952" s="1"/>
  <c r="O952" s="1"/>
  <c r="Q952" s="1"/>
  <c r="S952" s="1"/>
  <c r="U952" s="1"/>
  <c r="I935"/>
  <c r="K935" s="1"/>
  <c r="M935" s="1"/>
  <c r="O935" s="1"/>
  <c r="Q935" s="1"/>
  <c r="S935" s="1"/>
  <c r="U935" s="1"/>
  <c r="I923"/>
  <c r="K923" s="1"/>
  <c r="M923" s="1"/>
  <c r="O923" s="1"/>
  <c r="Q923" s="1"/>
  <c r="S923" s="1"/>
  <c r="U923" s="1"/>
  <c r="I920"/>
  <c r="K920" s="1"/>
  <c r="M920" s="1"/>
  <c r="O920" s="1"/>
  <c r="Q920" s="1"/>
  <c r="S920" s="1"/>
  <c r="U920" s="1"/>
  <c r="I913"/>
  <c r="K913" s="1"/>
  <c r="M913" s="1"/>
  <c r="O913" s="1"/>
  <c r="Q913" s="1"/>
  <c r="S913" s="1"/>
  <c r="U913" s="1"/>
  <c r="I905"/>
  <c r="K905" s="1"/>
  <c r="M905" s="1"/>
  <c r="O905" s="1"/>
  <c r="Q905" s="1"/>
  <c r="S905" s="1"/>
  <c r="U905" s="1"/>
  <c r="I897"/>
  <c r="K897" s="1"/>
  <c r="M897" s="1"/>
  <c r="O897" s="1"/>
  <c r="Q897" s="1"/>
  <c r="S897" s="1"/>
  <c r="U897" s="1"/>
  <c r="I882"/>
  <c r="K882" s="1"/>
  <c r="M882" s="1"/>
  <c r="O882" s="1"/>
  <c r="Q882" s="1"/>
  <c r="S882" s="1"/>
  <c r="U882" s="1"/>
  <c r="I879"/>
  <c r="K879" s="1"/>
  <c r="M879" s="1"/>
  <c r="O879" s="1"/>
  <c r="Q879" s="1"/>
  <c r="S879" s="1"/>
  <c r="U879" s="1"/>
  <c r="I876"/>
  <c r="K876" s="1"/>
  <c r="M876" s="1"/>
  <c r="O876" s="1"/>
  <c r="Q876" s="1"/>
  <c r="S876" s="1"/>
  <c r="U876" s="1"/>
  <c r="I873"/>
  <c r="K873" s="1"/>
  <c r="M873" s="1"/>
  <c r="O873" s="1"/>
  <c r="Q873" s="1"/>
  <c r="S873" s="1"/>
  <c r="U873" s="1"/>
  <c r="I864"/>
  <c r="K864" s="1"/>
  <c r="M864" s="1"/>
  <c r="O864" s="1"/>
  <c r="Q864" s="1"/>
  <c r="S864" s="1"/>
  <c r="U864" s="1"/>
  <c r="I856"/>
  <c r="K856" s="1"/>
  <c r="M856" s="1"/>
  <c r="O856" s="1"/>
  <c r="Q856" s="1"/>
  <c r="S856" s="1"/>
  <c r="U856" s="1"/>
  <c r="I850"/>
  <c r="K850" s="1"/>
  <c r="M850" s="1"/>
  <c r="O850" s="1"/>
  <c r="Q850" s="1"/>
  <c r="S850" s="1"/>
  <c r="U850" s="1"/>
  <c r="I843"/>
  <c r="K843" s="1"/>
  <c r="M843" s="1"/>
  <c r="O843" s="1"/>
  <c r="Q843" s="1"/>
  <c r="S843" s="1"/>
  <c r="U843" s="1"/>
  <c r="I837"/>
  <c r="K837" s="1"/>
  <c r="M837" s="1"/>
  <c r="O837" s="1"/>
  <c r="Q837" s="1"/>
  <c r="S837" s="1"/>
  <c r="U837" s="1"/>
  <c r="I831"/>
  <c r="K831" s="1"/>
  <c r="M831" s="1"/>
  <c r="O831" s="1"/>
  <c r="Q831" s="1"/>
  <c r="S831" s="1"/>
  <c r="U831" s="1"/>
  <c r="I823"/>
  <c r="K823" s="1"/>
  <c r="M823" s="1"/>
  <c r="O823" s="1"/>
  <c r="Q823" s="1"/>
  <c r="S823" s="1"/>
  <c r="U823" s="1"/>
  <c r="I820"/>
  <c r="K820" s="1"/>
  <c r="M820" s="1"/>
  <c r="O820" s="1"/>
  <c r="Q820" s="1"/>
  <c r="S820" s="1"/>
  <c r="U820" s="1"/>
  <c r="I813"/>
  <c r="K813" s="1"/>
  <c r="M813" s="1"/>
  <c r="O813" s="1"/>
  <c r="Q813" s="1"/>
  <c r="S813" s="1"/>
  <c r="U813" s="1"/>
  <c r="I810"/>
  <c r="K810" s="1"/>
  <c r="M810" s="1"/>
  <c r="O810" s="1"/>
  <c r="Q810" s="1"/>
  <c r="S810" s="1"/>
  <c r="U810" s="1"/>
  <c r="I804"/>
  <c r="K804" s="1"/>
  <c r="M804" s="1"/>
  <c r="O804" s="1"/>
  <c r="Q804" s="1"/>
  <c r="S804" s="1"/>
  <c r="U804" s="1"/>
  <c r="I798"/>
  <c r="K798" s="1"/>
  <c r="M798" s="1"/>
  <c r="O798" s="1"/>
  <c r="Q798" s="1"/>
  <c r="S798" s="1"/>
  <c r="U798" s="1"/>
  <c r="I794"/>
  <c r="K794" s="1"/>
  <c r="M794" s="1"/>
  <c r="O794" s="1"/>
  <c r="Q794" s="1"/>
  <c r="S794" s="1"/>
  <c r="U794" s="1"/>
  <c r="I791"/>
  <c r="K791" s="1"/>
  <c r="M791" s="1"/>
  <c r="O791" s="1"/>
  <c r="Q791" s="1"/>
  <c r="S791" s="1"/>
  <c r="U791" s="1"/>
  <c r="I785"/>
  <c r="K785" s="1"/>
  <c r="M785" s="1"/>
  <c r="O785" s="1"/>
  <c r="Q785" s="1"/>
  <c r="S785" s="1"/>
  <c r="U785" s="1"/>
  <c r="I781"/>
  <c r="K781" s="1"/>
  <c r="M781" s="1"/>
  <c r="O781" s="1"/>
  <c r="Q781" s="1"/>
  <c r="S781" s="1"/>
  <c r="U781" s="1"/>
  <c r="I779"/>
  <c r="K779" s="1"/>
  <c r="M779" s="1"/>
  <c r="O779" s="1"/>
  <c r="Q779" s="1"/>
  <c r="S779" s="1"/>
  <c r="U779" s="1"/>
  <c r="I776"/>
  <c r="K776" s="1"/>
  <c r="M776" s="1"/>
  <c r="O776" s="1"/>
  <c r="Q776" s="1"/>
  <c r="S776" s="1"/>
  <c r="U776" s="1"/>
  <c r="I771"/>
  <c r="K771" s="1"/>
  <c r="M771" s="1"/>
  <c r="O771" s="1"/>
  <c r="Q771" s="1"/>
  <c r="S771" s="1"/>
  <c r="U771" s="1"/>
  <c r="I767"/>
  <c r="K767" s="1"/>
  <c r="M767" s="1"/>
  <c r="O767" s="1"/>
  <c r="Q767" s="1"/>
  <c r="S767" s="1"/>
  <c r="U767" s="1"/>
  <c r="I762"/>
  <c r="K762" s="1"/>
  <c r="M762" s="1"/>
  <c r="O762" s="1"/>
  <c r="Q762" s="1"/>
  <c r="S762" s="1"/>
  <c r="U762" s="1"/>
  <c r="I760"/>
  <c r="K760" s="1"/>
  <c r="M760" s="1"/>
  <c r="O760" s="1"/>
  <c r="Q760" s="1"/>
  <c r="S760" s="1"/>
  <c r="U760" s="1"/>
  <c r="I757"/>
  <c r="K757" s="1"/>
  <c r="M757" s="1"/>
  <c r="O757" s="1"/>
  <c r="Q757" s="1"/>
  <c r="S757" s="1"/>
  <c r="U757" s="1"/>
  <c r="I753"/>
  <c r="K753" s="1"/>
  <c r="M753" s="1"/>
  <c r="O753" s="1"/>
  <c r="Q753" s="1"/>
  <c r="S753" s="1"/>
  <c r="U753" s="1"/>
  <c r="I751"/>
  <c r="K751" s="1"/>
  <c r="M751" s="1"/>
  <c r="O751" s="1"/>
  <c r="Q751" s="1"/>
  <c r="S751" s="1"/>
  <c r="U751" s="1"/>
  <c r="I747"/>
  <c r="K747" s="1"/>
  <c r="M747" s="1"/>
  <c r="O747" s="1"/>
  <c r="Q747" s="1"/>
  <c r="S747" s="1"/>
  <c r="U747" s="1"/>
  <c r="I733"/>
  <c r="K733" s="1"/>
  <c r="M733" s="1"/>
  <c r="O733" s="1"/>
  <c r="Q733" s="1"/>
  <c r="S733" s="1"/>
  <c r="U733" s="1"/>
  <c r="I729"/>
  <c r="K729" s="1"/>
  <c r="M729" s="1"/>
  <c r="O729" s="1"/>
  <c r="Q729" s="1"/>
  <c r="S729" s="1"/>
  <c r="U729" s="1"/>
  <c r="I722"/>
  <c r="K722" s="1"/>
  <c r="M722" s="1"/>
  <c r="O722" s="1"/>
  <c r="Q722" s="1"/>
  <c r="S722" s="1"/>
  <c r="U722" s="1"/>
  <c r="I718"/>
  <c r="K718" s="1"/>
  <c r="M718" s="1"/>
  <c r="O718" s="1"/>
  <c r="Q718" s="1"/>
  <c r="S718" s="1"/>
  <c r="U718" s="1"/>
  <c r="I707"/>
  <c r="K707" s="1"/>
  <c r="M707" s="1"/>
  <c r="O707" s="1"/>
  <c r="Q707" s="1"/>
  <c r="S707" s="1"/>
  <c r="U707" s="1"/>
  <c r="I690"/>
  <c r="K690" s="1"/>
  <c r="M690" s="1"/>
  <c r="O690" s="1"/>
  <c r="Q690" s="1"/>
  <c r="S690" s="1"/>
  <c r="U690" s="1"/>
  <c r="I681"/>
  <c r="K681" s="1"/>
  <c r="M681" s="1"/>
  <c r="O681" s="1"/>
  <c r="Q681" s="1"/>
  <c r="S681" s="1"/>
  <c r="U681" s="1"/>
  <c r="I675"/>
  <c r="K675" s="1"/>
  <c r="M675" s="1"/>
  <c r="O675" s="1"/>
  <c r="Q675" s="1"/>
  <c r="S675" s="1"/>
  <c r="U675" s="1"/>
  <c r="I669"/>
  <c r="K669" s="1"/>
  <c r="M669" s="1"/>
  <c r="O669" s="1"/>
  <c r="Q669" s="1"/>
  <c r="S669" s="1"/>
  <c r="U669" s="1"/>
  <c r="I665"/>
  <c r="K665" s="1"/>
  <c r="M665" s="1"/>
  <c r="O665" s="1"/>
  <c r="Q665" s="1"/>
  <c r="S665" s="1"/>
  <c r="U665" s="1"/>
  <c r="I658"/>
  <c r="K658" s="1"/>
  <c r="M658" s="1"/>
  <c r="O658" s="1"/>
  <c r="Q658" s="1"/>
  <c r="S658" s="1"/>
  <c r="U658" s="1"/>
  <c r="I653"/>
  <c r="K653" s="1"/>
  <c r="M653" s="1"/>
  <c r="O653" s="1"/>
  <c r="Q653" s="1"/>
  <c r="S653" s="1"/>
  <c r="U653" s="1"/>
  <c r="I646"/>
  <c r="K646" s="1"/>
  <c r="M646" s="1"/>
  <c r="O646" s="1"/>
  <c r="Q646" s="1"/>
  <c r="S646" s="1"/>
  <c r="U646" s="1"/>
  <c r="I645"/>
  <c r="K645" s="1"/>
  <c r="M645" s="1"/>
  <c r="O645" s="1"/>
  <c r="Q645" s="1"/>
  <c r="S645" s="1"/>
  <c r="U645" s="1"/>
  <c r="I642"/>
  <c r="K642" s="1"/>
  <c r="M642" s="1"/>
  <c r="O642" s="1"/>
  <c r="Q642" s="1"/>
  <c r="S642" s="1"/>
  <c r="U642" s="1"/>
  <c r="I638"/>
  <c r="K638" s="1"/>
  <c r="M638" s="1"/>
  <c r="O638" s="1"/>
  <c r="Q638" s="1"/>
  <c r="S638" s="1"/>
  <c r="U638" s="1"/>
  <c r="I636"/>
  <c r="K636" s="1"/>
  <c r="M636" s="1"/>
  <c r="O636" s="1"/>
  <c r="Q636" s="1"/>
  <c r="S636" s="1"/>
  <c r="U636" s="1"/>
  <c r="I621"/>
  <c r="K621" s="1"/>
  <c r="M621" s="1"/>
  <c r="O621" s="1"/>
  <c r="Q621" s="1"/>
  <c r="S621" s="1"/>
  <c r="U621" s="1"/>
  <c r="I615"/>
  <c r="K615" s="1"/>
  <c r="M615" s="1"/>
  <c r="O615" s="1"/>
  <c r="Q615" s="1"/>
  <c r="S615" s="1"/>
  <c r="U615" s="1"/>
  <c r="I602"/>
  <c r="K602" s="1"/>
  <c r="M602" s="1"/>
  <c r="O602" s="1"/>
  <c r="Q602" s="1"/>
  <c r="S602" s="1"/>
  <c r="U602" s="1"/>
  <c r="I600"/>
  <c r="K600" s="1"/>
  <c r="M600" s="1"/>
  <c r="O600" s="1"/>
  <c r="Q600" s="1"/>
  <c r="S600" s="1"/>
  <c r="U600" s="1"/>
  <c r="I596"/>
  <c r="K596" s="1"/>
  <c r="M596" s="1"/>
  <c r="O596" s="1"/>
  <c r="Q596" s="1"/>
  <c r="S596" s="1"/>
  <c r="U596" s="1"/>
  <c r="I594"/>
  <c r="K594" s="1"/>
  <c r="M594" s="1"/>
  <c r="O594" s="1"/>
  <c r="Q594" s="1"/>
  <c r="S594" s="1"/>
  <c r="U594" s="1"/>
  <c r="I573"/>
  <c r="K573" s="1"/>
  <c r="M573" s="1"/>
  <c r="O573" s="1"/>
  <c r="Q573" s="1"/>
  <c r="S573" s="1"/>
  <c r="U573" s="1"/>
  <c r="I569"/>
  <c r="K569" s="1"/>
  <c r="M569" s="1"/>
  <c r="O569" s="1"/>
  <c r="Q569" s="1"/>
  <c r="S569" s="1"/>
  <c r="U569" s="1"/>
  <c r="I566"/>
  <c r="K566" s="1"/>
  <c r="M566" s="1"/>
  <c r="O566" s="1"/>
  <c r="Q566" s="1"/>
  <c r="S566" s="1"/>
  <c r="U566" s="1"/>
  <c r="I560"/>
  <c r="K560" s="1"/>
  <c r="M560" s="1"/>
  <c r="O560" s="1"/>
  <c r="Q560" s="1"/>
  <c r="S560" s="1"/>
  <c r="U560" s="1"/>
  <c r="I556"/>
  <c r="K556" s="1"/>
  <c r="M556" s="1"/>
  <c r="O556" s="1"/>
  <c r="Q556" s="1"/>
  <c r="S556" s="1"/>
  <c r="U556" s="1"/>
  <c r="I548"/>
  <c r="K548" s="1"/>
  <c r="M548" s="1"/>
  <c r="O548" s="1"/>
  <c r="Q548" s="1"/>
  <c r="S548" s="1"/>
  <c r="U548" s="1"/>
  <c r="I541"/>
  <c r="K541" s="1"/>
  <c r="M541" s="1"/>
  <c r="O541" s="1"/>
  <c r="Q541" s="1"/>
  <c r="S541" s="1"/>
  <c r="U541" s="1"/>
  <c r="I533"/>
  <c r="K533" s="1"/>
  <c r="M533" s="1"/>
  <c r="O533" s="1"/>
  <c r="Q533" s="1"/>
  <c r="S533" s="1"/>
  <c r="U533" s="1"/>
  <c r="I527"/>
  <c r="K527" s="1"/>
  <c r="M527" s="1"/>
  <c r="O527" s="1"/>
  <c r="Q527" s="1"/>
  <c r="S527" s="1"/>
  <c r="U527" s="1"/>
  <c r="I524"/>
  <c r="K524" s="1"/>
  <c r="M524" s="1"/>
  <c r="O524" s="1"/>
  <c r="Q524" s="1"/>
  <c r="S524" s="1"/>
  <c r="U524" s="1"/>
  <c r="I521"/>
  <c r="K521" s="1"/>
  <c r="M521" s="1"/>
  <c r="O521" s="1"/>
  <c r="Q521" s="1"/>
  <c r="S521" s="1"/>
  <c r="U521" s="1"/>
  <c r="I514"/>
  <c r="K514" s="1"/>
  <c r="M514" s="1"/>
  <c r="O514" s="1"/>
  <c r="Q514" s="1"/>
  <c r="S514" s="1"/>
  <c r="U514" s="1"/>
  <c r="I509"/>
  <c r="K509" s="1"/>
  <c r="M509" s="1"/>
  <c r="O509" s="1"/>
  <c r="Q509" s="1"/>
  <c r="S509" s="1"/>
  <c r="U509" s="1"/>
  <c r="I507"/>
  <c r="K507" s="1"/>
  <c r="M507" s="1"/>
  <c r="O507" s="1"/>
  <c r="Q507" s="1"/>
  <c r="S507" s="1"/>
  <c r="U507" s="1"/>
  <c r="I496"/>
  <c r="K496" s="1"/>
  <c r="M496" s="1"/>
  <c r="O496" s="1"/>
  <c r="Q496" s="1"/>
  <c r="S496" s="1"/>
  <c r="U496" s="1"/>
  <c r="I492"/>
  <c r="K492" s="1"/>
  <c r="M492" s="1"/>
  <c r="O492" s="1"/>
  <c r="Q492" s="1"/>
  <c r="S492" s="1"/>
  <c r="U492" s="1"/>
  <c r="I486"/>
  <c r="K486" s="1"/>
  <c r="M486" s="1"/>
  <c r="O486" s="1"/>
  <c r="Q486" s="1"/>
  <c r="S486" s="1"/>
  <c r="U486" s="1"/>
  <c r="I478"/>
  <c r="K478" s="1"/>
  <c r="M478" s="1"/>
  <c r="O478" s="1"/>
  <c r="Q478" s="1"/>
  <c r="S478" s="1"/>
  <c r="U478" s="1"/>
  <c r="I472"/>
  <c r="K472" s="1"/>
  <c r="M472" s="1"/>
  <c r="O472" s="1"/>
  <c r="Q472" s="1"/>
  <c r="S472" s="1"/>
  <c r="U472" s="1"/>
  <c r="I468"/>
  <c r="K468" s="1"/>
  <c r="M468" s="1"/>
  <c r="O468" s="1"/>
  <c r="Q468" s="1"/>
  <c r="S468" s="1"/>
  <c r="U468" s="1"/>
  <c r="I462"/>
  <c r="K462" s="1"/>
  <c r="M462" s="1"/>
  <c r="O462" s="1"/>
  <c r="Q462" s="1"/>
  <c r="S462" s="1"/>
  <c r="U462" s="1"/>
  <c r="I457"/>
  <c r="K457" s="1"/>
  <c r="M457" s="1"/>
  <c r="O457" s="1"/>
  <c r="Q457" s="1"/>
  <c r="S457" s="1"/>
  <c r="U457" s="1"/>
  <c r="I453"/>
  <c r="K453" s="1"/>
  <c r="M453" s="1"/>
  <c r="O453" s="1"/>
  <c r="Q453" s="1"/>
  <c r="S453" s="1"/>
  <c r="U453" s="1"/>
  <c r="I449"/>
  <c r="K449" s="1"/>
  <c r="M449" s="1"/>
  <c r="O449" s="1"/>
  <c r="Q449" s="1"/>
  <c r="S449" s="1"/>
  <c r="U449" s="1"/>
  <c r="I446"/>
  <c r="K446" s="1"/>
  <c r="M446" s="1"/>
  <c r="O446" s="1"/>
  <c r="Q446" s="1"/>
  <c r="S446" s="1"/>
  <c r="U446" s="1"/>
  <c r="I424"/>
  <c r="K424" s="1"/>
  <c r="M424" s="1"/>
  <c r="O424" s="1"/>
  <c r="Q424" s="1"/>
  <c r="S424" s="1"/>
  <c r="U424" s="1"/>
  <c r="I415"/>
  <c r="K415" s="1"/>
  <c r="M415" s="1"/>
  <c r="O415" s="1"/>
  <c r="Q415" s="1"/>
  <c r="S415" s="1"/>
  <c r="U415" s="1"/>
  <c r="I412"/>
  <c r="K412" s="1"/>
  <c r="M412" s="1"/>
  <c r="O412" s="1"/>
  <c r="Q412" s="1"/>
  <c r="S412" s="1"/>
  <c r="U412" s="1"/>
  <c r="I409"/>
  <c r="K409" s="1"/>
  <c r="M409" s="1"/>
  <c r="O409" s="1"/>
  <c r="Q409" s="1"/>
  <c r="S409" s="1"/>
  <c r="U409" s="1"/>
  <c r="I405"/>
  <c r="K405" s="1"/>
  <c r="M405" s="1"/>
  <c r="O405" s="1"/>
  <c r="Q405" s="1"/>
  <c r="S405" s="1"/>
  <c r="U405" s="1"/>
  <c r="I393"/>
  <c r="K393" s="1"/>
  <c r="M393" s="1"/>
  <c r="O393" s="1"/>
  <c r="Q393" s="1"/>
  <c r="S393" s="1"/>
  <c r="U393" s="1"/>
  <c r="I389"/>
  <c r="K389" s="1"/>
  <c r="M389" s="1"/>
  <c r="O389" s="1"/>
  <c r="Q389" s="1"/>
  <c r="S389" s="1"/>
  <c r="U389" s="1"/>
  <c r="I388"/>
  <c r="K388" s="1"/>
  <c r="M388" s="1"/>
  <c r="O388" s="1"/>
  <c r="Q388" s="1"/>
  <c r="S388" s="1"/>
  <c r="U388" s="1"/>
  <c r="I385"/>
  <c r="K385" s="1"/>
  <c r="M385" s="1"/>
  <c r="O385" s="1"/>
  <c r="Q385" s="1"/>
  <c r="S385" s="1"/>
  <c r="U385" s="1"/>
  <c r="I382"/>
  <c r="K382" s="1"/>
  <c r="M382" s="1"/>
  <c r="O382" s="1"/>
  <c r="Q382" s="1"/>
  <c r="S382" s="1"/>
  <c r="U382" s="1"/>
  <c r="I370"/>
  <c r="K370" s="1"/>
  <c r="M370" s="1"/>
  <c r="O370" s="1"/>
  <c r="Q370" s="1"/>
  <c r="S370" s="1"/>
  <c r="U370" s="1"/>
  <c r="I365"/>
  <c r="K365" s="1"/>
  <c r="M365" s="1"/>
  <c r="O365" s="1"/>
  <c r="Q365" s="1"/>
  <c r="S365" s="1"/>
  <c r="U365" s="1"/>
  <c r="I360"/>
  <c r="K360" s="1"/>
  <c r="M360" s="1"/>
  <c r="O360" s="1"/>
  <c r="Q360" s="1"/>
  <c r="S360" s="1"/>
  <c r="U360" s="1"/>
  <c r="I352"/>
  <c r="K352" s="1"/>
  <c r="M352" s="1"/>
  <c r="O352" s="1"/>
  <c r="Q352" s="1"/>
  <c r="S352" s="1"/>
  <c r="U352" s="1"/>
  <c r="I347"/>
  <c r="K347" s="1"/>
  <c r="M347" s="1"/>
  <c r="O347" s="1"/>
  <c r="Q347" s="1"/>
  <c r="S347" s="1"/>
  <c r="U347" s="1"/>
  <c r="I341"/>
  <c r="K341" s="1"/>
  <c r="M341" s="1"/>
  <c r="O341" s="1"/>
  <c r="Q341" s="1"/>
  <c r="S341" s="1"/>
  <c r="U341" s="1"/>
  <c r="I326"/>
  <c r="K326" s="1"/>
  <c r="M326" s="1"/>
  <c r="O326" s="1"/>
  <c r="Q326" s="1"/>
  <c r="S326" s="1"/>
  <c r="U326" s="1"/>
  <c r="I322"/>
  <c r="K322" s="1"/>
  <c r="M322" s="1"/>
  <c r="O322" s="1"/>
  <c r="Q322" s="1"/>
  <c r="S322" s="1"/>
  <c r="U322" s="1"/>
  <c r="I318"/>
  <c r="K318" s="1"/>
  <c r="M318" s="1"/>
  <c r="O318" s="1"/>
  <c r="Q318" s="1"/>
  <c r="S318" s="1"/>
  <c r="U318" s="1"/>
  <c r="I309"/>
  <c r="K309" s="1"/>
  <c r="M309" s="1"/>
  <c r="O309" s="1"/>
  <c r="Q309" s="1"/>
  <c r="S309" s="1"/>
  <c r="U309" s="1"/>
  <c r="I302"/>
  <c r="K302" s="1"/>
  <c r="M302" s="1"/>
  <c r="O302" s="1"/>
  <c r="Q302" s="1"/>
  <c r="S302" s="1"/>
  <c r="U302" s="1"/>
  <c r="I297"/>
  <c r="K297" s="1"/>
  <c r="M297" s="1"/>
  <c r="O297" s="1"/>
  <c r="Q297" s="1"/>
  <c r="S297" s="1"/>
  <c r="U297" s="1"/>
  <c r="I294"/>
  <c r="K294" s="1"/>
  <c r="M294" s="1"/>
  <c r="O294" s="1"/>
  <c r="Q294" s="1"/>
  <c r="S294" s="1"/>
  <c r="U294" s="1"/>
  <c r="I291"/>
  <c r="K291" s="1"/>
  <c r="M291" s="1"/>
  <c r="O291" s="1"/>
  <c r="Q291" s="1"/>
  <c r="S291" s="1"/>
  <c r="U291" s="1"/>
  <c r="I284"/>
  <c r="K284" s="1"/>
  <c r="M284" s="1"/>
  <c r="O284" s="1"/>
  <c r="Q284" s="1"/>
  <c r="S284" s="1"/>
  <c r="U284" s="1"/>
  <c r="I281"/>
  <c r="K281" s="1"/>
  <c r="M281" s="1"/>
  <c r="O281" s="1"/>
  <c r="Q281" s="1"/>
  <c r="S281" s="1"/>
  <c r="U281" s="1"/>
  <c r="I276"/>
  <c r="K276" s="1"/>
  <c r="M276" s="1"/>
  <c r="O276" s="1"/>
  <c r="Q276" s="1"/>
  <c r="S276" s="1"/>
  <c r="U276" s="1"/>
  <c r="I272"/>
  <c r="K272" s="1"/>
  <c r="M272" s="1"/>
  <c r="O272" s="1"/>
  <c r="Q272" s="1"/>
  <c r="S272" s="1"/>
  <c r="U272" s="1"/>
  <c r="I266"/>
  <c r="K266" s="1"/>
  <c r="M266" s="1"/>
  <c r="O266" s="1"/>
  <c r="Q266" s="1"/>
  <c r="S266" s="1"/>
  <c r="U266" s="1"/>
  <c r="I261"/>
  <c r="K261" s="1"/>
  <c r="M261" s="1"/>
  <c r="O261" s="1"/>
  <c r="Q261" s="1"/>
  <c r="S261" s="1"/>
  <c r="U261" s="1"/>
  <c r="I255"/>
  <c r="K255" s="1"/>
  <c r="M255" s="1"/>
  <c r="O255" s="1"/>
  <c r="Q255" s="1"/>
  <c r="S255" s="1"/>
  <c r="U255" s="1"/>
  <c r="I254"/>
  <c r="K254" s="1"/>
  <c r="M254" s="1"/>
  <c r="O254" s="1"/>
  <c r="Q254" s="1"/>
  <c r="S254" s="1"/>
  <c r="U254" s="1"/>
  <c r="I250"/>
  <c r="K250" s="1"/>
  <c r="M250" s="1"/>
  <c r="O250" s="1"/>
  <c r="Q250" s="1"/>
  <c r="S250" s="1"/>
  <c r="U250" s="1"/>
  <c r="I239"/>
  <c r="K239" s="1"/>
  <c r="M239" s="1"/>
  <c r="O239" s="1"/>
  <c r="Q239" s="1"/>
  <c r="S239" s="1"/>
  <c r="U239" s="1"/>
  <c r="I232"/>
  <c r="K232" s="1"/>
  <c r="M232" s="1"/>
  <c r="O232" s="1"/>
  <c r="Q232" s="1"/>
  <c r="S232" s="1"/>
  <c r="U232" s="1"/>
  <c r="I229"/>
  <c r="K229" s="1"/>
  <c r="M229" s="1"/>
  <c r="O229" s="1"/>
  <c r="Q229" s="1"/>
  <c r="S229" s="1"/>
  <c r="U229" s="1"/>
  <c r="I226"/>
  <c r="K226" s="1"/>
  <c r="M226" s="1"/>
  <c r="O226" s="1"/>
  <c r="Q226" s="1"/>
  <c r="S226" s="1"/>
  <c r="U226" s="1"/>
  <c r="I221"/>
  <c r="K221" s="1"/>
  <c r="M221" s="1"/>
  <c r="O221" s="1"/>
  <c r="Q221" s="1"/>
  <c r="S221" s="1"/>
  <c r="U221" s="1"/>
  <c r="I220"/>
  <c r="K220" s="1"/>
  <c r="M220" s="1"/>
  <c r="O220" s="1"/>
  <c r="Q220" s="1"/>
  <c r="S220" s="1"/>
  <c r="U220" s="1"/>
  <c r="I214"/>
  <c r="K214" s="1"/>
  <c r="M214" s="1"/>
  <c r="O214" s="1"/>
  <c r="Q214" s="1"/>
  <c r="S214" s="1"/>
  <c r="U214" s="1"/>
  <c r="I211"/>
  <c r="K211" s="1"/>
  <c r="M211" s="1"/>
  <c r="O211" s="1"/>
  <c r="Q211" s="1"/>
  <c r="S211" s="1"/>
  <c r="U211" s="1"/>
  <c r="I208"/>
  <c r="K208" s="1"/>
  <c r="M208" s="1"/>
  <c r="O208" s="1"/>
  <c r="Q208" s="1"/>
  <c r="S208" s="1"/>
  <c r="U208" s="1"/>
  <c r="I205"/>
  <c r="K205" s="1"/>
  <c r="M205" s="1"/>
  <c r="O205" s="1"/>
  <c r="Q205" s="1"/>
  <c r="S205" s="1"/>
  <c r="U205" s="1"/>
  <c r="I198"/>
  <c r="K198" s="1"/>
  <c r="M198" s="1"/>
  <c r="O198" s="1"/>
  <c r="Q198" s="1"/>
  <c r="S198" s="1"/>
  <c r="U198" s="1"/>
  <c r="I195"/>
  <c r="K195" s="1"/>
  <c r="M195" s="1"/>
  <c r="O195" s="1"/>
  <c r="Q195" s="1"/>
  <c r="S195" s="1"/>
  <c r="U195" s="1"/>
  <c r="I191"/>
  <c r="K191" s="1"/>
  <c r="M191" s="1"/>
  <c r="O191" s="1"/>
  <c r="Q191" s="1"/>
  <c r="S191" s="1"/>
  <c r="U191" s="1"/>
  <c r="I185"/>
  <c r="K185" s="1"/>
  <c r="M185" s="1"/>
  <c r="O185" s="1"/>
  <c r="Q185" s="1"/>
  <c r="S185" s="1"/>
  <c r="U185" s="1"/>
  <c r="I181"/>
  <c r="K181" s="1"/>
  <c r="M181" s="1"/>
  <c r="O181" s="1"/>
  <c r="Q181" s="1"/>
  <c r="S181" s="1"/>
  <c r="U181" s="1"/>
  <c r="I170"/>
  <c r="K170" s="1"/>
  <c r="M170" s="1"/>
  <c r="O170" s="1"/>
  <c r="Q170" s="1"/>
  <c r="S170" s="1"/>
  <c r="U170" s="1"/>
  <c r="I163"/>
  <c r="K163" s="1"/>
  <c r="M163" s="1"/>
  <c r="O163" s="1"/>
  <c r="Q163" s="1"/>
  <c r="S163" s="1"/>
  <c r="U163" s="1"/>
  <c r="I157"/>
  <c r="K157" s="1"/>
  <c r="M157" s="1"/>
  <c r="O157" s="1"/>
  <c r="Q157" s="1"/>
  <c r="S157" s="1"/>
  <c r="U157" s="1"/>
  <c r="I153"/>
  <c r="K153" s="1"/>
  <c r="M153" s="1"/>
  <c r="O153" s="1"/>
  <c r="Q153" s="1"/>
  <c r="S153" s="1"/>
  <c r="U153" s="1"/>
  <c r="I149"/>
  <c r="K149" s="1"/>
  <c r="M149" s="1"/>
  <c r="O149" s="1"/>
  <c r="Q149" s="1"/>
  <c r="S149" s="1"/>
  <c r="U149" s="1"/>
  <c r="I145"/>
  <c r="K145" s="1"/>
  <c r="M145" s="1"/>
  <c r="O145" s="1"/>
  <c r="Q145" s="1"/>
  <c r="S145" s="1"/>
  <c r="U145" s="1"/>
  <c r="I136"/>
  <c r="K136" s="1"/>
  <c r="M136" s="1"/>
  <c r="O136" s="1"/>
  <c r="Q136" s="1"/>
  <c r="S136" s="1"/>
  <c r="U136" s="1"/>
  <c r="I135"/>
  <c r="K135" s="1"/>
  <c r="M135" s="1"/>
  <c r="O135" s="1"/>
  <c r="Q135" s="1"/>
  <c r="S135" s="1"/>
  <c r="U135" s="1"/>
  <c r="I130"/>
  <c r="K130" s="1"/>
  <c r="M130" s="1"/>
  <c r="O130" s="1"/>
  <c r="Q130" s="1"/>
  <c r="S130" s="1"/>
  <c r="U130" s="1"/>
  <c r="I125"/>
  <c r="K125" s="1"/>
  <c r="M125" s="1"/>
  <c r="O125" s="1"/>
  <c r="Q125" s="1"/>
  <c r="S125" s="1"/>
  <c r="U125" s="1"/>
  <c r="I124"/>
  <c r="K124" s="1"/>
  <c r="M124" s="1"/>
  <c r="O124" s="1"/>
  <c r="Q124" s="1"/>
  <c r="S124" s="1"/>
  <c r="U124" s="1"/>
  <c r="I121"/>
  <c r="K121" s="1"/>
  <c r="M121" s="1"/>
  <c r="O121" s="1"/>
  <c r="Q121" s="1"/>
  <c r="S121" s="1"/>
  <c r="U121" s="1"/>
  <c r="I108"/>
  <c r="K108" s="1"/>
  <c r="M108" s="1"/>
  <c r="O108" s="1"/>
  <c r="Q108" s="1"/>
  <c r="S108" s="1"/>
  <c r="U108" s="1"/>
  <c r="I104"/>
  <c r="K104" s="1"/>
  <c r="M104" s="1"/>
  <c r="O104" s="1"/>
  <c r="Q104" s="1"/>
  <c r="S104" s="1"/>
  <c r="U104" s="1"/>
  <c r="I99"/>
  <c r="K99" s="1"/>
  <c r="M99" s="1"/>
  <c r="O99" s="1"/>
  <c r="Q99" s="1"/>
  <c r="S99" s="1"/>
  <c r="U99" s="1"/>
  <c r="I94"/>
  <c r="K94" s="1"/>
  <c r="M94" s="1"/>
  <c r="O94" s="1"/>
  <c r="Q94" s="1"/>
  <c r="S94" s="1"/>
  <c r="U94" s="1"/>
  <c r="I89"/>
  <c r="K89" s="1"/>
  <c r="M89" s="1"/>
  <c r="O89" s="1"/>
  <c r="Q89" s="1"/>
  <c r="S89" s="1"/>
  <c r="U89" s="1"/>
  <c r="I86"/>
  <c r="K86" s="1"/>
  <c r="M86" s="1"/>
  <c r="O86" s="1"/>
  <c r="Q86" s="1"/>
  <c r="S86" s="1"/>
  <c r="U86" s="1"/>
  <c r="I82"/>
  <c r="K82" s="1"/>
  <c r="M82" s="1"/>
  <c r="O82" s="1"/>
  <c r="Q82" s="1"/>
  <c r="S82" s="1"/>
  <c r="U82" s="1"/>
  <c r="I79"/>
  <c r="K79" s="1"/>
  <c r="M79" s="1"/>
  <c r="O79" s="1"/>
  <c r="Q79" s="1"/>
  <c r="S79" s="1"/>
  <c r="U79" s="1"/>
  <c r="I76"/>
  <c r="K76" s="1"/>
  <c r="M76" s="1"/>
  <c r="O76" s="1"/>
  <c r="Q76" s="1"/>
  <c r="S76" s="1"/>
  <c r="U76" s="1"/>
  <c r="I64"/>
  <c r="K64" s="1"/>
  <c r="M64" s="1"/>
  <c r="O64" s="1"/>
  <c r="Q64" s="1"/>
  <c r="S64" s="1"/>
  <c r="U64" s="1"/>
  <c r="I55"/>
  <c r="K55" s="1"/>
  <c r="M55" s="1"/>
  <c r="O55" s="1"/>
  <c r="Q55" s="1"/>
  <c r="S55" s="1"/>
  <c r="U55" s="1"/>
  <c r="I51"/>
  <c r="K51" s="1"/>
  <c r="M51" s="1"/>
  <c r="O51" s="1"/>
  <c r="Q51" s="1"/>
  <c r="S51" s="1"/>
  <c r="U51" s="1"/>
  <c r="I48"/>
  <c r="K48" s="1"/>
  <c r="M48" s="1"/>
  <c r="O48" s="1"/>
  <c r="Q48" s="1"/>
  <c r="S48" s="1"/>
  <c r="U48" s="1"/>
  <c r="I45"/>
  <c r="K45" s="1"/>
  <c r="M45" s="1"/>
  <c r="O45" s="1"/>
  <c r="Q45" s="1"/>
  <c r="S45" s="1"/>
  <c r="U45" s="1"/>
  <c r="I42"/>
  <c r="K42" s="1"/>
  <c r="M42" s="1"/>
  <c r="O42" s="1"/>
  <c r="Q42" s="1"/>
  <c r="S42" s="1"/>
  <c r="U42" s="1"/>
  <c r="I39"/>
  <c r="K39" s="1"/>
  <c r="M39" s="1"/>
  <c r="O39" s="1"/>
  <c r="Q39" s="1"/>
  <c r="S39" s="1"/>
  <c r="U39" s="1"/>
  <c r="I36"/>
  <c r="K36" s="1"/>
  <c r="M36" s="1"/>
  <c r="O36" s="1"/>
  <c r="Q36" s="1"/>
  <c r="S36" s="1"/>
  <c r="U36" s="1"/>
  <c r="I29"/>
  <c r="K29" s="1"/>
  <c r="M29" s="1"/>
  <c r="O29" s="1"/>
  <c r="Q29" s="1"/>
  <c r="S29" s="1"/>
  <c r="U29" s="1"/>
  <c r="H1057"/>
  <c r="H1056" s="1"/>
  <c r="H1055" s="1"/>
  <c r="H1054" s="1"/>
  <c r="H934"/>
  <c r="H933" s="1"/>
  <c r="H932" s="1"/>
  <c r="H927" s="1"/>
  <c r="H926" s="1"/>
  <c r="H925" s="1"/>
  <c r="H1750"/>
  <c r="H1749" s="1"/>
  <c r="H1747"/>
  <c r="H1746" s="1"/>
  <c r="H1744"/>
  <c r="H1738"/>
  <c r="H1737" s="1"/>
  <c r="H1736" s="1"/>
  <c r="H1735" s="1"/>
  <c r="H1732"/>
  <c r="H1731" s="1"/>
  <c r="H1729"/>
  <c r="H1700"/>
  <c r="H1699" s="1"/>
  <c r="H1698" s="1"/>
  <c r="H1697" s="1"/>
  <c r="H1696" s="1"/>
  <c r="H1695" s="1"/>
  <c r="H1694" s="1"/>
  <c r="H1674"/>
  <c r="H1673" s="1"/>
  <c r="H1672" s="1"/>
  <c r="H1662"/>
  <c r="H1661" s="1"/>
  <c r="H1660" s="1"/>
  <c r="H1658"/>
  <c r="H1657" s="1"/>
  <c r="H1656" s="1"/>
  <c r="H1654"/>
  <c r="H1653" s="1"/>
  <c r="H1652" s="1"/>
  <c r="H1647"/>
  <c r="H1646" s="1"/>
  <c r="H1644"/>
  <c r="H1643" s="1"/>
  <c r="H1640"/>
  <c r="H1639" s="1"/>
  <c r="H1638" s="1"/>
  <c r="H1634"/>
  <c r="H1633" s="1"/>
  <c r="H1632" s="1"/>
  <c r="H1631" s="1"/>
  <c r="H1630" s="1"/>
  <c r="H1627"/>
  <c r="H1626" s="1"/>
  <c r="H1625" s="1"/>
  <c r="H1624" s="1"/>
  <c r="H1623" s="1"/>
  <c r="H1622" s="1"/>
  <c r="H1616"/>
  <c r="H1615" s="1"/>
  <c r="H1614" s="1"/>
  <c r="H1613" s="1"/>
  <c r="H1612" s="1"/>
  <c r="H1611" s="1"/>
  <c r="E37" i="1" s="1"/>
  <c r="H1602" i="5"/>
  <c r="H1601" s="1"/>
  <c r="H1599"/>
  <c r="H1598" s="1"/>
  <c r="H1596"/>
  <c r="H1595" s="1"/>
  <c r="H1593"/>
  <c r="H1582"/>
  <c r="H1581" s="1"/>
  <c r="H1579"/>
  <c r="H1578" s="1"/>
  <c r="H1576"/>
  <c r="H1563"/>
  <c r="H1562" s="1"/>
  <c r="H1561" s="1"/>
  <c r="H1560" s="1"/>
  <c r="H1558"/>
  <c r="H1557" s="1"/>
  <c r="H1556" s="1"/>
  <c r="H1555" s="1"/>
  <c r="H1529"/>
  <c r="H1528" s="1"/>
  <c r="H1527" s="1"/>
  <c r="H1526" s="1"/>
  <c r="H1525" s="1"/>
  <c r="H1524" s="1"/>
  <c r="H1522"/>
  <c r="H1521" s="1"/>
  <c r="H1520" s="1"/>
  <c r="H1519" s="1"/>
  <c r="H1517"/>
  <c r="H1516" s="1"/>
  <c r="H1515" s="1"/>
  <c r="H1514" s="1"/>
  <c r="H1506"/>
  <c r="H1505" s="1"/>
  <c r="H1504" s="1"/>
  <c r="H1503" s="1"/>
  <c r="H1501"/>
  <c r="H1500" s="1"/>
  <c r="H1499" s="1"/>
  <c r="H1497"/>
  <c r="H1496" s="1"/>
  <c r="H1495" s="1"/>
  <c r="H1489"/>
  <c r="H1488" s="1"/>
  <c r="H1486"/>
  <c r="H1483"/>
  <c r="H1482" s="1"/>
  <c r="H1480"/>
  <c r="H1471"/>
  <c r="H1470" s="1"/>
  <c r="H1468"/>
  <c r="H1462"/>
  <c r="H1461" s="1"/>
  <c r="H1459"/>
  <c r="H1458" s="1"/>
  <c r="H1456"/>
  <c r="H1444"/>
  <c r="H1443" s="1"/>
  <c r="H1439" s="1"/>
  <c r="H1434"/>
  <c r="H1433" s="1"/>
  <c r="H1431"/>
  <c r="H1427"/>
  <c r="H1426" s="1"/>
  <c r="H1425" s="1"/>
  <c r="H1419"/>
  <c r="H1418" s="1"/>
  <c r="H1417" s="1"/>
  <c r="H1412"/>
  <c r="H1411" s="1"/>
  <c r="H1407" s="1"/>
  <c r="H1405"/>
  <c r="H1404" s="1"/>
  <c r="H1400" s="1"/>
  <c r="H1397"/>
  <c r="H1396" s="1"/>
  <c r="H1392" s="1"/>
  <c r="H1376"/>
  <c r="H1375" s="1"/>
  <c r="H1371" s="1"/>
  <c r="H1370" s="1"/>
  <c r="H1368"/>
  <c r="H1367" s="1"/>
  <c r="H1363" s="1"/>
  <c r="H1362" s="1"/>
  <c r="H1360"/>
  <c r="H1359" s="1"/>
  <c r="H1355" s="1"/>
  <c r="H1354" s="1"/>
  <c r="H1352"/>
  <c r="H1351" s="1"/>
  <c r="H1347" s="1"/>
  <c r="H1346" s="1"/>
  <c r="H1342"/>
  <c r="H1341" s="1"/>
  <c r="H1340" s="1"/>
  <c r="H1339" s="1"/>
  <c r="H1338" s="1"/>
  <c r="H1334"/>
  <c r="H1333" s="1"/>
  <c r="H1332" s="1"/>
  <c r="H1327" s="1"/>
  <c r="H1326" s="1"/>
  <c r="E55" i="1" s="1"/>
  <c r="H1323" i="5"/>
  <c r="H1322" s="1"/>
  <c r="H1321" s="1"/>
  <c r="H1319"/>
  <c r="H1318" s="1"/>
  <c r="H1317" s="1"/>
  <c r="H1313"/>
  <c r="H1312" s="1"/>
  <c r="H1311" s="1"/>
  <c r="H1309"/>
  <c r="H1308" s="1"/>
  <c r="H1307" s="1"/>
  <c r="H1294"/>
  <c r="H1293" s="1"/>
  <c r="H1291"/>
  <c r="H1285"/>
  <c r="H1284" s="1"/>
  <c r="H1283" s="1"/>
  <c r="H1282" s="1"/>
  <c r="H1274"/>
  <c r="H1273" s="1"/>
  <c r="H1272" s="1"/>
  <c r="H1271" s="1"/>
  <c r="H1270" s="1"/>
  <c r="E61" i="1" s="1"/>
  <c r="H1262" i="5"/>
  <c r="H1261" s="1"/>
  <c r="H1260" s="1"/>
  <c r="H1258"/>
  <c r="H1256"/>
  <c r="H1253"/>
  <c r="H1252" s="1"/>
  <c r="H1249"/>
  <c r="H1247"/>
  <c r="H1243"/>
  <c r="H1242" s="1"/>
  <c r="H1241" s="1"/>
  <c r="H1236"/>
  <c r="H1234"/>
  <c r="H1230"/>
  <c r="H1228"/>
  <c r="H1222"/>
  <c r="H1220"/>
  <c r="H1208"/>
  <c r="H1206"/>
  <c r="H1194"/>
  <c r="H1193" s="1"/>
  <c r="H1191"/>
  <c r="H1190" s="1"/>
  <c r="H1188"/>
  <c r="H1177"/>
  <c r="H1175"/>
  <c r="H1159"/>
  <c r="H1157"/>
  <c r="H1153"/>
  <c r="H1152" s="1"/>
  <c r="H1151" s="1"/>
  <c r="H1147"/>
  <c r="H1146" s="1"/>
  <c r="H1145" s="1"/>
  <c r="H1143"/>
  <c r="H1142" s="1"/>
  <c r="H1141" s="1"/>
  <c r="H1139"/>
  <c r="H1138" s="1"/>
  <c r="H1135"/>
  <c r="H1134" s="1"/>
  <c r="H1133" s="1"/>
  <c r="H1130"/>
  <c r="H1129" s="1"/>
  <c r="H1128" s="1"/>
  <c r="H1127" s="1"/>
  <c r="H1125"/>
  <c r="H1124" s="1"/>
  <c r="H1123" s="1"/>
  <c r="H1121"/>
  <c r="H1120" s="1"/>
  <c r="H1119" s="1"/>
  <c r="H1117"/>
  <c r="H1116" s="1"/>
  <c r="H1115" s="1"/>
  <c r="H1112"/>
  <c r="H1110"/>
  <c r="H1106"/>
  <c r="H1105" s="1"/>
  <c r="H1104" s="1"/>
  <c r="H1101"/>
  <c r="H1100" s="1"/>
  <c r="H1099" s="1"/>
  <c r="H1097"/>
  <c r="H1096" s="1"/>
  <c r="H1095" s="1"/>
  <c r="H1092"/>
  <c r="H1091" s="1"/>
  <c r="H1090" s="1"/>
  <c r="H1088"/>
  <c r="H1087" s="1"/>
  <c r="H1086" s="1"/>
  <c r="H1079"/>
  <c r="H1078" s="1"/>
  <c r="H1077" s="1"/>
  <c r="H1075"/>
  <c r="H1074" s="1"/>
  <c r="H1073" s="1"/>
  <c r="H1070"/>
  <c r="H1069" s="1"/>
  <c r="H1068" s="1"/>
  <c r="H1067" s="1"/>
  <c r="H1052"/>
  <c r="H1051" s="1"/>
  <c r="H1050" s="1"/>
  <c r="H1049" s="1"/>
  <c r="H1043"/>
  <c r="H1041"/>
  <c r="H1032"/>
  <c r="H1031" s="1"/>
  <c r="H1030" s="1"/>
  <c r="H1028"/>
  <c r="H1027" s="1"/>
  <c r="H1026" s="1"/>
  <c r="H1019"/>
  <c r="H1018" s="1"/>
  <c r="H1017" s="1"/>
  <c r="H1015"/>
  <c r="H1014" s="1"/>
  <c r="H1013" s="1"/>
  <c r="H1011"/>
  <c r="H1010" s="1"/>
  <c r="H1009" s="1"/>
  <c r="H1007"/>
  <c r="H1006" s="1"/>
  <c r="H1005" s="1"/>
  <c r="H998"/>
  <c r="H997" s="1"/>
  <c r="H996" s="1"/>
  <c r="H994"/>
  <c r="H993" s="1"/>
  <c r="H992" s="1"/>
  <c r="H990"/>
  <c r="H989" s="1"/>
  <c r="H988" s="1"/>
  <c r="H981"/>
  <c r="H980" s="1"/>
  <c r="H976" s="1"/>
  <c r="H975" s="1"/>
  <c r="H970"/>
  <c r="H969" s="1"/>
  <c r="H968" s="1"/>
  <c r="H966"/>
  <c r="H965" s="1"/>
  <c r="H964" s="1"/>
  <c r="H951"/>
  <c r="H950" s="1"/>
  <c r="H949" s="1"/>
  <c r="H948" s="1"/>
  <c r="H947" s="1"/>
  <c r="H922"/>
  <c r="H921" s="1"/>
  <c r="H919"/>
  <c r="H912"/>
  <c r="H911" s="1"/>
  <c r="H910" s="1"/>
  <c r="H909" s="1"/>
  <c r="H908" s="1"/>
  <c r="H907" s="1"/>
  <c r="H906" s="1"/>
  <c r="H904"/>
  <c r="H896"/>
  <c r="H895" s="1"/>
  <c r="H894" s="1"/>
  <c r="H893" s="1"/>
  <c r="H892" s="1"/>
  <c r="H891" s="1"/>
  <c r="H890" s="1"/>
  <c r="H881"/>
  <c r="H880" s="1"/>
  <c r="H878"/>
  <c r="H877" s="1"/>
  <c r="H875"/>
  <c r="H874" s="1"/>
  <c r="H872"/>
  <c r="H863"/>
  <c r="H862" s="1"/>
  <c r="H858" s="1"/>
  <c r="H857" s="1"/>
  <c r="H855"/>
  <c r="H854" s="1"/>
  <c r="H853" s="1"/>
  <c r="H852" s="1"/>
  <c r="H851" s="1"/>
  <c r="H849"/>
  <c r="H848" s="1"/>
  <c r="H847" s="1"/>
  <c r="H846" s="1"/>
  <c r="H841"/>
  <c r="H840" s="1"/>
  <c r="H839" s="1"/>
  <c r="H838" s="1"/>
  <c r="H836"/>
  <c r="H835" s="1"/>
  <c r="H834" s="1"/>
  <c r="H833" s="1"/>
  <c r="H832" s="1"/>
  <c r="H830"/>
  <c r="H829" s="1"/>
  <c r="H828" s="1"/>
  <c r="H827" s="1"/>
  <c r="H822"/>
  <c r="H821" s="1"/>
  <c r="H819"/>
  <c r="H812"/>
  <c r="H809"/>
  <c r="H808" s="1"/>
  <c r="H807" s="1"/>
  <c r="H803"/>
  <c r="H802" s="1"/>
  <c r="H801" s="1"/>
  <c r="H800" s="1"/>
  <c r="H799" s="1"/>
  <c r="H797"/>
  <c r="H796" s="1"/>
  <c r="H793"/>
  <c r="H792" s="1"/>
  <c r="H790"/>
  <c r="H789" s="1"/>
  <c r="H780"/>
  <c r="H778"/>
  <c r="H775"/>
  <c r="H774" s="1"/>
  <c r="H770"/>
  <c r="H769" s="1"/>
  <c r="H768" s="1"/>
  <c r="H766"/>
  <c r="H765" s="1"/>
  <c r="H764" s="1"/>
  <c r="H761"/>
  <c r="H759"/>
  <c r="H756"/>
  <c r="H755" s="1"/>
  <c r="H754" s="1"/>
  <c r="H752"/>
  <c r="H750"/>
  <c r="G195" i="6" s="1"/>
  <c r="H746" i="5"/>
  <c r="H745" s="1"/>
  <c r="H732"/>
  <c r="H731" s="1"/>
  <c r="H730" s="1"/>
  <c r="H728"/>
  <c r="H727" s="1"/>
  <c r="H726" s="1"/>
  <c r="H721"/>
  <c r="H720" s="1"/>
  <c r="H719" s="1"/>
  <c r="H717"/>
  <c r="H716" s="1"/>
  <c r="H715" s="1"/>
  <c r="H706"/>
  <c r="H705" s="1"/>
  <c r="H704" s="1"/>
  <c r="H703" s="1"/>
  <c r="H698" s="1"/>
  <c r="H697" s="1"/>
  <c r="H689"/>
  <c r="H688" s="1"/>
  <c r="H686"/>
  <c r="H685" s="1"/>
  <c r="H680"/>
  <c r="H679" s="1"/>
  <c r="H678" s="1"/>
  <c r="H677" s="1"/>
  <c r="H674"/>
  <c r="H673" s="1"/>
  <c r="H672" s="1"/>
  <c r="H671" s="1"/>
  <c r="H668"/>
  <c r="H667" s="1"/>
  <c r="H666" s="1"/>
  <c r="H664"/>
  <c r="H663" s="1"/>
  <c r="H662" s="1"/>
  <c r="H656"/>
  <c r="H655" s="1"/>
  <c r="H652"/>
  <c r="H649"/>
  <c r="H644"/>
  <c r="H643" s="1"/>
  <c r="H641"/>
  <c r="H640" s="1"/>
  <c r="H639" s="1"/>
  <c r="H637"/>
  <c r="H635"/>
  <c r="H620"/>
  <c r="H619" s="1"/>
  <c r="H618" s="1"/>
  <c r="H617" s="1"/>
  <c r="H614"/>
  <c r="H613" s="1"/>
  <c r="H612" s="1"/>
  <c r="H611" s="1"/>
  <c r="H601"/>
  <c r="H599"/>
  <c r="H595"/>
  <c r="H593"/>
  <c r="H571"/>
  <c r="H570" s="1"/>
  <c r="H568"/>
  <c r="H567" s="1"/>
  <c r="H565"/>
  <c r="H559"/>
  <c r="H558" s="1"/>
  <c r="H557" s="1"/>
  <c r="H555"/>
  <c r="H554" s="1"/>
  <c r="H553" s="1"/>
  <c r="H547"/>
  <c r="H546" s="1"/>
  <c r="H545" s="1"/>
  <c r="H544" s="1"/>
  <c r="H543" s="1"/>
  <c r="H542" s="1"/>
  <c r="H540"/>
  <c r="H539" s="1"/>
  <c r="H538" s="1"/>
  <c r="H537" s="1"/>
  <c r="H536" s="1"/>
  <c r="H535" s="1"/>
  <c r="H532"/>
  <c r="H531" s="1"/>
  <c r="H530" s="1"/>
  <c r="H529" s="1"/>
  <c r="H526"/>
  <c r="H525" s="1"/>
  <c r="H523"/>
  <c r="H522" s="1"/>
  <c r="H520"/>
  <c r="H513"/>
  <c r="H512" s="1"/>
  <c r="H511" s="1"/>
  <c r="H510" s="1"/>
  <c r="H508"/>
  <c r="H506"/>
  <c r="H505" s="1"/>
  <c r="H495"/>
  <c r="H494" s="1"/>
  <c r="H493" s="1"/>
  <c r="H491"/>
  <c r="H490" s="1"/>
  <c r="H489" s="1"/>
  <c r="H485"/>
  <c r="H484" s="1"/>
  <c r="H483" s="1"/>
  <c r="H482" s="1"/>
  <c r="H481" s="1"/>
  <c r="H477"/>
  <c r="H476" s="1"/>
  <c r="H475" s="1"/>
  <c r="H474" s="1"/>
  <c r="H473" s="1"/>
  <c r="H470"/>
  <c r="H467"/>
  <c r="H466" s="1"/>
  <c r="H465" s="1"/>
  <c r="H464" s="1"/>
  <c r="H461"/>
  <c r="H460" s="1"/>
  <c r="H459" s="1"/>
  <c r="H458" s="1"/>
  <c r="H456"/>
  <c r="H455" s="1"/>
  <c r="H454" s="1"/>
  <c r="H452"/>
  <c r="H451" s="1"/>
  <c r="H448"/>
  <c r="H445"/>
  <c r="H423"/>
  <c r="H422" s="1"/>
  <c r="H421" s="1"/>
  <c r="H420" s="1"/>
  <c r="H419" s="1"/>
  <c r="H418" s="1"/>
  <c r="H417" s="1"/>
  <c r="H414"/>
  <c r="H413" s="1"/>
  <c r="H411"/>
  <c r="H410" s="1"/>
  <c r="H407"/>
  <c r="H406" s="1"/>
  <c r="H403"/>
  <c r="H401"/>
  <c r="H392"/>
  <c r="H391" s="1"/>
  <c r="H390" s="1"/>
  <c r="H387"/>
  <c r="H386" s="1"/>
  <c r="H383"/>
  <c r="H381"/>
  <c r="H369"/>
  <c r="H368" s="1"/>
  <c r="H367" s="1"/>
  <c r="H366" s="1"/>
  <c r="H364"/>
  <c r="H363" s="1"/>
  <c r="H362" s="1"/>
  <c r="H361" s="1"/>
  <c r="H351"/>
  <c r="H350" s="1"/>
  <c r="H349" s="1"/>
  <c r="H348" s="1"/>
  <c r="H346"/>
  <c r="H345" s="1"/>
  <c r="H344" s="1"/>
  <c r="H338"/>
  <c r="H337" s="1"/>
  <c r="H336" s="1"/>
  <c r="H335" s="1"/>
  <c r="H334" s="1"/>
  <c r="E54" i="1" s="1"/>
  <c r="H321" i="5"/>
  <c r="H320" s="1"/>
  <c r="H319" s="1"/>
  <c r="H317"/>
  <c r="H316" s="1"/>
  <c r="H315" s="1"/>
  <c r="H49"/>
  <c r="F149" i="6"/>
  <c r="G889" i="5"/>
  <c r="G668"/>
  <c r="G667" s="1"/>
  <c r="F1822" i="6"/>
  <c r="G461" i="5"/>
  <c r="F527" i="6"/>
  <c r="F526" s="1"/>
  <c r="F530"/>
  <c r="F533"/>
  <c r="F532" s="1"/>
  <c r="F531" s="1"/>
  <c r="F539"/>
  <c r="F538" s="1"/>
  <c r="F542"/>
  <c r="F541" s="1"/>
  <c r="F540" s="1"/>
  <c r="G308" i="5"/>
  <c r="G307" s="1"/>
  <c r="G306" s="1"/>
  <c r="G313"/>
  <c r="G312" s="1"/>
  <c r="G311" s="1"/>
  <c r="G310" s="1"/>
  <c r="F1500" i="6"/>
  <c r="G369" i="5"/>
  <c r="G1472"/>
  <c r="F1734" i="6" s="1"/>
  <c r="G1469" i="5"/>
  <c r="I1469" s="1"/>
  <c r="K1469" s="1"/>
  <c r="M1469" s="1"/>
  <c r="O1469" s="1"/>
  <c r="Q1469" s="1"/>
  <c r="S1469" s="1"/>
  <c r="U1469" s="1"/>
  <c r="G1432"/>
  <c r="G1431" s="1"/>
  <c r="G118"/>
  <c r="G117" s="1"/>
  <c r="G402"/>
  <c r="I402" s="1"/>
  <c r="K402" s="1"/>
  <c r="M402" s="1"/>
  <c r="O402" s="1"/>
  <c r="Q402" s="1"/>
  <c r="S402" s="1"/>
  <c r="U402" s="1"/>
  <c r="F641" i="6"/>
  <c r="F640" s="1"/>
  <c r="F637" s="1"/>
  <c r="H637" s="1"/>
  <c r="J637" s="1"/>
  <c r="L637" s="1"/>
  <c r="N637" s="1"/>
  <c r="P637" s="1"/>
  <c r="R637" s="1"/>
  <c r="T637" s="1"/>
  <c r="G103" i="5"/>
  <c r="F698" i="6"/>
  <c r="F697" s="1"/>
  <c r="F696" s="1"/>
  <c r="F646"/>
  <c r="F645" s="1"/>
  <c r="F644" s="1"/>
  <c r="G325" i="5"/>
  <c r="G317"/>
  <c r="F859" i="6"/>
  <c r="G1397" i="5"/>
  <c r="G491"/>
  <c r="G842"/>
  <c r="I842" s="1"/>
  <c r="K842" s="1"/>
  <c r="M842" s="1"/>
  <c r="O842" s="1"/>
  <c r="Q842" s="1"/>
  <c r="S842" s="1"/>
  <c r="U842" s="1"/>
  <c r="G687"/>
  <c r="I687" s="1"/>
  <c r="K687" s="1"/>
  <c r="M687" s="1"/>
  <c r="O687" s="1"/>
  <c r="Q687" s="1"/>
  <c r="S687" s="1"/>
  <c r="U687" s="1"/>
  <c r="F75" i="6"/>
  <c r="G849" i="5"/>
  <c r="G1413"/>
  <c r="F933" i="6" s="1"/>
  <c r="G450" i="5"/>
  <c r="I450" s="1"/>
  <c r="K450" s="1"/>
  <c r="M450" s="1"/>
  <c r="O450" s="1"/>
  <c r="Q450" s="1"/>
  <c r="S450" s="1"/>
  <c r="U450" s="1"/>
  <c r="F960" i="6"/>
  <c r="G346" i="5"/>
  <c r="G1324"/>
  <c r="F915" i="6" s="1"/>
  <c r="F105"/>
  <c r="F104" s="1"/>
  <c r="G652" i="5"/>
  <c r="G650"/>
  <c r="I650" s="1"/>
  <c r="K650" s="1"/>
  <c r="M650" s="1"/>
  <c r="O650" s="1"/>
  <c r="Q650" s="1"/>
  <c r="S650" s="1"/>
  <c r="U650" s="1"/>
  <c r="F124" i="6"/>
  <c r="F123" s="1"/>
  <c r="F122" s="1"/>
  <c r="F121" s="1"/>
  <c r="G657" i="5"/>
  <c r="F112" i="6"/>
  <c r="G830" i="5"/>
  <c r="G829" s="1"/>
  <c r="G863"/>
  <c r="F229" i="6"/>
  <c r="F223"/>
  <c r="F222" s="1"/>
  <c r="F221" s="1"/>
  <c r="F220" s="1"/>
  <c r="G706" i="5"/>
  <c r="F219" i="6"/>
  <c r="F218" s="1"/>
  <c r="F217" s="1"/>
  <c r="G689" i="5"/>
  <c r="G688" s="1"/>
  <c r="F1058" i="6"/>
  <c r="G456" i="5"/>
  <c r="F69" i="6"/>
  <c r="F68" s="1"/>
  <c r="F67"/>
  <c r="F66" s="1"/>
  <c r="G601" i="5"/>
  <c r="G599"/>
  <c r="F50" i="6"/>
  <c r="F49" s="1"/>
  <c r="F48" s="1"/>
  <c r="F47" s="1"/>
  <c r="F46" s="1"/>
  <c r="F45" s="1"/>
  <c r="G732" i="5"/>
  <c r="G731" s="1"/>
  <c r="G1414"/>
  <c r="I1414" s="1"/>
  <c r="K1414" s="1"/>
  <c r="M1414" s="1"/>
  <c r="O1414" s="1"/>
  <c r="Q1414" s="1"/>
  <c r="S1414" s="1"/>
  <c r="U1414" s="1"/>
  <c r="F925" i="6"/>
  <c r="G1336" i="5"/>
  <c r="I1336" s="1"/>
  <c r="K1336" s="1"/>
  <c r="M1336" s="1"/>
  <c r="O1336" s="1"/>
  <c r="Q1336" s="1"/>
  <c r="S1336" s="1"/>
  <c r="U1336" s="1"/>
  <c r="F890" i="6"/>
  <c r="F889" s="1"/>
  <c r="F888" s="1"/>
  <c r="F887" s="1"/>
  <c r="G1319" i="5"/>
  <c r="F1805" i="6"/>
  <c r="G1602" i="5"/>
  <c r="F979" i="6"/>
  <c r="G359" i="5"/>
  <c r="F1064" i="6"/>
  <c r="G540" i="5"/>
  <c r="G1342"/>
  <c r="F899" i="6"/>
  <c r="F898" s="1"/>
  <c r="G1405" i="5"/>
  <c r="F909" i="6"/>
  <c r="F908" s="1"/>
  <c r="F907" s="1"/>
  <c r="F905"/>
  <c r="F904" s="1"/>
  <c r="F903" s="1"/>
  <c r="G1647" i="5"/>
  <c r="G1644"/>
  <c r="F1790" i="6"/>
  <c r="F1787"/>
  <c r="G1732" i="5"/>
  <c r="G1729"/>
  <c r="F952" i="6"/>
  <c r="F951" s="1"/>
  <c r="F950" s="1"/>
  <c r="F946" s="1"/>
  <c r="F940"/>
  <c r="F939" s="1"/>
  <c r="G1434" i="5"/>
  <c r="G1444"/>
  <c r="F1782" i="6"/>
  <c r="F1779"/>
  <c r="G1489" i="5"/>
  <c r="G1486"/>
  <c r="F1677" i="6"/>
  <c r="G1462" i="5"/>
  <c r="F1731" i="6"/>
  <c r="F1748"/>
  <c r="F1745"/>
  <c r="G1483" i="5"/>
  <c r="G1480"/>
  <c r="F1800" i="6"/>
  <c r="G881" i="5"/>
  <c r="F1726" i="6"/>
  <c r="F1723"/>
  <c r="G822" i="5"/>
  <c r="G819"/>
  <c r="F1506" i="6"/>
  <c r="F1505" s="1"/>
  <c r="F1504" s="1"/>
  <c r="F1503" s="1"/>
  <c r="F1502" s="1"/>
  <c r="F1501" s="1"/>
  <c r="F1480"/>
  <c r="F1479" s="1"/>
  <c r="F1478" s="1"/>
  <c r="F1477" s="1"/>
  <c r="F1476" s="1"/>
  <c r="F1475" s="1"/>
  <c r="G275" i="5"/>
  <c r="G271"/>
  <c r="G88"/>
  <c r="G85"/>
  <c r="F1667" i="6"/>
  <c r="F1795"/>
  <c r="F1767"/>
  <c r="G63" i="5"/>
  <c r="G54"/>
  <c r="F1761" i="6"/>
  <c r="F1756"/>
  <c r="F1753"/>
  <c r="F1752" s="1"/>
  <c r="G47" i="5"/>
  <c r="G44"/>
  <c r="G50"/>
  <c r="G896"/>
  <c r="G169"/>
  <c r="G168" s="1"/>
  <c r="G167" s="1"/>
  <c r="G166" s="1"/>
  <c r="G165" s="1"/>
  <c r="G164" s="1"/>
  <c r="F725" i="6"/>
  <c r="F724" s="1"/>
  <c r="F723" s="1"/>
  <c r="F722" s="1"/>
  <c r="F714"/>
  <c r="F713" s="1"/>
  <c r="G1419" i="5"/>
  <c r="G1147"/>
  <c r="F703" i="6"/>
  <c r="F702" s="1"/>
  <c r="F701" s="1"/>
  <c r="F700" s="1"/>
  <c r="G1143" i="5"/>
  <c r="F692" i="6"/>
  <c r="G1139" i="5"/>
  <c r="F687" i="6"/>
  <c r="F686" s="1"/>
  <c r="F685" s="1"/>
  <c r="F684" s="1"/>
  <c r="F657"/>
  <c r="F656" s="1"/>
  <c r="F655" s="1"/>
  <c r="G784" i="5"/>
  <c r="I784" s="1"/>
  <c r="K784" s="1"/>
  <c r="M784" s="1"/>
  <c r="O784" s="1"/>
  <c r="Q784" s="1"/>
  <c r="S784" s="1"/>
  <c r="U784" s="1"/>
  <c r="G775"/>
  <c r="F678" i="6"/>
  <c r="F677" s="1"/>
  <c r="F676" s="1"/>
  <c r="F675" s="1"/>
  <c r="F674" s="1"/>
  <c r="G107" i="5"/>
  <c r="F775" i="6"/>
  <c r="F774" s="1"/>
  <c r="F773" s="1"/>
  <c r="G1640" i="5"/>
  <c r="F753" i="6"/>
  <c r="G1558" i="5"/>
  <c r="F1411" i="6"/>
  <c r="F1410" s="1"/>
  <c r="F1409" s="1"/>
  <c r="F1408" s="1"/>
  <c r="F1407" s="1"/>
  <c r="F1406" s="1"/>
  <c r="F1378"/>
  <c r="F1377" s="1"/>
  <c r="F1376" s="1"/>
  <c r="F1375" s="1"/>
  <c r="F1374" s="1"/>
  <c r="F1373" s="1"/>
  <c r="F1579"/>
  <c r="F1576"/>
  <c r="F1573"/>
  <c r="F1143"/>
  <c r="F1228"/>
  <c r="F1224"/>
  <c r="F1209"/>
  <c r="F1155"/>
  <c r="F1149"/>
  <c r="F1133"/>
  <c r="F1128"/>
  <c r="F1161"/>
  <c r="F1569"/>
  <c r="F1565"/>
  <c r="F1562"/>
  <c r="F1245"/>
  <c r="F1244"/>
  <c r="F1241"/>
  <c r="F1238"/>
  <c r="F1613"/>
  <c r="F1610"/>
  <c r="F1107"/>
  <c r="F1115"/>
  <c r="F1095"/>
  <c r="F1001"/>
  <c r="F1101"/>
  <c r="F1090"/>
  <c r="F858"/>
  <c r="F825"/>
  <c r="F824" s="1"/>
  <c r="F823" s="1"/>
  <c r="F811"/>
  <c r="F810" s="1"/>
  <c r="F809" s="1"/>
  <c r="F805" s="1"/>
  <c r="F801"/>
  <c r="F791"/>
  <c r="F790" s="1"/>
  <c r="F871"/>
  <c r="F870" s="1"/>
  <c r="F769"/>
  <c r="F1589"/>
  <c r="F1586"/>
  <c r="F1583"/>
  <c r="F549"/>
  <c r="F548" s="1"/>
  <c r="F547" s="1"/>
  <c r="F546" s="1"/>
  <c r="F1620"/>
  <c r="F1617"/>
  <c r="F492"/>
  <c r="F491" s="1"/>
  <c r="F490" s="1"/>
  <c r="F521"/>
  <c r="F520" s="1"/>
  <c r="F519" s="1"/>
  <c r="F518" s="1"/>
  <c r="F517"/>
  <c r="F516"/>
  <c r="F515" s="1"/>
  <c r="F503"/>
  <c r="F502" s="1"/>
  <c r="F501"/>
  <c r="F500" s="1"/>
  <c r="F498"/>
  <c r="F478"/>
  <c r="F476"/>
  <c r="F475" s="1"/>
  <c r="F470"/>
  <c r="F1299"/>
  <c r="F1297"/>
  <c r="F1281"/>
  <c r="F1279"/>
  <c r="F511"/>
  <c r="F510" s="1"/>
  <c r="F509"/>
  <c r="F508" s="1"/>
  <c r="F486"/>
  <c r="F484"/>
  <c r="F483" s="1"/>
  <c r="F1606"/>
  <c r="F1603"/>
  <c r="F1600"/>
  <c r="F1332"/>
  <c r="F1330"/>
  <c r="F1306"/>
  <c r="F1304"/>
  <c r="F1286"/>
  <c r="F667"/>
  <c r="F666" s="1"/>
  <c r="F560"/>
  <c r="F559" s="1"/>
  <c r="F558" s="1"/>
  <c r="F365"/>
  <c r="F364" s="1"/>
  <c r="F363" s="1"/>
  <c r="F362" s="1"/>
  <c r="F90"/>
  <c r="F89" s="1"/>
  <c r="G641" i="5"/>
  <c r="F463" i="6"/>
  <c r="F462" s="1"/>
  <c r="F425"/>
  <c r="F424" s="1"/>
  <c r="F419"/>
  <c r="F418" s="1"/>
  <c r="F398"/>
  <c r="F397" s="1"/>
  <c r="F396"/>
  <c r="F390"/>
  <c r="F389" s="1"/>
  <c r="F388" s="1"/>
  <c r="F360"/>
  <c r="F359" s="1"/>
  <c r="F358" s="1"/>
  <c r="F354"/>
  <c r="F317"/>
  <c r="F316" s="1"/>
  <c r="F61"/>
  <c r="F60" s="1"/>
  <c r="F59"/>
  <c r="F58" s="1"/>
  <c r="F311"/>
  <c r="F310" s="1"/>
  <c r="F309" s="1"/>
  <c r="F308" s="1"/>
  <c r="F274"/>
  <c r="F273" s="1"/>
  <c r="F272" s="1"/>
  <c r="F268"/>
  <c r="F255"/>
  <c r="F254" s="1"/>
  <c r="F438"/>
  <c r="F431"/>
  <c r="F430" s="1"/>
  <c r="F406"/>
  <c r="F405" s="1"/>
  <c r="F404"/>
  <c r="F377"/>
  <c r="F376" s="1"/>
  <c r="F375" s="1"/>
  <c r="F374" s="1"/>
  <c r="F371"/>
  <c r="F370" s="1"/>
  <c r="F341"/>
  <c r="F340" s="1"/>
  <c r="F335"/>
  <c r="F334" s="1"/>
  <c r="F333" s="1"/>
  <c r="F332" s="1"/>
  <c r="F329"/>
  <c r="F328" s="1"/>
  <c r="F323"/>
  <c r="F322" s="1"/>
  <c r="F321" s="1"/>
  <c r="F320" s="1"/>
  <c r="F292"/>
  <c r="F286"/>
  <c r="F285" s="1"/>
  <c r="F284" s="1"/>
  <c r="F280"/>
  <c r="F249"/>
  <c r="F248" s="1"/>
  <c r="F247" s="1"/>
  <c r="F243" s="1"/>
  <c r="F451"/>
  <c r="F450" s="1"/>
  <c r="F449" s="1"/>
  <c r="F448" s="1"/>
  <c r="F756"/>
  <c r="F755" s="1"/>
  <c r="F754" s="1"/>
  <c r="F750"/>
  <c r="F749" s="1"/>
  <c r="F1655"/>
  <c r="F1686"/>
  <c r="F1685" s="1"/>
  <c r="F1684" s="1"/>
  <c r="F1683" s="1"/>
  <c r="F1682" s="1"/>
  <c r="F1681" s="1"/>
  <c r="F1637"/>
  <c r="F1636" s="1"/>
  <c r="F1635" s="1"/>
  <c r="F1634" s="1"/>
  <c r="F1633" s="1"/>
  <c r="F1632" s="1"/>
  <c r="F1631" s="1"/>
  <c r="F1555"/>
  <c r="F1558"/>
  <c r="F1552"/>
  <c r="F182"/>
  <c r="F181" s="1"/>
  <c r="F180" s="1"/>
  <c r="F179" s="1"/>
  <c r="F176"/>
  <c r="F1596"/>
  <c r="F1593"/>
  <c r="F1513"/>
  <c r="F1276"/>
  <c r="F566"/>
  <c r="F555"/>
  <c r="F554" s="1"/>
  <c r="F209"/>
  <c r="F208" s="1"/>
  <c r="F207"/>
  <c r="F206" s="1"/>
  <c r="F204"/>
  <c r="F198"/>
  <c r="F197" s="1"/>
  <c r="F196"/>
  <c r="F143"/>
  <c r="F142" s="1"/>
  <c r="F141" s="1"/>
  <c r="F44"/>
  <c r="F43" s="1"/>
  <c r="F42" s="1"/>
  <c r="F41" s="1"/>
  <c r="F40" s="1"/>
  <c r="F39" s="1"/>
  <c r="F35"/>
  <c r="F34" s="1"/>
  <c r="F33" s="1"/>
  <c r="F32" s="1"/>
  <c r="F26" s="1"/>
  <c r="F24"/>
  <c r="F23" s="1"/>
  <c r="F22" s="1"/>
  <c r="F21" s="1"/>
  <c r="F20" s="1"/>
  <c r="F19" s="1"/>
  <c r="F189"/>
  <c r="F188" s="1"/>
  <c r="F187" s="1"/>
  <c r="F162"/>
  <c r="F137"/>
  <c r="F96"/>
  <c r="F95"/>
  <c r="F84"/>
  <c r="F83" s="1"/>
  <c r="F82"/>
  <c r="F81" s="1"/>
  <c r="F170"/>
  <c r="F169" s="1"/>
  <c r="F168" s="1"/>
  <c r="F167" s="1"/>
  <c r="F157"/>
  <c r="F1543"/>
  <c r="F1019"/>
  <c r="F1013"/>
  <c r="F865"/>
  <c r="F864" s="1"/>
  <c r="F863" s="1"/>
  <c r="F862" s="1"/>
  <c r="F571"/>
  <c r="F570" s="1"/>
  <c r="F1442"/>
  <c r="F1029"/>
  <c r="F1027"/>
  <c r="F1077"/>
  <c r="F1071"/>
  <c r="F994"/>
  <c r="F1052"/>
  <c r="F762"/>
  <c r="F761" s="1"/>
  <c r="F1041"/>
  <c r="F1037"/>
  <c r="F1034"/>
  <c r="F1047"/>
  <c r="F1630"/>
  <c r="F1625"/>
  <c r="F1540"/>
  <c r="F1536"/>
  <c r="F1472"/>
  <c r="F1459"/>
  <c r="F1466"/>
  <c r="F1465"/>
  <c r="F1462"/>
  <c r="F986"/>
  <c r="F967"/>
  <c r="F1404"/>
  <c r="F683"/>
  <c r="F682" s="1"/>
  <c r="F681" s="1"/>
  <c r="F680" s="1"/>
  <c r="F623"/>
  <c r="F622" s="1"/>
  <c r="F621" s="1"/>
  <c r="F620" s="1"/>
  <c r="F619" s="1"/>
  <c r="F618" s="1"/>
  <c r="F610"/>
  <c r="F609" s="1"/>
  <c r="F608" s="1"/>
  <c r="F607" s="1"/>
  <c r="F606" s="1"/>
  <c r="F605"/>
  <c r="F604" s="1"/>
  <c r="F603" s="1"/>
  <c r="F602" s="1"/>
  <c r="F601" s="1"/>
  <c r="F600"/>
  <c r="F599" s="1"/>
  <c r="F598" s="1"/>
  <c r="F597" s="1"/>
  <c r="F596" s="1"/>
  <c r="F589"/>
  <c r="F588" s="1"/>
  <c r="F587" s="1"/>
  <c r="F586" s="1"/>
  <c r="F585" s="1"/>
  <c r="F584"/>
  <c r="F583" s="1"/>
  <c r="F582" s="1"/>
  <c r="F581" s="1"/>
  <c r="F580" s="1"/>
  <c r="G1243" i="5"/>
  <c r="G1242" s="1"/>
  <c r="G1241" s="1"/>
  <c r="F744" i="6"/>
  <c r="F743"/>
  <c r="F737"/>
  <c r="F736" s="1"/>
  <c r="F735" s="1"/>
  <c r="F734" s="1"/>
  <c r="F733" s="1"/>
  <c r="F732" s="1"/>
  <c r="F617"/>
  <c r="F616" s="1"/>
  <c r="F615" s="1"/>
  <c r="F614" s="1"/>
  <c r="F613" s="1"/>
  <c r="F612" s="1"/>
  <c r="F1496"/>
  <c r="F1495" s="1"/>
  <c r="F1494" s="1"/>
  <c r="F1493"/>
  <c r="F1492" s="1"/>
  <c r="F1491" s="1"/>
  <c r="F1490"/>
  <c r="F1489" s="1"/>
  <c r="F1360"/>
  <c r="F1359" s="1"/>
  <c r="F1370"/>
  <c r="F1369"/>
  <c r="F1363"/>
  <c r="F1362" s="1"/>
  <c r="F1361" s="1"/>
  <c r="F1355"/>
  <c r="F1354" s="1"/>
  <c r="F1353" s="1"/>
  <c r="F1352" s="1"/>
  <c r="F1351" s="1"/>
  <c r="F1350"/>
  <c r="F1349" s="1"/>
  <c r="F1348" s="1"/>
  <c r="F1347" s="1"/>
  <c r="F1346" s="1"/>
  <c r="F1345" s="1"/>
  <c r="F1341"/>
  <c r="F1340" s="1"/>
  <c r="F1339" s="1"/>
  <c r="F1338"/>
  <c r="F1337" s="1"/>
  <c r="F1271"/>
  <c r="F1270" s="1"/>
  <c r="F1269" s="1"/>
  <c r="F1268" s="1"/>
  <c r="F1267" s="1"/>
  <c r="F1486"/>
  <c r="F1485" s="1"/>
  <c r="F1484" s="1"/>
  <c r="F1483" s="1"/>
  <c r="F1482" s="1"/>
  <c r="F1454"/>
  <c r="F1453" s="1"/>
  <c r="F1452" s="1"/>
  <c r="F1451" s="1"/>
  <c r="F1450" s="1"/>
  <c r="F1449" s="1"/>
  <c r="F1448"/>
  <c r="F1447" s="1"/>
  <c r="F1446" s="1"/>
  <c r="F1445" s="1"/>
  <c r="F1444" s="1"/>
  <c r="F1443" s="1"/>
  <c r="F1437"/>
  <c r="F1436" s="1"/>
  <c r="F1435" s="1"/>
  <c r="F1434" s="1"/>
  <c r="F1433" s="1"/>
  <c r="F1431"/>
  <c r="F1430" s="1"/>
  <c r="F1429" s="1"/>
  <c r="F1428" s="1"/>
  <c r="F1427" s="1"/>
  <c r="F1426" s="1"/>
  <c r="F1418"/>
  <c r="F1417"/>
  <c r="F1397"/>
  <c r="F1396" s="1"/>
  <c r="F1395" s="1"/>
  <c r="F1394" s="1"/>
  <c r="F1393" s="1"/>
  <c r="F1392" s="1"/>
  <c r="F1390"/>
  <c r="F1389"/>
  <c r="F1386"/>
  <c r="F1385" s="1"/>
  <c r="F1384" s="1"/>
  <c r="G28" i="5"/>
  <c r="G27" s="1"/>
  <c r="G26" s="1"/>
  <c r="G25" s="1"/>
  <c r="G24" s="1"/>
  <c r="G23" s="1"/>
  <c r="D20" i="1" s="1"/>
  <c r="G35" i="5"/>
  <c r="G38"/>
  <c r="G41"/>
  <c r="G75"/>
  <c r="G78"/>
  <c r="I78" s="1"/>
  <c r="G81"/>
  <c r="G93"/>
  <c r="G98"/>
  <c r="G120"/>
  <c r="G123"/>
  <c r="G122" s="1"/>
  <c r="G129"/>
  <c r="G128" s="1"/>
  <c r="G127" s="1"/>
  <c r="G126" s="1"/>
  <c r="G134"/>
  <c r="G133" s="1"/>
  <c r="G132" s="1"/>
  <c r="G131" s="1"/>
  <c r="G144"/>
  <c r="G148"/>
  <c r="G152"/>
  <c r="G156"/>
  <c r="G162"/>
  <c r="G180"/>
  <c r="G184"/>
  <c r="G190"/>
  <c r="G194"/>
  <c r="G197"/>
  <c r="G204"/>
  <c r="G207"/>
  <c r="G210"/>
  <c r="G213"/>
  <c r="G212" s="1"/>
  <c r="G219"/>
  <c r="I219" s="1"/>
  <c r="K219" s="1"/>
  <c r="M219" s="1"/>
  <c r="O219" s="1"/>
  <c r="Q219" s="1"/>
  <c r="S219" s="1"/>
  <c r="U219" s="1"/>
  <c r="G225"/>
  <c r="G228"/>
  <c r="G227" s="1"/>
  <c r="G231"/>
  <c r="G238"/>
  <c r="G249"/>
  <c r="G253"/>
  <c r="G252" s="1"/>
  <c r="G251" s="1"/>
  <c r="G260"/>
  <c r="G265"/>
  <c r="G280"/>
  <c r="G283"/>
  <c r="G290"/>
  <c r="G293"/>
  <c r="G292" s="1"/>
  <c r="G296"/>
  <c r="G301"/>
  <c r="G321"/>
  <c r="G338"/>
  <c r="G351"/>
  <c r="G364"/>
  <c r="G381"/>
  <c r="G384"/>
  <c r="I384" s="1"/>
  <c r="K384" s="1"/>
  <c r="M384" s="1"/>
  <c r="O384" s="1"/>
  <c r="Q384" s="1"/>
  <c r="S384" s="1"/>
  <c r="U384" s="1"/>
  <c r="G387"/>
  <c r="G386" s="1"/>
  <c r="G392"/>
  <c r="G404"/>
  <c r="I404" s="1"/>
  <c r="K404" s="1"/>
  <c r="M404" s="1"/>
  <c r="O404" s="1"/>
  <c r="Q404" s="1"/>
  <c r="S404" s="1"/>
  <c r="U404" s="1"/>
  <c r="G407"/>
  <c r="G406" s="1"/>
  <c r="G411"/>
  <c r="G414"/>
  <c r="G413" s="1"/>
  <c r="G423"/>
  <c r="G445"/>
  <c r="G452"/>
  <c r="G467"/>
  <c r="G471"/>
  <c r="G477"/>
  <c r="G485"/>
  <c r="G495"/>
  <c r="G494" s="1"/>
  <c r="G506"/>
  <c r="G508"/>
  <c r="G513"/>
  <c r="G520"/>
  <c r="G523"/>
  <c r="G526"/>
  <c r="G532"/>
  <c r="G547"/>
  <c r="G555"/>
  <c r="G559"/>
  <c r="G565"/>
  <c r="G568"/>
  <c r="G571"/>
  <c r="G593"/>
  <c r="G595"/>
  <c r="G614"/>
  <c r="G620"/>
  <c r="G635"/>
  <c r="G637"/>
  <c r="G644"/>
  <c r="G664"/>
  <c r="G674"/>
  <c r="G680"/>
  <c r="G717"/>
  <c r="G721"/>
  <c r="G728"/>
  <c r="G727" s="1"/>
  <c r="G746"/>
  <c r="G750"/>
  <c r="G752"/>
  <c r="G756"/>
  <c r="G759"/>
  <c r="G761"/>
  <c r="G766"/>
  <c r="G770"/>
  <c r="G778"/>
  <c r="G780"/>
  <c r="G790"/>
  <c r="G793"/>
  <c r="G797"/>
  <c r="G803"/>
  <c r="G809"/>
  <c r="G812"/>
  <c r="G836"/>
  <c r="G855"/>
  <c r="G872"/>
  <c r="G875"/>
  <c r="G878"/>
  <c r="G904"/>
  <c r="G903" s="1"/>
  <c r="G902" s="1"/>
  <c r="G901" s="1"/>
  <c r="G900" s="1"/>
  <c r="G899" s="1"/>
  <c r="G898" s="1"/>
  <c r="G912"/>
  <c r="G919"/>
  <c r="G922"/>
  <c r="G934"/>
  <c r="G951"/>
  <c r="G966"/>
  <c r="G970"/>
  <c r="G981"/>
  <c r="G990"/>
  <c r="G994"/>
  <c r="G998"/>
  <c r="G1007"/>
  <c r="G1011"/>
  <c r="G1015"/>
  <c r="G1019"/>
  <c r="G1028"/>
  <c r="G1032"/>
  <c r="G1041"/>
  <c r="G1043"/>
  <c r="G1052"/>
  <c r="G1057"/>
  <c r="G1070"/>
  <c r="G1075"/>
  <c r="G1079"/>
  <c r="G1088"/>
  <c r="G1092"/>
  <c r="G1097"/>
  <c r="G1101"/>
  <c r="G1106"/>
  <c r="G1110"/>
  <c r="G1112"/>
  <c r="G1117"/>
  <c r="G1121"/>
  <c r="G1125"/>
  <c r="G1130"/>
  <c r="G1135"/>
  <c r="G1153"/>
  <c r="G1157"/>
  <c r="G1159"/>
  <c r="G1175"/>
  <c r="G1177"/>
  <c r="G1188"/>
  <c r="G1191"/>
  <c r="G1194"/>
  <c r="G1206"/>
  <c r="G1208"/>
  <c r="G1220"/>
  <c r="G1222"/>
  <c r="G1228"/>
  <c r="G1230"/>
  <c r="G1234"/>
  <c r="G1236"/>
  <c r="G1247"/>
  <c r="G1249"/>
  <c r="G1253"/>
  <c r="G1256"/>
  <c r="G1258"/>
  <c r="G1262"/>
  <c r="G1274"/>
  <c r="G1285"/>
  <c r="G1291"/>
  <c r="G1294"/>
  <c r="G1309"/>
  <c r="G1313"/>
  <c r="G1352"/>
  <c r="G1360"/>
  <c r="G1368"/>
  <c r="G1376"/>
  <c r="G1427"/>
  <c r="G1456"/>
  <c r="G1459"/>
  <c r="G1497"/>
  <c r="G1501"/>
  <c r="G1506"/>
  <c r="G1517"/>
  <c r="G1522"/>
  <c r="G1529"/>
  <c r="G1563"/>
  <c r="G1576"/>
  <c r="G1579"/>
  <c r="G1582"/>
  <c r="G1593"/>
  <c r="G1596"/>
  <c r="G1599"/>
  <c r="G1616"/>
  <c r="G1627"/>
  <c r="G1634"/>
  <c r="G1654"/>
  <c r="G1658"/>
  <c r="G1662"/>
  <c r="G1674"/>
  <c r="G1700"/>
  <c r="G1738"/>
  <c r="G1744"/>
  <c r="G1747"/>
  <c r="G1750"/>
  <c r="F1549" i="6"/>
  <c r="F1546"/>
  <c r="F730"/>
  <c r="F672"/>
  <c r="F671" s="1"/>
  <c r="F670" s="1"/>
  <c r="F662"/>
  <c r="F660"/>
  <c r="F659" s="1"/>
  <c r="F709"/>
  <c r="F708" s="1"/>
  <c r="F652"/>
  <c r="F651" s="1"/>
  <c r="F650" s="1"/>
  <c r="F649" s="1"/>
  <c r="F648" s="1"/>
  <c r="F636"/>
  <c r="F635" s="1"/>
  <c r="F634" s="1"/>
  <c r="F633" s="1"/>
  <c r="F578"/>
  <c r="F577" s="1"/>
  <c r="F576" s="1"/>
  <c r="F575" s="1"/>
  <c r="F574" s="1"/>
  <c r="F573" s="1"/>
  <c r="F572" s="1"/>
  <c r="F1528"/>
  <c r="G1763" l="1"/>
  <c r="G1762" s="1"/>
  <c r="H1764"/>
  <c r="I1456" i="5"/>
  <c r="K1456" s="1"/>
  <c r="M1456" s="1"/>
  <c r="O1456" s="1"/>
  <c r="Q1456" s="1"/>
  <c r="S1456" s="1"/>
  <c r="U1456" s="1"/>
  <c r="I1230"/>
  <c r="K1230" s="1"/>
  <c r="M1230" s="1"/>
  <c r="O1230" s="1"/>
  <c r="Q1230" s="1"/>
  <c r="S1230" s="1"/>
  <c r="U1230" s="1"/>
  <c r="I1188"/>
  <c r="K1188" s="1"/>
  <c r="M1188" s="1"/>
  <c r="O1188" s="1"/>
  <c r="Q1188" s="1"/>
  <c r="S1188" s="1"/>
  <c r="U1188" s="1"/>
  <c r="I210"/>
  <c r="K210" s="1"/>
  <c r="M210" s="1"/>
  <c r="O210" s="1"/>
  <c r="Q210" s="1"/>
  <c r="S210" s="1"/>
  <c r="U210" s="1"/>
  <c r="I194"/>
  <c r="K194" s="1"/>
  <c r="M194" s="1"/>
  <c r="O194" s="1"/>
  <c r="Q194" s="1"/>
  <c r="S194" s="1"/>
  <c r="U194" s="1"/>
  <c r="I513"/>
  <c r="K513" s="1"/>
  <c r="M513" s="1"/>
  <c r="O513" s="1"/>
  <c r="Q513" s="1"/>
  <c r="S513" s="1"/>
  <c r="U513" s="1"/>
  <c r="I526"/>
  <c r="K526" s="1"/>
  <c r="M526" s="1"/>
  <c r="O526" s="1"/>
  <c r="Q526" s="1"/>
  <c r="S526" s="1"/>
  <c r="U526" s="1"/>
  <c r="I508"/>
  <c r="K508" s="1"/>
  <c r="M508" s="1"/>
  <c r="O508" s="1"/>
  <c r="Q508" s="1"/>
  <c r="S508" s="1"/>
  <c r="U508" s="1"/>
  <c r="I265"/>
  <c r="K265" s="1"/>
  <c r="M265" s="1"/>
  <c r="O265" s="1"/>
  <c r="Q265" s="1"/>
  <c r="S265" s="1"/>
  <c r="U265" s="1"/>
  <c r="I204"/>
  <c r="K204" s="1"/>
  <c r="M204" s="1"/>
  <c r="O204" s="1"/>
  <c r="Q204" s="1"/>
  <c r="S204" s="1"/>
  <c r="U204" s="1"/>
  <c r="I184"/>
  <c r="K184" s="1"/>
  <c r="M184" s="1"/>
  <c r="O184" s="1"/>
  <c r="Q184" s="1"/>
  <c r="S184" s="1"/>
  <c r="U184" s="1"/>
  <c r="H26" i="6"/>
  <c r="J26" s="1"/>
  <c r="F25"/>
  <c r="H25" s="1"/>
  <c r="J25" s="1"/>
  <c r="L25" s="1"/>
  <c r="N25" s="1"/>
  <c r="P25" s="1"/>
  <c r="R25" s="1"/>
  <c r="T25" s="1"/>
  <c r="H749"/>
  <c r="J749" s="1"/>
  <c r="L749" s="1"/>
  <c r="N749" s="1"/>
  <c r="P749" s="1"/>
  <c r="R749" s="1"/>
  <c r="T749" s="1"/>
  <c r="I280" i="5"/>
  <c r="K280" s="1"/>
  <c r="M280" s="1"/>
  <c r="O280" s="1"/>
  <c r="Q280" s="1"/>
  <c r="S280" s="1"/>
  <c r="U280" s="1"/>
  <c r="I1191"/>
  <c r="K1191" s="1"/>
  <c r="M1191" s="1"/>
  <c r="O1191" s="1"/>
  <c r="Q1191" s="1"/>
  <c r="S1191" s="1"/>
  <c r="U1191" s="1"/>
  <c r="I1159"/>
  <c r="K1159" s="1"/>
  <c r="M1159" s="1"/>
  <c r="O1159" s="1"/>
  <c r="Q1159" s="1"/>
  <c r="S1159" s="1"/>
  <c r="U1159" s="1"/>
  <c r="Q1254"/>
  <c r="S1254" s="1"/>
  <c r="U1254" s="1"/>
  <c r="I283"/>
  <c r="K283" s="1"/>
  <c r="M283" s="1"/>
  <c r="O283" s="1"/>
  <c r="Q283" s="1"/>
  <c r="S283" s="1"/>
  <c r="U283" s="1"/>
  <c r="I1427"/>
  <c r="K1427" s="1"/>
  <c r="M1427" s="1"/>
  <c r="O1427" s="1"/>
  <c r="Q1427" s="1"/>
  <c r="S1427" s="1"/>
  <c r="U1427" s="1"/>
  <c r="I1291"/>
  <c r="K1291" s="1"/>
  <c r="M1291" s="1"/>
  <c r="O1291" s="1"/>
  <c r="Q1291" s="1"/>
  <c r="S1291" s="1"/>
  <c r="U1291" s="1"/>
  <c r="I1262"/>
  <c r="K1262" s="1"/>
  <c r="M1262" s="1"/>
  <c r="O1262" s="1"/>
  <c r="Q1262" s="1"/>
  <c r="S1262" s="1"/>
  <c r="U1262" s="1"/>
  <c r="I1249"/>
  <c r="K1249" s="1"/>
  <c r="M1249" s="1"/>
  <c r="O1249" s="1"/>
  <c r="Q1249" s="1"/>
  <c r="S1249" s="1"/>
  <c r="U1249" s="1"/>
  <c r="I1110"/>
  <c r="K1110" s="1"/>
  <c r="M1110" s="1"/>
  <c r="O1110" s="1"/>
  <c r="Q1110" s="1"/>
  <c r="S1110" s="1"/>
  <c r="U1110" s="1"/>
  <c r="I1092"/>
  <c r="K1092" s="1"/>
  <c r="M1092" s="1"/>
  <c r="O1092" s="1"/>
  <c r="Q1092" s="1"/>
  <c r="S1092" s="1"/>
  <c r="U1092" s="1"/>
  <c r="I872"/>
  <c r="K872" s="1"/>
  <c r="M872" s="1"/>
  <c r="O872" s="1"/>
  <c r="Q872" s="1"/>
  <c r="S872" s="1"/>
  <c r="U872" s="1"/>
  <c r="I778"/>
  <c r="K778" s="1"/>
  <c r="M778" s="1"/>
  <c r="O778" s="1"/>
  <c r="Q778" s="1"/>
  <c r="S778" s="1"/>
  <c r="U778" s="1"/>
  <c r="I595"/>
  <c r="K595" s="1"/>
  <c r="M595" s="1"/>
  <c r="O595" s="1"/>
  <c r="Q595" s="1"/>
  <c r="S595" s="1"/>
  <c r="U595" s="1"/>
  <c r="I565"/>
  <c r="K565" s="1"/>
  <c r="M565" s="1"/>
  <c r="O565" s="1"/>
  <c r="Q565" s="1"/>
  <c r="S565" s="1"/>
  <c r="U565" s="1"/>
  <c r="I452"/>
  <c r="K452" s="1"/>
  <c r="M452" s="1"/>
  <c r="O452" s="1"/>
  <c r="Q452" s="1"/>
  <c r="S452" s="1"/>
  <c r="U452" s="1"/>
  <c r="I386"/>
  <c r="K386" s="1"/>
  <c r="M386" s="1"/>
  <c r="O386" s="1"/>
  <c r="Q386" s="1"/>
  <c r="S386" s="1"/>
  <c r="U386" s="1"/>
  <c r="I381"/>
  <c r="K381" s="1"/>
  <c r="M381" s="1"/>
  <c r="O381" s="1"/>
  <c r="Q381" s="1"/>
  <c r="S381" s="1"/>
  <c r="U381" s="1"/>
  <c r="I156"/>
  <c r="K156" s="1"/>
  <c r="M156" s="1"/>
  <c r="O156" s="1"/>
  <c r="Q156" s="1"/>
  <c r="S156" s="1"/>
  <c r="U156" s="1"/>
  <c r="I98"/>
  <c r="K98" s="1"/>
  <c r="M98" s="1"/>
  <c r="O98" s="1"/>
  <c r="Q98" s="1"/>
  <c r="S98" s="1"/>
  <c r="U98" s="1"/>
  <c r="I81"/>
  <c r="K81" s="1"/>
  <c r="M81" s="1"/>
  <c r="O81" s="1"/>
  <c r="Q81" s="1"/>
  <c r="S81" s="1"/>
  <c r="U81" s="1"/>
  <c r="I47"/>
  <c r="K47" s="1"/>
  <c r="M47" s="1"/>
  <c r="O47" s="1"/>
  <c r="Q47" s="1"/>
  <c r="S47" s="1"/>
  <c r="U47" s="1"/>
  <c r="I54"/>
  <c r="K54" s="1"/>
  <c r="M54" s="1"/>
  <c r="O54" s="1"/>
  <c r="Q54" s="1"/>
  <c r="S54" s="1"/>
  <c r="U54" s="1"/>
  <c r="I275"/>
  <c r="K275" s="1"/>
  <c r="M275" s="1"/>
  <c r="O275" s="1"/>
  <c r="Q275" s="1"/>
  <c r="S275" s="1"/>
  <c r="U275" s="1"/>
  <c r="G59" i="1"/>
  <c r="G841" i="5"/>
  <c r="I841" s="1"/>
  <c r="K841" s="1"/>
  <c r="M841" s="1"/>
  <c r="O841" s="1"/>
  <c r="Q841" s="1"/>
  <c r="S841" s="1"/>
  <c r="U841" s="1"/>
  <c r="I1529"/>
  <c r="K1529" s="1"/>
  <c r="M1529" s="1"/>
  <c r="O1529" s="1"/>
  <c r="Q1529" s="1"/>
  <c r="S1529" s="1"/>
  <c r="U1529" s="1"/>
  <c r="I1501"/>
  <c r="K1501" s="1"/>
  <c r="M1501" s="1"/>
  <c r="O1501" s="1"/>
  <c r="Q1501" s="1"/>
  <c r="S1501" s="1"/>
  <c r="U1501" s="1"/>
  <c r="I919"/>
  <c r="K919" s="1"/>
  <c r="M919" s="1"/>
  <c r="O919" s="1"/>
  <c r="Q919" s="1"/>
  <c r="S919" s="1"/>
  <c r="U919" s="1"/>
  <c r="I1256"/>
  <c r="K1256" s="1"/>
  <c r="M1256" s="1"/>
  <c r="O1256" s="1"/>
  <c r="Q1256" s="1"/>
  <c r="S1256" s="1"/>
  <c r="U1256" s="1"/>
  <c r="I1117"/>
  <c r="K1117" s="1"/>
  <c r="M1117" s="1"/>
  <c r="O1117" s="1"/>
  <c r="Q1117" s="1"/>
  <c r="S1117" s="1"/>
  <c r="U1117" s="1"/>
  <c r="I1079"/>
  <c r="K1079" s="1"/>
  <c r="M1079" s="1"/>
  <c r="O1079" s="1"/>
  <c r="Q1079" s="1"/>
  <c r="S1079" s="1"/>
  <c r="U1079" s="1"/>
  <c r="I889"/>
  <c r="K889" s="1"/>
  <c r="M889" s="1"/>
  <c r="O889" s="1"/>
  <c r="Q889" s="1"/>
  <c r="S889" s="1"/>
  <c r="U889" s="1"/>
  <c r="J479"/>
  <c r="J416" s="1"/>
  <c r="I1274"/>
  <c r="K1274" s="1"/>
  <c r="M1274" s="1"/>
  <c r="O1274" s="1"/>
  <c r="Q1274" s="1"/>
  <c r="S1274" s="1"/>
  <c r="U1274" s="1"/>
  <c r="F228" i="6"/>
  <c r="F227" s="1"/>
  <c r="I1700" i="5"/>
  <c r="K1700" s="1"/>
  <c r="M1700" s="1"/>
  <c r="O1700" s="1"/>
  <c r="Q1700" s="1"/>
  <c r="S1700" s="1"/>
  <c r="U1700" s="1"/>
  <c r="I1654"/>
  <c r="K1654" s="1"/>
  <c r="M1654" s="1"/>
  <c r="O1654" s="1"/>
  <c r="Q1654" s="1"/>
  <c r="S1654" s="1"/>
  <c r="U1654" s="1"/>
  <c r="I1599"/>
  <c r="K1599" s="1"/>
  <c r="M1599" s="1"/>
  <c r="O1599" s="1"/>
  <c r="Q1599" s="1"/>
  <c r="S1599" s="1"/>
  <c r="U1599" s="1"/>
  <c r="I260"/>
  <c r="K260" s="1"/>
  <c r="M260" s="1"/>
  <c r="O260" s="1"/>
  <c r="Q260" s="1"/>
  <c r="S260" s="1"/>
  <c r="U260" s="1"/>
  <c r="H1465" i="6"/>
  <c r="J1465" s="1"/>
  <c r="L1465" s="1"/>
  <c r="N1465" s="1"/>
  <c r="P1465" s="1"/>
  <c r="R1465" s="1"/>
  <c r="T1465" s="1"/>
  <c r="I727" i="5"/>
  <c r="K727" s="1"/>
  <c r="M727" s="1"/>
  <c r="O727" s="1"/>
  <c r="Q727" s="1"/>
  <c r="S727" s="1"/>
  <c r="U727" s="1"/>
  <c r="I635"/>
  <c r="K635" s="1"/>
  <c r="M635" s="1"/>
  <c r="O635" s="1"/>
  <c r="Q635" s="1"/>
  <c r="S635" s="1"/>
  <c r="U635" s="1"/>
  <c r="G401"/>
  <c r="I401" s="1"/>
  <c r="K401" s="1"/>
  <c r="M401" s="1"/>
  <c r="O401" s="1"/>
  <c r="Q401" s="1"/>
  <c r="S401" s="1"/>
  <c r="U401" s="1"/>
  <c r="G28" i="1"/>
  <c r="G27" s="1"/>
  <c r="H1513" i="6"/>
  <c r="J1513" s="1"/>
  <c r="L1513" s="1"/>
  <c r="N1513" s="1"/>
  <c r="P1513" s="1"/>
  <c r="R1513" s="1"/>
  <c r="T1513" s="1"/>
  <c r="H1655"/>
  <c r="J1655" s="1"/>
  <c r="L1655" s="1"/>
  <c r="N1655" s="1"/>
  <c r="P1655" s="1"/>
  <c r="R1655" s="1"/>
  <c r="T1655" s="1"/>
  <c r="H858"/>
  <c r="J858" s="1"/>
  <c r="L858" s="1"/>
  <c r="N858" s="1"/>
  <c r="P858" s="1"/>
  <c r="R858" s="1"/>
  <c r="T858" s="1"/>
  <c r="H1745"/>
  <c r="J1745" s="1"/>
  <c r="L1745" s="1"/>
  <c r="N1745" s="1"/>
  <c r="P1745" s="1"/>
  <c r="R1745" s="1"/>
  <c r="T1745" s="1"/>
  <c r="H1244"/>
  <c r="J1244" s="1"/>
  <c r="L1244" s="1"/>
  <c r="N1244" s="1"/>
  <c r="P1244" s="1"/>
  <c r="R1244" s="1"/>
  <c r="T1244" s="1"/>
  <c r="I1264"/>
  <c r="I790" i="5"/>
  <c r="K790" s="1"/>
  <c r="M790" s="1"/>
  <c r="O790" s="1"/>
  <c r="Q790" s="1"/>
  <c r="S790" s="1"/>
  <c r="U790" s="1"/>
  <c r="I571"/>
  <c r="K571" s="1"/>
  <c r="M571" s="1"/>
  <c r="O571" s="1"/>
  <c r="Q571" s="1"/>
  <c r="S571" s="1"/>
  <c r="U571" s="1"/>
  <c r="I1627"/>
  <c r="K1627" s="1"/>
  <c r="M1627" s="1"/>
  <c r="O1627" s="1"/>
  <c r="Q1627" s="1"/>
  <c r="S1627" s="1"/>
  <c r="U1627" s="1"/>
  <c r="I1112"/>
  <c r="K1112" s="1"/>
  <c r="M1112" s="1"/>
  <c r="O1112" s="1"/>
  <c r="Q1112" s="1"/>
  <c r="S1112" s="1"/>
  <c r="U1112" s="1"/>
  <c r="I1075"/>
  <c r="K1075" s="1"/>
  <c r="M1075" s="1"/>
  <c r="O1075" s="1"/>
  <c r="Q1075" s="1"/>
  <c r="S1075" s="1"/>
  <c r="U1075" s="1"/>
  <c r="I637"/>
  <c r="K637" s="1"/>
  <c r="M637" s="1"/>
  <c r="O637" s="1"/>
  <c r="Q637" s="1"/>
  <c r="S637" s="1"/>
  <c r="U637" s="1"/>
  <c r="J1065"/>
  <c r="G50" i="1" s="1"/>
  <c r="H1037" i="6"/>
  <c r="J1037" s="1"/>
  <c r="L1037" s="1"/>
  <c r="N1037" s="1"/>
  <c r="P1037" s="1"/>
  <c r="R1037" s="1"/>
  <c r="T1037" s="1"/>
  <c r="J973" i="5"/>
  <c r="G49" i="1" s="1"/>
  <c r="G35"/>
  <c r="J22" i="5"/>
  <c r="I819"/>
  <c r="K819" s="1"/>
  <c r="M819" s="1"/>
  <c r="O819" s="1"/>
  <c r="Q819" s="1"/>
  <c r="S819" s="1"/>
  <c r="U819" s="1"/>
  <c r="I1480"/>
  <c r="K1480" s="1"/>
  <c r="M1480" s="1"/>
  <c r="O1480" s="1"/>
  <c r="Q1480" s="1"/>
  <c r="S1480" s="1"/>
  <c r="U1480" s="1"/>
  <c r="I1647"/>
  <c r="K1647" s="1"/>
  <c r="M1647" s="1"/>
  <c r="O1647" s="1"/>
  <c r="Q1647" s="1"/>
  <c r="S1647" s="1"/>
  <c r="U1647" s="1"/>
  <c r="J1238"/>
  <c r="J1200" s="1"/>
  <c r="I1744"/>
  <c r="K1744" s="1"/>
  <c r="M1744" s="1"/>
  <c r="O1744" s="1"/>
  <c r="Q1744" s="1"/>
  <c r="S1744" s="1"/>
  <c r="U1744" s="1"/>
  <c r="F926" i="6"/>
  <c r="F924" s="1"/>
  <c r="F923" s="1"/>
  <c r="I1747" i="5"/>
  <c r="K1747" s="1"/>
  <c r="M1747" s="1"/>
  <c r="O1747" s="1"/>
  <c r="Q1747" s="1"/>
  <c r="S1747" s="1"/>
  <c r="U1747" s="1"/>
  <c r="I981"/>
  <c r="K981" s="1"/>
  <c r="M981" s="1"/>
  <c r="O981" s="1"/>
  <c r="Q981" s="1"/>
  <c r="S981" s="1"/>
  <c r="U981" s="1"/>
  <c r="I231"/>
  <c r="K231" s="1"/>
  <c r="M231" s="1"/>
  <c r="O231" s="1"/>
  <c r="Q231" s="1"/>
  <c r="S231" s="1"/>
  <c r="U231" s="1"/>
  <c r="I197"/>
  <c r="K197" s="1"/>
  <c r="M197" s="1"/>
  <c r="O197" s="1"/>
  <c r="Q197" s="1"/>
  <c r="S197" s="1"/>
  <c r="U197" s="1"/>
  <c r="I180"/>
  <c r="K180" s="1"/>
  <c r="M180" s="1"/>
  <c r="O180" s="1"/>
  <c r="Q180" s="1"/>
  <c r="S180" s="1"/>
  <c r="U180" s="1"/>
  <c r="I1558"/>
  <c r="K1558" s="1"/>
  <c r="M1558" s="1"/>
  <c r="O1558" s="1"/>
  <c r="Q1558" s="1"/>
  <c r="S1558" s="1"/>
  <c r="U1558" s="1"/>
  <c r="I85"/>
  <c r="K85" s="1"/>
  <c r="M85" s="1"/>
  <c r="O85" s="1"/>
  <c r="Q85" s="1"/>
  <c r="S85" s="1"/>
  <c r="U85" s="1"/>
  <c r="I41"/>
  <c r="K41" s="1"/>
  <c r="M41" s="1"/>
  <c r="O41" s="1"/>
  <c r="Q41" s="1"/>
  <c r="S41" s="1"/>
  <c r="U41" s="1"/>
  <c r="I63"/>
  <c r="K63" s="1"/>
  <c r="M63" s="1"/>
  <c r="O63" s="1"/>
  <c r="Q63" s="1"/>
  <c r="S63" s="1"/>
  <c r="U63" s="1"/>
  <c r="H888"/>
  <c r="H887" s="1"/>
  <c r="H886" s="1"/>
  <c r="H885" s="1"/>
  <c r="H884" s="1"/>
  <c r="H883" s="1"/>
  <c r="H518" i="6"/>
  <c r="J518" s="1"/>
  <c r="L518" s="1"/>
  <c r="N518" s="1"/>
  <c r="P518" s="1"/>
  <c r="R518" s="1"/>
  <c r="T518" s="1"/>
  <c r="I752" i="5"/>
  <c r="K752" s="1"/>
  <c r="M752" s="1"/>
  <c r="O752" s="1"/>
  <c r="Q752" s="1"/>
  <c r="S752" s="1"/>
  <c r="U752" s="1"/>
  <c r="I721"/>
  <c r="K721" s="1"/>
  <c r="M721" s="1"/>
  <c r="O721" s="1"/>
  <c r="Q721" s="1"/>
  <c r="S721" s="1"/>
  <c r="U721" s="1"/>
  <c r="I620"/>
  <c r="K620" s="1"/>
  <c r="M620" s="1"/>
  <c r="O620" s="1"/>
  <c r="Q620" s="1"/>
  <c r="S620" s="1"/>
  <c r="U620" s="1"/>
  <c r="I1674"/>
  <c r="K1674" s="1"/>
  <c r="M1674" s="1"/>
  <c r="O1674" s="1"/>
  <c r="Q1674" s="1"/>
  <c r="S1674" s="1"/>
  <c r="U1674" s="1"/>
  <c r="I1459"/>
  <c r="K1459" s="1"/>
  <c r="M1459" s="1"/>
  <c r="O1459" s="1"/>
  <c r="Q1459" s="1"/>
  <c r="S1459" s="1"/>
  <c r="U1459" s="1"/>
  <c r="I1236"/>
  <c r="K1236" s="1"/>
  <c r="M1236" s="1"/>
  <c r="O1236" s="1"/>
  <c r="Q1236" s="1"/>
  <c r="S1236" s="1"/>
  <c r="U1236" s="1"/>
  <c r="I1222"/>
  <c r="K1222" s="1"/>
  <c r="M1222" s="1"/>
  <c r="O1222" s="1"/>
  <c r="Q1222" s="1"/>
  <c r="S1222" s="1"/>
  <c r="U1222" s="1"/>
  <c r="I1194"/>
  <c r="K1194" s="1"/>
  <c r="M1194" s="1"/>
  <c r="O1194" s="1"/>
  <c r="Q1194" s="1"/>
  <c r="S1194" s="1"/>
  <c r="U1194" s="1"/>
  <c r="I934"/>
  <c r="K934" s="1"/>
  <c r="M934" s="1"/>
  <c r="O934" s="1"/>
  <c r="Q934" s="1"/>
  <c r="S934" s="1"/>
  <c r="U934" s="1"/>
  <c r="I93"/>
  <c r="K93" s="1"/>
  <c r="M93" s="1"/>
  <c r="O93" s="1"/>
  <c r="Q93" s="1"/>
  <c r="S93" s="1"/>
  <c r="U93" s="1"/>
  <c r="H1800" i="6"/>
  <c r="J1800" s="1"/>
  <c r="L1800" s="1"/>
  <c r="N1800" s="1"/>
  <c r="P1800" s="1"/>
  <c r="R1800" s="1"/>
  <c r="T1800" s="1"/>
  <c r="H427" i="5"/>
  <c r="I427" s="1"/>
  <c r="K427" s="1"/>
  <c r="M427" s="1"/>
  <c r="O427" s="1"/>
  <c r="Q427" s="1"/>
  <c r="S427" s="1"/>
  <c r="U427" s="1"/>
  <c r="F934" i="6"/>
  <c r="H934" s="1"/>
  <c r="J934" s="1"/>
  <c r="L934" s="1"/>
  <c r="N934" s="1"/>
  <c r="P934" s="1"/>
  <c r="R934" s="1"/>
  <c r="T934" s="1"/>
  <c r="I1522" i="5"/>
  <c r="K1522" s="1"/>
  <c r="M1522" s="1"/>
  <c r="O1522" s="1"/>
  <c r="Q1522" s="1"/>
  <c r="S1522" s="1"/>
  <c r="U1522" s="1"/>
  <c r="H39" i="6"/>
  <c r="J39" s="1"/>
  <c r="L39" s="1"/>
  <c r="N39" s="1"/>
  <c r="P39" s="1"/>
  <c r="R39" s="1"/>
  <c r="T39" s="1"/>
  <c r="H907"/>
  <c r="J907" s="1"/>
  <c r="L907" s="1"/>
  <c r="N907" s="1"/>
  <c r="P907" s="1"/>
  <c r="R907" s="1"/>
  <c r="T907" s="1"/>
  <c r="I863" i="5"/>
  <c r="K863" s="1"/>
  <c r="M863" s="1"/>
  <c r="O863" s="1"/>
  <c r="Q863" s="1"/>
  <c r="S863" s="1"/>
  <c r="U863" s="1"/>
  <c r="J175"/>
  <c r="J303"/>
  <c r="G777"/>
  <c r="I1497"/>
  <c r="K1497" s="1"/>
  <c r="M1497" s="1"/>
  <c r="O1497" s="1"/>
  <c r="Q1497" s="1"/>
  <c r="S1497" s="1"/>
  <c r="U1497" s="1"/>
  <c r="I225"/>
  <c r="K225" s="1"/>
  <c r="M225" s="1"/>
  <c r="O225" s="1"/>
  <c r="Q225" s="1"/>
  <c r="S225" s="1"/>
  <c r="U225" s="1"/>
  <c r="G649"/>
  <c r="G648" s="1"/>
  <c r="I1015"/>
  <c r="K1015" s="1"/>
  <c r="M1015" s="1"/>
  <c r="O1015" s="1"/>
  <c r="Q1015" s="1"/>
  <c r="S1015" s="1"/>
  <c r="U1015" s="1"/>
  <c r="I994"/>
  <c r="K994" s="1"/>
  <c r="M994" s="1"/>
  <c r="O994" s="1"/>
  <c r="Q994" s="1"/>
  <c r="S994" s="1"/>
  <c r="U994" s="1"/>
  <c r="G448"/>
  <c r="G447" s="1"/>
  <c r="I411"/>
  <c r="K411" s="1"/>
  <c r="M411" s="1"/>
  <c r="O411" s="1"/>
  <c r="Q411" s="1"/>
  <c r="S411" s="1"/>
  <c r="U411" s="1"/>
  <c r="I392"/>
  <c r="K392" s="1"/>
  <c r="M392" s="1"/>
  <c r="O392" s="1"/>
  <c r="Q392" s="1"/>
  <c r="S392" s="1"/>
  <c r="U392" s="1"/>
  <c r="I162"/>
  <c r="K162" s="1"/>
  <c r="M162" s="1"/>
  <c r="O162" s="1"/>
  <c r="Q162" s="1"/>
  <c r="S162" s="1"/>
  <c r="U162" s="1"/>
  <c r="I144"/>
  <c r="K144" s="1"/>
  <c r="M144" s="1"/>
  <c r="O144" s="1"/>
  <c r="Q144" s="1"/>
  <c r="S144" s="1"/>
  <c r="U144" s="1"/>
  <c r="I120"/>
  <c r="K120" s="1"/>
  <c r="M120" s="1"/>
  <c r="O120" s="1"/>
  <c r="Q120" s="1"/>
  <c r="S120" s="1"/>
  <c r="U120" s="1"/>
  <c r="I35"/>
  <c r="K35" s="1"/>
  <c r="M35" s="1"/>
  <c r="O35" s="1"/>
  <c r="Q35" s="1"/>
  <c r="S35" s="1"/>
  <c r="U35" s="1"/>
  <c r="H517" i="6"/>
  <c r="J517" s="1"/>
  <c r="L517" s="1"/>
  <c r="N517" s="1"/>
  <c r="P517" s="1"/>
  <c r="R517" s="1"/>
  <c r="T517" s="1"/>
  <c r="I601" i="5"/>
  <c r="K601" s="1"/>
  <c r="M601" s="1"/>
  <c r="O601" s="1"/>
  <c r="Q601" s="1"/>
  <c r="S601" s="1"/>
  <c r="U601" s="1"/>
  <c r="I1397"/>
  <c r="K1397" s="1"/>
  <c r="M1397" s="1"/>
  <c r="O1397" s="1"/>
  <c r="Q1397" s="1"/>
  <c r="S1397" s="1"/>
  <c r="U1397" s="1"/>
  <c r="H19" i="6"/>
  <c r="J19" s="1"/>
  <c r="L19" s="1"/>
  <c r="N19" s="1"/>
  <c r="P19" s="1"/>
  <c r="R19" s="1"/>
  <c r="T19" s="1"/>
  <c r="I803" i="5"/>
  <c r="K803" s="1"/>
  <c r="M803" s="1"/>
  <c r="O803" s="1"/>
  <c r="Q803" s="1"/>
  <c r="S803" s="1"/>
  <c r="U803" s="1"/>
  <c r="I822"/>
  <c r="K822" s="1"/>
  <c r="M822" s="1"/>
  <c r="O822" s="1"/>
  <c r="Q822" s="1"/>
  <c r="S822" s="1"/>
  <c r="U822" s="1"/>
  <c r="I1043"/>
  <c r="K1043" s="1"/>
  <c r="M1043" s="1"/>
  <c r="O1043" s="1"/>
  <c r="Q1043" s="1"/>
  <c r="S1043" s="1"/>
  <c r="U1043" s="1"/>
  <c r="G888"/>
  <c r="G887" s="1"/>
  <c r="G886" s="1"/>
  <c r="G885" s="1"/>
  <c r="G884" s="1"/>
  <c r="G883" s="1"/>
  <c r="D25" i="1" s="1"/>
  <c r="I423" i="5"/>
  <c r="K423" s="1"/>
  <c r="M423" s="1"/>
  <c r="O423" s="1"/>
  <c r="Q423" s="1"/>
  <c r="S423" s="1"/>
  <c r="U423" s="1"/>
  <c r="I1419"/>
  <c r="K1419" s="1"/>
  <c r="M1419" s="1"/>
  <c r="O1419" s="1"/>
  <c r="Q1419" s="1"/>
  <c r="S1419" s="1"/>
  <c r="U1419" s="1"/>
  <c r="I1486"/>
  <c r="K1486" s="1"/>
  <c r="M1486" s="1"/>
  <c r="O1486" s="1"/>
  <c r="Q1486" s="1"/>
  <c r="S1486" s="1"/>
  <c r="U1486" s="1"/>
  <c r="I1729"/>
  <c r="K1729" s="1"/>
  <c r="M1729" s="1"/>
  <c r="O1729" s="1"/>
  <c r="Q1729" s="1"/>
  <c r="S1729" s="1"/>
  <c r="U1729" s="1"/>
  <c r="I1405"/>
  <c r="K1405" s="1"/>
  <c r="M1405" s="1"/>
  <c r="O1405" s="1"/>
  <c r="Q1405" s="1"/>
  <c r="S1405" s="1"/>
  <c r="U1405" s="1"/>
  <c r="I317"/>
  <c r="K317" s="1"/>
  <c r="M317" s="1"/>
  <c r="O317" s="1"/>
  <c r="Q317" s="1"/>
  <c r="S317" s="1"/>
  <c r="U317" s="1"/>
  <c r="I1431"/>
  <c r="K1431" s="1"/>
  <c r="M1431" s="1"/>
  <c r="O1431" s="1"/>
  <c r="Q1431" s="1"/>
  <c r="S1431" s="1"/>
  <c r="U1431" s="1"/>
  <c r="G183"/>
  <c r="G182" s="1"/>
  <c r="I182" s="1"/>
  <c r="K182" s="1"/>
  <c r="M182" s="1"/>
  <c r="O182" s="1"/>
  <c r="Q182" s="1"/>
  <c r="S182" s="1"/>
  <c r="U182" s="1"/>
  <c r="G155"/>
  <c r="G154" s="1"/>
  <c r="I154" s="1"/>
  <c r="K154" s="1"/>
  <c r="M154" s="1"/>
  <c r="O154" s="1"/>
  <c r="Q154" s="1"/>
  <c r="S154" s="1"/>
  <c r="U154" s="1"/>
  <c r="J588"/>
  <c r="G34" i="1"/>
  <c r="J901" i="5"/>
  <c r="H1822" i="6"/>
  <c r="J1822" s="1"/>
  <c r="L1822" s="1"/>
  <c r="N1822" s="1"/>
  <c r="P1822" s="1"/>
  <c r="R1822" s="1"/>
  <c r="T1822" s="1"/>
  <c r="H96"/>
  <c r="J96" s="1"/>
  <c r="L96" s="1"/>
  <c r="N96" s="1"/>
  <c r="P96" s="1"/>
  <c r="R96" s="1"/>
  <c r="T96" s="1"/>
  <c r="H196"/>
  <c r="J196" s="1"/>
  <c r="L196" s="1"/>
  <c r="N196" s="1"/>
  <c r="P196" s="1"/>
  <c r="R196" s="1"/>
  <c r="T196" s="1"/>
  <c r="H655"/>
  <c r="J655" s="1"/>
  <c r="L655" s="1"/>
  <c r="N655" s="1"/>
  <c r="P655" s="1"/>
  <c r="R655" s="1"/>
  <c r="T655" s="1"/>
  <c r="J1452" i="5"/>
  <c r="J1415" s="1"/>
  <c r="H508" i="6"/>
  <c r="J508" s="1"/>
  <c r="L508" s="1"/>
  <c r="N508" s="1"/>
  <c r="P508" s="1"/>
  <c r="R508" s="1"/>
  <c r="T508" s="1"/>
  <c r="H1245"/>
  <c r="J1245" s="1"/>
  <c r="L1245" s="1"/>
  <c r="N1245" s="1"/>
  <c r="P1245" s="1"/>
  <c r="R1245" s="1"/>
  <c r="T1245" s="1"/>
  <c r="H1001"/>
  <c r="J1001" s="1"/>
  <c r="L1001" s="1"/>
  <c r="N1001" s="1"/>
  <c r="P1001" s="1"/>
  <c r="R1001" s="1"/>
  <c r="T1001" s="1"/>
  <c r="H1228"/>
  <c r="J1228" s="1"/>
  <c r="L1228" s="1"/>
  <c r="N1228" s="1"/>
  <c r="P1228" s="1"/>
  <c r="R1228" s="1"/>
  <c r="T1228" s="1"/>
  <c r="I935"/>
  <c r="G47" i="1"/>
  <c r="I121" i="6"/>
  <c r="J630" i="5"/>
  <c r="G45" i="1" s="1"/>
  <c r="H95" i="6"/>
  <c r="J95" s="1"/>
  <c r="L95" s="1"/>
  <c r="N95" s="1"/>
  <c r="P95" s="1"/>
  <c r="R95" s="1"/>
  <c r="T95" s="1"/>
  <c r="H206"/>
  <c r="J206" s="1"/>
  <c r="L206" s="1"/>
  <c r="N206" s="1"/>
  <c r="P206" s="1"/>
  <c r="R206" s="1"/>
  <c r="T206" s="1"/>
  <c r="H176"/>
  <c r="J176" s="1"/>
  <c r="L176" s="1"/>
  <c r="N176" s="1"/>
  <c r="P176" s="1"/>
  <c r="R176" s="1"/>
  <c r="T176" s="1"/>
  <c r="H397"/>
  <c r="J397" s="1"/>
  <c r="L397" s="1"/>
  <c r="N397" s="1"/>
  <c r="P397" s="1"/>
  <c r="R397" s="1"/>
  <c r="T397" s="1"/>
  <c r="H925"/>
  <c r="J925" s="1"/>
  <c r="L925" s="1"/>
  <c r="N925" s="1"/>
  <c r="P925" s="1"/>
  <c r="R925" s="1"/>
  <c r="T925" s="1"/>
  <c r="I555" i="5"/>
  <c r="K555" s="1"/>
  <c r="M555" s="1"/>
  <c r="O555" s="1"/>
  <c r="Q555" s="1"/>
  <c r="S555" s="1"/>
  <c r="U555" s="1"/>
  <c r="I406"/>
  <c r="K406" s="1"/>
  <c r="M406" s="1"/>
  <c r="O406" s="1"/>
  <c r="Q406" s="1"/>
  <c r="S406" s="1"/>
  <c r="U406" s="1"/>
  <c r="I364"/>
  <c r="K364" s="1"/>
  <c r="M364" s="1"/>
  <c r="O364" s="1"/>
  <c r="Q364" s="1"/>
  <c r="S364" s="1"/>
  <c r="U364" s="1"/>
  <c r="G282"/>
  <c r="I282" s="1"/>
  <c r="K282" s="1"/>
  <c r="M282" s="1"/>
  <c r="O282" s="1"/>
  <c r="Q282" s="1"/>
  <c r="S282" s="1"/>
  <c r="U282" s="1"/>
  <c r="I652"/>
  <c r="K652" s="1"/>
  <c r="M652" s="1"/>
  <c r="O652" s="1"/>
  <c r="Q652" s="1"/>
  <c r="S652" s="1"/>
  <c r="U652" s="1"/>
  <c r="J1491"/>
  <c r="G114" i="6"/>
  <c r="G113" s="1"/>
  <c r="F114"/>
  <c r="F113" s="1"/>
  <c r="H45"/>
  <c r="J45" s="1"/>
  <c r="L45" s="1"/>
  <c r="N45" s="1"/>
  <c r="P45" s="1"/>
  <c r="R45" s="1"/>
  <c r="T45" s="1"/>
  <c r="H68"/>
  <c r="J68" s="1"/>
  <c r="L68" s="1"/>
  <c r="N68" s="1"/>
  <c r="P68" s="1"/>
  <c r="R68" s="1"/>
  <c r="T68" s="1"/>
  <c r="H217"/>
  <c r="J217" s="1"/>
  <c r="L217" s="1"/>
  <c r="N217" s="1"/>
  <c r="P217" s="1"/>
  <c r="R217" s="1"/>
  <c r="T217" s="1"/>
  <c r="F65"/>
  <c r="F64" s="1"/>
  <c r="F63" s="1"/>
  <c r="F62" s="1"/>
  <c r="I688" i="5"/>
  <c r="K688" s="1"/>
  <c r="M688" s="1"/>
  <c r="O688" s="1"/>
  <c r="Q688" s="1"/>
  <c r="S688" s="1"/>
  <c r="U688" s="1"/>
  <c r="H1137"/>
  <c r="H1132" s="1"/>
  <c r="H744"/>
  <c r="H743" s="1"/>
  <c r="G1109"/>
  <c r="G1108" s="1"/>
  <c r="G634"/>
  <c r="G633" s="1"/>
  <c r="I1258"/>
  <c r="K1258" s="1"/>
  <c r="M1258" s="1"/>
  <c r="O1258" s="1"/>
  <c r="Q1258" s="1"/>
  <c r="S1258" s="1"/>
  <c r="U1258" s="1"/>
  <c r="I1247"/>
  <c r="K1247" s="1"/>
  <c r="M1247" s="1"/>
  <c r="O1247" s="1"/>
  <c r="Q1247" s="1"/>
  <c r="S1247" s="1"/>
  <c r="U1247" s="1"/>
  <c r="I1228"/>
  <c r="K1228" s="1"/>
  <c r="M1228" s="1"/>
  <c r="O1228" s="1"/>
  <c r="Q1228" s="1"/>
  <c r="S1228" s="1"/>
  <c r="U1228" s="1"/>
  <c r="I1177"/>
  <c r="K1177" s="1"/>
  <c r="M1177" s="1"/>
  <c r="O1177" s="1"/>
  <c r="Q1177" s="1"/>
  <c r="S1177" s="1"/>
  <c r="U1177" s="1"/>
  <c r="I1153"/>
  <c r="K1153" s="1"/>
  <c r="M1153" s="1"/>
  <c r="O1153" s="1"/>
  <c r="Q1153" s="1"/>
  <c r="S1153" s="1"/>
  <c r="U1153" s="1"/>
  <c r="I1088"/>
  <c r="K1088" s="1"/>
  <c r="M1088" s="1"/>
  <c r="O1088" s="1"/>
  <c r="Q1088" s="1"/>
  <c r="S1088" s="1"/>
  <c r="U1088" s="1"/>
  <c r="I1011"/>
  <c r="K1011" s="1"/>
  <c r="M1011" s="1"/>
  <c r="O1011" s="1"/>
  <c r="Q1011" s="1"/>
  <c r="S1011" s="1"/>
  <c r="U1011" s="1"/>
  <c r="I990"/>
  <c r="K990" s="1"/>
  <c r="M990" s="1"/>
  <c r="O990" s="1"/>
  <c r="Q990" s="1"/>
  <c r="S990" s="1"/>
  <c r="U990" s="1"/>
  <c r="I759"/>
  <c r="K759" s="1"/>
  <c r="M759" s="1"/>
  <c r="O759" s="1"/>
  <c r="Q759" s="1"/>
  <c r="S759" s="1"/>
  <c r="U759" s="1"/>
  <c r="I614"/>
  <c r="K614" s="1"/>
  <c r="M614" s="1"/>
  <c r="O614" s="1"/>
  <c r="Q614" s="1"/>
  <c r="S614" s="1"/>
  <c r="U614" s="1"/>
  <c r="I520"/>
  <c r="K520" s="1"/>
  <c r="M520" s="1"/>
  <c r="O520" s="1"/>
  <c r="Q520" s="1"/>
  <c r="S520" s="1"/>
  <c r="U520" s="1"/>
  <c r="I387"/>
  <c r="K387" s="1"/>
  <c r="M387" s="1"/>
  <c r="O387" s="1"/>
  <c r="Q387" s="1"/>
  <c r="S387" s="1"/>
  <c r="U387" s="1"/>
  <c r="F1533" i="6"/>
  <c r="H1533" s="1"/>
  <c r="J1533" s="1"/>
  <c r="L1533" s="1"/>
  <c r="N1533" s="1"/>
  <c r="P1533" s="1"/>
  <c r="R1533" s="1"/>
  <c r="T1533" s="1"/>
  <c r="F1038"/>
  <c r="F1036" s="1"/>
  <c r="G1557" i="5"/>
  <c r="G1556" s="1"/>
  <c r="G783"/>
  <c r="I783" s="1"/>
  <c r="K783" s="1"/>
  <c r="M783" s="1"/>
  <c r="O783" s="1"/>
  <c r="Q783" s="1"/>
  <c r="S783" s="1"/>
  <c r="U783" s="1"/>
  <c r="G53"/>
  <c r="I53" s="1"/>
  <c r="K53" s="1"/>
  <c r="M53" s="1"/>
  <c r="O53" s="1"/>
  <c r="Q53" s="1"/>
  <c r="S53" s="1"/>
  <c r="U53" s="1"/>
  <c r="I1342"/>
  <c r="K1342" s="1"/>
  <c r="M1342" s="1"/>
  <c r="O1342" s="1"/>
  <c r="Q1342" s="1"/>
  <c r="S1342" s="1"/>
  <c r="U1342" s="1"/>
  <c r="G1334"/>
  <c r="I1334" s="1"/>
  <c r="K1334" s="1"/>
  <c r="M1334" s="1"/>
  <c r="O1334" s="1"/>
  <c r="Q1334" s="1"/>
  <c r="S1334" s="1"/>
  <c r="U1334" s="1"/>
  <c r="F514" i="6"/>
  <c r="F513" s="1"/>
  <c r="F512" s="1"/>
  <c r="H405"/>
  <c r="J405" s="1"/>
  <c r="L405" s="1"/>
  <c r="N405" s="1"/>
  <c r="P405" s="1"/>
  <c r="R405" s="1"/>
  <c r="T405" s="1"/>
  <c r="H60"/>
  <c r="J60" s="1"/>
  <c r="L60" s="1"/>
  <c r="N60" s="1"/>
  <c r="P60" s="1"/>
  <c r="R60" s="1"/>
  <c r="T60" s="1"/>
  <c r="H475"/>
  <c r="J475" s="1"/>
  <c r="L475" s="1"/>
  <c r="N475" s="1"/>
  <c r="P475" s="1"/>
  <c r="R475" s="1"/>
  <c r="T475" s="1"/>
  <c r="H58"/>
  <c r="J58" s="1"/>
  <c r="L58" s="1"/>
  <c r="N58" s="1"/>
  <c r="P58" s="1"/>
  <c r="R58" s="1"/>
  <c r="T58" s="1"/>
  <c r="H500"/>
  <c r="J500" s="1"/>
  <c r="L500" s="1"/>
  <c r="N500" s="1"/>
  <c r="P500" s="1"/>
  <c r="R500" s="1"/>
  <c r="T500" s="1"/>
  <c r="H933"/>
  <c r="J933" s="1"/>
  <c r="L933" s="1"/>
  <c r="N933" s="1"/>
  <c r="P933" s="1"/>
  <c r="R933" s="1"/>
  <c r="T933" s="1"/>
  <c r="G19" i="1"/>
  <c r="I413" i="5"/>
  <c r="K413" s="1"/>
  <c r="M413" s="1"/>
  <c r="O413" s="1"/>
  <c r="Q413" s="1"/>
  <c r="S413" s="1"/>
  <c r="U413" s="1"/>
  <c r="G1091"/>
  <c r="I1091" s="1"/>
  <c r="K1091" s="1"/>
  <c r="M1091" s="1"/>
  <c r="O1091" s="1"/>
  <c r="Q1091" s="1"/>
  <c r="S1091" s="1"/>
  <c r="U1091" s="1"/>
  <c r="G525"/>
  <c r="I525" s="1"/>
  <c r="K525" s="1"/>
  <c r="M525" s="1"/>
  <c r="O525" s="1"/>
  <c r="Q525" s="1"/>
  <c r="S525" s="1"/>
  <c r="U525" s="1"/>
  <c r="G512"/>
  <c r="G511" s="1"/>
  <c r="G686"/>
  <c r="I686" s="1"/>
  <c r="K686" s="1"/>
  <c r="M686" s="1"/>
  <c r="O686" s="1"/>
  <c r="Q686" s="1"/>
  <c r="S686" s="1"/>
  <c r="U686" s="1"/>
  <c r="H1174"/>
  <c r="H1173" s="1"/>
  <c r="J233"/>
  <c r="G33" i="1"/>
  <c r="G264" i="5"/>
  <c r="G263" s="1"/>
  <c r="G262" s="1"/>
  <c r="H598"/>
  <c r="H597" s="1"/>
  <c r="H918"/>
  <c r="H917" s="1"/>
  <c r="H916" s="1"/>
  <c r="H915" s="1"/>
  <c r="H1109"/>
  <c r="H1108" s="1"/>
  <c r="H1103" s="1"/>
  <c r="I1674" i="6"/>
  <c r="I1673" s="1"/>
  <c r="G1598" i="5"/>
  <c r="I1598" s="1"/>
  <c r="K1598" s="1"/>
  <c r="M1598" s="1"/>
  <c r="O1598" s="1"/>
  <c r="Q1598" s="1"/>
  <c r="S1598" s="1"/>
  <c r="U1598" s="1"/>
  <c r="G1528"/>
  <c r="I1528" s="1"/>
  <c r="K1528" s="1"/>
  <c r="M1528" s="1"/>
  <c r="O1528" s="1"/>
  <c r="Q1528" s="1"/>
  <c r="S1528" s="1"/>
  <c r="U1528" s="1"/>
  <c r="G274"/>
  <c r="G273" s="1"/>
  <c r="I273" s="1"/>
  <c r="K273" s="1"/>
  <c r="M273" s="1"/>
  <c r="O273" s="1"/>
  <c r="Q273" s="1"/>
  <c r="S273" s="1"/>
  <c r="U273" s="1"/>
  <c r="H504"/>
  <c r="H503" s="1"/>
  <c r="H502" s="1"/>
  <c r="H501" s="1"/>
  <c r="E38" i="1" s="1"/>
  <c r="H1219" i="5"/>
  <c r="H1218" s="1"/>
  <c r="H1217" s="1"/>
  <c r="H1233"/>
  <c r="H1232" s="1"/>
  <c r="G749"/>
  <c r="G748" s="1"/>
  <c r="G1273"/>
  <c r="I1273" s="1"/>
  <c r="K1273" s="1"/>
  <c r="M1273" s="1"/>
  <c r="O1273" s="1"/>
  <c r="Q1273" s="1"/>
  <c r="S1273" s="1"/>
  <c r="U1273" s="1"/>
  <c r="G143"/>
  <c r="G142" s="1"/>
  <c r="G1646"/>
  <c r="I1646" s="1"/>
  <c r="K1646" s="1"/>
  <c r="M1646" s="1"/>
  <c r="O1646" s="1"/>
  <c r="Q1646" s="1"/>
  <c r="S1646" s="1"/>
  <c r="U1646" s="1"/>
  <c r="G1404"/>
  <c r="I1404" s="1"/>
  <c r="K1404" s="1"/>
  <c r="M1404" s="1"/>
  <c r="O1404" s="1"/>
  <c r="Q1404" s="1"/>
  <c r="S1404" s="1"/>
  <c r="U1404" s="1"/>
  <c r="G1341"/>
  <c r="I1341" s="1"/>
  <c r="K1341" s="1"/>
  <c r="M1341" s="1"/>
  <c r="O1341" s="1"/>
  <c r="Q1341" s="1"/>
  <c r="S1341" s="1"/>
  <c r="U1341" s="1"/>
  <c r="H1156"/>
  <c r="H1155" s="1"/>
  <c r="H1150" s="1"/>
  <c r="H1149" s="1"/>
  <c r="H1513"/>
  <c r="H112" i="6"/>
  <c r="J112" s="1"/>
  <c r="L112" s="1"/>
  <c r="N112" s="1"/>
  <c r="P112" s="1"/>
  <c r="R112" s="1"/>
  <c r="T112" s="1"/>
  <c r="H75"/>
  <c r="J75" s="1"/>
  <c r="L75" s="1"/>
  <c r="N75" s="1"/>
  <c r="P75" s="1"/>
  <c r="R75" s="1"/>
  <c r="T75" s="1"/>
  <c r="F1821"/>
  <c r="H1821" s="1"/>
  <c r="J1821" s="1"/>
  <c r="L1821" s="1"/>
  <c r="N1821" s="1"/>
  <c r="P1821" s="1"/>
  <c r="R1821" s="1"/>
  <c r="T1821" s="1"/>
  <c r="H66"/>
  <c r="J66" s="1"/>
  <c r="L66" s="1"/>
  <c r="N66" s="1"/>
  <c r="P66" s="1"/>
  <c r="R66" s="1"/>
  <c r="T66" s="1"/>
  <c r="I494" i="5"/>
  <c r="K494" s="1"/>
  <c r="M494" s="1"/>
  <c r="O494" s="1"/>
  <c r="Q494" s="1"/>
  <c r="S494" s="1"/>
  <c r="U494" s="1"/>
  <c r="G493"/>
  <c r="I493" s="1"/>
  <c r="K493" s="1"/>
  <c r="M493" s="1"/>
  <c r="O493" s="1"/>
  <c r="Q493" s="1"/>
  <c r="S493" s="1"/>
  <c r="U493" s="1"/>
  <c r="G92"/>
  <c r="G1521"/>
  <c r="I1521" s="1"/>
  <c r="K1521" s="1"/>
  <c r="M1521" s="1"/>
  <c r="O1521" s="1"/>
  <c r="Q1521" s="1"/>
  <c r="S1521" s="1"/>
  <c r="U1521" s="1"/>
  <c r="G1010"/>
  <c r="I1010" s="1"/>
  <c r="K1010" s="1"/>
  <c r="M1010" s="1"/>
  <c r="O1010" s="1"/>
  <c r="Q1010" s="1"/>
  <c r="S1010" s="1"/>
  <c r="U1010" s="1"/>
  <c r="G203"/>
  <c r="G202" s="1"/>
  <c r="F629" i="6"/>
  <c r="F628" s="1"/>
  <c r="F627" s="1"/>
  <c r="F626" s="1"/>
  <c r="F625" s="1"/>
  <c r="F624" s="1"/>
  <c r="F611" s="1"/>
  <c r="G1468" i="5"/>
  <c r="I1468" s="1"/>
  <c r="K1468" s="1"/>
  <c r="M1468" s="1"/>
  <c r="O1468" s="1"/>
  <c r="Q1468" s="1"/>
  <c r="S1468" s="1"/>
  <c r="U1468" s="1"/>
  <c r="I599"/>
  <c r="K599" s="1"/>
  <c r="M599" s="1"/>
  <c r="O599" s="1"/>
  <c r="Q599" s="1"/>
  <c r="S599" s="1"/>
  <c r="U599" s="1"/>
  <c r="I689"/>
  <c r="K689" s="1"/>
  <c r="M689" s="1"/>
  <c r="O689" s="1"/>
  <c r="Q689" s="1"/>
  <c r="S689" s="1"/>
  <c r="U689" s="1"/>
  <c r="I830"/>
  <c r="K830" s="1"/>
  <c r="M830" s="1"/>
  <c r="O830" s="1"/>
  <c r="Q830" s="1"/>
  <c r="S830" s="1"/>
  <c r="U830" s="1"/>
  <c r="I461"/>
  <c r="K461" s="1"/>
  <c r="M461" s="1"/>
  <c r="O461" s="1"/>
  <c r="Q461" s="1"/>
  <c r="S461" s="1"/>
  <c r="U461" s="1"/>
  <c r="H1227"/>
  <c r="H1226" s="1"/>
  <c r="G1302" i="6"/>
  <c r="G1301" s="1"/>
  <c r="G1300" s="1"/>
  <c r="G46" i="5"/>
  <c r="G43" s="1"/>
  <c r="G821"/>
  <c r="I821" s="1"/>
  <c r="K821" s="1"/>
  <c r="M821" s="1"/>
  <c r="O821" s="1"/>
  <c r="Q821" s="1"/>
  <c r="S821" s="1"/>
  <c r="U821" s="1"/>
  <c r="H1246"/>
  <c r="H1245" s="1"/>
  <c r="G1496"/>
  <c r="I1496" s="1"/>
  <c r="K1496" s="1"/>
  <c r="M1496" s="1"/>
  <c r="O1496" s="1"/>
  <c r="Q1496" s="1"/>
  <c r="S1496" s="1"/>
  <c r="U1496" s="1"/>
  <c r="H634"/>
  <c r="H633" s="1"/>
  <c r="H648"/>
  <c r="H647" s="1"/>
  <c r="G1633"/>
  <c r="I1634"/>
  <c r="K1634" s="1"/>
  <c r="M1634" s="1"/>
  <c r="O1634" s="1"/>
  <c r="Q1634" s="1"/>
  <c r="S1634" s="1"/>
  <c r="U1634" s="1"/>
  <c r="G1562"/>
  <c r="I1563"/>
  <c r="K1563" s="1"/>
  <c r="M1563" s="1"/>
  <c r="O1563" s="1"/>
  <c r="Q1563" s="1"/>
  <c r="S1563" s="1"/>
  <c r="U1563" s="1"/>
  <c r="G1367"/>
  <c r="I1368"/>
  <c r="K1368" s="1"/>
  <c r="M1368" s="1"/>
  <c r="O1368" s="1"/>
  <c r="Q1368" s="1"/>
  <c r="S1368" s="1"/>
  <c r="U1368" s="1"/>
  <c r="G1205"/>
  <c r="G1204" s="1"/>
  <c r="G1203" s="1"/>
  <c r="G1202" s="1"/>
  <c r="I1208"/>
  <c r="K1208" s="1"/>
  <c r="M1208" s="1"/>
  <c r="O1208" s="1"/>
  <c r="Q1208" s="1"/>
  <c r="S1208" s="1"/>
  <c r="U1208" s="1"/>
  <c r="G1051"/>
  <c r="I1052"/>
  <c r="K1052" s="1"/>
  <c r="M1052" s="1"/>
  <c r="O1052" s="1"/>
  <c r="Q1052" s="1"/>
  <c r="S1052" s="1"/>
  <c r="U1052" s="1"/>
  <c r="G997"/>
  <c r="I998"/>
  <c r="K998" s="1"/>
  <c r="M998" s="1"/>
  <c r="O998" s="1"/>
  <c r="Q998" s="1"/>
  <c r="S998" s="1"/>
  <c r="U998" s="1"/>
  <c r="G911"/>
  <c r="I912"/>
  <c r="K912" s="1"/>
  <c r="M912" s="1"/>
  <c r="O912" s="1"/>
  <c r="Q912" s="1"/>
  <c r="S912" s="1"/>
  <c r="U912" s="1"/>
  <c r="G877"/>
  <c r="I878"/>
  <c r="K878" s="1"/>
  <c r="M878" s="1"/>
  <c r="O878" s="1"/>
  <c r="Q878" s="1"/>
  <c r="S878" s="1"/>
  <c r="U878" s="1"/>
  <c r="G755"/>
  <c r="I756"/>
  <c r="K756" s="1"/>
  <c r="M756" s="1"/>
  <c r="O756" s="1"/>
  <c r="Q756" s="1"/>
  <c r="S756" s="1"/>
  <c r="U756" s="1"/>
  <c r="G663"/>
  <c r="I664"/>
  <c r="K664" s="1"/>
  <c r="M664" s="1"/>
  <c r="O664" s="1"/>
  <c r="Q664" s="1"/>
  <c r="S664" s="1"/>
  <c r="U664" s="1"/>
  <c r="G1375"/>
  <c r="I1376"/>
  <c r="K1376" s="1"/>
  <c r="M1376" s="1"/>
  <c r="O1376" s="1"/>
  <c r="Q1376" s="1"/>
  <c r="S1376" s="1"/>
  <c r="U1376" s="1"/>
  <c r="G1284"/>
  <c r="I1285"/>
  <c r="K1285" s="1"/>
  <c r="M1285" s="1"/>
  <c r="O1285" s="1"/>
  <c r="Q1285" s="1"/>
  <c r="S1285" s="1"/>
  <c r="U1285" s="1"/>
  <c r="G1219"/>
  <c r="I1220"/>
  <c r="K1220" s="1"/>
  <c r="M1220" s="1"/>
  <c r="O1220" s="1"/>
  <c r="Q1220" s="1"/>
  <c r="S1220" s="1"/>
  <c r="U1220" s="1"/>
  <c r="G1124"/>
  <c r="I1125"/>
  <c r="K1125" s="1"/>
  <c r="M1125" s="1"/>
  <c r="O1125" s="1"/>
  <c r="Q1125" s="1"/>
  <c r="S1125" s="1"/>
  <c r="U1125" s="1"/>
  <c r="G1100"/>
  <c r="I1101"/>
  <c r="K1101" s="1"/>
  <c r="M1101" s="1"/>
  <c r="O1101" s="1"/>
  <c r="Q1101" s="1"/>
  <c r="S1101" s="1"/>
  <c r="U1101" s="1"/>
  <c r="G1056"/>
  <c r="I1057"/>
  <c r="K1057" s="1"/>
  <c r="M1057" s="1"/>
  <c r="O1057" s="1"/>
  <c r="Q1057" s="1"/>
  <c r="S1057" s="1"/>
  <c r="U1057" s="1"/>
  <c r="G745"/>
  <c r="I746"/>
  <c r="K746" s="1"/>
  <c r="M746" s="1"/>
  <c r="O746" s="1"/>
  <c r="Q746" s="1"/>
  <c r="S746" s="1"/>
  <c r="U746" s="1"/>
  <c r="G484"/>
  <c r="I485"/>
  <c r="K485" s="1"/>
  <c r="M485" s="1"/>
  <c r="O485" s="1"/>
  <c r="Q485" s="1"/>
  <c r="S485" s="1"/>
  <c r="U485" s="1"/>
  <c r="G300"/>
  <c r="G299" s="1"/>
  <c r="G298" s="1"/>
  <c r="I301"/>
  <c r="K301" s="1"/>
  <c r="M301" s="1"/>
  <c r="O301" s="1"/>
  <c r="Q301" s="1"/>
  <c r="S301" s="1"/>
  <c r="U301" s="1"/>
  <c r="G289"/>
  <c r="I289" s="1"/>
  <c r="K289" s="1"/>
  <c r="M289" s="1"/>
  <c r="O289" s="1"/>
  <c r="Q289" s="1"/>
  <c r="S289" s="1"/>
  <c r="U289" s="1"/>
  <c r="I290"/>
  <c r="K290" s="1"/>
  <c r="M290" s="1"/>
  <c r="O290" s="1"/>
  <c r="Q290" s="1"/>
  <c r="S290" s="1"/>
  <c r="U290" s="1"/>
  <c r="G189"/>
  <c r="G188" s="1"/>
  <c r="G187" s="1"/>
  <c r="I190"/>
  <c r="K190" s="1"/>
  <c r="M190" s="1"/>
  <c r="O190" s="1"/>
  <c r="Q190" s="1"/>
  <c r="S190" s="1"/>
  <c r="U190" s="1"/>
  <c r="G147"/>
  <c r="G146" s="1"/>
  <c r="I148"/>
  <c r="K148" s="1"/>
  <c r="M148" s="1"/>
  <c r="O148" s="1"/>
  <c r="Q148" s="1"/>
  <c r="S148" s="1"/>
  <c r="U148" s="1"/>
  <c r="G1142"/>
  <c r="I1143"/>
  <c r="K1143" s="1"/>
  <c r="M1143" s="1"/>
  <c r="O1143" s="1"/>
  <c r="Q1143" s="1"/>
  <c r="S1143" s="1"/>
  <c r="U1143" s="1"/>
  <c r="G270"/>
  <c r="G269" s="1"/>
  <c r="I271"/>
  <c r="K271" s="1"/>
  <c r="M271" s="1"/>
  <c r="O271" s="1"/>
  <c r="Q271" s="1"/>
  <c r="S271" s="1"/>
  <c r="U271" s="1"/>
  <c r="G1749"/>
  <c r="I1750"/>
  <c r="K1750" s="1"/>
  <c r="M1750" s="1"/>
  <c r="O1750" s="1"/>
  <c r="Q1750" s="1"/>
  <c r="S1750" s="1"/>
  <c r="U1750" s="1"/>
  <c r="G1737"/>
  <c r="I1738"/>
  <c r="K1738" s="1"/>
  <c r="M1738" s="1"/>
  <c r="O1738" s="1"/>
  <c r="Q1738" s="1"/>
  <c r="S1738" s="1"/>
  <c r="U1738" s="1"/>
  <c r="G1578"/>
  <c r="I1579"/>
  <c r="K1579" s="1"/>
  <c r="M1579" s="1"/>
  <c r="O1579" s="1"/>
  <c r="Q1579" s="1"/>
  <c r="S1579" s="1"/>
  <c r="U1579" s="1"/>
  <c r="G1351"/>
  <c r="I1352"/>
  <c r="K1352" s="1"/>
  <c r="M1352" s="1"/>
  <c r="O1352" s="1"/>
  <c r="Q1352" s="1"/>
  <c r="S1352" s="1"/>
  <c r="U1352" s="1"/>
  <c r="G1252"/>
  <c r="I1253"/>
  <c r="K1253" s="1"/>
  <c r="M1253" s="1"/>
  <c r="O1253" s="1"/>
  <c r="Q1253" s="1"/>
  <c r="S1253" s="1"/>
  <c r="U1253" s="1"/>
  <c r="G1233"/>
  <c r="I1234"/>
  <c r="K1234" s="1"/>
  <c r="M1234" s="1"/>
  <c r="O1234" s="1"/>
  <c r="Q1234" s="1"/>
  <c r="S1234" s="1"/>
  <c r="U1234" s="1"/>
  <c r="G1156"/>
  <c r="I1157"/>
  <c r="K1157" s="1"/>
  <c r="M1157" s="1"/>
  <c r="O1157" s="1"/>
  <c r="Q1157" s="1"/>
  <c r="S1157" s="1"/>
  <c r="U1157" s="1"/>
  <c r="G1129"/>
  <c r="I1130"/>
  <c r="K1130" s="1"/>
  <c r="M1130" s="1"/>
  <c r="O1130" s="1"/>
  <c r="Q1130" s="1"/>
  <c r="S1130" s="1"/>
  <c r="U1130" s="1"/>
  <c r="G1105"/>
  <c r="I1106"/>
  <c r="K1106" s="1"/>
  <c r="M1106" s="1"/>
  <c r="O1106" s="1"/>
  <c r="Q1106" s="1"/>
  <c r="S1106" s="1"/>
  <c r="U1106" s="1"/>
  <c r="G1069"/>
  <c r="I1070"/>
  <c r="K1070" s="1"/>
  <c r="M1070" s="1"/>
  <c r="O1070" s="1"/>
  <c r="Q1070" s="1"/>
  <c r="S1070" s="1"/>
  <c r="U1070" s="1"/>
  <c r="G1040"/>
  <c r="I1041"/>
  <c r="K1041" s="1"/>
  <c r="M1041" s="1"/>
  <c r="O1041" s="1"/>
  <c r="Q1041" s="1"/>
  <c r="S1041" s="1"/>
  <c r="U1041" s="1"/>
  <c r="G950"/>
  <c r="I951"/>
  <c r="K951" s="1"/>
  <c r="M951" s="1"/>
  <c r="O951" s="1"/>
  <c r="Q951" s="1"/>
  <c r="S951" s="1"/>
  <c r="U951" s="1"/>
  <c r="G921"/>
  <c r="I922"/>
  <c r="K922" s="1"/>
  <c r="M922" s="1"/>
  <c r="O922" s="1"/>
  <c r="Q922" s="1"/>
  <c r="S922" s="1"/>
  <c r="U922" s="1"/>
  <c r="I809"/>
  <c r="K809" s="1"/>
  <c r="M809" s="1"/>
  <c r="O809" s="1"/>
  <c r="Q809" s="1"/>
  <c r="S809" s="1"/>
  <c r="U809" s="1"/>
  <c r="G796"/>
  <c r="I797"/>
  <c r="K797" s="1"/>
  <c r="M797" s="1"/>
  <c r="O797" s="1"/>
  <c r="Q797" s="1"/>
  <c r="S797" s="1"/>
  <c r="U797" s="1"/>
  <c r="G758"/>
  <c r="I758" s="1"/>
  <c r="K758" s="1"/>
  <c r="M758" s="1"/>
  <c r="O758" s="1"/>
  <c r="Q758" s="1"/>
  <c r="S758" s="1"/>
  <c r="U758" s="1"/>
  <c r="I761"/>
  <c r="K761" s="1"/>
  <c r="M761" s="1"/>
  <c r="O761" s="1"/>
  <c r="Q761" s="1"/>
  <c r="S761" s="1"/>
  <c r="U761" s="1"/>
  <c r="F195" i="6"/>
  <c r="H195" s="1"/>
  <c r="J195" s="1"/>
  <c r="L195" s="1"/>
  <c r="N195" s="1"/>
  <c r="P195" s="1"/>
  <c r="R195" s="1"/>
  <c r="T195" s="1"/>
  <c r="I750" i="5"/>
  <c r="K750" s="1"/>
  <c r="M750" s="1"/>
  <c r="O750" s="1"/>
  <c r="Q750" s="1"/>
  <c r="S750" s="1"/>
  <c r="U750" s="1"/>
  <c r="G679"/>
  <c r="I680"/>
  <c r="K680" s="1"/>
  <c r="M680" s="1"/>
  <c r="O680" s="1"/>
  <c r="Q680" s="1"/>
  <c r="S680" s="1"/>
  <c r="U680" s="1"/>
  <c r="G558"/>
  <c r="I559"/>
  <c r="K559" s="1"/>
  <c r="M559" s="1"/>
  <c r="O559" s="1"/>
  <c r="Q559" s="1"/>
  <c r="S559" s="1"/>
  <c r="U559" s="1"/>
  <c r="G546"/>
  <c r="I547"/>
  <c r="K547" s="1"/>
  <c r="M547" s="1"/>
  <c r="O547" s="1"/>
  <c r="Q547" s="1"/>
  <c r="S547" s="1"/>
  <c r="U547" s="1"/>
  <c r="G522"/>
  <c r="I522" s="1"/>
  <c r="K522" s="1"/>
  <c r="M522" s="1"/>
  <c r="O522" s="1"/>
  <c r="Q522" s="1"/>
  <c r="S522" s="1"/>
  <c r="U522" s="1"/>
  <c r="I523"/>
  <c r="K523" s="1"/>
  <c r="M523" s="1"/>
  <c r="O523" s="1"/>
  <c r="Q523" s="1"/>
  <c r="S523" s="1"/>
  <c r="U523" s="1"/>
  <c r="G466"/>
  <c r="I467"/>
  <c r="K467" s="1"/>
  <c r="M467" s="1"/>
  <c r="O467" s="1"/>
  <c r="Q467" s="1"/>
  <c r="S467" s="1"/>
  <c r="U467" s="1"/>
  <c r="I445"/>
  <c r="K445" s="1"/>
  <c r="M445" s="1"/>
  <c r="O445" s="1"/>
  <c r="Q445" s="1"/>
  <c r="S445" s="1"/>
  <c r="U445" s="1"/>
  <c r="G320"/>
  <c r="I321"/>
  <c r="K321" s="1"/>
  <c r="M321" s="1"/>
  <c r="O321" s="1"/>
  <c r="Q321" s="1"/>
  <c r="S321" s="1"/>
  <c r="U321" s="1"/>
  <c r="G237"/>
  <c r="G236" s="1"/>
  <c r="G235" s="1"/>
  <c r="G234" s="1"/>
  <c r="D30" i="1" s="1"/>
  <c r="I238" i="5"/>
  <c r="K238" s="1"/>
  <c r="M238" s="1"/>
  <c r="O238" s="1"/>
  <c r="Q238" s="1"/>
  <c r="S238" s="1"/>
  <c r="U238" s="1"/>
  <c r="G151"/>
  <c r="G150" s="1"/>
  <c r="I152"/>
  <c r="K152" s="1"/>
  <c r="M152" s="1"/>
  <c r="O152" s="1"/>
  <c r="Q152" s="1"/>
  <c r="S152" s="1"/>
  <c r="U152" s="1"/>
  <c r="G106"/>
  <c r="G105" s="1"/>
  <c r="I107"/>
  <c r="K107" s="1"/>
  <c r="M107" s="1"/>
  <c r="O107" s="1"/>
  <c r="Q107" s="1"/>
  <c r="S107" s="1"/>
  <c r="U107" s="1"/>
  <c r="G49"/>
  <c r="I49" s="1"/>
  <c r="K49" s="1"/>
  <c r="M49" s="1"/>
  <c r="O49" s="1"/>
  <c r="Q49" s="1"/>
  <c r="S49" s="1"/>
  <c r="U49" s="1"/>
  <c r="I50"/>
  <c r="K50" s="1"/>
  <c r="M50" s="1"/>
  <c r="O50" s="1"/>
  <c r="Q50" s="1"/>
  <c r="S50" s="1"/>
  <c r="U50" s="1"/>
  <c r="G87"/>
  <c r="G84" s="1"/>
  <c r="I88"/>
  <c r="K88" s="1"/>
  <c r="M88" s="1"/>
  <c r="O88" s="1"/>
  <c r="Q88" s="1"/>
  <c r="S88" s="1"/>
  <c r="U88" s="1"/>
  <c r="G1461"/>
  <c r="I1461" s="1"/>
  <c r="K1461" s="1"/>
  <c r="M1461" s="1"/>
  <c r="O1461" s="1"/>
  <c r="Q1461" s="1"/>
  <c r="S1461" s="1"/>
  <c r="U1461" s="1"/>
  <c r="I1462"/>
  <c r="K1462" s="1"/>
  <c r="M1462" s="1"/>
  <c r="O1462" s="1"/>
  <c r="Q1462" s="1"/>
  <c r="S1462" s="1"/>
  <c r="U1462" s="1"/>
  <c r="G1323"/>
  <c r="I1324"/>
  <c r="K1324" s="1"/>
  <c r="M1324" s="1"/>
  <c r="O1324" s="1"/>
  <c r="Q1324" s="1"/>
  <c r="S1324" s="1"/>
  <c r="U1324" s="1"/>
  <c r="G1412"/>
  <c r="I1413"/>
  <c r="K1413" s="1"/>
  <c r="M1413" s="1"/>
  <c r="O1413" s="1"/>
  <c r="Q1413" s="1"/>
  <c r="S1413" s="1"/>
  <c r="U1413" s="1"/>
  <c r="G1087"/>
  <c r="G989"/>
  <c r="G802"/>
  <c r="G726"/>
  <c r="I726" s="1"/>
  <c r="K726" s="1"/>
  <c r="M726" s="1"/>
  <c r="O726" s="1"/>
  <c r="Q726" s="1"/>
  <c r="S726" s="1"/>
  <c r="U726" s="1"/>
  <c r="G1746"/>
  <c r="I1746" s="1"/>
  <c r="K1746" s="1"/>
  <c r="M1746" s="1"/>
  <c r="O1746" s="1"/>
  <c r="Q1746" s="1"/>
  <c r="S1746" s="1"/>
  <c r="U1746" s="1"/>
  <c r="G1152"/>
  <c r="G1014"/>
  <c r="G720"/>
  <c r="G719" s="1"/>
  <c r="G422"/>
  <c r="G403"/>
  <c r="I403" s="1"/>
  <c r="K403" s="1"/>
  <c r="M403" s="1"/>
  <c r="O403" s="1"/>
  <c r="Q403" s="1"/>
  <c r="S403" s="1"/>
  <c r="U403" s="1"/>
  <c r="G230"/>
  <c r="I230" s="1"/>
  <c r="K230" s="1"/>
  <c r="M230" s="1"/>
  <c r="O230" s="1"/>
  <c r="Q230" s="1"/>
  <c r="S230" s="1"/>
  <c r="U230" s="1"/>
  <c r="G218"/>
  <c r="I218" s="1"/>
  <c r="K218" s="1"/>
  <c r="M218" s="1"/>
  <c r="O218" s="1"/>
  <c r="Q218" s="1"/>
  <c r="S218" s="1"/>
  <c r="U218" s="1"/>
  <c r="G196"/>
  <c r="G193" s="1"/>
  <c r="G179"/>
  <c r="G178" s="1"/>
  <c r="G1418"/>
  <c r="G62"/>
  <c r="I62" s="1"/>
  <c r="K62" s="1"/>
  <c r="M62" s="1"/>
  <c r="O62" s="1"/>
  <c r="Q62" s="1"/>
  <c r="S62" s="1"/>
  <c r="U62" s="1"/>
  <c r="F1243" i="6"/>
  <c r="F1242" s="1"/>
  <c r="G1255" i="5"/>
  <c r="G1673"/>
  <c r="G1626"/>
  <c r="G1500"/>
  <c r="G1396"/>
  <c r="G1261"/>
  <c r="G1260" s="1"/>
  <c r="I1260" s="1"/>
  <c r="K1260" s="1"/>
  <c r="M1260" s="1"/>
  <c r="O1260" s="1"/>
  <c r="Q1260" s="1"/>
  <c r="S1260" s="1"/>
  <c r="U1260" s="1"/>
  <c r="G1193"/>
  <c r="I1193" s="1"/>
  <c r="K1193" s="1"/>
  <c r="M1193" s="1"/>
  <c r="O1193" s="1"/>
  <c r="Q1193" s="1"/>
  <c r="S1193" s="1"/>
  <c r="U1193" s="1"/>
  <c r="G1116"/>
  <c r="G1078"/>
  <c r="G993"/>
  <c r="G980"/>
  <c r="I780"/>
  <c r="K780" s="1"/>
  <c r="M780" s="1"/>
  <c r="O780" s="1"/>
  <c r="Q780" s="1"/>
  <c r="S780" s="1"/>
  <c r="U780" s="1"/>
  <c r="I728"/>
  <c r="K728" s="1"/>
  <c r="M728" s="1"/>
  <c r="O728" s="1"/>
  <c r="Q728" s="1"/>
  <c r="S728" s="1"/>
  <c r="U728" s="1"/>
  <c r="G619"/>
  <c r="G613"/>
  <c r="G570"/>
  <c r="I570" s="1"/>
  <c r="K570" s="1"/>
  <c r="M570" s="1"/>
  <c r="O570" s="1"/>
  <c r="Q570" s="1"/>
  <c r="S570" s="1"/>
  <c r="U570" s="1"/>
  <c r="I495"/>
  <c r="K495" s="1"/>
  <c r="M495" s="1"/>
  <c r="O495" s="1"/>
  <c r="Q495" s="1"/>
  <c r="S495" s="1"/>
  <c r="U495" s="1"/>
  <c r="I414"/>
  <c r="K414" s="1"/>
  <c r="M414" s="1"/>
  <c r="O414" s="1"/>
  <c r="Q414" s="1"/>
  <c r="S414" s="1"/>
  <c r="U414" s="1"/>
  <c r="I407"/>
  <c r="K407" s="1"/>
  <c r="M407" s="1"/>
  <c r="O407" s="1"/>
  <c r="Q407" s="1"/>
  <c r="S407" s="1"/>
  <c r="U407" s="1"/>
  <c r="G391"/>
  <c r="G383"/>
  <c r="I383" s="1"/>
  <c r="K383" s="1"/>
  <c r="M383" s="1"/>
  <c r="O383" s="1"/>
  <c r="Q383" s="1"/>
  <c r="S383" s="1"/>
  <c r="U383" s="1"/>
  <c r="G363"/>
  <c r="G279"/>
  <c r="G259"/>
  <c r="G258" s="1"/>
  <c r="G257" s="1"/>
  <c r="G161"/>
  <c r="G160" s="1"/>
  <c r="G159" s="1"/>
  <c r="G158" s="1"/>
  <c r="G119"/>
  <c r="G116" s="1"/>
  <c r="G115" s="1"/>
  <c r="G114" s="1"/>
  <c r="G97"/>
  <c r="F216" i="6"/>
  <c r="H216" s="1"/>
  <c r="J216" s="1"/>
  <c r="L216" s="1"/>
  <c r="N216" s="1"/>
  <c r="P216" s="1"/>
  <c r="R216" s="1"/>
  <c r="T216" s="1"/>
  <c r="G862" i="5"/>
  <c r="F102" i="6"/>
  <c r="F101" s="1"/>
  <c r="H101" s="1"/>
  <c r="J101" s="1"/>
  <c r="L101" s="1"/>
  <c r="N101" s="1"/>
  <c r="P101" s="1"/>
  <c r="R101" s="1"/>
  <c r="T101" s="1"/>
  <c r="G316" i="5"/>
  <c r="F1817" i="6"/>
  <c r="F1816" s="1"/>
  <c r="F1815" s="1"/>
  <c r="F1814" s="1"/>
  <c r="F1813" s="1"/>
  <c r="F1812" s="1"/>
  <c r="G460" i="5"/>
  <c r="I668"/>
  <c r="K668" s="1"/>
  <c r="M668" s="1"/>
  <c r="O668" s="1"/>
  <c r="Q668" s="1"/>
  <c r="S668" s="1"/>
  <c r="U668" s="1"/>
  <c r="I649"/>
  <c r="K649" s="1"/>
  <c r="M649" s="1"/>
  <c r="O649" s="1"/>
  <c r="Q649" s="1"/>
  <c r="S649" s="1"/>
  <c r="U649" s="1"/>
  <c r="G1581"/>
  <c r="I1581" s="1"/>
  <c r="K1581" s="1"/>
  <c r="M1581" s="1"/>
  <c r="O1581" s="1"/>
  <c r="Q1581" s="1"/>
  <c r="S1581" s="1"/>
  <c r="U1581" s="1"/>
  <c r="I1582"/>
  <c r="K1582" s="1"/>
  <c r="M1582" s="1"/>
  <c r="O1582" s="1"/>
  <c r="Q1582" s="1"/>
  <c r="S1582" s="1"/>
  <c r="U1582" s="1"/>
  <c r="G1359"/>
  <c r="I1360"/>
  <c r="K1360" s="1"/>
  <c r="M1360" s="1"/>
  <c r="O1360" s="1"/>
  <c r="Q1360" s="1"/>
  <c r="S1360" s="1"/>
  <c r="U1360" s="1"/>
  <c r="G1134"/>
  <c r="I1135"/>
  <c r="K1135" s="1"/>
  <c r="M1135" s="1"/>
  <c r="O1135" s="1"/>
  <c r="Q1135" s="1"/>
  <c r="S1135" s="1"/>
  <c r="U1135" s="1"/>
  <c r="G1018"/>
  <c r="I1019"/>
  <c r="K1019" s="1"/>
  <c r="M1019" s="1"/>
  <c r="O1019" s="1"/>
  <c r="Q1019" s="1"/>
  <c r="S1019" s="1"/>
  <c r="U1019" s="1"/>
  <c r="G965"/>
  <c r="I966"/>
  <c r="K966" s="1"/>
  <c r="M966" s="1"/>
  <c r="O966" s="1"/>
  <c r="Q966" s="1"/>
  <c r="S966" s="1"/>
  <c r="U966" s="1"/>
  <c r="G874"/>
  <c r="I874" s="1"/>
  <c r="K874" s="1"/>
  <c r="M874" s="1"/>
  <c r="O874" s="1"/>
  <c r="Q874" s="1"/>
  <c r="S874" s="1"/>
  <c r="U874" s="1"/>
  <c r="I875"/>
  <c r="K875" s="1"/>
  <c r="M875" s="1"/>
  <c r="O875" s="1"/>
  <c r="Q875" s="1"/>
  <c r="S875" s="1"/>
  <c r="U875" s="1"/>
  <c r="G811"/>
  <c r="I811" s="1"/>
  <c r="K811" s="1"/>
  <c r="M811" s="1"/>
  <c r="O811" s="1"/>
  <c r="Q811" s="1"/>
  <c r="S811" s="1"/>
  <c r="U811" s="1"/>
  <c r="I812"/>
  <c r="K812" s="1"/>
  <c r="M812" s="1"/>
  <c r="O812" s="1"/>
  <c r="Q812" s="1"/>
  <c r="S812" s="1"/>
  <c r="U812" s="1"/>
  <c r="G765"/>
  <c r="I766"/>
  <c r="K766" s="1"/>
  <c r="M766" s="1"/>
  <c r="O766" s="1"/>
  <c r="Q766" s="1"/>
  <c r="S766" s="1"/>
  <c r="U766" s="1"/>
  <c r="G716"/>
  <c r="I717"/>
  <c r="K717" s="1"/>
  <c r="M717" s="1"/>
  <c r="O717" s="1"/>
  <c r="Q717" s="1"/>
  <c r="S717" s="1"/>
  <c r="U717" s="1"/>
  <c r="G643"/>
  <c r="I643" s="1"/>
  <c r="K643" s="1"/>
  <c r="M643" s="1"/>
  <c r="O643" s="1"/>
  <c r="Q643" s="1"/>
  <c r="S643" s="1"/>
  <c r="U643" s="1"/>
  <c r="I644"/>
  <c r="K644" s="1"/>
  <c r="M644" s="1"/>
  <c r="O644" s="1"/>
  <c r="Q644" s="1"/>
  <c r="S644" s="1"/>
  <c r="U644" s="1"/>
  <c r="G592"/>
  <c r="I593"/>
  <c r="K593" s="1"/>
  <c r="M593" s="1"/>
  <c r="O593" s="1"/>
  <c r="Q593" s="1"/>
  <c r="S593" s="1"/>
  <c r="U593" s="1"/>
  <c r="G470"/>
  <c r="I471"/>
  <c r="K471" s="1"/>
  <c r="M471" s="1"/>
  <c r="O471" s="1"/>
  <c r="Q471" s="1"/>
  <c r="S471" s="1"/>
  <c r="U471" s="1"/>
  <c r="G337"/>
  <c r="I338"/>
  <c r="K338" s="1"/>
  <c r="M338" s="1"/>
  <c r="O338" s="1"/>
  <c r="Q338" s="1"/>
  <c r="G248"/>
  <c r="G247" s="1"/>
  <c r="G246" s="1"/>
  <c r="I249"/>
  <c r="K249" s="1"/>
  <c r="M249" s="1"/>
  <c r="O249" s="1"/>
  <c r="Q249" s="1"/>
  <c r="S249" s="1"/>
  <c r="U249" s="1"/>
  <c r="G77"/>
  <c r="K78"/>
  <c r="M78" s="1"/>
  <c r="O78" s="1"/>
  <c r="Q78" s="1"/>
  <c r="S78" s="1"/>
  <c r="U78" s="1"/>
  <c r="G37"/>
  <c r="I37" s="1"/>
  <c r="K37" s="1"/>
  <c r="M37" s="1"/>
  <c r="O37" s="1"/>
  <c r="Q37" s="1"/>
  <c r="S37" s="1"/>
  <c r="U37" s="1"/>
  <c r="I38"/>
  <c r="K38" s="1"/>
  <c r="M38" s="1"/>
  <c r="O38" s="1"/>
  <c r="Q38" s="1"/>
  <c r="S38" s="1"/>
  <c r="U38" s="1"/>
  <c r="G1138"/>
  <c r="I1139"/>
  <c r="K1139" s="1"/>
  <c r="M1139" s="1"/>
  <c r="O1139" s="1"/>
  <c r="Q1139" s="1"/>
  <c r="S1139" s="1"/>
  <c r="U1139" s="1"/>
  <c r="G1146"/>
  <c r="I1147"/>
  <c r="K1147" s="1"/>
  <c r="M1147" s="1"/>
  <c r="O1147" s="1"/>
  <c r="Q1147" s="1"/>
  <c r="S1147" s="1"/>
  <c r="U1147" s="1"/>
  <c r="G895"/>
  <c r="I896"/>
  <c r="K896" s="1"/>
  <c r="M896" s="1"/>
  <c r="O896" s="1"/>
  <c r="Q896" s="1"/>
  <c r="S896" s="1"/>
  <c r="U896" s="1"/>
  <c r="G880"/>
  <c r="I880" s="1"/>
  <c r="K880" s="1"/>
  <c r="M880" s="1"/>
  <c r="O880" s="1"/>
  <c r="Q880" s="1"/>
  <c r="S880" s="1"/>
  <c r="U880" s="1"/>
  <c r="I881"/>
  <c r="K881" s="1"/>
  <c r="M881" s="1"/>
  <c r="O881" s="1"/>
  <c r="Q881" s="1"/>
  <c r="S881" s="1"/>
  <c r="U881" s="1"/>
  <c r="G1488"/>
  <c r="I1489"/>
  <c r="K1489" s="1"/>
  <c r="M1489" s="1"/>
  <c r="O1489" s="1"/>
  <c r="Q1489" s="1"/>
  <c r="S1489" s="1"/>
  <c r="U1489" s="1"/>
  <c r="G1433"/>
  <c r="I1434"/>
  <c r="K1434" s="1"/>
  <c r="M1434" s="1"/>
  <c r="O1434" s="1"/>
  <c r="Q1434" s="1"/>
  <c r="S1434" s="1"/>
  <c r="U1434" s="1"/>
  <c r="G1731"/>
  <c r="I1731" s="1"/>
  <c r="K1731" s="1"/>
  <c r="M1731" s="1"/>
  <c r="O1731" s="1"/>
  <c r="Q1731" s="1"/>
  <c r="S1731" s="1"/>
  <c r="U1731" s="1"/>
  <c r="I1732"/>
  <c r="K1732" s="1"/>
  <c r="M1732" s="1"/>
  <c r="O1732" s="1"/>
  <c r="Q1732" s="1"/>
  <c r="S1732" s="1"/>
  <c r="U1732" s="1"/>
  <c r="G358"/>
  <c r="I359"/>
  <c r="K359" s="1"/>
  <c r="M359" s="1"/>
  <c r="O359" s="1"/>
  <c r="Q359" s="1"/>
  <c r="S359" s="1"/>
  <c r="U359" s="1"/>
  <c r="G1318"/>
  <c r="I1319"/>
  <c r="K1319" s="1"/>
  <c r="M1319" s="1"/>
  <c r="O1319" s="1"/>
  <c r="Q1319" s="1"/>
  <c r="S1319" s="1"/>
  <c r="U1319" s="1"/>
  <c r="I732"/>
  <c r="K732" s="1"/>
  <c r="M732" s="1"/>
  <c r="O732" s="1"/>
  <c r="Q732" s="1"/>
  <c r="S732" s="1"/>
  <c r="U732" s="1"/>
  <c r="G828"/>
  <c r="I829"/>
  <c r="K829" s="1"/>
  <c r="M829" s="1"/>
  <c r="O829" s="1"/>
  <c r="Q829" s="1"/>
  <c r="S829" s="1"/>
  <c r="U829" s="1"/>
  <c r="F937" i="6"/>
  <c r="F936" s="1"/>
  <c r="H936" s="1"/>
  <c r="J936" s="1"/>
  <c r="L936" s="1"/>
  <c r="N936" s="1"/>
  <c r="P936" s="1"/>
  <c r="R936" s="1"/>
  <c r="T936" s="1"/>
  <c r="I1432" i="5"/>
  <c r="K1432" s="1"/>
  <c r="M1432" s="1"/>
  <c r="O1432" s="1"/>
  <c r="Q1432" s="1"/>
  <c r="S1432" s="1"/>
  <c r="U1432" s="1"/>
  <c r="G666"/>
  <c r="I666" s="1"/>
  <c r="K666" s="1"/>
  <c r="M666" s="1"/>
  <c r="O666" s="1"/>
  <c r="Q666" s="1"/>
  <c r="S666" s="1"/>
  <c r="U666" s="1"/>
  <c r="I667"/>
  <c r="K667" s="1"/>
  <c r="M667" s="1"/>
  <c r="O667" s="1"/>
  <c r="Q667" s="1"/>
  <c r="S667" s="1"/>
  <c r="U667" s="1"/>
  <c r="H528"/>
  <c r="H400"/>
  <c r="H399" s="1"/>
  <c r="H398" s="1"/>
  <c r="H397" s="1"/>
  <c r="H396" s="1"/>
  <c r="G1657"/>
  <c r="I1658"/>
  <c r="K1658" s="1"/>
  <c r="M1658" s="1"/>
  <c r="O1658" s="1"/>
  <c r="Q1658" s="1"/>
  <c r="S1658" s="1"/>
  <c r="U1658" s="1"/>
  <c r="G1615"/>
  <c r="I1616"/>
  <c r="K1616" s="1"/>
  <c r="M1616" s="1"/>
  <c r="O1616" s="1"/>
  <c r="Q1616" s="1"/>
  <c r="S1616" s="1"/>
  <c r="U1616" s="1"/>
  <c r="G1096"/>
  <c r="I1097"/>
  <c r="K1097" s="1"/>
  <c r="M1097" s="1"/>
  <c r="O1097" s="1"/>
  <c r="Q1097" s="1"/>
  <c r="S1097" s="1"/>
  <c r="U1097" s="1"/>
  <c r="G1027"/>
  <c r="I1028"/>
  <c r="K1028" s="1"/>
  <c r="M1028" s="1"/>
  <c r="O1028" s="1"/>
  <c r="Q1028" s="1"/>
  <c r="S1028" s="1"/>
  <c r="U1028" s="1"/>
  <c r="G835"/>
  <c r="I836"/>
  <c r="K836" s="1"/>
  <c r="M836" s="1"/>
  <c r="O836" s="1"/>
  <c r="Q836" s="1"/>
  <c r="S836" s="1"/>
  <c r="U836" s="1"/>
  <c r="G769"/>
  <c r="I770"/>
  <c r="K770" s="1"/>
  <c r="M770" s="1"/>
  <c r="O770" s="1"/>
  <c r="Q770" s="1"/>
  <c r="S770" s="1"/>
  <c r="U770" s="1"/>
  <c r="G567"/>
  <c r="I568"/>
  <c r="K568" s="1"/>
  <c r="M568" s="1"/>
  <c r="O568" s="1"/>
  <c r="Q568" s="1"/>
  <c r="S568" s="1"/>
  <c r="U568" s="1"/>
  <c r="G350"/>
  <c r="I351"/>
  <c r="K351" s="1"/>
  <c r="M351" s="1"/>
  <c r="O351" s="1"/>
  <c r="Q351" s="1"/>
  <c r="S351" s="1"/>
  <c r="U351" s="1"/>
  <c r="G295"/>
  <c r="I295" s="1"/>
  <c r="K295" s="1"/>
  <c r="M295" s="1"/>
  <c r="O295" s="1"/>
  <c r="Q295" s="1"/>
  <c r="S295" s="1"/>
  <c r="U295" s="1"/>
  <c r="I296"/>
  <c r="K296" s="1"/>
  <c r="M296" s="1"/>
  <c r="O296" s="1"/>
  <c r="Q296" s="1"/>
  <c r="S296" s="1"/>
  <c r="U296" s="1"/>
  <c r="G206"/>
  <c r="I206" s="1"/>
  <c r="K206" s="1"/>
  <c r="M206" s="1"/>
  <c r="O206" s="1"/>
  <c r="Q206" s="1"/>
  <c r="S206" s="1"/>
  <c r="U206" s="1"/>
  <c r="I207"/>
  <c r="K207" s="1"/>
  <c r="M207" s="1"/>
  <c r="O207" s="1"/>
  <c r="Q207" s="1"/>
  <c r="S207" s="1"/>
  <c r="U207" s="1"/>
  <c r="G640"/>
  <c r="I641"/>
  <c r="K641" s="1"/>
  <c r="M641" s="1"/>
  <c r="O641" s="1"/>
  <c r="Q641" s="1"/>
  <c r="S641" s="1"/>
  <c r="U641" s="1"/>
  <c r="G1639"/>
  <c r="I1640"/>
  <c r="K1640" s="1"/>
  <c r="M1640" s="1"/>
  <c r="O1640" s="1"/>
  <c r="Q1640" s="1"/>
  <c r="S1640" s="1"/>
  <c r="U1640" s="1"/>
  <c r="G774"/>
  <c r="I775"/>
  <c r="K775" s="1"/>
  <c r="M775" s="1"/>
  <c r="O775" s="1"/>
  <c r="Q775" s="1"/>
  <c r="S775" s="1"/>
  <c r="U775" s="1"/>
  <c r="G1482"/>
  <c r="I1483"/>
  <c r="K1483" s="1"/>
  <c r="M1483" s="1"/>
  <c r="O1483" s="1"/>
  <c r="Q1483" s="1"/>
  <c r="S1483" s="1"/>
  <c r="U1483" s="1"/>
  <c r="G1443"/>
  <c r="I1444"/>
  <c r="K1444" s="1"/>
  <c r="M1444" s="1"/>
  <c r="O1444" s="1"/>
  <c r="Q1444" s="1"/>
  <c r="S1444" s="1"/>
  <c r="U1444" s="1"/>
  <c r="G1643"/>
  <c r="I1644"/>
  <c r="K1644" s="1"/>
  <c r="M1644" s="1"/>
  <c r="O1644" s="1"/>
  <c r="Q1644" s="1"/>
  <c r="S1644" s="1"/>
  <c r="U1644" s="1"/>
  <c r="G455"/>
  <c r="I456"/>
  <c r="K456" s="1"/>
  <c r="M456" s="1"/>
  <c r="O456" s="1"/>
  <c r="Q456" s="1"/>
  <c r="S456" s="1"/>
  <c r="U456" s="1"/>
  <c r="G656"/>
  <c r="I657"/>
  <c r="K657" s="1"/>
  <c r="M657" s="1"/>
  <c r="O657" s="1"/>
  <c r="Q657" s="1"/>
  <c r="S657" s="1"/>
  <c r="U657" s="1"/>
  <c r="G324"/>
  <c r="I325"/>
  <c r="K325" s="1"/>
  <c r="M325" s="1"/>
  <c r="O325" s="1"/>
  <c r="Q325" s="1"/>
  <c r="S325" s="1"/>
  <c r="U325" s="1"/>
  <c r="G368"/>
  <c r="I369"/>
  <c r="K369" s="1"/>
  <c r="M369" s="1"/>
  <c r="O369" s="1"/>
  <c r="Q369" s="1"/>
  <c r="S369" s="1"/>
  <c r="U369" s="1"/>
  <c r="G1699"/>
  <c r="G1426"/>
  <c r="G1190"/>
  <c r="G933"/>
  <c r="G554"/>
  <c r="G1293"/>
  <c r="I1294"/>
  <c r="K1294" s="1"/>
  <c r="M1294" s="1"/>
  <c r="O1294" s="1"/>
  <c r="Q1294" s="1"/>
  <c r="S1294" s="1"/>
  <c r="U1294" s="1"/>
  <c r="G1661"/>
  <c r="I1662"/>
  <c r="K1662" s="1"/>
  <c r="M1662" s="1"/>
  <c r="O1662" s="1"/>
  <c r="Q1662" s="1"/>
  <c r="S1662" s="1"/>
  <c r="U1662" s="1"/>
  <c r="G1505"/>
  <c r="I1506"/>
  <c r="K1506" s="1"/>
  <c r="M1506" s="1"/>
  <c r="O1506" s="1"/>
  <c r="Q1506" s="1"/>
  <c r="S1506" s="1"/>
  <c r="U1506" s="1"/>
  <c r="G1308"/>
  <c r="I1309"/>
  <c r="K1309" s="1"/>
  <c r="M1309" s="1"/>
  <c r="O1309" s="1"/>
  <c r="Q1309" s="1"/>
  <c r="S1309" s="1"/>
  <c r="U1309" s="1"/>
  <c r="G1174"/>
  <c r="I1175"/>
  <c r="K1175" s="1"/>
  <c r="M1175" s="1"/>
  <c r="O1175" s="1"/>
  <c r="Q1175" s="1"/>
  <c r="S1175" s="1"/>
  <c r="U1175" s="1"/>
  <c r="G1120"/>
  <c r="I1121"/>
  <c r="K1121" s="1"/>
  <c r="M1121" s="1"/>
  <c r="O1121" s="1"/>
  <c r="Q1121" s="1"/>
  <c r="S1121" s="1"/>
  <c r="U1121" s="1"/>
  <c r="G969"/>
  <c r="I970"/>
  <c r="K970" s="1"/>
  <c r="M970" s="1"/>
  <c r="O970" s="1"/>
  <c r="Q970" s="1"/>
  <c r="S970" s="1"/>
  <c r="U970" s="1"/>
  <c r="G476"/>
  <c r="I477"/>
  <c r="K477" s="1"/>
  <c r="M477" s="1"/>
  <c r="O477" s="1"/>
  <c r="Q477" s="1"/>
  <c r="S477" s="1"/>
  <c r="U477" s="1"/>
  <c r="G1595"/>
  <c r="I1596"/>
  <c r="K1596" s="1"/>
  <c r="M1596" s="1"/>
  <c r="O1596" s="1"/>
  <c r="Q1596" s="1"/>
  <c r="S1596" s="1"/>
  <c r="U1596" s="1"/>
  <c r="G1516"/>
  <c r="I1517"/>
  <c r="K1517" s="1"/>
  <c r="M1517" s="1"/>
  <c r="O1517" s="1"/>
  <c r="Q1517" s="1"/>
  <c r="S1517" s="1"/>
  <c r="U1517" s="1"/>
  <c r="G1312"/>
  <c r="I1313"/>
  <c r="K1313" s="1"/>
  <c r="M1313" s="1"/>
  <c r="O1313" s="1"/>
  <c r="Q1313" s="1"/>
  <c r="S1313" s="1"/>
  <c r="U1313" s="1"/>
  <c r="G1031"/>
  <c r="I1032"/>
  <c r="K1032" s="1"/>
  <c r="M1032" s="1"/>
  <c r="O1032" s="1"/>
  <c r="Q1032" s="1"/>
  <c r="S1032" s="1"/>
  <c r="U1032" s="1"/>
  <c r="G1006"/>
  <c r="I1007"/>
  <c r="K1007" s="1"/>
  <c r="M1007" s="1"/>
  <c r="O1007" s="1"/>
  <c r="Q1007" s="1"/>
  <c r="S1007" s="1"/>
  <c r="U1007" s="1"/>
  <c r="G854"/>
  <c r="I855"/>
  <c r="K855" s="1"/>
  <c r="M855" s="1"/>
  <c r="O855" s="1"/>
  <c r="Q855" s="1"/>
  <c r="S855" s="1"/>
  <c r="U855" s="1"/>
  <c r="G792"/>
  <c r="I792" s="1"/>
  <c r="K792" s="1"/>
  <c r="M792" s="1"/>
  <c r="O792" s="1"/>
  <c r="Q792" s="1"/>
  <c r="S792" s="1"/>
  <c r="U792" s="1"/>
  <c r="I793"/>
  <c r="K793" s="1"/>
  <c r="M793" s="1"/>
  <c r="O793" s="1"/>
  <c r="Q793" s="1"/>
  <c r="S793" s="1"/>
  <c r="U793" s="1"/>
  <c r="G673"/>
  <c r="I674"/>
  <c r="K674" s="1"/>
  <c r="M674" s="1"/>
  <c r="O674" s="1"/>
  <c r="Q674" s="1"/>
  <c r="S674" s="1"/>
  <c r="U674" s="1"/>
  <c r="G531"/>
  <c r="I532"/>
  <c r="K532" s="1"/>
  <c r="M532" s="1"/>
  <c r="O532" s="1"/>
  <c r="Q532" s="1"/>
  <c r="S532" s="1"/>
  <c r="U532" s="1"/>
  <c r="G505"/>
  <c r="I506"/>
  <c r="K506" s="1"/>
  <c r="M506" s="1"/>
  <c r="O506" s="1"/>
  <c r="Q506" s="1"/>
  <c r="S506" s="1"/>
  <c r="U506" s="1"/>
  <c r="G539"/>
  <c r="I540"/>
  <c r="K540" s="1"/>
  <c r="M540" s="1"/>
  <c r="O540" s="1"/>
  <c r="Q540" s="1"/>
  <c r="S540" s="1"/>
  <c r="U540" s="1"/>
  <c r="G1601"/>
  <c r="I1601" s="1"/>
  <c r="K1601" s="1"/>
  <c r="M1601" s="1"/>
  <c r="O1601" s="1"/>
  <c r="Q1601" s="1"/>
  <c r="S1601" s="1"/>
  <c r="U1601" s="1"/>
  <c r="I1602"/>
  <c r="K1602" s="1"/>
  <c r="M1602" s="1"/>
  <c r="O1602" s="1"/>
  <c r="Q1602" s="1"/>
  <c r="S1602" s="1"/>
  <c r="U1602" s="1"/>
  <c r="G705"/>
  <c r="I706"/>
  <c r="K706" s="1"/>
  <c r="M706" s="1"/>
  <c r="O706" s="1"/>
  <c r="Q706" s="1"/>
  <c r="S706" s="1"/>
  <c r="U706" s="1"/>
  <c r="G345"/>
  <c r="I346"/>
  <c r="K346" s="1"/>
  <c r="M346" s="1"/>
  <c r="O346" s="1"/>
  <c r="Q346" s="1"/>
  <c r="S346" s="1"/>
  <c r="U346" s="1"/>
  <c r="G848"/>
  <c r="I849"/>
  <c r="K849" s="1"/>
  <c r="M849" s="1"/>
  <c r="O849" s="1"/>
  <c r="Q849" s="1"/>
  <c r="S849" s="1"/>
  <c r="U849" s="1"/>
  <c r="G490"/>
  <c r="I491"/>
  <c r="K491" s="1"/>
  <c r="M491" s="1"/>
  <c r="O491" s="1"/>
  <c r="Q491" s="1"/>
  <c r="S491" s="1"/>
  <c r="U491" s="1"/>
  <c r="F1383" i="6"/>
  <c r="F1382" s="1"/>
  <c r="I118" i="5"/>
  <c r="K118" s="1"/>
  <c r="M118" s="1"/>
  <c r="O118" s="1"/>
  <c r="Q118" s="1"/>
  <c r="S118" s="1"/>
  <c r="U118" s="1"/>
  <c r="G1471"/>
  <c r="I1472"/>
  <c r="K1472" s="1"/>
  <c r="M1472" s="1"/>
  <c r="O1472" s="1"/>
  <c r="Q1472" s="1"/>
  <c r="S1472" s="1"/>
  <c r="U1472" s="1"/>
  <c r="H534"/>
  <c r="E52" i="1"/>
  <c r="E51" s="1"/>
  <c r="G1458" i="5"/>
  <c r="G1074"/>
  <c r="G789"/>
  <c r="G1246"/>
  <c r="G1653"/>
  <c r="G1227"/>
  <c r="G451"/>
  <c r="I451" s="1"/>
  <c r="K451" s="1"/>
  <c r="M451" s="1"/>
  <c r="O451" s="1"/>
  <c r="Q451" s="1"/>
  <c r="S451" s="1"/>
  <c r="U451" s="1"/>
  <c r="G410"/>
  <c r="I410" s="1"/>
  <c r="K410" s="1"/>
  <c r="M410" s="1"/>
  <c r="O410" s="1"/>
  <c r="Q410" s="1"/>
  <c r="S410" s="1"/>
  <c r="U410" s="1"/>
  <c r="G80"/>
  <c r="I80" s="1"/>
  <c r="K80" s="1"/>
  <c r="M80" s="1"/>
  <c r="O80" s="1"/>
  <c r="Q80" s="1"/>
  <c r="S80" s="1"/>
  <c r="U80" s="1"/>
  <c r="G40"/>
  <c r="I40" s="1"/>
  <c r="K40" s="1"/>
  <c r="M40" s="1"/>
  <c r="O40" s="1"/>
  <c r="Q40" s="1"/>
  <c r="S40" s="1"/>
  <c r="U40" s="1"/>
  <c r="G598"/>
  <c r="H749"/>
  <c r="H748" s="1"/>
  <c r="H1467"/>
  <c r="H1485"/>
  <c r="E66" i="1"/>
  <c r="E65" s="1"/>
  <c r="I44" i="5"/>
  <c r="K44" s="1"/>
  <c r="M44" s="1"/>
  <c r="O44" s="1"/>
  <c r="Q44" s="1"/>
  <c r="S44" s="1"/>
  <c r="U44" s="1"/>
  <c r="I75"/>
  <c r="K75" s="1"/>
  <c r="M75" s="1"/>
  <c r="O75" s="1"/>
  <c r="Q75" s="1"/>
  <c r="S75" s="1"/>
  <c r="U75" s="1"/>
  <c r="I134"/>
  <c r="K134" s="1"/>
  <c r="M134" s="1"/>
  <c r="O134" s="1"/>
  <c r="Q134" s="1"/>
  <c r="S134" s="1"/>
  <c r="U134" s="1"/>
  <c r="I228"/>
  <c r="K228" s="1"/>
  <c r="M228" s="1"/>
  <c r="O228" s="1"/>
  <c r="Q228" s="1"/>
  <c r="S228" s="1"/>
  <c r="U228" s="1"/>
  <c r="I253"/>
  <c r="K253" s="1"/>
  <c r="M253" s="1"/>
  <c r="O253" s="1"/>
  <c r="Q253" s="1"/>
  <c r="S253" s="1"/>
  <c r="U253" s="1"/>
  <c r="I904"/>
  <c r="K904" s="1"/>
  <c r="M904" s="1"/>
  <c r="O904" s="1"/>
  <c r="Q904" s="1"/>
  <c r="S904" s="1"/>
  <c r="U904" s="1"/>
  <c r="I129"/>
  <c r="K129" s="1"/>
  <c r="M129" s="1"/>
  <c r="O129" s="1"/>
  <c r="Q129" s="1"/>
  <c r="S129" s="1"/>
  <c r="U129" s="1"/>
  <c r="I169"/>
  <c r="K169" s="1"/>
  <c r="M169" s="1"/>
  <c r="O169" s="1"/>
  <c r="Q169" s="1"/>
  <c r="S169" s="1"/>
  <c r="U169" s="1"/>
  <c r="I292"/>
  <c r="K292" s="1"/>
  <c r="M292" s="1"/>
  <c r="O292" s="1"/>
  <c r="Q292" s="1"/>
  <c r="S292" s="1"/>
  <c r="U292" s="1"/>
  <c r="H788"/>
  <c r="H787" s="1"/>
  <c r="H786" s="1"/>
  <c r="H963"/>
  <c r="H962" s="1"/>
  <c r="H946" s="1"/>
  <c r="H924" s="1"/>
  <c r="I1576"/>
  <c r="K1576" s="1"/>
  <c r="M1576" s="1"/>
  <c r="O1576" s="1"/>
  <c r="Q1576" s="1"/>
  <c r="S1576" s="1"/>
  <c r="U1576" s="1"/>
  <c r="I103"/>
  <c r="I122"/>
  <c r="K122" s="1"/>
  <c r="M122" s="1"/>
  <c r="O122" s="1"/>
  <c r="Q122" s="1"/>
  <c r="S122" s="1"/>
  <c r="U122" s="1"/>
  <c r="I308"/>
  <c r="K308" s="1"/>
  <c r="M308" s="1"/>
  <c r="O308" s="1"/>
  <c r="Q308" s="1"/>
  <c r="S308" s="1"/>
  <c r="U308" s="1"/>
  <c r="I1206"/>
  <c r="K1206" s="1"/>
  <c r="M1206" s="1"/>
  <c r="O1206" s="1"/>
  <c r="Q1206" s="1"/>
  <c r="S1206" s="1"/>
  <c r="U1206" s="1"/>
  <c r="I1241"/>
  <c r="K1241" s="1"/>
  <c r="M1241" s="1"/>
  <c r="O1241" s="1"/>
  <c r="Q1241" s="1"/>
  <c r="S1241" s="1"/>
  <c r="U1241" s="1"/>
  <c r="I1593"/>
  <c r="K1593" s="1"/>
  <c r="M1593" s="1"/>
  <c r="O1593" s="1"/>
  <c r="Q1593" s="1"/>
  <c r="S1593" s="1"/>
  <c r="U1593" s="1"/>
  <c r="I213"/>
  <c r="K213" s="1"/>
  <c r="M213" s="1"/>
  <c r="O213" s="1"/>
  <c r="Q213" s="1"/>
  <c r="S213" s="1"/>
  <c r="U213" s="1"/>
  <c r="F1799" i="6"/>
  <c r="H1799" s="1"/>
  <c r="J1799" s="1"/>
  <c r="L1799" s="1"/>
  <c r="N1799" s="1"/>
  <c r="P1799" s="1"/>
  <c r="R1799" s="1"/>
  <c r="T1799" s="1"/>
  <c r="F1744"/>
  <c r="H1744" s="1"/>
  <c r="J1744" s="1"/>
  <c r="L1744" s="1"/>
  <c r="N1744" s="1"/>
  <c r="P1744" s="1"/>
  <c r="R1744" s="1"/>
  <c r="T1744" s="1"/>
  <c r="F74"/>
  <c r="F73" s="1"/>
  <c r="F72" s="1"/>
  <c r="F71" s="1"/>
  <c r="F70" s="1"/>
  <c r="H70" s="1"/>
  <c r="J70" s="1"/>
  <c r="L70" s="1"/>
  <c r="N70" s="1"/>
  <c r="P70" s="1"/>
  <c r="R70" s="1"/>
  <c r="T70" s="1"/>
  <c r="G1368"/>
  <c r="G1367" s="1"/>
  <c r="G1358" s="1"/>
  <c r="H229"/>
  <c r="J229" s="1"/>
  <c r="L229" s="1"/>
  <c r="N229" s="1"/>
  <c r="P229" s="1"/>
  <c r="R229" s="1"/>
  <c r="T229" s="1"/>
  <c r="F232"/>
  <c r="H232" s="1"/>
  <c r="J232" s="1"/>
  <c r="L232" s="1"/>
  <c r="N232" s="1"/>
  <c r="P232" s="1"/>
  <c r="R232" s="1"/>
  <c r="T232" s="1"/>
  <c r="F111"/>
  <c r="F110" s="1"/>
  <c r="F109" s="1"/>
  <c r="F108" s="1"/>
  <c r="F107" s="1"/>
  <c r="H107" s="1"/>
  <c r="J107" s="1"/>
  <c r="L107" s="1"/>
  <c r="N107" s="1"/>
  <c r="P107" s="1"/>
  <c r="R107" s="1"/>
  <c r="T107" s="1"/>
  <c r="H83"/>
  <c r="J83" s="1"/>
  <c r="L83" s="1"/>
  <c r="N83" s="1"/>
  <c r="P83" s="1"/>
  <c r="R83" s="1"/>
  <c r="T83" s="1"/>
  <c r="G1328"/>
  <c r="G1327" s="1"/>
  <c r="G1326" s="1"/>
  <c r="G1325" s="1"/>
  <c r="G1464"/>
  <c r="G1463" s="1"/>
  <c r="G1457" s="1"/>
  <c r="G1456" s="1"/>
  <c r="G1455" s="1"/>
  <c r="H903"/>
  <c r="J903" s="1"/>
  <c r="L903" s="1"/>
  <c r="N903" s="1"/>
  <c r="P903" s="1"/>
  <c r="R903" s="1"/>
  <c r="T903" s="1"/>
  <c r="G94"/>
  <c r="G93" s="1"/>
  <c r="G92" s="1"/>
  <c r="G91" s="1"/>
  <c r="G658"/>
  <c r="G654" s="1"/>
  <c r="G653" s="1"/>
  <c r="G1007"/>
  <c r="G1743"/>
  <c r="G1742" s="1"/>
  <c r="G1741" s="1"/>
  <c r="F1368"/>
  <c r="F1367" s="1"/>
  <c r="F1358" s="1"/>
  <c r="F1357" s="1"/>
  <c r="F1356" s="1"/>
  <c r="F742"/>
  <c r="F741" s="1"/>
  <c r="F740" s="1"/>
  <c r="F739" s="1"/>
  <c r="F738" s="1"/>
  <c r="F731" s="1"/>
  <c r="H104"/>
  <c r="J104" s="1"/>
  <c r="L104" s="1"/>
  <c r="N104" s="1"/>
  <c r="P104" s="1"/>
  <c r="R104" s="1"/>
  <c r="T104" s="1"/>
  <c r="G550"/>
  <c r="G543" s="1"/>
  <c r="G720"/>
  <c r="G205"/>
  <c r="G201" s="1"/>
  <c r="G200" s="1"/>
  <c r="G199" s="1"/>
  <c r="G1541"/>
  <c r="G1591"/>
  <c r="G1590" s="1"/>
  <c r="I1242" i="5"/>
  <c r="K1242" s="1"/>
  <c r="M1242" s="1"/>
  <c r="O1242" s="1"/>
  <c r="Q1242" s="1"/>
  <c r="S1242" s="1"/>
  <c r="U1242" s="1"/>
  <c r="I1243"/>
  <c r="K1243" s="1"/>
  <c r="M1243" s="1"/>
  <c r="O1243" s="1"/>
  <c r="Q1243" s="1"/>
  <c r="S1243" s="1"/>
  <c r="U1243" s="1"/>
  <c r="G1721" i="6"/>
  <c r="G1720" s="1"/>
  <c r="G1719" s="1"/>
  <c r="H754"/>
  <c r="J754" s="1"/>
  <c r="L754" s="1"/>
  <c r="N754" s="1"/>
  <c r="P754" s="1"/>
  <c r="R754" s="1"/>
  <c r="T754" s="1"/>
  <c r="F857"/>
  <c r="F856" s="1"/>
  <c r="F852" s="1"/>
  <c r="F851" s="1"/>
  <c r="F850" s="1"/>
  <c r="H526"/>
  <c r="J526" s="1"/>
  <c r="L526" s="1"/>
  <c r="N526" s="1"/>
  <c r="P526" s="1"/>
  <c r="R526" s="1"/>
  <c r="T526" s="1"/>
  <c r="G194"/>
  <c r="G193" s="1"/>
  <c r="G192" s="1"/>
  <c r="G191" s="1"/>
  <c r="G227"/>
  <c r="G226" s="1"/>
  <c r="G225" s="1"/>
  <c r="G224" s="1"/>
  <c r="G402"/>
  <c r="G401" s="1"/>
  <c r="G400" s="1"/>
  <c r="G399" s="1"/>
  <c r="H596"/>
  <c r="J596" s="1"/>
  <c r="L596" s="1"/>
  <c r="N596" s="1"/>
  <c r="P596" s="1"/>
  <c r="R596" s="1"/>
  <c r="T596" s="1"/>
  <c r="G932"/>
  <c r="G931" s="1"/>
  <c r="G927" s="1"/>
  <c r="G1085"/>
  <c r="G1084" s="1"/>
  <c r="G1243"/>
  <c r="G1242" s="1"/>
  <c r="G1236" s="1"/>
  <c r="G1235" s="1"/>
  <c r="G1234" s="1"/>
  <c r="H1501"/>
  <c r="J1501" s="1"/>
  <c r="L1501" s="1"/>
  <c r="N1501" s="1"/>
  <c r="P1501" s="1"/>
  <c r="R1501" s="1"/>
  <c r="T1501" s="1"/>
  <c r="G1598"/>
  <c r="G1597" s="1"/>
  <c r="G1608"/>
  <c r="G1607" s="1"/>
  <c r="H659"/>
  <c r="J659" s="1"/>
  <c r="L659" s="1"/>
  <c r="N659" s="1"/>
  <c r="P659" s="1"/>
  <c r="R659" s="1"/>
  <c r="T659" s="1"/>
  <c r="F1336"/>
  <c r="F1335" s="1"/>
  <c r="F1334" s="1"/>
  <c r="H515"/>
  <c r="J515" s="1"/>
  <c r="L515" s="1"/>
  <c r="N515" s="1"/>
  <c r="P515" s="1"/>
  <c r="R515" s="1"/>
  <c r="T515" s="1"/>
  <c r="H640"/>
  <c r="J640" s="1"/>
  <c r="L640" s="1"/>
  <c r="N640" s="1"/>
  <c r="P640" s="1"/>
  <c r="R640" s="1"/>
  <c r="T640" s="1"/>
  <c r="G1220"/>
  <c r="G1204" s="1"/>
  <c r="G1785"/>
  <c r="G1784" s="1"/>
  <c r="G1783" s="1"/>
  <c r="H81"/>
  <c r="J81" s="1"/>
  <c r="L81" s="1"/>
  <c r="N81" s="1"/>
  <c r="P81" s="1"/>
  <c r="R81" s="1"/>
  <c r="T81" s="1"/>
  <c r="H197"/>
  <c r="J197" s="1"/>
  <c r="L197" s="1"/>
  <c r="N197" s="1"/>
  <c r="P197" s="1"/>
  <c r="R197" s="1"/>
  <c r="T197" s="1"/>
  <c r="F1000"/>
  <c r="H1000" s="1"/>
  <c r="J1000" s="1"/>
  <c r="L1000" s="1"/>
  <c r="N1000" s="1"/>
  <c r="P1000" s="1"/>
  <c r="R1000" s="1"/>
  <c r="T1000" s="1"/>
  <c r="G474"/>
  <c r="G473" s="1"/>
  <c r="G472" s="1"/>
  <c r="G471" s="1"/>
  <c r="G514"/>
  <c r="G513" s="1"/>
  <c r="G512" s="1"/>
  <c r="G857"/>
  <c r="G856" s="1"/>
  <c r="G852" s="1"/>
  <c r="G851" s="1"/>
  <c r="G850" s="1"/>
  <c r="G1615"/>
  <c r="G1614" s="1"/>
  <c r="F88"/>
  <c r="H89"/>
  <c r="J89" s="1"/>
  <c r="L89" s="1"/>
  <c r="N89" s="1"/>
  <c r="P89" s="1"/>
  <c r="R89" s="1"/>
  <c r="T89" s="1"/>
  <c r="H483"/>
  <c r="J483" s="1"/>
  <c r="L483" s="1"/>
  <c r="N483" s="1"/>
  <c r="P483" s="1"/>
  <c r="R483" s="1"/>
  <c r="T483" s="1"/>
  <c r="G961"/>
  <c r="G954" s="1"/>
  <c r="G482"/>
  <c r="G481" s="1"/>
  <c r="G480" s="1"/>
  <c r="G479" s="1"/>
  <c r="F315"/>
  <c r="H316"/>
  <c r="J316" s="1"/>
  <c r="L316" s="1"/>
  <c r="N316" s="1"/>
  <c r="P316" s="1"/>
  <c r="R316" s="1"/>
  <c r="T316" s="1"/>
  <c r="F423"/>
  <c r="H424"/>
  <c r="J424" s="1"/>
  <c r="L424" s="1"/>
  <c r="N424" s="1"/>
  <c r="P424" s="1"/>
  <c r="R424" s="1"/>
  <c r="T424" s="1"/>
  <c r="G394"/>
  <c r="G393" s="1"/>
  <c r="G392" s="1"/>
  <c r="G391" s="1"/>
  <c r="G413"/>
  <c r="F1548"/>
  <c r="H1549"/>
  <c r="J1549" s="1"/>
  <c r="L1549" s="1"/>
  <c r="N1549" s="1"/>
  <c r="P1549" s="1"/>
  <c r="R1549" s="1"/>
  <c r="T1549" s="1"/>
  <c r="F1535"/>
  <c r="H1536"/>
  <c r="J1536" s="1"/>
  <c r="L1536" s="1"/>
  <c r="N1536" s="1"/>
  <c r="P1536" s="1"/>
  <c r="R1536" s="1"/>
  <c r="T1536" s="1"/>
  <c r="F1040"/>
  <c r="H1041"/>
  <c r="J1041" s="1"/>
  <c r="L1041" s="1"/>
  <c r="N1041" s="1"/>
  <c r="P1041" s="1"/>
  <c r="R1041" s="1"/>
  <c r="T1041" s="1"/>
  <c r="F1545"/>
  <c r="H1546"/>
  <c r="J1546" s="1"/>
  <c r="L1546" s="1"/>
  <c r="N1546" s="1"/>
  <c r="P1546" s="1"/>
  <c r="R1546" s="1"/>
  <c r="T1546" s="1"/>
  <c r="F1401"/>
  <c r="H1404"/>
  <c r="J1404" s="1"/>
  <c r="L1404" s="1"/>
  <c r="N1404" s="1"/>
  <c r="P1404" s="1"/>
  <c r="R1404" s="1"/>
  <c r="T1404" s="1"/>
  <c r="F1629"/>
  <c r="H1630"/>
  <c r="J1630" s="1"/>
  <c r="L1630" s="1"/>
  <c r="N1630" s="1"/>
  <c r="P1630" s="1"/>
  <c r="R1630" s="1"/>
  <c r="T1630" s="1"/>
  <c r="F993"/>
  <c r="H994"/>
  <c r="J994" s="1"/>
  <c r="L994" s="1"/>
  <c r="N994" s="1"/>
  <c r="P994" s="1"/>
  <c r="R994" s="1"/>
  <c r="T994" s="1"/>
  <c r="F1028"/>
  <c r="H1028" s="1"/>
  <c r="J1028" s="1"/>
  <c r="L1028" s="1"/>
  <c r="N1028" s="1"/>
  <c r="P1028" s="1"/>
  <c r="R1028" s="1"/>
  <c r="T1028" s="1"/>
  <c r="H1029"/>
  <c r="J1029" s="1"/>
  <c r="L1029" s="1"/>
  <c r="N1029" s="1"/>
  <c r="P1029" s="1"/>
  <c r="R1029" s="1"/>
  <c r="T1029" s="1"/>
  <c r="F1012"/>
  <c r="H1013"/>
  <c r="J1013" s="1"/>
  <c r="L1013" s="1"/>
  <c r="N1013" s="1"/>
  <c r="P1013" s="1"/>
  <c r="R1013" s="1"/>
  <c r="T1013" s="1"/>
  <c r="F166"/>
  <c r="H167"/>
  <c r="J167" s="1"/>
  <c r="L167" s="1"/>
  <c r="N167" s="1"/>
  <c r="P167" s="1"/>
  <c r="R167" s="1"/>
  <c r="T167" s="1"/>
  <c r="F1557"/>
  <c r="H1558"/>
  <c r="J1558" s="1"/>
  <c r="L1558" s="1"/>
  <c r="N1558" s="1"/>
  <c r="P1558" s="1"/>
  <c r="R1558" s="1"/>
  <c r="T1558" s="1"/>
  <c r="F447"/>
  <c r="H448"/>
  <c r="J448" s="1"/>
  <c r="L448" s="1"/>
  <c r="N448" s="1"/>
  <c r="P448" s="1"/>
  <c r="R448" s="1"/>
  <c r="T448" s="1"/>
  <c r="F291"/>
  <c r="H292"/>
  <c r="J292" s="1"/>
  <c r="L292" s="1"/>
  <c r="N292" s="1"/>
  <c r="P292" s="1"/>
  <c r="R292" s="1"/>
  <c r="T292" s="1"/>
  <c r="F339"/>
  <c r="H340"/>
  <c r="J340" s="1"/>
  <c r="L340" s="1"/>
  <c r="N340" s="1"/>
  <c r="P340" s="1"/>
  <c r="R340" s="1"/>
  <c r="T340" s="1"/>
  <c r="F267"/>
  <c r="H268"/>
  <c r="J268" s="1"/>
  <c r="L268" s="1"/>
  <c r="N268" s="1"/>
  <c r="P268" s="1"/>
  <c r="R268" s="1"/>
  <c r="T268" s="1"/>
  <c r="F357"/>
  <c r="H358"/>
  <c r="J358" s="1"/>
  <c r="L358" s="1"/>
  <c r="N358" s="1"/>
  <c r="P358" s="1"/>
  <c r="R358" s="1"/>
  <c r="T358" s="1"/>
  <c r="F417"/>
  <c r="H418"/>
  <c r="J418" s="1"/>
  <c r="L418" s="1"/>
  <c r="N418" s="1"/>
  <c r="P418" s="1"/>
  <c r="R418" s="1"/>
  <c r="T418" s="1"/>
  <c r="F557"/>
  <c r="H558"/>
  <c r="J558" s="1"/>
  <c r="L558" s="1"/>
  <c r="N558" s="1"/>
  <c r="P558" s="1"/>
  <c r="R558" s="1"/>
  <c r="T558" s="1"/>
  <c r="F1305"/>
  <c r="H1305" s="1"/>
  <c r="J1305" s="1"/>
  <c r="L1305" s="1"/>
  <c r="N1305" s="1"/>
  <c r="P1305" s="1"/>
  <c r="R1305" s="1"/>
  <c r="T1305" s="1"/>
  <c r="H1306"/>
  <c r="J1306" s="1"/>
  <c r="L1306" s="1"/>
  <c r="N1306" s="1"/>
  <c r="P1306" s="1"/>
  <c r="R1306" s="1"/>
  <c r="T1306" s="1"/>
  <c r="F1602"/>
  <c r="H1603"/>
  <c r="J1603" s="1"/>
  <c r="L1603" s="1"/>
  <c r="N1603" s="1"/>
  <c r="P1603" s="1"/>
  <c r="R1603" s="1"/>
  <c r="T1603" s="1"/>
  <c r="F1296"/>
  <c r="H1296" s="1"/>
  <c r="J1296" s="1"/>
  <c r="L1296" s="1"/>
  <c r="N1296" s="1"/>
  <c r="P1296" s="1"/>
  <c r="R1296" s="1"/>
  <c r="T1296" s="1"/>
  <c r="H1297"/>
  <c r="J1297" s="1"/>
  <c r="L1297" s="1"/>
  <c r="N1297" s="1"/>
  <c r="P1297" s="1"/>
  <c r="R1297" s="1"/>
  <c r="T1297" s="1"/>
  <c r="F477"/>
  <c r="H477" s="1"/>
  <c r="J477" s="1"/>
  <c r="L477" s="1"/>
  <c r="N477" s="1"/>
  <c r="P477" s="1"/>
  <c r="R477" s="1"/>
  <c r="T477" s="1"/>
  <c r="H478"/>
  <c r="J478" s="1"/>
  <c r="L478" s="1"/>
  <c r="N478" s="1"/>
  <c r="P478" s="1"/>
  <c r="R478" s="1"/>
  <c r="T478" s="1"/>
  <c r="F1616"/>
  <c r="H1616" s="1"/>
  <c r="J1616" s="1"/>
  <c r="L1616" s="1"/>
  <c r="N1616" s="1"/>
  <c r="P1616" s="1"/>
  <c r="R1616" s="1"/>
  <c r="T1616" s="1"/>
  <c r="H1617"/>
  <c r="J1617" s="1"/>
  <c r="L1617" s="1"/>
  <c r="N1617" s="1"/>
  <c r="P1617" s="1"/>
  <c r="R1617" s="1"/>
  <c r="T1617" s="1"/>
  <c r="F1585"/>
  <c r="H1586"/>
  <c r="J1586" s="1"/>
  <c r="L1586" s="1"/>
  <c r="N1586" s="1"/>
  <c r="P1586" s="1"/>
  <c r="R1586" s="1"/>
  <c r="T1586" s="1"/>
  <c r="F789"/>
  <c r="H790"/>
  <c r="J790" s="1"/>
  <c r="L790" s="1"/>
  <c r="N790" s="1"/>
  <c r="P790" s="1"/>
  <c r="R790" s="1"/>
  <c r="T790" s="1"/>
  <c r="F1609"/>
  <c r="H1610"/>
  <c r="J1610" s="1"/>
  <c r="L1610" s="1"/>
  <c r="N1610" s="1"/>
  <c r="P1610" s="1"/>
  <c r="R1610" s="1"/>
  <c r="T1610" s="1"/>
  <c r="F1567"/>
  <c r="H1569"/>
  <c r="J1569" s="1"/>
  <c r="L1569" s="1"/>
  <c r="N1569" s="1"/>
  <c r="P1569" s="1"/>
  <c r="R1569" s="1"/>
  <c r="T1569" s="1"/>
  <c r="F1148"/>
  <c r="H1149"/>
  <c r="J1149" s="1"/>
  <c r="L1149" s="1"/>
  <c r="N1149" s="1"/>
  <c r="P1149" s="1"/>
  <c r="R1149" s="1"/>
  <c r="T1149" s="1"/>
  <c r="F1575"/>
  <c r="H1576"/>
  <c r="J1576" s="1"/>
  <c r="L1576" s="1"/>
  <c r="N1576" s="1"/>
  <c r="P1576" s="1"/>
  <c r="R1576" s="1"/>
  <c r="T1576" s="1"/>
  <c r="F772"/>
  <c r="H773"/>
  <c r="J773" s="1"/>
  <c r="L773" s="1"/>
  <c r="N773" s="1"/>
  <c r="P773" s="1"/>
  <c r="R773" s="1"/>
  <c r="T773" s="1"/>
  <c r="F712"/>
  <c r="H713"/>
  <c r="J713" s="1"/>
  <c r="L713" s="1"/>
  <c r="N713" s="1"/>
  <c r="P713" s="1"/>
  <c r="R713" s="1"/>
  <c r="T713" s="1"/>
  <c r="F1766"/>
  <c r="H1767"/>
  <c r="J1767" s="1"/>
  <c r="L1767" s="1"/>
  <c r="N1767" s="1"/>
  <c r="P1767" s="1"/>
  <c r="R1767" s="1"/>
  <c r="T1767" s="1"/>
  <c r="F1725"/>
  <c r="H1726"/>
  <c r="J1726" s="1"/>
  <c r="L1726" s="1"/>
  <c r="N1726" s="1"/>
  <c r="P1726" s="1"/>
  <c r="R1726" s="1"/>
  <c r="T1726" s="1"/>
  <c r="F1747"/>
  <c r="H1748"/>
  <c r="J1748" s="1"/>
  <c r="L1748" s="1"/>
  <c r="N1748" s="1"/>
  <c r="P1748" s="1"/>
  <c r="R1748" s="1"/>
  <c r="T1748" s="1"/>
  <c r="F1778"/>
  <c r="H1778" s="1"/>
  <c r="J1778" s="1"/>
  <c r="L1778" s="1"/>
  <c r="N1778" s="1"/>
  <c r="P1778" s="1"/>
  <c r="R1778" s="1"/>
  <c r="T1778" s="1"/>
  <c r="H1779"/>
  <c r="J1779" s="1"/>
  <c r="L1779" s="1"/>
  <c r="N1779" s="1"/>
  <c r="P1779" s="1"/>
  <c r="R1779" s="1"/>
  <c r="T1779" s="1"/>
  <c r="F938"/>
  <c r="H938" s="1"/>
  <c r="J938" s="1"/>
  <c r="L938" s="1"/>
  <c r="N938" s="1"/>
  <c r="P938" s="1"/>
  <c r="R938" s="1"/>
  <c r="T938" s="1"/>
  <c r="H939"/>
  <c r="J939" s="1"/>
  <c r="L939" s="1"/>
  <c r="N939" s="1"/>
  <c r="P939" s="1"/>
  <c r="R939" s="1"/>
  <c r="T939" s="1"/>
  <c r="F1786"/>
  <c r="H1786" s="1"/>
  <c r="J1786" s="1"/>
  <c r="L1786" s="1"/>
  <c r="N1786" s="1"/>
  <c r="P1786" s="1"/>
  <c r="R1786" s="1"/>
  <c r="T1786" s="1"/>
  <c r="H1787"/>
  <c r="J1787" s="1"/>
  <c r="L1787" s="1"/>
  <c r="N1787" s="1"/>
  <c r="P1787" s="1"/>
  <c r="R1787" s="1"/>
  <c r="T1787" s="1"/>
  <c r="F978"/>
  <c r="H979"/>
  <c r="J979" s="1"/>
  <c r="L979" s="1"/>
  <c r="N979" s="1"/>
  <c r="P979" s="1"/>
  <c r="R979" s="1"/>
  <c r="T979" s="1"/>
  <c r="F886"/>
  <c r="H887"/>
  <c r="J887" s="1"/>
  <c r="L887" s="1"/>
  <c r="N887" s="1"/>
  <c r="P887" s="1"/>
  <c r="R887" s="1"/>
  <c r="T887" s="1"/>
  <c r="F1057"/>
  <c r="H1058"/>
  <c r="J1058" s="1"/>
  <c r="L1058" s="1"/>
  <c r="N1058" s="1"/>
  <c r="P1058" s="1"/>
  <c r="R1058" s="1"/>
  <c r="T1058" s="1"/>
  <c r="F1416"/>
  <c r="F1415" s="1"/>
  <c r="F1414" s="1"/>
  <c r="F1413" s="1"/>
  <c r="H208"/>
  <c r="J208" s="1"/>
  <c r="L208" s="1"/>
  <c r="N208" s="1"/>
  <c r="P208" s="1"/>
  <c r="R208" s="1"/>
  <c r="T208" s="1"/>
  <c r="F1512"/>
  <c r="F175"/>
  <c r="F1654"/>
  <c r="F1227"/>
  <c r="G65"/>
  <c r="G64" s="1"/>
  <c r="G63" s="1"/>
  <c r="G62" s="1"/>
  <c r="G305"/>
  <c r="H575"/>
  <c r="J575" s="1"/>
  <c r="L575" s="1"/>
  <c r="N575" s="1"/>
  <c r="P575" s="1"/>
  <c r="R575" s="1"/>
  <c r="T575" s="1"/>
  <c r="H652"/>
  <c r="J652" s="1"/>
  <c r="L652" s="1"/>
  <c r="N652" s="1"/>
  <c r="P652" s="1"/>
  <c r="R652" s="1"/>
  <c r="T652" s="1"/>
  <c r="G1036"/>
  <c r="G1035" s="1"/>
  <c r="G1042"/>
  <c r="G1277"/>
  <c r="G1273" s="1"/>
  <c r="G1272" s="1"/>
  <c r="H1360"/>
  <c r="J1360" s="1"/>
  <c r="L1360" s="1"/>
  <c r="N1360" s="1"/>
  <c r="P1360" s="1"/>
  <c r="R1360" s="1"/>
  <c r="T1360" s="1"/>
  <c r="H1411"/>
  <c r="J1411" s="1"/>
  <c r="L1411" s="1"/>
  <c r="N1411" s="1"/>
  <c r="P1411" s="1"/>
  <c r="R1411" s="1"/>
  <c r="T1411" s="1"/>
  <c r="H1434"/>
  <c r="J1434" s="1"/>
  <c r="L1434" s="1"/>
  <c r="N1434" s="1"/>
  <c r="P1434" s="1"/>
  <c r="R1434" s="1"/>
  <c r="T1434" s="1"/>
  <c r="H20"/>
  <c r="J20" s="1"/>
  <c r="L20" s="1"/>
  <c r="N20" s="1"/>
  <c r="P20" s="1"/>
  <c r="R20" s="1"/>
  <c r="T20" s="1"/>
  <c r="H24"/>
  <c r="J24" s="1"/>
  <c r="L24" s="1"/>
  <c r="N24" s="1"/>
  <c r="P24" s="1"/>
  <c r="R24" s="1"/>
  <c r="T24" s="1"/>
  <c r="H33"/>
  <c r="J33" s="1"/>
  <c r="L33" s="1"/>
  <c r="N33" s="1"/>
  <c r="P33" s="1"/>
  <c r="R33" s="1"/>
  <c r="T33" s="1"/>
  <c r="H40"/>
  <c r="J40" s="1"/>
  <c r="L40" s="1"/>
  <c r="N40" s="1"/>
  <c r="P40" s="1"/>
  <c r="R40" s="1"/>
  <c r="T40" s="1"/>
  <c r="H44"/>
  <c r="J44" s="1"/>
  <c r="L44" s="1"/>
  <c r="N44" s="1"/>
  <c r="P44" s="1"/>
  <c r="R44" s="1"/>
  <c r="T44" s="1"/>
  <c r="H48"/>
  <c r="J48" s="1"/>
  <c r="L48" s="1"/>
  <c r="N48" s="1"/>
  <c r="P48" s="1"/>
  <c r="R48" s="1"/>
  <c r="T48" s="1"/>
  <c r="H82"/>
  <c r="J82" s="1"/>
  <c r="L82" s="1"/>
  <c r="N82" s="1"/>
  <c r="P82" s="1"/>
  <c r="R82" s="1"/>
  <c r="T82" s="1"/>
  <c r="H90"/>
  <c r="J90" s="1"/>
  <c r="L90" s="1"/>
  <c r="N90" s="1"/>
  <c r="P90" s="1"/>
  <c r="R90" s="1"/>
  <c r="T90" s="1"/>
  <c r="H122"/>
  <c r="J122" s="1"/>
  <c r="L122" s="1"/>
  <c r="N122" s="1"/>
  <c r="P122" s="1"/>
  <c r="R122" s="1"/>
  <c r="T122" s="1"/>
  <c r="H142"/>
  <c r="J142" s="1"/>
  <c r="L142" s="1"/>
  <c r="N142" s="1"/>
  <c r="P142" s="1"/>
  <c r="R142" s="1"/>
  <c r="T142" s="1"/>
  <c r="H170"/>
  <c r="J170" s="1"/>
  <c r="L170" s="1"/>
  <c r="N170" s="1"/>
  <c r="P170" s="1"/>
  <c r="R170" s="1"/>
  <c r="T170" s="1"/>
  <c r="H181"/>
  <c r="J181" s="1"/>
  <c r="L181" s="1"/>
  <c r="N181" s="1"/>
  <c r="P181" s="1"/>
  <c r="R181" s="1"/>
  <c r="T181" s="1"/>
  <c r="H198"/>
  <c r="J198" s="1"/>
  <c r="L198" s="1"/>
  <c r="N198" s="1"/>
  <c r="P198" s="1"/>
  <c r="R198" s="1"/>
  <c r="T198" s="1"/>
  <c r="H209"/>
  <c r="J209" s="1"/>
  <c r="L209" s="1"/>
  <c r="N209" s="1"/>
  <c r="P209" s="1"/>
  <c r="R209" s="1"/>
  <c r="T209" s="1"/>
  <c r="H219"/>
  <c r="J219" s="1"/>
  <c r="L219" s="1"/>
  <c r="N219" s="1"/>
  <c r="P219" s="1"/>
  <c r="R219" s="1"/>
  <c r="T219" s="1"/>
  <c r="H247"/>
  <c r="J247" s="1"/>
  <c r="L247" s="1"/>
  <c r="N247" s="1"/>
  <c r="P247" s="1"/>
  <c r="R247" s="1"/>
  <c r="T247" s="1"/>
  <c r="H274"/>
  <c r="J274" s="1"/>
  <c r="L274" s="1"/>
  <c r="N274" s="1"/>
  <c r="P274" s="1"/>
  <c r="R274" s="1"/>
  <c r="T274" s="1"/>
  <c r="H285"/>
  <c r="J285" s="1"/>
  <c r="L285" s="1"/>
  <c r="N285" s="1"/>
  <c r="P285" s="1"/>
  <c r="R285" s="1"/>
  <c r="T285" s="1"/>
  <c r="H323"/>
  <c r="J323" s="1"/>
  <c r="L323" s="1"/>
  <c r="N323" s="1"/>
  <c r="P323" s="1"/>
  <c r="R323" s="1"/>
  <c r="T323" s="1"/>
  <c r="H329"/>
  <c r="J329" s="1"/>
  <c r="L329" s="1"/>
  <c r="N329" s="1"/>
  <c r="P329" s="1"/>
  <c r="R329" s="1"/>
  <c r="T329" s="1"/>
  <c r="H334"/>
  <c r="J334" s="1"/>
  <c r="L334" s="1"/>
  <c r="N334" s="1"/>
  <c r="P334" s="1"/>
  <c r="R334" s="1"/>
  <c r="T334" s="1"/>
  <c r="H377"/>
  <c r="J377" s="1"/>
  <c r="L377" s="1"/>
  <c r="N377" s="1"/>
  <c r="P377" s="1"/>
  <c r="R377" s="1"/>
  <c r="T377" s="1"/>
  <c r="H389"/>
  <c r="J389" s="1"/>
  <c r="L389" s="1"/>
  <c r="N389" s="1"/>
  <c r="P389" s="1"/>
  <c r="R389" s="1"/>
  <c r="T389" s="1"/>
  <c r="H449"/>
  <c r="J449" s="1"/>
  <c r="L449" s="1"/>
  <c r="N449" s="1"/>
  <c r="P449" s="1"/>
  <c r="R449" s="1"/>
  <c r="T449" s="1"/>
  <c r="H476"/>
  <c r="J476" s="1"/>
  <c r="L476" s="1"/>
  <c r="N476" s="1"/>
  <c r="P476" s="1"/>
  <c r="R476" s="1"/>
  <c r="T476" s="1"/>
  <c r="H492"/>
  <c r="J492" s="1"/>
  <c r="L492" s="1"/>
  <c r="N492" s="1"/>
  <c r="P492" s="1"/>
  <c r="R492" s="1"/>
  <c r="T492" s="1"/>
  <c r="H503"/>
  <c r="J503" s="1"/>
  <c r="L503" s="1"/>
  <c r="N503" s="1"/>
  <c r="P503" s="1"/>
  <c r="R503" s="1"/>
  <c r="T503" s="1"/>
  <c r="H519"/>
  <c r="J519" s="1"/>
  <c r="L519" s="1"/>
  <c r="N519" s="1"/>
  <c r="P519" s="1"/>
  <c r="R519" s="1"/>
  <c r="T519" s="1"/>
  <c r="H681"/>
  <c r="J681" s="1"/>
  <c r="L681" s="1"/>
  <c r="N681" s="1"/>
  <c r="P681" s="1"/>
  <c r="R681" s="1"/>
  <c r="T681" s="1"/>
  <c r="H686"/>
  <c r="J686" s="1"/>
  <c r="L686" s="1"/>
  <c r="N686" s="1"/>
  <c r="P686" s="1"/>
  <c r="R686" s="1"/>
  <c r="T686" s="1"/>
  <c r="H697"/>
  <c r="J697" s="1"/>
  <c r="L697" s="1"/>
  <c r="N697" s="1"/>
  <c r="P697" s="1"/>
  <c r="R697" s="1"/>
  <c r="T697" s="1"/>
  <c r="H702"/>
  <c r="J702" s="1"/>
  <c r="L702" s="1"/>
  <c r="N702" s="1"/>
  <c r="P702" s="1"/>
  <c r="R702" s="1"/>
  <c r="T702" s="1"/>
  <c r="H723"/>
  <c r="J723" s="1"/>
  <c r="L723" s="1"/>
  <c r="N723" s="1"/>
  <c r="P723" s="1"/>
  <c r="R723" s="1"/>
  <c r="T723" s="1"/>
  <c r="H750"/>
  <c r="J750" s="1"/>
  <c r="L750" s="1"/>
  <c r="N750" s="1"/>
  <c r="P750" s="1"/>
  <c r="R750" s="1"/>
  <c r="T750" s="1"/>
  <c r="H774"/>
  <c r="J774" s="1"/>
  <c r="L774" s="1"/>
  <c r="N774" s="1"/>
  <c r="P774" s="1"/>
  <c r="R774" s="1"/>
  <c r="T774" s="1"/>
  <c r="H810"/>
  <c r="J810" s="1"/>
  <c r="L810" s="1"/>
  <c r="N810" s="1"/>
  <c r="P810" s="1"/>
  <c r="R810" s="1"/>
  <c r="T810" s="1"/>
  <c r="H865"/>
  <c r="J865" s="1"/>
  <c r="L865" s="1"/>
  <c r="N865" s="1"/>
  <c r="P865" s="1"/>
  <c r="R865" s="1"/>
  <c r="T865" s="1"/>
  <c r="H871"/>
  <c r="J871" s="1"/>
  <c r="L871" s="1"/>
  <c r="N871" s="1"/>
  <c r="P871" s="1"/>
  <c r="R871" s="1"/>
  <c r="T871" s="1"/>
  <c r="H889"/>
  <c r="J889" s="1"/>
  <c r="L889" s="1"/>
  <c r="N889" s="1"/>
  <c r="P889" s="1"/>
  <c r="R889" s="1"/>
  <c r="T889" s="1"/>
  <c r="H909"/>
  <c r="J909" s="1"/>
  <c r="L909" s="1"/>
  <c r="N909" s="1"/>
  <c r="P909" s="1"/>
  <c r="R909" s="1"/>
  <c r="T909" s="1"/>
  <c r="H950"/>
  <c r="J950" s="1"/>
  <c r="L950" s="1"/>
  <c r="N950" s="1"/>
  <c r="P950" s="1"/>
  <c r="R950" s="1"/>
  <c r="T950" s="1"/>
  <c r="F1527"/>
  <c r="H1528"/>
  <c r="J1528" s="1"/>
  <c r="L1528" s="1"/>
  <c r="N1528" s="1"/>
  <c r="P1528" s="1"/>
  <c r="R1528" s="1"/>
  <c r="T1528" s="1"/>
  <c r="F707"/>
  <c r="F706" s="1"/>
  <c r="F705" s="1"/>
  <c r="H708"/>
  <c r="J708" s="1"/>
  <c r="L708" s="1"/>
  <c r="N708" s="1"/>
  <c r="P708" s="1"/>
  <c r="R708" s="1"/>
  <c r="T708" s="1"/>
  <c r="F729"/>
  <c r="H730"/>
  <c r="J730" s="1"/>
  <c r="L730" s="1"/>
  <c r="N730" s="1"/>
  <c r="P730" s="1"/>
  <c r="R730" s="1"/>
  <c r="T730" s="1"/>
  <c r="F679"/>
  <c r="H680"/>
  <c r="J680" s="1"/>
  <c r="L680" s="1"/>
  <c r="N680" s="1"/>
  <c r="P680" s="1"/>
  <c r="R680" s="1"/>
  <c r="T680" s="1"/>
  <c r="F1461"/>
  <c r="H1462"/>
  <c r="J1462" s="1"/>
  <c r="L1462" s="1"/>
  <c r="N1462" s="1"/>
  <c r="P1462" s="1"/>
  <c r="R1462" s="1"/>
  <c r="T1462" s="1"/>
  <c r="F1471"/>
  <c r="H1472"/>
  <c r="J1472" s="1"/>
  <c r="L1472" s="1"/>
  <c r="N1472" s="1"/>
  <c r="P1472" s="1"/>
  <c r="R1472" s="1"/>
  <c r="T1472" s="1"/>
  <c r="F1624"/>
  <c r="H1625"/>
  <c r="J1625" s="1"/>
  <c r="L1625" s="1"/>
  <c r="N1625" s="1"/>
  <c r="P1625" s="1"/>
  <c r="R1625" s="1"/>
  <c r="T1625" s="1"/>
  <c r="F1051"/>
  <c r="H1052"/>
  <c r="J1052" s="1"/>
  <c r="L1052" s="1"/>
  <c r="N1052" s="1"/>
  <c r="P1052" s="1"/>
  <c r="R1052" s="1"/>
  <c r="T1052" s="1"/>
  <c r="F1026"/>
  <c r="H1027"/>
  <c r="J1027" s="1"/>
  <c r="L1027" s="1"/>
  <c r="N1027" s="1"/>
  <c r="P1027" s="1"/>
  <c r="R1027" s="1"/>
  <c r="T1027" s="1"/>
  <c r="F861"/>
  <c r="H862"/>
  <c r="J862" s="1"/>
  <c r="L862" s="1"/>
  <c r="N862" s="1"/>
  <c r="P862" s="1"/>
  <c r="R862" s="1"/>
  <c r="T862" s="1"/>
  <c r="F156"/>
  <c r="H157"/>
  <c r="J157" s="1"/>
  <c r="L157" s="1"/>
  <c r="N157" s="1"/>
  <c r="P157" s="1"/>
  <c r="R157" s="1"/>
  <c r="T157" s="1"/>
  <c r="F186"/>
  <c r="H187"/>
  <c r="J187" s="1"/>
  <c r="L187" s="1"/>
  <c r="N187" s="1"/>
  <c r="P187" s="1"/>
  <c r="R187" s="1"/>
  <c r="T187" s="1"/>
  <c r="F140"/>
  <c r="H141"/>
  <c r="J141" s="1"/>
  <c r="L141" s="1"/>
  <c r="N141" s="1"/>
  <c r="P141" s="1"/>
  <c r="R141" s="1"/>
  <c r="T141" s="1"/>
  <c r="F1275"/>
  <c r="H1276"/>
  <c r="J1276" s="1"/>
  <c r="L1276" s="1"/>
  <c r="N1276" s="1"/>
  <c r="P1276" s="1"/>
  <c r="R1276" s="1"/>
  <c r="T1276" s="1"/>
  <c r="F1595"/>
  <c r="H1596"/>
  <c r="J1596" s="1"/>
  <c r="L1596" s="1"/>
  <c r="N1596" s="1"/>
  <c r="P1596" s="1"/>
  <c r="R1596" s="1"/>
  <c r="T1596" s="1"/>
  <c r="F1551"/>
  <c r="H1551" s="1"/>
  <c r="J1551" s="1"/>
  <c r="L1551" s="1"/>
  <c r="N1551" s="1"/>
  <c r="P1551" s="1"/>
  <c r="R1551" s="1"/>
  <c r="T1551" s="1"/>
  <c r="H1552"/>
  <c r="J1552" s="1"/>
  <c r="L1552" s="1"/>
  <c r="N1552" s="1"/>
  <c r="P1552" s="1"/>
  <c r="R1552" s="1"/>
  <c r="T1552" s="1"/>
  <c r="F283"/>
  <c r="H284"/>
  <c r="J284" s="1"/>
  <c r="L284" s="1"/>
  <c r="N284" s="1"/>
  <c r="P284" s="1"/>
  <c r="R284" s="1"/>
  <c r="T284" s="1"/>
  <c r="F331"/>
  <c r="H332"/>
  <c r="J332" s="1"/>
  <c r="L332" s="1"/>
  <c r="N332" s="1"/>
  <c r="P332" s="1"/>
  <c r="R332" s="1"/>
  <c r="T332" s="1"/>
  <c r="F403"/>
  <c r="H403" s="1"/>
  <c r="J403" s="1"/>
  <c r="L403" s="1"/>
  <c r="N403" s="1"/>
  <c r="P403" s="1"/>
  <c r="R403" s="1"/>
  <c r="T403" s="1"/>
  <c r="H404"/>
  <c r="J404" s="1"/>
  <c r="L404" s="1"/>
  <c r="N404" s="1"/>
  <c r="P404" s="1"/>
  <c r="R404" s="1"/>
  <c r="T404" s="1"/>
  <c r="F253"/>
  <c r="H254"/>
  <c r="J254" s="1"/>
  <c r="L254" s="1"/>
  <c r="N254" s="1"/>
  <c r="P254" s="1"/>
  <c r="R254" s="1"/>
  <c r="T254" s="1"/>
  <c r="F353"/>
  <c r="H354"/>
  <c r="J354" s="1"/>
  <c r="L354" s="1"/>
  <c r="N354" s="1"/>
  <c r="P354" s="1"/>
  <c r="R354" s="1"/>
  <c r="T354" s="1"/>
  <c r="F461"/>
  <c r="H462"/>
  <c r="J462" s="1"/>
  <c r="L462" s="1"/>
  <c r="N462" s="1"/>
  <c r="P462" s="1"/>
  <c r="R462" s="1"/>
  <c r="T462" s="1"/>
  <c r="F361"/>
  <c r="H361" s="1"/>
  <c r="J361" s="1"/>
  <c r="L361" s="1"/>
  <c r="N361" s="1"/>
  <c r="P361" s="1"/>
  <c r="R361" s="1"/>
  <c r="T361" s="1"/>
  <c r="H362"/>
  <c r="J362" s="1"/>
  <c r="L362" s="1"/>
  <c r="N362" s="1"/>
  <c r="P362" s="1"/>
  <c r="R362" s="1"/>
  <c r="T362" s="1"/>
  <c r="F1303"/>
  <c r="H1303" s="1"/>
  <c r="J1303" s="1"/>
  <c r="L1303" s="1"/>
  <c r="N1303" s="1"/>
  <c r="P1303" s="1"/>
  <c r="R1303" s="1"/>
  <c r="T1303" s="1"/>
  <c r="H1304"/>
  <c r="J1304" s="1"/>
  <c r="L1304" s="1"/>
  <c r="N1304" s="1"/>
  <c r="P1304" s="1"/>
  <c r="R1304" s="1"/>
  <c r="T1304" s="1"/>
  <c r="F1599"/>
  <c r="H1599" s="1"/>
  <c r="J1599" s="1"/>
  <c r="L1599" s="1"/>
  <c r="N1599" s="1"/>
  <c r="P1599" s="1"/>
  <c r="R1599" s="1"/>
  <c r="T1599" s="1"/>
  <c r="H1600"/>
  <c r="J1600" s="1"/>
  <c r="L1600" s="1"/>
  <c r="N1600" s="1"/>
  <c r="P1600" s="1"/>
  <c r="R1600" s="1"/>
  <c r="T1600" s="1"/>
  <c r="F485"/>
  <c r="H485" s="1"/>
  <c r="J485" s="1"/>
  <c r="L485" s="1"/>
  <c r="N485" s="1"/>
  <c r="P485" s="1"/>
  <c r="R485" s="1"/>
  <c r="T485" s="1"/>
  <c r="H486"/>
  <c r="J486" s="1"/>
  <c r="L486" s="1"/>
  <c r="N486" s="1"/>
  <c r="P486" s="1"/>
  <c r="R486" s="1"/>
  <c r="T486" s="1"/>
  <c r="F1280"/>
  <c r="H1280" s="1"/>
  <c r="J1280" s="1"/>
  <c r="L1280" s="1"/>
  <c r="N1280" s="1"/>
  <c r="P1280" s="1"/>
  <c r="R1280" s="1"/>
  <c r="T1280" s="1"/>
  <c r="H1281"/>
  <c r="J1281" s="1"/>
  <c r="L1281" s="1"/>
  <c r="N1281" s="1"/>
  <c r="P1281" s="1"/>
  <c r="R1281" s="1"/>
  <c r="T1281" s="1"/>
  <c r="F489"/>
  <c r="H490"/>
  <c r="J490" s="1"/>
  <c r="L490" s="1"/>
  <c r="N490" s="1"/>
  <c r="P490" s="1"/>
  <c r="R490" s="1"/>
  <c r="T490" s="1"/>
  <c r="F1582"/>
  <c r="H1582" s="1"/>
  <c r="J1582" s="1"/>
  <c r="L1582" s="1"/>
  <c r="N1582" s="1"/>
  <c r="P1582" s="1"/>
  <c r="R1582" s="1"/>
  <c r="T1582" s="1"/>
  <c r="H1583"/>
  <c r="J1583" s="1"/>
  <c r="L1583" s="1"/>
  <c r="N1583" s="1"/>
  <c r="P1583" s="1"/>
  <c r="R1583" s="1"/>
  <c r="T1583" s="1"/>
  <c r="F869"/>
  <c r="H870"/>
  <c r="J870" s="1"/>
  <c r="L870" s="1"/>
  <c r="N870" s="1"/>
  <c r="P870" s="1"/>
  <c r="R870" s="1"/>
  <c r="T870" s="1"/>
  <c r="F819"/>
  <c r="H823"/>
  <c r="J823" s="1"/>
  <c r="L823" s="1"/>
  <c r="N823" s="1"/>
  <c r="P823" s="1"/>
  <c r="R823" s="1"/>
  <c r="T823" s="1"/>
  <c r="F1106"/>
  <c r="H1107"/>
  <c r="J1107" s="1"/>
  <c r="L1107" s="1"/>
  <c r="N1107" s="1"/>
  <c r="P1107" s="1"/>
  <c r="R1107" s="1"/>
  <c r="T1107" s="1"/>
  <c r="F1240"/>
  <c r="H1241"/>
  <c r="J1241" s="1"/>
  <c r="L1241" s="1"/>
  <c r="N1241" s="1"/>
  <c r="P1241" s="1"/>
  <c r="R1241" s="1"/>
  <c r="T1241" s="1"/>
  <c r="F1564"/>
  <c r="H1565"/>
  <c r="J1565" s="1"/>
  <c r="L1565" s="1"/>
  <c r="N1565" s="1"/>
  <c r="P1565" s="1"/>
  <c r="R1565" s="1"/>
  <c r="T1565" s="1"/>
  <c r="F1132"/>
  <c r="H1133"/>
  <c r="J1133" s="1"/>
  <c r="L1133" s="1"/>
  <c r="N1133" s="1"/>
  <c r="P1133" s="1"/>
  <c r="R1133" s="1"/>
  <c r="T1133" s="1"/>
  <c r="F1223"/>
  <c r="H1224"/>
  <c r="J1224" s="1"/>
  <c r="L1224" s="1"/>
  <c r="N1224" s="1"/>
  <c r="P1224" s="1"/>
  <c r="R1224" s="1"/>
  <c r="T1224" s="1"/>
  <c r="F1572"/>
  <c r="H1572" s="1"/>
  <c r="J1572" s="1"/>
  <c r="L1572" s="1"/>
  <c r="N1572" s="1"/>
  <c r="P1572" s="1"/>
  <c r="R1572" s="1"/>
  <c r="T1572" s="1"/>
  <c r="H1573"/>
  <c r="J1573" s="1"/>
  <c r="L1573" s="1"/>
  <c r="N1573" s="1"/>
  <c r="P1573" s="1"/>
  <c r="R1573" s="1"/>
  <c r="T1573" s="1"/>
  <c r="F699"/>
  <c r="H699" s="1"/>
  <c r="J699" s="1"/>
  <c r="L699" s="1"/>
  <c r="N699" s="1"/>
  <c r="P699" s="1"/>
  <c r="R699" s="1"/>
  <c r="T699" s="1"/>
  <c r="H700"/>
  <c r="J700" s="1"/>
  <c r="L700" s="1"/>
  <c r="N700" s="1"/>
  <c r="P700" s="1"/>
  <c r="R700" s="1"/>
  <c r="T700" s="1"/>
  <c r="F1760"/>
  <c r="H1761"/>
  <c r="J1761" s="1"/>
  <c r="L1761" s="1"/>
  <c r="N1761" s="1"/>
  <c r="P1761" s="1"/>
  <c r="R1761" s="1"/>
  <c r="T1761" s="1"/>
  <c r="F1666"/>
  <c r="H1667"/>
  <c r="J1667" s="1"/>
  <c r="L1667" s="1"/>
  <c r="N1667" s="1"/>
  <c r="P1667" s="1"/>
  <c r="R1667" s="1"/>
  <c r="T1667" s="1"/>
  <c r="F1722"/>
  <c r="H1723"/>
  <c r="J1723" s="1"/>
  <c r="L1723" s="1"/>
  <c r="N1723" s="1"/>
  <c r="P1723" s="1"/>
  <c r="R1723" s="1"/>
  <c r="T1723" s="1"/>
  <c r="F1733"/>
  <c r="H1734"/>
  <c r="J1734" s="1"/>
  <c r="L1734" s="1"/>
  <c r="N1734" s="1"/>
  <c r="P1734" s="1"/>
  <c r="R1734" s="1"/>
  <c r="T1734" s="1"/>
  <c r="F695"/>
  <c r="H696"/>
  <c r="J696" s="1"/>
  <c r="L696" s="1"/>
  <c r="N696" s="1"/>
  <c r="P696" s="1"/>
  <c r="R696" s="1"/>
  <c r="T696" s="1"/>
  <c r="H502"/>
  <c r="J502" s="1"/>
  <c r="L502" s="1"/>
  <c r="N502" s="1"/>
  <c r="P502" s="1"/>
  <c r="R502" s="1"/>
  <c r="T502" s="1"/>
  <c r="H684"/>
  <c r="J684" s="1"/>
  <c r="L684" s="1"/>
  <c r="N684" s="1"/>
  <c r="P684" s="1"/>
  <c r="R684" s="1"/>
  <c r="T684" s="1"/>
  <c r="H220"/>
  <c r="J220" s="1"/>
  <c r="L220" s="1"/>
  <c r="N220" s="1"/>
  <c r="P220" s="1"/>
  <c r="R220" s="1"/>
  <c r="T220" s="1"/>
  <c r="G80"/>
  <c r="G79" s="1"/>
  <c r="G78" s="1"/>
  <c r="G77" s="1"/>
  <c r="G100"/>
  <c r="G99" s="1"/>
  <c r="G98" s="1"/>
  <c r="G97" s="1"/>
  <c r="G499"/>
  <c r="G495" s="1"/>
  <c r="G494" s="1"/>
  <c r="G493" s="1"/>
  <c r="G507"/>
  <c r="G506" s="1"/>
  <c r="G505" s="1"/>
  <c r="H531"/>
  <c r="J531" s="1"/>
  <c r="L531" s="1"/>
  <c r="N531" s="1"/>
  <c r="P531" s="1"/>
  <c r="R531" s="1"/>
  <c r="T531" s="1"/>
  <c r="H589"/>
  <c r="J589" s="1"/>
  <c r="L589" s="1"/>
  <c r="N589" s="1"/>
  <c r="P589" s="1"/>
  <c r="R589" s="1"/>
  <c r="T589" s="1"/>
  <c r="H610"/>
  <c r="J610" s="1"/>
  <c r="L610" s="1"/>
  <c r="N610" s="1"/>
  <c r="P610" s="1"/>
  <c r="R610" s="1"/>
  <c r="T610" s="1"/>
  <c r="H636"/>
  <c r="J636" s="1"/>
  <c r="L636" s="1"/>
  <c r="N636" s="1"/>
  <c r="P636" s="1"/>
  <c r="R636" s="1"/>
  <c r="T636" s="1"/>
  <c r="H744"/>
  <c r="J744" s="1"/>
  <c r="L744" s="1"/>
  <c r="N744" s="1"/>
  <c r="P744" s="1"/>
  <c r="R744" s="1"/>
  <c r="T744" s="1"/>
  <c r="G902"/>
  <c r="G901" s="1"/>
  <c r="G900" s="1"/>
  <c r="H1389"/>
  <c r="J1389" s="1"/>
  <c r="L1389" s="1"/>
  <c r="N1389" s="1"/>
  <c r="P1389" s="1"/>
  <c r="R1389" s="1"/>
  <c r="T1389" s="1"/>
  <c r="H1431"/>
  <c r="J1431" s="1"/>
  <c r="L1431" s="1"/>
  <c r="N1431" s="1"/>
  <c r="P1431" s="1"/>
  <c r="R1431" s="1"/>
  <c r="T1431" s="1"/>
  <c r="H1448"/>
  <c r="J1448" s="1"/>
  <c r="L1448" s="1"/>
  <c r="N1448" s="1"/>
  <c r="P1448" s="1"/>
  <c r="R1448" s="1"/>
  <c r="T1448" s="1"/>
  <c r="H1480"/>
  <c r="J1480" s="1"/>
  <c r="L1480" s="1"/>
  <c r="N1480" s="1"/>
  <c r="P1480" s="1"/>
  <c r="R1480" s="1"/>
  <c r="T1480" s="1"/>
  <c r="H1496"/>
  <c r="J1496" s="1"/>
  <c r="L1496" s="1"/>
  <c r="N1496" s="1"/>
  <c r="P1496" s="1"/>
  <c r="R1496" s="1"/>
  <c r="T1496" s="1"/>
  <c r="G1581"/>
  <c r="G1580" s="1"/>
  <c r="G1777"/>
  <c r="G1776" s="1"/>
  <c r="G1768" s="1"/>
  <c r="H23"/>
  <c r="J23" s="1"/>
  <c r="L23" s="1"/>
  <c r="N23" s="1"/>
  <c r="P23" s="1"/>
  <c r="R23" s="1"/>
  <c r="T23" s="1"/>
  <c r="H32"/>
  <c r="J32" s="1"/>
  <c r="L32" s="1"/>
  <c r="H43"/>
  <c r="J43" s="1"/>
  <c r="L43" s="1"/>
  <c r="N43" s="1"/>
  <c r="P43" s="1"/>
  <c r="R43" s="1"/>
  <c r="T43" s="1"/>
  <c r="H47"/>
  <c r="J47" s="1"/>
  <c r="L47" s="1"/>
  <c r="N47" s="1"/>
  <c r="P47" s="1"/>
  <c r="R47" s="1"/>
  <c r="T47" s="1"/>
  <c r="H61"/>
  <c r="J61" s="1"/>
  <c r="L61" s="1"/>
  <c r="N61" s="1"/>
  <c r="P61" s="1"/>
  <c r="R61" s="1"/>
  <c r="T61" s="1"/>
  <c r="H69"/>
  <c r="J69" s="1"/>
  <c r="L69" s="1"/>
  <c r="N69" s="1"/>
  <c r="P69" s="1"/>
  <c r="R69" s="1"/>
  <c r="T69" s="1"/>
  <c r="H121"/>
  <c r="H169"/>
  <c r="J169" s="1"/>
  <c r="L169" s="1"/>
  <c r="N169" s="1"/>
  <c r="P169" s="1"/>
  <c r="R169" s="1"/>
  <c r="T169" s="1"/>
  <c r="H180"/>
  <c r="J180" s="1"/>
  <c r="L180" s="1"/>
  <c r="N180" s="1"/>
  <c r="P180" s="1"/>
  <c r="R180" s="1"/>
  <c r="T180" s="1"/>
  <c r="H207"/>
  <c r="J207" s="1"/>
  <c r="L207" s="1"/>
  <c r="N207" s="1"/>
  <c r="P207" s="1"/>
  <c r="R207" s="1"/>
  <c r="T207" s="1"/>
  <c r="H218"/>
  <c r="J218" s="1"/>
  <c r="L218" s="1"/>
  <c r="N218" s="1"/>
  <c r="P218" s="1"/>
  <c r="R218" s="1"/>
  <c r="T218" s="1"/>
  <c r="H223"/>
  <c r="J223" s="1"/>
  <c r="L223" s="1"/>
  <c r="N223" s="1"/>
  <c r="P223" s="1"/>
  <c r="R223" s="1"/>
  <c r="T223" s="1"/>
  <c r="H273"/>
  <c r="J273" s="1"/>
  <c r="L273" s="1"/>
  <c r="N273" s="1"/>
  <c r="P273" s="1"/>
  <c r="R273" s="1"/>
  <c r="T273" s="1"/>
  <c r="H311"/>
  <c r="J311" s="1"/>
  <c r="L311" s="1"/>
  <c r="N311" s="1"/>
  <c r="P311" s="1"/>
  <c r="R311" s="1"/>
  <c r="T311" s="1"/>
  <c r="H317"/>
  <c r="J317" s="1"/>
  <c r="L317" s="1"/>
  <c r="N317" s="1"/>
  <c r="P317" s="1"/>
  <c r="R317" s="1"/>
  <c r="T317" s="1"/>
  <c r="H322"/>
  <c r="J322" s="1"/>
  <c r="L322" s="1"/>
  <c r="N322" s="1"/>
  <c r="P322" s="1"/>
  <c r="R322" s="1"/>
  <c r="T322" s="1"/>
  <c r="H333"/>
  <c r="J333" s="1"/>
  <c r="L333" s="1"/>
  <c r="N333" s="1"/>
  <c r="P333" s="1"/>
  <c r="R333" s="1"/>
  <c r="T333" s="1"/>
  <c r="H360"/>
  <c r="J360" s="1"/>
  <c r="L360" s="1"/>
  <c r="N360" s="1"/>
  <c r="P360" s="1"/>
  <c r="R360" s="1"/>
  <c r="T360" s="1"/>
  <c r="H365"/>
  <c r="J365" s="1"/>
  <c r="L365" s="1"/>
  <c r="N365" s="1"/>
  <c r="P365" s="1"/>
  <c r="R365" s="1"/>
  <c r="T365" s="1"/>
  <c r="H371"/>
  <c r="J371" s="1"/>
  <c r="L371" s="1"/>
  <c r="N371" s="1"/>
  <c r="P371" s="1"/>
  <c r="R371" s="1"/>
  <c r="T371" s="1"/>
  <c r="H376"/>
  <c r="J376" s="1"/>
  <c r="L376" s="1"/>
  <c r="N376" s="1"/>
  <c r="P376" s="1"/>
  <c r="R376" s="1"/>
  <c r="T376" s="1"/>
  <c r="H398"/>
  <c r="J398" s="1"/>
  <c r="L398" s="1"/>
  <c r="N398" s="1"/>
  <c r="P398" s="1"/>
  <c r="R398" s="1"/>
  <c r="T398" s="1"/>
  <c r="H425"/>
  <c r="J425" s="1"/>
  <c r="L425" s="1"/>
  <c r="N425" s="1"/>
  <c r="P425" s="1"/>
  <c r="R425" s="1"/>
  <c r="T425" s="1"/>
  <c r="H431"/>
  <c r="J431" s="1"/>
  <c r="L431" s="1"/>
  <c r="N431" s="1"/>
  <c r="P431" s="1"/>
  <c r="R431" s="1"/>
  <c r="T431" s="1"/>
  <c r="H491"/>
  <c r="J491" s="1"/>
  <c r="L491" s="1"/>
  <c r="N491" s="1"/>
  <c r="P491" s="1"/>
  <c r="R491" s="1"/>
  <c r="T491" s="1"/>
  <c r="H501"/>
  <c r="J501" s="1"/>
  <c r="L501" s="1"/>
  <c r="N501" s="1"/>
  <c r="P501" s="1"/>
  <c r="R501" s="1"/>
  <c r="T501" s="1"/>
  <c r="H527"/>
  <c r="J527" s="1"/>
  <c r="L527" s="1"/>
  <c r="N527" s="1"/>
  <c r="P527" s="1"/>
  <c r="R527" s="1"/>
  <c r="T527" s="1"/>
  <c r="H549"/>
  <c r="J549" s="1"/>
  <c r="L549" s="1"/>
  <c r="N549" s="1"/>
  <c r="P549" s="1"/>
  <c r="R549" s="1"/>
  <c r="T549" s="1"/>
  <c r="H555"/>
  <c r="J555" s="1"/>
  <c r="L555" s="1"/>
  <c r="N555" s="1"/>
  <c r="P555" s="1"/>
  <c r="R555" s="1"/>
  <c r="T555" s="1"/>
  <c r="H560"/>
  <c r="J560" s="1"/>
  <c r="L560" s="1"/>
  <c r="N560" s="1"/>
  <c r="P560" s="1"/>
  <c r="R560" s="1"/>
  <c r="T560" s="1"/>
  <c r="H571"/>
  <c r="J571" s="1"/>
  <c r="L571" s="1"/>
  <c r="N571" s="1"/>
  <c r="P571" s="1"/>
  <c r="R571" s="1"/>
  <c r="T571" s="1"/>
  <c r="H646"/>
  <c r="J646" s="1"/>
  <c r="L646" s="1"/>
  <c r="N646" s="1"/>
  <c r="P646" s="1"/>
  <c r="R646" s="1"/>
  <c r="T646" s="1"/>
  <c r="H657"/>
  <c r="J657" s="1"/>
  <c r="L657" s="1"/>
  <c r="N657" s="1"/>
  <c r="P657" s="1"/>
  <c r="R657" s="1"/>
  <c r="T657" s="1"/>
  <c r="H685"/>
  <c r="J685" s="1"/>
  <c r="L685" s="1"/>
  <c r="N685" s="1"/>
  <c r="P685" s="1"/>
  <c r="R685" s="1"/>
  <c r="T685" s="1"/>
  <c r="H701"/>
  <c r="J701" s="1"/>
  <c r="L701" s="1"/>
  <c r="N701" s="1"/>
  <c r="P701" s="1"/>
  <c r="R701" s="1"/>
  <c r="T701" s="1"/>
  <c r="H756"/>
  <c r="J756" s="1"/>
  <c r="L756" s="1"/>
  <c r="N756" s="1"/>
  <c r="P756" s="1"/>
  <c r="R756" s="1"/>
  <c r="T756" s="1"/>
  <c r="H762"/>
  <c r="J762" s="1"/>
  <c r="L762" s="1"/>
  <c r="N762" s="1"/>
  <c r="P762" s="1"/>
  <c r="R762" s="1"/>
  <c r="T762" s="1"/>
  <c r="H809"/>
  <c r="J809" s="1"/>
  <c r="L809" s="1"/>
  <c r="N809" s="1"/>
  <c r="P809" s="1"/>
  <c r="R809" s="1"/>
  <c r="T809" s="1"/>
  <c r="H859"/>
  <c r="J859" s="1"/>
  <c r="L859" s="1"/>
  <c r="N859" s="1"/>
  <c r="P859" s="1"/>
  <c r="R859" s="1"/>
  <c r="T859" s="1"/>
  <c r="H864"/>
  <c r="J864" s="1"/>
  <c r="L864" s="1"/>
  <c r="N864" s="1"/>
  <c r="P864" s="1"/>
  <c r="R864" s="1"/>
  <c r="T864" s="1"/>
  <c r="H888"/>
  <c r="J888" s="1"/>
  <c r="L888" s="1"/>
  <c r="N888" s="1"/>
  <c r="P888" s="1"/>
  <c r="R888" s="1"/>
  <c r="T888" s="1"/>
  <c r="H908"/>
  <c r="J908" s="1"/>
  <c r="L908" s="1"/>
  <c r="N908" s="1"/>
  <c r="P908" s="1"/>
  <c r="R908" s="1"/>
  <c r="T908" s="1"/>
  <c r="F985"/>
  <c r="H986"/>
  <c r="J986" s="1"/>
  <c r="L986" s="1"/>
  <c r="N986" s="1"/>
  <c r="P986" s="1"/>
  <c r="R986" s="1"/>
  <c r="T986" s="1"/>
  <c r="F1458"/>
  <c r="H1458" s="1"/>
  <c r="J1458" s="1"/>
  <c r="L1458" s="1"/>
  <c r="N1458" s="1"/>
  <c r="P1458" s="1"/>
  <c r="R1458" s="1"/>
  <c r="T1458" s="1"/>
  <c r="H1459"/>
  <c r="J1459" s="1"/>
  <c r="L1459" s="1"/>
  <c r="N1459" s="1"/>
  <c r="P1459" s="1"/>
  <c r="R1459" s="1"/>
  <c r="T1459" s="1"/>
  <c r="F1538"/>
  <c r="H1540"/>
  <c r="J1540" s="1"/>
  <c r="L1540" s="1"/>
  <c r="N1540" s="1"/>
  <c r="P1540" s="1"/>
  <c r="R1540" s="1"/>
  <c r="T1540" s="1"/>
  <c r="F1033"/>
  <c r="H1033" s="1"/>
  <c r="J1033" s="1"/>
  <c r="L1033" s="1"/>
  <c r="N1033" s="1"/>
  <c r="P1033" s="1"/>
  <c r="R1033" s="1"/>
  <c r="T1033" s="1"/>
  <c r="H1034"/>
  <c r="J1034" s="1"/>
  <c r="L1034" s="1"/>
  <c r="N1034" s="1"/>
  <c r="P1034" s="1"/>
  <c r="R1034" s="1"/>
  <c r="T1034" s="1"/>
  <c r="F760"/>
  <c r="H761"/>
  <c r="J761" s="1"/>
  <c r="L761" s="1"/>
  <c r="N761" s="1"/>
  <c r="P761" s="1"/>
  <c r="R761" s="1"/>
  <c r="T761" s="1"/>
  <c r="F1076"/>
  <c r="H1077"/>
  <c r="J1077" s="1"/>
  <c r="L1077" s="1"/>
  <c r="N1077" s="1"/>
  <c r="P1077" s="1"/>
  <c r="R1077" s="1"/>
  <c r="T1077" s="1"/>
  <c r="F569"/>
  <c r="H570"/>
  <c r="J570" s="1"/>
  <c r="L570" s="1"/>
  <c r="N570" s="1"/>
  <c r="P570" s="1"/>
  <c r="R570" s="1"/>
  <c r="T570" s="1"/>
  <c r="F1542"/>
  <c r="H1542" s="1"/>
  <c r="J1542" s="1"/>
  <c r="L1542" s="1"/>
  <c r="N1542" s="1"/>
  <c r="P1542" s="1"/>
  <c r="R1542" s="1"/>
  <c r="T1542" s="1"/>
  <c r="H1543"/>
  <c r="J1543" s="1"/>
  <c r="L1543" s="1"/>
  <c r="N1543" s="1"/>
  <c r="P1543" s="1"/>
  <c r="R1543" s="1"/>
  <c r="T1543" s="1"/>
  <c r="F161"/>
  <c r="H162"/>
  <c r="J162" s="1"/>
  <c r="L162" s="1"/>
  <c r="N162" s="1"/>
  <c r="P162" s="1"/>
  <c r="R162" s="1"/>
  <c r="T162" s="1"/>
  <c r="F203"/>
  <c r="H204"/>
  <c r="J204" s="1"/>
  <c r="L204" s="1"/>
  <c r="N204" s="1"/>
  <c r="P204" s="1"/>
  <c r="R204" s="1"/>
  <c r="T204" s="1"/>
  <c r="F565"/>
  <c r="H566"/>
  <c r="J566" s="1"/>
  <c r="L566" s="1"/>
  <c r="N566" s="1"/>
  <c r="P566" s="1"/>
  <c r="R566" s="1"/>
  <c r="T566" s="1"/>
  <c r="F1592"/>
  <c r="H1592" s="1"/>
  <c r="J1592" s="1"/>
  <c r="L1592" s="1"/>
  <c r="N1592" s="1"/>
  <c r="P1592" s="1"/>
  <c r="R1592" s="1"/>
  <c r="T1592" s="1"/>
  <c r="H1593"/>
  <c r="J1593" s="1"/>
  <c r="L1593" s="1"/>
  <c r="N1593" s="1"/>
  <c r="P1593" s="1"/>
  <c r="R1593" s="1"/>
  <c r="T1593" s="1"/>
  <c r="F178"/>
  <c r="H179"/>
  <c r="J179" s="1"/>
  <c r="L179" s="1"/>
  <c r="N179" s="1"/>
  <c r="P179" s="1"/>
  <c r="R179" s="1"/>
  <c r="T179" s="1"/>
  <c r="F279"/>
  <c r="H280"/>
  <c r="J280" s="1"/>
  <c r="L280" s="1"/>
  <c r="N280" s="1"/>
  <c r="P280" s="1"/>
  <c r="R280" s="1"/>
  <c r="T280" s="1"/>
  <c r="F327"/>
  <c r="H328"/>
  <c r="J328" s="1"/>
  <c r="L328" s="1"/>
  <c r="N328" s="1"/>
  <c r="P328" s="1"/>
  <c r="R328" s="1"/>
  <c r="T328" s="1"/>
  <c r="F373"/>
  <c r="H374"/>
  <c r="J374" s="1"/>
  <c r="L374" s="1"/>
  <c r="N374" s="1"/>
  <c r="P374" s="1"/>
  <c r="R374" s="1"/>
  <c r="T374" s="1"/>
  <c r="F437"/>
  <c r="H438"/>
  <c r="J438" s="1"/>
  <c r="L438" s="1"/>
  <c r="N438" s="1"/>
  <c r="P438" s="1"/>
  <c r="R438" s="1"/>
  <c r="T438" s="1"/>
  <c r="F307"/>
  <c r="H308"/>
  <c r="J308" s="1"/>
  <c r="L308" s="1"/>
  <c r="N308" s="1"/>
  <c r="P308" s="1"/>
  <c r="R308" s="1"/>
  <c r="T308" s="1"/>
  <c r="F395"/>
  <c r="H395" s="1"/>
  <c r="J395" s="1"/>
  <c r="L395" s="1"/>
  <c r="N395" s="1"/>
  <c r="P395" s="1"/>
  <c r="R395" s="1"/>
  <c r="T395" s="1"/>
  <c r="H396"/>
  <c r="J396" s="1"/>
  <c r="L396" s="1"/>
  <c r="N396" s="1"/>
  <c r="P396" s="1"/>
  <c r="R396" s="1"/>
  <c r="T396" s="1"/>
  <c r="F1285"/>
  <c r="H1286"/>
  <c r="J1286" s="1"/>
  <c r="L1286" s="1"/>
  <c r="N1286" s="1"/>
  <c r="P1286" s="1"/>
  <c r="R1286" s="1"/>
  <c r="T1286" s="1"/>
  <c r="F1331"/>
  <c r="H1332"/>
  <c r="J1332" s="1"/>
  <c r="L1332" s="1"/>
  <c r="N1332" s="1"/>
  <c r="P1332" s="1"/>
  <c r="R1332" s="1"/>
  <c r="T1332" s="1"/>
  <c r="F1278"/>
  <c r="H1278" s="1"/>
  <c r="J1278" s="1"/>
  <c r="L1278" s="1"/>
  <c r="N1278" s="1"/>
  <c r="P1278" s="1"/>
  <c r="R1278" s="1"/>
  <c r="T1278" s="1"/>
  <c r="H1279"/>
  <c r="J1279" s="1"/>
  <c r="L1279" s="1"/>
  <c r="N1279" s="1"/>
  <c r="P1279" s="1"/>
  <c r="R1279" s="1"/>
  <c r="T1279" s="1"/>
  <c r="F469"/>
  <c r="H470"/>
  <c r="J470" s="1"/>
  <c r="L470" s="1"/>
  <c r="N470" s="1"/>
  <c r="P470" s="1"/>
  <c r="R470" s="1"/>
  <c r="T470" s="1"/>
  <c r="F545"/>
  <c r="H546"/>
  <c r="J546" s="1"/>
  <c r="L546" s="1"/>
  <c r="N546" s="1"/>
  <c r="P546" s="1"/>
  <c r="R546" s="1"/>
  <c r="T546" s="1"/>
  <c r="F768"/>
  <c r="H769"/>
  <c r="J769" s="1"/>
  <c r="L769" s="1"/>
  <c r="N769" s="1"/>
  <c r="P769" s="1"/>
  <c r="R769" s="1"/>
  <c r="T769" s="1"/>
  <c r="F804"/>
  <c r="H805"/>
  <c r="J805" s="1"/>
  <c r="L805" s="1"/>
  <c r="N805" s="1"/>
  <c r="P805" s="1"/>
  <c r="R805" s="1"/>
  <c r="T805" s="1"/>
  <c r="F1100"/>
  <c r="H1101"/>
  <c r="J1101" s="1"/>
  <c r="L1101" s="1"/>
  <c r="N1101" s="1"/>
  <c r="P1101" s="1"/>
  <c r="R1101" s="1"/>
  <c r="T1101" s="1"/>
  <c r="F1114"/>
  <c r="H1115"/>
  <c r="J1115" s="1"/>
  <c r="L1115" s="1"/>
  <c r="N1115" s="1"/>
  <c r="P1115" s="1"/>
  <c r="R1115" s="1"/>
  <c r="T1115" s="1"/>
  <c r="F1237"/>
  <c r="H1237" s="1"/>
  <c r="J1237" s="1"/>
  <c r="L1237" s="1"/>
  <c r="N1237" s="1"/>
  <c r="P1237" s="1"/>
  <c r="R1237" s="1"/>
  <c r="T1237" s="1"/>
  <c r="H1238"/>
  <c r="J1238" s="1"/>
  <c r="L1238" s="1"/>
  <c r="N1238" s="1"/>
  <c r="P1238" s="1"/>
  <c r="R1238" s="1"/>
  <c r="T1238" s="1"/>
  <c r="F1561"/>
  <c r="H1561" s="1"/>
  <c r="J1561" s="1"/>
  <c r="L1561" s="1"/>
  <c r="N1561" s="1"/>
  <c r="P1561" s="1"/>
  <c r="R1561" s="1"/>
  <c r="T1561" s="1"/>
  <c r="H1562"/>
  <c r="J1562" s="1"/>
  <c r="L1562" s="1"/>
  <c r="N1562" s="1"/>
  <c r="P1562" s="1"/>
  <c r="R1562" s="1"/>
  <c r="T1562" s="1"/>
  <c r="F1127"/>
  <c r="H1128"/>
  <c r="J1128" s="1"/>
  <c r="L1128" s="1"/>
  <c r="N1128" s="1"/>
  <c r="P1128" s="1"/>
  <c r="R1128" s="1"/>
  <c r="T1128" s="1"/>
  <c r="F1208"/>
  <c r="H1209"/>
  <c r="J1209" s="1"/>
  <c r="L1209" s="1"/>
  <c r="N1209" s="1"/>
  <c r="P1209" s="1"/>
  <c r="R1209" s="1"/>
  <c r="T1209" s="1"/>
  <c r="F1142"/>
  <c r="H1143"/>
  <c r="J1143" s="1"/>
  <c r="L1143" s="1"/>
  <c r="N1143" s="1"/>
  <c r="P1143" s="1"/>
  <c r="R1143" s="1"/>
  <c r="T1143" s="1"/>
  <c r="F752"/>
  <c r="F751" s="1"/>
  <c r="F748" s="1"/>
  <c r="F747" s="1"/>
  <c r="F746" s="1"/>
  <c r="H753"/>
  <c r="J753" s="1"/>
  <c r="L753" s="1"/>
  <c r="N753" s="1"/>
  <c r="P753" s="1"/>
  <c r="R753" s="1"/>
  <c r="T753" s="1"/>
  <c r="F1755"/>
  <c r="H1756"/>
  <c r="J1756" s="1"/>
  <c r="L1756" s="1"/>
  <c r="N1756" s="1"/>
  <c r="P1756" s="1"/>
  <c r="R1756" s="1"/>
  <c r="T1756" s="1"/>
  <c r="F1730"/>
  <c r="H1730" s="1"/>
  <c r="J1730" s="1"/>
  <c r="L1730" s="1"/>
  <c r="N1730" s="1"/>
  <c r="P1730" s="1"/>
  <c r="R1730" s="1"/>
  <c r="T1730" s="1"/>
  <c r="H1731"/>
  <c r="J1731" s="1"/>
  <c r="L1731" s="1"/>
  <c r="N1731" s="1"/>
  <c r="P1731" s="1"/>
  <c r="R1731" s="1"/>
  <c r="T1731" s="1"/>
  <c r="F1063"/>
  <c r="H1064"/>
  <c r="J1064" s="1"/>
  <c r="L1064" s="1"/>
  <c r="N1064" s="1"/>
  <c r="P1064" s="1"/>
  <c r="R1064" s="1"/>
  <c r="T1064" s="1"/>
  <c r="F1804"/>
  <c r="H1805"/>
  <c r="J1805" s="1"/>
  <c r="L1805" s="1"/>
  <c r="N1805" s="1"/>
  <c r="P1805" s="1"/>
  <c r="R1805" s="1"/>
  <c r="T1805" s="1"/>
  <c r="F643"/>
  <c r="H644"/>
  <c r="J644" s="1"/>
  <c r="L644" s="1"/>
  <c r="N644" s="1"/>
  <c r="P644" s="1"/>
  <c r="R644" s="1"/>
  <c r="T644" s="1"/>
  <c r="F1499"/>
  <c r="H1500"/>
  <c r="J1500" s="1"/>
  <c r="L1500" s="1"/>
  <c r="N1500" s="1"/>
  <c r="P1500" s="1"/>
  <c r="R1500" s="1"/>
  <c r="T1500" s="1"/>
  <c r="G588"/>
  <c r="H588" s="1"/>
  <c r="J588" s="1"/>
  <c r="L588" s="1"/>
  <c r="N588" s="1"/>
  <c r="P588" s="1"/>
  <c r="R588" s="1"/>
  <c r="T588" s="1"/>
  <c r="H605"/>
  <c r="J605" s="1"/>
  <c r="L605" s="1"/>
  <c r="N605" s="1"/>
  <c r="P605" s="1"/>
  <c r="R605" s="1"/>
  <c r="T605" s="1"/>
  <c r="H709"/>
  <c r="J709" s="1"/>
  <c r="L709" s="1"/>
  <c r="N709" s="1"/>
  <c r="P709" s="1"/>
  <c r="R709" s="1"/>
  <c r="T709" s="1"/>
  <c r="G924"/>
  <c r="G923" s="1"/>
  <c r="G922" s="1"/>
  <c r="G1024"/>
  <c r="G1023" s="1"/>
  <c r="G1022" s="1"/>
  <c r="H1271"/>
  <c r="J1271" s="1"/>
  <c r="L1271" s="1"/>
  <c r="N1271" s="1"/>
  <c r="P1271" s="1"/>
  <c r="R1271" s="1"/>
  <c r="T1271" s="1"/>
  <c r="H1351"/>
  <c r="J1351" s="1"/>
  <c r="L1351" s="1"/>
  <c r="N1351" s="1"/>
  <c r="P1351" s="1"/>
  <c r="R1351" s="1"/>
  <c r="T1351" s="1"/>
  <c r="H1369"/>
  <c r="J1369" s="1"/>
  <c r="L1369" s="1"/>
  <c r="N1369" s="1"/>
  <c r="P1369" s="1"/>
  <c r="R1369" s="1"/>
  <c r="T1369" s="1"/>
  <c r="H1384"/>
  <c r="J1384" s="1"/>
  <c r="L1384" s="1"/>
  <c r="N1384" s="1"/>
  <c r="P1384" s="1"/>
  <c r="R1384" s="1"/>
  <c r="T1384" s="1"/>
  <c r="H1397"/>
  <c r="J1397" s="1"/>
  <c r="L1397" s="1"/>
  <c r="N1397" s="1"/>
  <c r="P1397" s="1"/>
  <c r="R1397" s="1"/>
  <c r="T1397" s="1"/>
  <c r="H1418"/>
  <c r="J1418" s="1"/>
  <c r="L1418" s="1"/>
  <c r="N1418" s="1"/>
  <c r="P1418" s="1"/>
  <c r="R1418" s="1"/>
  <c r="T1418" s="1"/>
  <c r="H1491"/>
  <c r="J1491" s="1"/>
  <c r="L1491" s="1"/>
  <c r="N1491" s="1"/>
  <c r="P1491" s="1"/>
  <c r="R1491" s="1"/>
  <c r="T1491" s="1"/>
  <c r="G1729"/>
  <c r="G1728" s="1"/>
  <c r="G1727" s="1"/>
  <c r="H1753"/>
  <c r="J1753" s="1"/>
  <c r="L1753" s="1"/>
  <c r="N1753" s="1"/>
  <c r="P1753" s="1"/>
  <c r="R1753" s="1"/>
  <c r="T1753" s="1"/>
  <c r="H22"/>
  <c r="J22" s="1"/>
  <c r="L22" s="1"/>
  <c r="N22" s="1"/>
  <c r="P22" s="1"/>
  <c r="R22" s="1"/>
  <c r="T22" s="1"/>
  <c r="H31"/>
  <c r="J31" s="1"/>
  <c r="L31" s="1"/>
  <c r="N31" s="1"/>
  <c r="P31" s="1"/>
  <c r="R31" s="1"/>
  <c r="T31" s="1"/>
  <c r="H35"/>
  <c r="J35" s="1"/>
  <c r="L35" s="1"/>
  <c r="N35" s="1"/>
  <c r="P35" s="1"/>
  <c r="R35" s="1"/>
  <c r="T35" s="1"/>
  <c r="H42"/>
  <c r="J42" s="1"/>
  <c r="L42" s="1"/>
  <c r="N42" s="1"/>
  <c r="P42" s="1"/>
  <c r="R42" s="1"/>
  <c r="T42" s="1"/>
  <c r="H46"/>
  <c r="J46" s="1"/>
  <c r="L46" s="1"/>
  <c r="N46" s="1"/>
  <c r="P46" s="1"/>
  <c r="R46" s="1"/>
  <c r="T46" s="1"/>
  <c r="H50"/>
  <c r="J50" s="1"/>
  <c r="L50" s="1"/>
  <c r="N50" s="1"/>
  <c r="P50" s="1"/>
  <c r="R50" s="1"/>
  <c r="T50" s="1"/>
  <c r="H84"/>
  <c r="J84" s="1"/>
  <c r="L84" s="1"/>
  <c r="N84" s="1"/>
  <c r="P84" s="1"/>
  <c r="R84" s="1"/>
  <c r="T84" s="1"/>
  <c r="H105"/>
  <c r="J105" s="1"/>
  <c r="L105" s="1"/>
  <c r="N105" s="1"/>
  <c r="P105" s="1"/>
  <c r="R105" s="1"/>
  <c r="T105" s="1"/>
  <c r="H124"/>
  <c r="J124" s="1"/>
  <c r="L124" s="1"/>
  <c r="N124" s="1"/>
  <c r="P124" s="1"/>
  <c r="R124" s="1"/>
  <c r="T124" s="1"/>
  <c r="H168"/>
  <c r="J168" s="1"/>
  <c r="L168" s="1"/>
  <c r="N168" s="1"/>
  <c r="P168" s="1"/>
  <c r="R168" s="1"/>
  <c r="T168" s="1"/>
  <c r="H189"/>
  <c r="J189" s="1"/>
  <c r="L189" s="1"/>
  <c r="N189" s="1"/>
  <c r="P189" s="1"/>
  <c r="R189" s="1"/>
  <c r="T189" s="1"/>
  <c r="H222"/>
  <c r="J222" s="1"/>
  <c r="L222" s="1"/>
  <c r="N222" s="1"/>
  <c r="P222" s="1"/>
  <c r="R222" s="1"/>
  <c r="T222" s="1"/>
  <c r="H249"/>
  <c r="J249" s="1"/>
  <c r="L249" s="1"/>
  <c r="N249" s="1"/>
  <c r="P249" s="1"/>
  <c r="R249" s="1"/>
  <c r="T249" s="1"/>
  <c r="H255"/>
  <c r="J255" s="1"/>
  <c r="L255" s="1"/>
  <c r="N255" s="1"/>
  <c r="P255" s="1"/>
  <c r="R255" s="1"/>
  <c r="T255" s="1"/>
  <c r="H310"/>
  <c r="J310" s="1"/>
  <c r="L310" s="1"/>
  <c r="N310" s="1"/>
  <c r="P310" s="1"/>
  <c r="R310" s="1"/>
  <c r="T310" s="1"/>
  <c r="H321"/>
  <c r="J321" s="1"/>
  <c r="L321" s="1"/>
  <c r="N321" s="1"/>
  <c r="P321" s="1"/>
  <c r="R321" s="1"/>
  <c r="T321" s="1"/>
  <c r="H359"/>
  <c r="J359" s="1"/>
  <c r="L359" s="1"/>
  <c r="N359" s="1"/>
  <c r="P359" s="1"/>
  <c r="R359" s="1"/>
  <c r="T359" s="1"/>
  <c r="H364"/>
  <c r="J364" s="1"/>
  <c r="L364" s="1"/>
  <c r="N364" s="1"/>
  <c r="P364" s="1"/>
  <c r="R364" s="1"/>
  <c r="T364" s="1"/>
  <c r="H375"/>
  <c r="J375" s="1"/>
  <c r="L375" s="1"/>
  <c r="N375" s="1"/>
  <c r="P375" s="1"/>
  <c r="R375" s="1"/>
  <c r="T375" s="1"/>
  <c r="H419"/>
  <c r="J419" s="1"/>
  <c r="L419" s="1"/>
  <c r="N419" s="1"/>
  <c r="P419" s="1"/>
  <c r="R419" s="1"/>
  <c r="T419" s="1"/>
  <c r="H451"/>
  <c r="J451" s="1"/>
  <c r="L451" s="1"/>
  <c r="N451" s="1"/>
  <c r="P451" s="1"/>
  <c r="R451" s="1"/>
  <c r="T451" s="1"/>
  <c r="H463"/>
  <c r="J463" s="1"/>
  <c r="L463" s="1"/>
  <c r="N463" s="1"/>
  <c r="P463" s="1"/>
  <c r="R463" s="1"/>
  <c r="T463" s="1"/>
  <c r="H484"/>
  <c r="J484" s="1"/>
  <c r="L484" s="1"/>
  <c r="N484" s="1"/>
  <c r="P484" s="1"/>
  <c r="R484" s="1"/>
  <c r="T484" s="1"/>
  <c r="H511"/>
  <c r="J511" s="1"/>
  <c r="L511" s="1"/>
  <c r="N511" s="1"/>
  <c r="P511" s="1"/>
  <c r="R511" s="1"/>
  <c r="T511" s="1"/>
  <c r="H516"/>
  <c r="J516" s="1"/>
  <c r="L516" s="1"/>
  <c r="N516" s="1"/>
  <c r="P516" s="1"/>
  <c r="R516" s="1"/>
  <c r="T516" s="1"/>
  <c r="H521"/>
  <c r="J521" s="1"/>
  <c r="L521" s="1"/>
  <c r="N521" s="1"/>
  <c r="P521" s="1"/>
  <c r="R521" s="1"/>
  <c r="T521" s="1"/>
  <c r="H548"/>
  <c r="J548" s="1"/>
  <c r="L548" s="1"/>
  <c r="N548" s="1"/>
  <c r="P548" s="1"/>
  <c r="R548" s="1"/>
  <c r="T548" s="1"/>
  <c r="H559"/>
  <c r="J559" s="1"/>
  <c r="L559" s="1"/>
  <c r="N559" s="1"/>
  <c r="P559" s="1"/>
  <c r="R559" s="1"/>
  <c r="T559" s="1"/>
  <c r="H645"/>
  <c r="J645" s="1"/>
  <c r="L645" s="1"/>
  <c r="N645" s="1"/>
  <c r="P645" s="1"/>
  <c r="R645" s="1"/>
  <c r="T645" s="1"/>
  <c r="H656"/>
  <c r="J656" s="1"/>
  <c r="L656" s="1"/>
  <c r="N656" s="1"/>
  <c r="P656" s="1"/>
  <c r="R656" s="1"/>
  <c r="T656" s="1"/>
  <c r="H667"/>
  <c r="J667" s="1"/>
  <c r="L667" s="1"/>
  <c r="N667" s="1"/>
  <c r="P667" s="1"/>
  <c r="R667" s="1"/>
  <c r="T667" s="1"/>
  <c r="H672"/>
  <c r="J672" s="1"/>
  <c r="L672" s="1"/>
  <c r="N672" s="1"/>
  <c r="P672" s="1"/>
  <c r="R672" s="1"/>
  <c r="T672" s="1"/>
  <c r="H683"/>
  <c r="J683" s="1"/>
  <c r="L683" s="1"/>
  <c r="N683" s="1"/>
  <c r="P683" s="1"/>
  <c r="R683" s="1"/>
  <c r="T683" s="1"/>
  <c r="H725"/>
  <c r="J725" s="1"/>
  <c r="L725" s="1"/>
  <c r="N725" s="1"/>
  <c r="P725" s="1"/>
  <c r="R725" s="1"/>
  <c r="T725" s="1"/>
  <c r="H737"/>
  <c r="J737" s="1"/>
  <c r="L737" s="1"/>
  <c r="N737" s="1"/>
  <c r="P737" s="1"/>
  <c r="R737" s="1"/>
  <c r="T737" s="1"/>
  <c r="H755"/>
  <c r="J755" s="1"/>
  <c r="L755" s="1"/>
  <c r="N755" s="1"/>
  <c r="P755" s="1"/>
  <c r="R755" s="1"/>
  <c r="T755" s="1"/>
  <c r="H791"/>
  <c r="J791" s="1"/>
  <c r="L791" s="1"/>
  <c r="N791" s="1"/>
  <c r="P791" s="1"/>
  <c r="R791" s="1"/>
  <c r="T791" s="1"/>
  <c r="H825"/>
  <c r="J825" s="1"/>
  <c r="L825" s="1"/>
  <c r="N825" s="1"/>
  <c r="P825" s="1"/>
  <c r="R825" s="1"/>
  <c r="T825" s="1"/>
  <c r="H863"/>
  <c r="J863" s="1"/>
  <c r="L863" s="1"/>
  <c r="N863" s="1"/>
  <c r="P863" s="1"/>
  <c r="R863" s="1"/>
  <c r="T863" s="1"/>
  <c r="H905"/>
  <c r="J905" s="1"/>
  <c r="L905" s="1"/>
  <c r="N905" s="1"/>
  <c r="P905" s="1"/>
  <c r="R905" s="1"/>
  <c r="T905" s="1"/>
  <c r="H952"/>
  <c r="J952" s="1"/>
  <c r="L952" s="1"/>
  <c r="N952" s="1"/>
  <c r="P952" s="1"/>
  <c r="R952" s="1"/>
  <c r="T952" s="1"/>
  <c r="F669"/>
  <c r="H670"/>
  <c r="J670" s="1"/>
  <c r="L670" s="1"/>
  <c r="N670" s="1"/>
  <c r="P670" s="1"/>
  <c r="R670" s="1"/>
  <c r="T670" s="1"/>
  <c r="F661"/>
  <c r="H661" s="1"/>
  <c r="J661" s="1"/>
  <c r="L661" s="1"/>
  <c r="N661" s="1"/>
  <c r="P661" s="1"/>
  <c r="R661" s="1"/>
  <c r="T661" s="1"/>
  <c r="H662"/>
  <c r="J662" s="1"/>
  <c r="L662" s="1"/>
  <c r="N662" s="1"/>
  <c r="P662" s="1"/>
  <c r="R662" s="1"/>
  <c r="T662" s="1"/>
  <c r="F966"/>
  <c r="H967"/>
  <c r="J967" s="1"/>
  <c r="L967" s="1"/>
  <c r="N967" s="1"/>
  <c r="P967" s="1"/>
  <c r="R967" s="1"/>
  <c r="T967" s="1"/>
  <c r="F1464"/>
  <c r="H1466"/>
  <c r="J1466" s="1"/>
  <c r="L1466" s="1"/>
  <c r="N1466" s="1"/>
  <c r="P1466" s="1"/>
  <c r="R1466" s="1"/>
  <c r="T1466" s="1"/>
  <c r="F1046"/>
  <c r="H1047"/>
  <c r="J1047" s="1"/>
  <c r="L1047" s="1"/>
  <c r="N1047" s="1"/>
  <c r="P1047" s="1"/>
  <c r="R1047" s="1"/>
  <c r="T1047" s="1"/>
  <c r="F1070"/>
  <c r="H1071"/>
  <c r="J1071" s="1"/>
  <c r="L1071" s="1"/>
  <c r="N1071" s="1"/>
  <c r="P1071" s="1"/>
  <c r="R1071" s="1"/>
  <c r="T1071" s="1"/>
  <c r="F1441"/>
  <c r="H1442"/>
  <c r="J1442" s="1"/>
  <c r="L1442" s="1"/>
  <c r="N1442" s="1"/>
  <c r="P1442" s="1"/>
  <c r="R1442" s="1"/>
  <c r="T1442" s="1"/>
  <c r="F1018"/>
  <c r="H1019"/>
  <c r="J1019" s="1"/>
  <c r="L1019" s="1"/>
  <c r="N1019" s="1"/>
  <c r="P1019" s="1"/>
  <c r="R1019" s="1"/>
  <c r="T1019" s="1"/>
  <c r="F136"/>
  <c r="H137"/>
  <c r="J137" s="1"/>
  <c r="L137" s="1"/>
  <c r="N137" s="1"/>
  <c r="P137" s="1"/>
  <c r="R137" s="1"/>
  <c r="T137" s="1"/>
  <c r="F553"/>
  <c r="H554"/>
  <c r="J554" s="1"/>
  <c r="L554" s="1"/>
  <c r="N554" s="1"/>
  <c r="P554" s="1"/>
  <c r="R554" s="1"/>
  <c r="T554" s="1"/>
  <c r="F1554"/>
  <c r="H1555"/>
  <c r="J1555" s="1"/>
  <c r="L1555" s="1"/>
  <c r="N1555" s="1"/>
  <c r="P1555" s="1"/>
  <c r="R1555" s="1"/>
  <c r="T1555" s="1"/>
  <c r="F242"/>
  <c r="H243"/>
  <c r="J243" s="1"/>
  <c r="L243" s="1"/>
  <c r="N243" s="1"/>
  <c r="P243" s="1"/>
  <c r="R243" s="1"/>
  <c r="T243" s="1"/>
  <c r="F319"/>
  <c r="H320"/>
  <c r="J320" s="1"/>
  <c r="L320" s="1"/>
  <c r="N320" s="1"/>
  <c r="P320" s="1"/>
  <c r="R320" s="1"/>
  <c r="T320" s="1"/>
  <c r="F369"/>
  <c r="H370"/>
  <c r="J370" s="1"/>
  <c r="L370" s="1"/>
  <c r="N370" s="1"/>
  <c r="P370" s="1"/>
  <c r="R370" s="1"/>
  <c r="T370" s="1"/>
  <c r="F429"/>
  <c r="H430"/>
  <c r="J430" s="1"/>
  <c r="L430" s="1"/>
  <c r="N430" s="1"/>
  <c r="P430" s="1"/>
  <c r="R430" s="1"/>
  <c r="T430" s="1"/>
  <c r="F271"/>
  <c r="H272"/>
  <c r="J272" s="1"/>
  <c r="L272" s="1"/>
  <c r="N272" s="1"/>
  <c r="P272" s="1"/>
  <c r="R272" s="1"/>
  <c r="T272" s="1"/>
  <c r="F387"/>
  <c r="H388"/>
  <c r="J388" s="1"/>
  <c r="L388" s="1"/>
  <c r="N388" s="1"/>
  <c r="P388" s="1"/>
  <c r="R388" s="1"/>
  <c r="T388" s="1"/>
  <c r="F665"/>
  <c r="H666"/>
  <c r="J666" s="1"/>
  <c r="L666" s="1"/>
  <c r="N666" s="1"/>
  <c r="P666" s="1"/>
  <c r="R666" s="1"/>
  <c r="T666" s="1"/>
  <c r="F1329"/>
  <c r="H1329" s="1"/>
  <c r="J1329" s="1"/>
  <c r="L1329" s="1"/>
  <c r="N1329" s="1"/>
  <c r="P1329" s="1"/>
  <c r="R1329" s="1"/>
  <c r="T1329" s="1"/>
  <c r="H1330"/>
  <c r="J1330" s="1"/>
  <c r="L1330" s="1"/>
  <c r="N1330" s="1"/>
  <c r="P1330" s="1"/>
  <c r="R1330" s="1"/>
  <c r="T1330" s="1"/>
  <c r="F1605"/>
  <c r="H1606"/>
  <c r="J1606" s="1"/>
  <c r="L1606" s="1"/>
  <c r="N1606" s="1"/>
  <c r="P1606" s="1"/>
  <c r="R1606" s="1"/>
  <c r="T1606" s="1"/>
  <c r="F1298"/>
  <c r="H1298" s="1"/>
  <c r="J1298" s="1"/>
  <c r="L1298" s="1"/>
  <c r="N1298" s="1"/>
  <c r="P1298" s="1"/>
  <c r="R1298" s="1"/>
  <c r="T1298" s="1"/>
  <c r="H1299"/>
  <c r="J1299" s="1"/>
  <c r="L1299" s="1"/>
  <c r="N1299" s="1"/>
  <c r="P1299" s="1"/>
  <c r="R1299" s="1"/>
  <c r="T1299" s="1"/>
  <c r="F497"/>
  <c r="H498"/>
  <c r="J498" s="1"/>
  <c r="L498" s="1"/>
  <c r="N498" s="1"/>
  <c r="P498" s="1"/>
  <c r="R498" s="1"/>
  <c r="T498" s="1"/>
  <c r="F1619"/>
  <c r="H1620"/>
  <c r="J1620" s="1"/>
  <c r="L1620" s="1"/>
  <c r="N1620" s="1"/>
  <c r="P1620" s="1"/>
  <c r="R1620" s="1"/>
  <c r="T1620" s="1"/>
  <c r="F1588"/>
  <c r="H1589"/>
  <c r="J1589" s="1"/>
  <c r="L1589" s="1"/>
  <c r="N1589" s="1"/>
  <c r="P1589" s="1"/>
  <c r="R1589" s="1"/>
  <c r="T1589" s="1"/>
  <c r="F800"/>
  <c r="H801"/>
  <c r="J801" s="1"/>
  <c r="L801" s="1"/>
  <c r="N801" s="1"/>
  <c r="P801" s="1"/>
  <c r="R801" s="1"/>
  <c r="T801" s="1"/>
  <c r="F1089"/>
  <c r="H1090"/>
  <c r="J1090" s="1"/>
  <c r="L1090" s="1"/>
  <c r="N1090" s="1"/>
  <c r="P1090" s="1"/>
  <c r="R1090" s="1"/>
  <c r="T1090" s="1"/>
  <c r="F1094"/>
  <c r="H1095"/>
  <c r="J1095" s="1"/>
  <c r="L1095" s="1"/>
  <c r="N1095" s="1"/>
  <c r="P1095" s="1"/>
  <c r="R1095" s="1"/>
  <c r="T1095" s="1"/>
  <c r="F1612"/>
  <c r="H1613"/>
  <c r="J1613" s="1"/>
  <c r="L1613" s="1"/>
  <c r="N1613" s="1"/>
  <c r="P1613" s="1"/>
  <c r="R1613" s="1"/>
  <c r="T1613" s="1"/>
  <c r="F1160"/>
  <c r="H1161"/>
  <c r="J1161" s="1"/>
  <c r="L1161" s="1"/>
  <c r="N1161" s="1"/>
  <c r="P1161" s="1"/>
  <c r="R1161" s="1"/>
  <c r="T1161" s="1"/>
  <c r="F1154"/>
  <c r="H1155"/>
  <c r="J1155" s="1"/>
  <c r="L1155" s="1"/>
  <c r="N1155" s="1"/>
  <c r="P1155" s="1"/>
  <c r="R1155" s="1"/>
  <c r="T1155" s="1"/>
  <c r="F1578"/>
  <c r="H1579"/>
  <c r="J1579" s="1"/>
  <c r="L1579" s="1"/>
  <c r="N1579" s="1"/>
  <c r="P1579" s="1"/>
  <c r="R1579" s="1"/>
  <c r="T1579" s="1"/>
  <c r="F691"/>
  <c r="H692"/>
  <c r="J692" s="1"/>
  <c r="L692" s="1"/>
  <c r="N692" s="1"/>
  <c r="P692" s="1"/>
  <c r="R692" s="1"/>
  <c r="T692" s="1"/>
  <c r="F721"/>
  <c r="H721" s="1"/>
  <c r="J721" s="1"/>
  <c r="L721" s="1"/>
  <c r="N721" s="1"/>
  <c r="P721" s="1"/>
  <c r="R721" s="1"/>
  <c r="T721" s="1"/>
  <c r="H722"/>
  <c r="J722" s="1"/>
  <c r="L722" s="1"/>
  <c r="N722" s="1"/>
  <c r="P722" s="1"/>
  <c r="R722" s="1"/>
  <c r="T722" s="1"/>
  <c r="F1794"/>
  <c r="H1795"/>
  <c r="J1795" s="1"/>
  <c r="L1795" s="1"/>
  <c r="N1795" s="1"/>
  <c r="P1795" s="1"/>
  <c r="R1795" s="1"/>
  <c r="T1795" s="1"/>
  <c r="F1676"/>
  <c r="H1677"/>
  <c r="J1677" s="1"/>
  <c r="L1677" s="1"/>
  <c r="N1677" s="1"/>
  <c r="P1677" s="1"/>
  <c r="R1677" s="1"/>
  <c r="T1677" s="1"/>
  <c r="F1781"/>
  <c r="H1782"/>
  <c r="J1782" s="1"/>
  <c r="L1782" s="1"/>
  <c r="N1782" s="1"/>
  <c r="P1782" s="1"/>
  <c r="R1782" s="1"/>
  <c r="T1782" s="1"/>
  <c r="F945"/>
  <c r="H946"/>
  <c r="J946" s="1"/>
  <c r="L946" s="1"/>
  <c r="N946" s="1"/>
  <c r="P946" s="1"/>
  <c r="R946" s="1"/>
  <c r="T946" s="1"/>
  <c r="F1789"/>
  <c r="H1790"/>
  <c r="J1790" s="1"/>
  <c r="L1790" s="1"/>
  <c r="N1790" s="1"/>
  <c r="P1790" s="1"/>
  <c r="R1790" s="1"/>
  <c r="T1790" s="1"/>
  <c r="F897"/>
  <c r="H898"/>
  <c r="J898" s="1"/>
  <c r="L898" s="1"/>
  <c r="N898" s="1"/>
  <c r="P898" s="1"/>
  <c r="R898" s="1"/>
  <c r="T898" s="1"/>
  <c r="F914"/>
  <c r="H915"/>
  <c r="J915" s="1"/>
  <c r="L915" s="1"/>
  <c r="N915" s="1"/>
  <c r="P915" s="1"/>
  <c r="R915" s="1"/>
  <c r="T915" s="1"/>
  <c r="F959"/>
  <c r="H960"/>
  <c r="J960" s="1"/>
  <c r="L960" s="1"/>
  <c r="N960" s="1"/>
  <c r="P960" s="1"/>
  <c r="R960" s="1"/>
  <c r="T960" s="1"/>
  <c r="F529"/>
  <c r="H530"/>
  <c r="J530" s="1"/>
  <c r="L530" s="1"/>
  <c r="N530" s="1"/>
  <c r="P530" s="1"/>
  <c r="R530" s="1"/>
  <c r="T530" s="1"/>
  <c r="F148"/>
  <c r="H149"/>
  <c r="J149" s="1"/>
  <c r="L149" s="1"/>
  <c r="N149" s="1"/>
  <c r="P149" s="1"/>
  <c r="R149" s="1"/>
  <c r="T149" s="1"/>
  <c r="H510"/>
  <c r="J510" s="1"/>
  <c r="L510" s="1"/>
  <c r="N510" s="1"/>
  <c r="P510" s="1"/>
  <c r="R510" s="1"/>
  <c r="T510" s="1"/>
  <c r="H540"/>
  <c r="J540" s="1"/>
  <c r="L540" s="1"/>
  <c r="N540" s="1"/>
  <c r="P540" s="1"/>
  <c r="R540" s="1"/>
  <c r="T540" s="1"/>
  <c r="H600"/>
  <c r="J600" s="1"/>
  <c r="L600" s="1"/>
  <c r="N600" s="1"/>
  <c r="P600" s="1"/>
  <c r="R600" s="1"/>
  <c r="T600" s="1"/>
  <c r="H618"/>
  <c r="J618" s="1"/>
  <c r="L618" s="1"/>
  <c r="N618" s="1"/>
  <c r="P618" s="1"/>
  <c r="R618" s="1"/>
  <c r="T618" s="1"/>
  <c r="H641"/>
  <c r="J641" s="1"/>
  <c r="L641" s="1"/>
  <c r="N641" s="1"/>
  <c r="P641" s="1"/>
  <c r="R641" s="1"/>
  <c r="T641" s="1"/>
  <c r="H674"/>
  <c r="J674" s="1"/>
  <c r="L674" s="1"/>
  <c r="N674" s="1"/>
  <c r="P674" s="1"/>
  <c r="R674" s="1"/>
  <c r="T674" s="1"/>
  <c r="G935"/>
  <c r="H1270"/>
  <c r="J1270" s="1"/>
  <c r="L1270" s="1"/>
  <c r="N1270" s="1"/>
  <c r="P1270" s="1"/>
  <c r="R1270" s="1"/>
  <c r="T1270" s="1"/>
  <c r="G1295"/>
  <c r="G1294" s="1"/>
  <c r="G1293" s="1"/>
  <c r="H1350"/>
  <c r="J1350" s="1"/>
  <c r="L1350" s="1"/>
  <c r="N1350" s="1"/>
  <c r="P1350" s="1"/>
  <c r="R1350" s="1"/>
  <c r="T1350" s="1"/>
  <c r="H1361"/>
  <c r="J1361" s="1"/>
  <c r="L1361" s="1"/>
  <c r="N1361" s="1"/>
  <c r="P1361" s="1"/>
  <c r="R1361" s="1"/>
  <c r="T1361" s="1"/>
  <c r="H1417"/>
  <c r="J1417" s="1"/>
  <c r="L1417" s="1"/>
  <c r="N1417" s="1"/>
  <c r="P1417" s="1"/>
  <c r="R1417" s="1"/>
  <c r="T1417" s="1"/>
  <c r="H1490"/>
  <c r="J1490" s="1"/>
  <c r="L1490" s="1"/>
  <c r="N1490" s="1"/>
  <c r="P1490" s="1"/>
  <c r="R1490" s="1"/>
  <c r="T1490" s="1"/>
  <c r="H1506"/>
  <c r="J1506" s="1"/>
  <c r="L1506" s="1"/>
  <c r="N1506" s="1"/>
  <c r="P1506" s="1"/>
  <c r="R1506" s="1"/>
  <c r="T1506" s="1"/>
  <c r="H1686"/>
  <c r="J1686" s="1"/>
  <c r="L1686" s="1"/>
  <c r="N1686" s="1"/>
  <c r="P1686" s="1"/>
  <c r="R1686" s="1"/>
  <c r="T1686" s="1"/>
  <c r="H21"/>
  <c r="J21" s="1"/>
  <c r="L21" s="1"/>
  <c r="N21" s="1"/>
  <c r="P21" s="1"/>
  <c r="R21" s="1"/>
  <c r="T21" s="1"/>
  <c r="H34"/>
  <c r="J34" s="1"/>
  <c r="L34" s="1"/>
  <c r="N34" s="1"/>
  <c r="P34" s="1"/>
  <c r="R34" s="1"/>
  <c r="T34" s="1"/>
  <c r="H41"/>
  <c r="J41" s="1"/>
  <c r="L41" s="1"/>
  <c r="N41" s="1"/>
  <c r="P41" s="1"/>
  <c r="R41" s="1"/>
  <c r="T41" s="1"/>
  <c r="H49"/>
  <c r="J49" s="1"/>
  <c r="L49" s="1"/>
  <c r="N49" s="1"/>
  <c r="P49" s="1"/>
  <c r="R49" s="1"/>
  <c r="T49" s="1"/>
  <c r="H59"/>
  <c r="J59" s="1"/>
  <c r="L59" s="1"/>
  <c r="N59" s="1"/>
  <c r="P59" s="1"/>
  <c r="R59" s="1"/>
  <c r="T59" s="1"/>
  <c r="H67"/>
  <c r="J67" s="1"/>
  <c r="L67" s="1"/>
  <c r="N67" s="1"/>
  <c r="P67" s="1"/>
  <c r="R67" s="1"/>
  <c r="T67" s="1"/>
  <c r="H123"/>
  <c r="J123" s="1"/>
  <c r="L123" s="1"/>
  <c r="N123" s="1"/>
  <c r="P123" s="1"/>
  <c r="R123" s="1"/>
  <c r="T123" s="1"/>
  <c r="H143"/>
  <c r="J143" s="1"/>
  <c r="L143" s="1"/>
  <c r="N143" s="1"/>
  <c r="P143" s="1"/>
  <c r="R143" s="1"/>
  <c r="T143" s="1"/>
  <c r="H182"/>
  <c r="J182" s="1"/>
  <c r="L182" s="1"/>
  <c r="N182" s="1"/>
  <c r="P182" s="1"/>
  <c r="R182" s="1"/>
  <c r="T182" s="1"/>
  <c r="H188"/>
  <c r="J188" s="1"/>
  <c r="L188" s="1"/>
  <c r="N188" s="1"/>
  <c r="P188" s="1"/>
  <c r="R188" s="1"/>
  <c r="T188" s="1"/>
  <c r="H221"/>
  <c r="J221" s="1"/>
  <c r="L221" s="1"/>
  <c r="N221" s="1"/>
  <c r="P221" s="1"/>
  <c r="R221" s="1"/>
  <c r="T221" s="1"/>
  <c r="H248"/>
  <c r="J248" s="1"/>
  <c r="L248" s="1"/>
  <c r="N248" s="1"/>
  <c r="P248" s="1"/>
  <c r="R248" s="1"/>
  <c r="T248" s="1"/>
  <c r="H286"/>
  <c r="J286" s="1"/>
  <c r="L286" s="1"/>
  <c r="N286" s="1"/>
  <c r="P286" s="1"/>
  <c r="R286" s="1"/>
  <c r="T286" s="1"/>
  <c r="H309"/>
  <c r="J309" s="1"/>
  <c r="L309" s="1"/>
  <c r="N309" s="1"/>
  <c r="P309" s="1"/>
  <c r="R309" s="1"/>
  <c r="T309" s="1"/>
  <c r="H335"/>
  <c r="J335" s="1"/>
  <c r="L335" s="1"/>
  <c r="N335" s="1"/>
  <c r="P335" s="1"/>
  <c r="R335" s="1"/>
  <c r="T335" s="1"/>
  <c r="H341"/>
  <c r="J341" s="1"/>
  <c r="L341" s="1"/>
  <c r="N341" s="1"/>
  <c r="P341" s="1"/>
  <c r="R341" s="1"/>
  <c r="T341" s="1"/>
  <c r="H363"/>
  <c r="J363" s="1"/>
  <c r="L363" s="1"/>
  <c r="N363" s="1"/>
  <c r="P363" s="1"/>
  <c r="R363" s="1"/>
  <c r="T363" s="1"/>
  <c r="H390"/>
  <c r="J390" s="1"/>
  <c r="L390" s="1"/>
  <c r="N390" s="1"/>
  <c r="P390" s="1"/>
  <c r="R390" s="1"/>
  <c r="T390" s="1"/>
  <c r="H406"/>
  <c r="J406" s="1"/>
  <c r="L406" s="1"/>
  <c r="N406" s="1"/>
  <c r="P406" s="1"/>
  <c r="R406" s="1"/>
  <c r="T406" s="1"/>
  <c r="H450"/>
  <c r="J450" s="1"/>
  <c r="L450" s="1"/>
  <c r="N450" s="1"/>
  <c r="P450" s="1"/>
  <c r="R450" s="1"/>
  <c r="T450" s="1"/>
  <c r="H509"/>
  <c r="J509" s="1"/>
  <c r="L509" s="1"/>
  <c r="N509" s="1"/>
  <c r="P509" s="1"/>
  <c r="R509" s="1"/>
  <c r="T509" s="1"/>
  <c r="H520"/>
  <c r="J520" s="1"/>
  <c r="L520" s="1"/>
  <c r="N520" s="1"/>
  <c r="P520" s="1"/>
  <c r="R520" s="1"/>
  <c r="T520" s="1"/>
  <c r="H547"/>
  <c r="J547" s="1"/>
  <c r="L547" s="1"/>
  <c r="N547" s="1"/>
  <c r="P547" s="1"/>
  <c r="R547" s="1"/>
  <c r="T547" s="1"/>
  <c r="H660"/>
  <c r="J660" s="1"/>
  <c r="L660" s="1"/>
  <c r="N660" s="1"/>
  <c r="P660" s="1"/>
  <c r="R660" s="1"/>
  <c r="T660" s="1"/>
  <c r="H671"/>
  <c r="J671" s="1"/>
  <c r="L671" s="1"/>
  <c r="N671" s="1"/>
  <c r="P671" s="1"/>
  <c r="R671" s="1"/>
  <c r="T671" s="1"/>
  <c r="H682"/>
  <c r="J682" s="1"/>
  <c r="L682" s="1"/>
  <c r="N682" s="1"/>
  <c r="P682" s="1"/>
  <c r="R682" s="1"/>
  <c r="T682" s="1"/>
  <c r="H687"/>
  <c r="J687" s="1"/>
  <c r="L687" s="1"/>
  <c r="N687" s="1"/>
  <c r="P687" s="1"/>
  <c r="R687" s="1"/>
  <c r="T687" s="1"/>
  <c r="H698"/>
  <c r="J698" s="1"/>
  <c r="L698" s="1"/>
  <c r="N698" s="1"/>
  <c r="P698" s="1"/>
  <c r="R698" s="1"/>
  <c r="T698" s="1"/>
  <c r="H703"/>
  <c r="J703" s="1"/>
  <c r="L703" s="1"/>
  <c r="N703" s="1"/>
  <c r="P703" s="1"/>
  <c r="R703" s="1"/>
  <c r="T703" s="1"/>
  <c r="H714"/>
  <c r="J714" s="1"/>
  <c r="L714" s="1"/>
  <c r="N714" s="1"/>
  <c r="P714" s="1"/>
  <c r="R714" s="1"/>
  <c r="T714" s="1"/>
  <c r="H724"/>
  <c r="J724" s="1"/>
  <c r="L724" s="1"/>
  <c r="N724" s="1"/>
  <c r="P724" s="1"/>
  <c r="R724" s="1"/>
  <c r="T724" s="1"/>
  <c r="H775"/>
  <c r="J775" s="1"/>
  <c r="L775" s="1"/>
  <c r="N775" s="1"/>
  <c r="P775" s="1"/>
  <c r="R775" s="1"/>
  <c r="T775" s="1"/>
  <c r="H811"/>
  <c r="J811" s="1"/>
  <c r="L811" s="1"/>
  <c r="N811" s="1"/>
  <c r="P811" s="1"/>
  <c r="R811" s="1"/>
  <c r="T811" s="1"/>
  <c r="H824"/>
  <c r="J824" s="1"/>
  <c r="L824" s="1"/>
  <c r="N824" s="1"/>
  <c r="P824" s="1"/>
  <c r="R824" s="1"/>
  <c r="T824" s="1"/>
  <c r="H890"/>
  <c r="J890" s="1"/>
  <c r="L890" s="1"/>
  <c r="N890" s="1"/>
  <c r="P890" s="1"/>
  <c r="R890" s="1"/>
  <c r="T890" s="1"/>
  <c r="H899"/>
  <c r="J899" s="1"/>
  <c r="L899" s="1"/>
  <c r="N899" s="1"/>
  <c r="P899" s="1"/>
  <c r="R899" s="1"/>
  <c r="T899" s="1"/>
  <c r="H904"/>
  <c r="J904" s="1"/>
  <c r="L904" s="1"/>
  <c r="N904" s="1"/>
  <c r="P904" s="1"/>
  <c r="R904" s="1"/>
  <c r="T904" s="1"/>
  <c r="H940"/>
  <c r="J940" s="1"/>
  <c r="L940" s="1"/>
  <c r="N940" s="1"/>
  <c r="P940" s="1"/>
  <c r="R940" s="1"/>
  <c r="T940" s="1"/>
  <c r="H951"/>
  <c r="J951" s="1"/>
  <c r="L951" s="1"/>
  <c r="N951" s="1"/>
  <c r="P951" s="1"/>
  <c r="R951" s="1"/>
  <c r="T951" s="1"/>
  <c r="G1685"/>
  <c r="H903" i="5"/>
  <c r="G1816" i="6"/>
  <c r="H447" i="5"/>
  <c r="H278"/>
  <c r="H583" i="6"/>
  <c r="J583" s="1"/>
  <c r="L583" s="1"/>
  <c r="N583" s="1"/>
  <c r="P583" s="1"/>
  <c r="R583" s="1"/>
  <c r="T583" s="1"/>
  <c r="G582"/>
  <c r="G581" s="1"/>
  <c r="G580" s="1"/>
  <c r="H580" s="1"/>
  <c r="J580" s="1"/>
  <c r="L580" s="1"/>
  <c r="N580" s="1"/>
  <c r="P580" s="1"/>
  <c r="R580" s="1"/>
  <c r="T580" s="1"/>
  <c r="H584"/>
  <c r="J584" s="1"/>
  <c r="L584" s="1"/>
  <c r="N584" s="1"/>
  <c r="P584" s="1"/>
  <c r="R584" s="1"/>
  <c r="T584" s="1"/>
  <c r="H1503"/>
  <c r="J1503" s="1"/>
  <c r="L1503" s="1"/>
  <c r="N1503" s="1"/>
  <c r="P1503" s="1"/>
  <c r="R1503" s="1"/>
  <c r="T1503" s="1"/>
  <c r="H1376"/>
  <c r="J1376" s="1"/>
  <c r="L1376" s="1"/>
  <c r="N1376" s="1"/>
  <c r="P1376" s="1"/>
  <c r="R1376" s="1"/>
  <c r="T1376" s="1"/>
  <c r="G742"/>
  <c r="G741" s="1"/>
  <c r="G740" s="1"/>
  <c r="G739" s="1"/>
  <c r="G738" s="1"/>
  <c r="H616"/>
  <c r="J616" s="1"/>
  <c r="L616" s="1"/>
  <c r="N616" s="1"/>
  <c r="P616" s="1"/>
  <c r="R616" s="1"/>
  <c r="T616" s="1"/>
  <c r="G615"/>
  <c r="G614" s="1"/>
  <c r="G613" s="1"/>
  <c r="H617"/>
  <c r="J617" s="1"/>
  <c r="L617" s="1"/>
  <c r="N617" s="1"/>
  <c r="P617" s="1"/>
  <c r="R617" s="1"/>
  <c r="T617" s="1"/>
  <c r="H1353"/>
  <c r="J1353" s="1"/>
  <c r="L1353" s="1"/>
  <c r="N1353" s="1"/>
  <c r="P1353" s="1"/>
  <c r="R1353" s="1"/>
  <c r="T1353" s="1"/>
  <c r="H193" i="5"/>
  <c r="G1447" i="6"/>
  <c r="H146" i="5"/>
  <c r="H1435" i="6"/>
  <c r="J1435" s="1"/>
  <c r="L1435" s="1"/>
  <c r="N1435" s="1"/>
  <c r="P1435" s="1"/>
  <c r="R1435" s="1"/>
  <c r="T1435" s="1"/>
  <c r="G1433"/>
  <c r="G1432" s="1"/>
  <c r="G1430"/>
  <c r="G1429" s="1"/>
  <c r="H1429" s="1"/>
  <c r="J1429" s="1"/>
  <c r="L1429" s="1"/>
  <c r="N1429" s="1"/>
  <c r="P1429" s="1"/>
  <c r="R1429" s="1"/>
  <c r="T1429" s="1"/>
  <c r="H1396"/>
  <c r="J1396" s="1"/>
  <c r="L1396" s="1"/>
  <c r="N1396" s="1"/>
  <c r="P1396" s="1"/>
  <c r="R1396" s="1"/>
  <c r="T1396" s="1"/>
  <c r="H105" i="5"/>
  <c r="G633" i="6"/>
  <c r="G632" s="1"/>
  <c r="G631" s="1"/>
  <c r="H96" i="5"/>
  <c r="H84"/>
  <c r="G649" i="6"/>
  <c r="H650"/>
  <c r="J650" s="1"/>
  <c r="L650" s="1"/>
  <c r="N650" s="1"/>
  <c r="P650" s="1"/>
  <c r="R650" s="1"/>
  <c r="T650" s="1"/>
  <c r="H1395"/>
  <c r="J1395" s="1"/>
  <c r="L1395" s="1"/>
  <c r="N1395" s="1"/>
  <c r="P1395" s="1"/>
  <c r="R1395" s="1"/>
  <c r="T1395" s="1"/>
  <c r="G1394"/>
  <c r="H90" i="5"/>
  <c r="H142"/>
  <c r="H178"/>
  <c r="H202"/>
  <c r="H236"/>
  <c r="H257"/>
  <c r="H269"/>
  <c r="H311"/>
  <c r="I312"/>
  <c r="K312" s="1"/>
  <c r="M312" s="1"/>
  <c r="O312" s="1"/>
  <c r="Q312" s="1"/>
  <c r="S312" s="1"/>
  <c r="U312" s="1"/>
  <c r="G537" i="6"/>
  <c r="H538"/>
  <c r="J538" s="1"/>
  <c r="L538" s="1"/>
  <c r="N538" s="1"/>
  <c r="P538" s="1"/>
  <c r="R538" s="1"/>
  <c r="T538" s="1"/>
  <c r="G751"/>
  <c r="G748" s="1"/>
  <c r="G1339"/>
  <c r="H1339" s="1"/>
  <c r="J1339" s="1"/>
  <c r="L1339" s="1"/>
  <c r="N1339" s="1"/>
  <c r="P1339" s="1"/>
  <c r="R1339" s="1"/>
  <c r="T1339" s="1"/>
  <c r="H1340"/>
  <c r="J1340" s="1"/>
  <c r="L1340" s="1"/>
  <c r="N1340" s="1"/>
  <c r="P1340" s="1"/>
  <c r="R1340" s="1"/>
  <c r="T1340" s="1"/>
  <c r="G1373"/>
  <c r="H1373" s="1"/>
  <c r="J1373" s="1"/>
  <c r="L1373" s="1"/>
  <c r="N1373" s="1"/>
  <c r="P1373" s="1"/>
  <c r="R1373" s="1"/>
  <c r="T1373" s="1"/>
  <c r="H1374"/>
  <c r="J1374" s="1"/>
  <c r="L1374" s="1"/>
  <c r="N1374" s="1"/>
  <c r="P1374" s="1"/>
  <c r="R1374" s="1"/>
  <c r="T1374" s="1"/>
  <c r="G1635"/>
  <c r="H1636"/>
  <c r="J1636" s="1"/>
  <c r="L1636" s="1"/>
  <c r="N1636" s="1"/>
  <c r="P1636" s="1"/>
  <c r="R1636" s="1"/>
  <c r="T1636" s="1"/>
  <c r="H150" i="5"/>
  <c r="H188"/>
  <c r="H288"/>
  <c r="G706" i="6"/>
  <c r="H1337"/>
  <c r="J1337" s="1"/>
  <c r="L1337" s="1"/>
  <c r="N1337" s="1"/>
  <c r="P1337" s="1"/>
  <c r="R1337" s="1"/>
  <c r="T1337" s="1"/>
  <c r="G1452"/>
  <c r="H1453"/>
  <c r="J1453" s="1"/>
  <c r="L1453" s="1"/>
  <c r="N1453" s="1"/>
  <c r="P1453" s="1"/>
  <c r="R1453" s="1"/>
  <c r="T1453" s="1"/>
  <c r="G1484"/>
  <c r="H1485"/>
  <c r="J1485" s="1"/>
  <c r="L1485" s="1"/>
  <c r="N1485" s="1"/>
  <c r="P1485" s="1"/>
  <c r="R1485" s="1"/>
  <c r="T1485" s="1"/>
  <c r="H160" i="5"/>
  <c r="H299"/>
  <c r="G734" i="6"/>
  <c r="H735"/>
  <c r="J735" s="1"/>
  <c r="L735" s="1"/>
  <c r="N735" s="1"/>
  <c r="P735" s="1"/>
  <c r="R735" s="1"/>
  <c r="T735" s="1"/>
  <c r="H576"/>
  <c r="J576" s="1"/>
  <c r="L576" s="1"/>
  <c r="N576" s="1"/>
  <c r="P576" s="1"/>
  <c r="R576" s="1"/>
  <c r="T576" s="1"/>
  <c r="H676"/>
  <c r="J676" s="1"/>
  <c r="L676" s="1"/>
  <c r="N676" s="1"/>
  <c r="P676" s="1"/>
  <c r="R676" s="1"/>
  <c r="T676" s="1"/>
  <c r="H1338"/>
  <c r="J1338" s="1"/>
  <c r="L1338" s="1"/>
  <c r="N1338" s="1"/>
  <c r="P1338" s="1"/>
  <c r="R1338" s="1"/>
  <c r="T1338" s="1"/>
  <c r="I123" i="5"/>
  <c r="K123" s="1"/>
  <c r="M123" s="1"/>
  <c r="O123" s="1"/>
  <c r="Q123" s="1"/>
  <c r="S123" s="1"/>
  <c r="U123" s="1"/>
  <c r="I293"/>
  <c r="K293" s="1"/>
  <c r="M293" s="1"/>
  <c r="O293" s="1"/>
  <c r="Q293" s="1"/>
  <c r="S293" s="1"/>
  <c r="U293" s="1"/>
  <c r="I313"/>
  <c r="K313" s="1"/>
  <c r="M313" s="1"/>
  <c r="O313" s="1"/>
  <c r="Q313" s="1"/>
  <c r="S313" s="1"/>
  <c r="U313" s="1"/>
  <c r="G525" i="6"/>
  <c r="G574"/>
  <c r="G604"/>
  <c r="G609"/>
  <c r="G629"/>
  <c r="G1269"/>
  <c r="G1382"/>
  <c r="G1388"/>
  <c r="G1410"/>
  <c r="G1479"/>
  <c r="G1489"/>
  <c r="H1489" s="1"/>
  <c r="J1489" s="1"/>
  <c r="L1489" s="1"/>
  <c r="N1489" s="1"/>
  <c r="P1489" s="1"/>
  <c r="R1489" s="1"/>
  <c r="T1489" s="1"/>
  <c r="G1495"/>
  <c r="H539"/>
  <c r="J539" s="1"/>
  <c r="L539" s="1"/>
  <c r="N539" s="1"/>
  <c r="P539" s="1"/>
  <c r="R539" s="1"/>
  <c r="T539" s="1"/>
  <c r="H620"/>
  <c r="J620" s="1"/>
  <c r="L620" s="1"/>
  <c r="N620" s="1"/>
  <c r="P620" s="1"/>
  <c r="R620" s="1"/>
  <c r="T620" s="1"/>
  <c r="H651"/>
  <c r="J651" s="1"/>
  <c r="L651" s="1"/>
  <c r="N651" s="1"/>
  <c r="P651" s="1"/>
  <c r="R651" s="1"/>
  <c r="T651" s="1"/>
  <c r="H675"/>
  <c r="J675" s="1"/>
  <c r="L675" s="1"/>
  <c r="N675" s="1"/>
  <c r="P675" s="1"/>
  <c r="R675" s="1"/>
  <c r="T675" s="1"/>
  <c r="H736"/>
  <c r="J736" s="1"/>
  <c r="L736" s="1"/>
  <c r="N736" s="1"/>
  <c r="P736" s="1"/>
  <c r="R736" s="1"/>
  <c r="T736" s="1"/>
  <c r="H1341"/>
  <c r="J1341" s="1"/>
  <c r="L1341" s="1"/>
  <c r="N1341" s="1"/>
  <c r="P1341" s="1"/>
  <c r="R1341" s="1"/>
  <c r="T1341" s="1"/>
  <c r="H1352"/>
  <c r="J1352" s="1"/>
  <c r="L1352" s="1"/>
  <c r="N1352" s="1"/>
  <c r="P1352" s="1"/>
  <c r="R1352" s="1"/>
  <c r="T1352" s="1"/>
  <c r="H1375"/>
  <c r="J1375" s="1"/>
  <c r="L1375" s="1"/>
  <c r="N1375" s="1"/>
  <c r="P1375" s="1"/>
  <c r="R1375" s="1"/>
  <c r="T1375" s="1"/>
  <c r="H1454"/>
  <c r="J1454" s="1"/>
  <c r="L1454" s="1"/>
  <c r="N1454" s="1"/>
  <c r="P1454" s="1"/>
  <c r="R1454" s="1"/>
  <c r="T1454" s="1"/>
  <c r="H1486"/>
  <c r="J1486" s="1"/>
  <c r="L1486" s="1"/>
  <c r="N1486" s="1"/>
  <c r="P1486" s="1"/>
  <c r="R1486" s="1"/>
  <c r="T1486" s="1"/>
  <c r="H1502"/>
  <c r="J1502" s="1"/>
  <c r="L1502" s="1"/>
  <c r="N1502" s="1"/>
  <c r="P1502" s="1"/>
  <c r="R1502" s="1"/>
  <c r="T1502" s="1"/>
  <c r="H1637"/>
  <c r="J1637" s="1"/>
  <c r="L1637" s="1"/>
  <c r="N1637" s="1"/>
  <c r="P1637" s="1"/>
  <c r="R1637" s="1"/>
  <c r="T1637" s="1"/>
  <c r="H117" i="5"/>
  <c r="H128"/>
  <c r="H133"/>
  <c r="H168"/>
  <c r="H212"/>
  <c r="I212" s="1"/>
  <c r="K212" s="1"/>
  <c r="M212" s="1"/>
  <c r="O212" s="1"/>
  <c r="Q212" s="1"/>
  <c r="S212" s="1"/>
  <c r="U212" s="1"/>
  <c r="H227"/>
  <c r="I227" s="1"/>
  <c r="K227" s="1"/>
  <c r="M227" s="1"/>
  <c r="O227" s="1"/>
  <c r="Q227" s="1"/>
  <c r="S227" s="1"/>
  <c r="U227" s="1"/>
  <c r="H247"/>
  <c r="H252"/>
  <c r="H263"/>
  <c r="H307"/>
  <c r="G1416" i="6"/>
  <c r="H533"/>
  <c r="J533" s="1"/>
  <c r="L533" s="1"/>
  <c r="N533" s="1"/>
  <c r="P533" s="1"/>
  <c r="R533" s="1"/>
  <c r="T533" s="1"/>
  <c r="H542"/>
  <c r="J542" s="1"/>
  <c r="L542" s="1"/>
  <c r="N542" s="1"/>
  <c r="P542" s="1"/>
  <c r="R542" s="1"/>
  <c r="T542" s="1"/>
  <c r="H578"/>
  <c r="J578" s="1"/>
  <c r="L578" s="1"/>
  <c r="N578" s="1"/>
  <c r="P578" s="1"/>
  <c r="R578" s="1"/>
  <c r="T578" s="1"/>
  <c r="H599"/>
  <c r="J599" s="1"/>
  <c r="L599" s="1"/>
  <c r="N599" s="1"/>
  <c r="P599" s="1"/>
  <c r="R599" s="1"/>
  <c r="T599" s="1"/>
  <c r="H619"/>
  <c r="J619" s="1"/>
  <c r="L619" s="1"/>
  <c r="N619" s="1"/>
  <c r="P619" s="1"/>
  <c r="R619" s="1"/>
  <c r="T619" s="1"/>
  <c r="H623"/>
  <c r="J623" s="1"/>
  <c r="L623" s="1"/>
  <c r="N623" s="1"/>
  <c r="P623" s="1"/>
  <c r="R623" s="1"/>
  <c r="T623" s="1"/>
  <c r="H635"/>
  <c r="J635" s="1"/>
  <c r="L635" s="1"/>
  <c r="N635" s="1"/>
  <c r="P635" s="1"/>
  <c r="R635" s="1"/>
  <c r="T635" s="1"/>
  <c r="H678"/>
  <c r="J678" s="1"/>
  <c r="L678" s="1"/>
  <c r="N678" s="1"/>
  <c r="P678" s="1"/>
  <c r="R678" s="1"/>
  <c r="T678" s="1"/>
  <c r="H743"/>
  <c r="J743" s="1"/>
  <c r="L743" s="1"/>
  <c r="N743" s="1"/>
  <c r="P743" s="1"/>
  <c r="R743" s="1"/>
  <c r="T743" s="1"/>
  <c r="H1355"/>
  <c r="J1355" s="1"/>
  <c r="L1355" s="1"/>
  <c r="N1355" s="1"/>
  <c r="P1355" s="1"/>
  <c r="R1355" s="1"/>
  <c r="T1355" s="1"/>
  <c r="H1359"/>
  <c r="J1359" s="1"/>
  <c r="L1359" s="1"/>
  <c r="N1359" s="1"/>
  <c r="P1359" s="1"/>
  <c r="R1359" s="1"/>
  <c r="T1359" s="1"/>
  <c r="H1363"/>
  <c r="J1363" s="1"/>
  <c r="L1363" s="1"/>
  <c r="N1363" s="1"/>
  <c r="P1363" s="1"/>
  <c r="R1363" s="1"/>
  <c r="T1363" s="1"/>
  <c r="H1370"/>
  <c r="J1370" s="1"/>
  <c r="L1370" s="1"/>
  <c r="N1370" s="1"/>
  <c r="P1370" s="1"/>
  <c r="R1370" s="1"/>
  <c r="T1370" s="1"/>
  <c r="H1378"/>
  <c r="J1378" s="1"/>
  <c r="L1378" s="1"/>
  <c r="N1378" s="1"/>
  <c r="P1378" s="1"/>
  <c r="R1378" s="1"/>
  <c r="T1378" s="1"/>
  <c r="H1386"/>
  <c r="J1386" s="1"/>
  <c r="L1386" s="1"/>
  <c r="N1386" s="1"/>
  <c r="P1386" s="1"/>
  <c r="R1386" s="1"/>
  <c r="T1386" s="1"/>
  <c r="H1390"/>
  <c r="J1390" s="1"/>
  <c r="L1390" s="1"/>
  <c r="N1390" s="1"/>
  <c r="P1390" s="1"/>
  <c r="R1390" s="1"/>
  <c r="T1390" s="1"/>
  <c r="H1437"/>
  <c r="J1437" s="1"/>
  <c r="L1437" s="1"/>
  <c r="N1437" s="1"/>
  <c r="P1437" s="1"/>
  <c r="R1437" s="1"/>
  <c r="T1437" s="1"/>
  <c r="H1493"/>
  <c r="J1493" s="1"/>
  <c r="L1493" s="1"/>
  <c r="N1493" s="1"/>
  <c r="P1493" s="1"/>
  <c r="R1493" s="1"/>
  <c r="T1493" s="1"/>
  <c r="H1505"/>
  <c r="J1505" s="1"/>
  <c r="L1505" s="1"/>
  <c r="N1505" s="1"/>
  <c r="P1505" s="1"/>
  <c r="R1505" s="1"/>
  <c r="T1505" s="1"/>
  <c r="H597"/>
  <c r="J597" s="1"/>
  <c r="L597" s="1"/>
  <c r="N597" s="1"/>
  <c r="P597" s="1"/>
  <c r="R597" s="1"/>
  <c r="T597" s="1"/>
  <c r="H621"/>
  <c r="J621" s="1"/>
  <c r="L621" s="1"/>
  <c r="N621" s="1"/>
  <c r="P621" s="1"/>
  <c r="R621" s="1"/>
  <c r="T621" s="1"/>
  <c r="G1349"/>
  <c r="H532"/>
  <c r="J532" s="1"/>
  <c r="L532" s="1"/>
  <c r="N532" s="1"/>
  <c r="P532" s="1"/>
  <c r="R532" s="1"/>
  <c r="T532" s="1"/>
  <c r="H541"/>
  <c r="J541" s="1"/>
  <c r="L541" s="1"/>
  <c r="N541" s="1"/>
  <c r="P541" s="1"/>
  <c r="R541" s="1"/>
  <c r="T541" s="1"/>
  <c r="H577"/>
  <c r="J577" s="1"/>
  <c r="L577" s="1"/>
  <c r="N577" s="1"/>
  <c r="P577" s="1"/>
  <c r="R577" s="1"/>
  <c r="T577" s="1"/>
  <c r="H598"/>
  <c r="J598" s="1"/>
  <c r="L598" s="1"/>
  <c r="N598" s="1"/>
  <c r="P598" s="1"/>
  <c r="R598" s="1"/>
  <c r="T598" s="1"/>
  <c r="H622"/>
  <c r="J622" s="1"/>
  <c r="L622" s="1"/>
  <c r="N622" s="1"/>
  <c r="P622" s="1"/>
  <c r="R622" s="1"/>
  <c r="T622" s="1"/>
  <c r="H634"/>
  <c r="J634" s="1"/>
  <c r="L634" s="1"/>
  <c r="N634" s="1"/>
  <c r="P634" s="1"/>
  <c r="R634" s="1"/>
  <c r="T634" s="1"/>
  <c r="H677"/>
  <c r="J677" s="1"/>
  <c r="L677" s="1"/>
  <c r="N677" s="1"/>
  <c r="P677" s="1"/>
  <c r="R677" s="1"/>
  <c r="T677" s="1"/>
  <c r="H1354"/>
  <c r="J1354" s="1"/>
  <c r="L1354" s="1"/>
  <c r="N1354" s="1"/>
  <c r="P1354" s="1"/>
  <c r="R1354" s="1"/>
  <c r="T1354" s="1"/>
  <c r="H1362"/>
  <c r="J1362" s="1"/>
  <c r="L1362" s="1"/>
  <c r="N1362" s="1"/>
  <c r="P1362" s="1"/>
  <c r="R1362" s="1"/>
  <c r="T1362" s="1"/>
  <c r="H1377"/>
  <c r="J1377" s="1"/>
  <c r="L1377" s="1"/>
  <c r="N1377" s="1"/>
  <c r="P1377" s="1"/>
  <c r="R1377" s="1"/>
  <c r="T1377" s="1"/>
  <c r="H1385"/>
  <c r="J1385" s="1"/>
  <c r="L1385" s="1"/>
  <c r="N1385" s="1"/>
  <c r="P1385" s="1"/>
  <c r="R1385" s="1"/>
  <c r="T1385" s="1"/>
  <c r="H1436"/>
  <c r="J1436" s="1"/>
  <c r="L1436" s="1"/>
  <c r="N1436" s="1"/>
  <c r="P1436" s="1"/>
  <c r="R1436" s="1"/>
  <c r="T1436" s="1"/>
  <c r="H1492"/>
  <c r="J1492" s="1"/>
  <c r="L1492" s="1"/>
  <c r="N1492" s="1"/>
  <c r="P1492" s="1"/>
  <c r="R1492" s="1"/>
  <c r="T1492" s="1"/>
  <c r="H1504"/>
  <c r="J1504" s="1"/>
  <c r="L1504" s="1"/>
  <c r="N1504" s="1"/>
  <c r="P1504" s="1"/>
  <c r="R1504" s="1"/>
  <c r="T1504" s="1"/>
  <c r="H74" i="5"/>
  <c r="G1752" i="6"/>
  <c r="H1752" s="1"/>
  <c r="J1752" s="1"/>
  <c r="L1752" s="1"/>
  <c r="N1752" s="1"/>
  <c r="P1752" s="1"/>
  <c r="R1752" s="1"/>
  <c r="T1752" s="1"/>
  <c r="H43" i="5"/>
  <c r="H34"/>
  <c r="H33" s="1"/>
  <c r="H26"/>
  <c r="I27"/>
  <c r="K27" s="1"/>
  <c r="M27" s="1"/>
  <c r="O27" s="1"/>
  <c r="Q27" s="1"/>
  <c r="S27" s="1"/>
  <c r="U27" s="1"/>
  <c r="I28"/>
  <c r="K28" s="1"/>
  <c r="M28" s="1"/>
  <c r="O28" s="1"/>
  <c r="Q28" s="1"/>
  <c r="S28" s="1"/>
  <c r="U28" s="1"/>
  <c r="G57" i="6"/>
  <c r="G56" s="1"/>
  <c r="G55" s="1"/>
  <c r="G54" s="1"/>
  <c r="G153"/>
  <c r="G152" s="1"/>
  <c r="G151" s="1"/>
  <c r="G213"/>
  <c r="G212" s="1"/>
  <c r="G240"/>
  <c r="G262"/>
  <c r="G164"/>
  <c r="G355"/>
  <c r="G348" s="1"/>
  <c r="G131"/>
  <c r="G1550"/>
  <c r="G679"/>
  <c r="G673" s="1"/>
  <c r="G1110"/>
  <c r="G1109" s="1"/>
  <c r="G1531"/>
  <c r="G1571"/>
  <c r="G1570" s="1"/>
  <c r="G693"/>
  <c r="G1065"/>
  <c r="G1560"/>
  <c r="G1559" s="1"/>
  <c r="F1388"/>
  <c r="F1387" s="1"/>
  <c r="F902"/>
  <c r="F80"/>
  <c r="F94"/>
  <c r="F57"/>
  <c r="F499"/>
  <c r="H1743" i="5"/>
  <c r="H1742" s="1"/>
  <c r="H1741" s="1"/>
  <c r="H1740" s="1"/>
  <c r="H1734" s="1"/>
  <c r="H1728"/>
  <c r="H1727" s="1"/>
  <c r="H1726" s="1"/>
  <c r="H1725" s="1"/>
  <c r="E41" i="1" s="1"/>
  <c r="H1604" i="5"/>
  <c r="H1592"/>
  <c r="H1575"/>
  <c r="H1494"/>
  <c r="H1493" s="1"/>
  <c r="H1492" s="1"/>
  <c r="H1455"/>
  <c r="H1454" s="1"/>
  <c r="H1430"/>
  <c r="H1429" s="1"/>
  <c r="H1416"/>
  <c r="H1290"/>
  <c r="H1289" s="1"/>
  <c r="H1288" s="1"/>
  <c r="H1287" s="1"/>
  <c r="H1281" s="1"/>
  <c r="E62" i="1" s="1"/>
  <c r="H1255" i="5"/>
  <c r="H1251" s="1"/>
  <c r="H1205"/>
  <c r="H1187"/>
  <c r="H1186" s="1"/>
  <c r="H1185" s="1"/>
  <c r="H1184" s="1"/>
  <c r="H1114"/>
  <c r="H1094"/>
  <c r="H1085"/>
  <c r="H1040"/>
  <c r="H1039" s="1"/>
  <c r="H1038" s="1"/>
  <c r="H1025"/>
  <c r="H871"/>
  <c r="H870" s="1"/>
  <c r="H869" s="1"/>
  <c r="H868" s="1"/>
  <c r="H867" s="1"/>
  <c r="H845"/>
  <c r="H844" s="1"/>
  <c r="E57" i="1" s="1"/>
  <c r="H1072" i="5"/>
  <c r="H1345"/>
  <c r="H1337" s="1"/>
  <c r="H1479"/>
  <c r="H1642"/>
  <c r="H1637" s="1"/>
  <c r="H1636" s="1"/>
  <c r="H987"/>
  <c r="H1004"/>
  <c r="H1306"/>
  <c r="H1305" s="1"/>
  <c r="H1304" s="1"/>
  <c r="H1651"/>
  <c r="H1650" s="1"/>
  <c r="H1649" s="1"/>
  <c r="H826"/>
  <c r="H825" s="1"/>
  <c r="H818"/>
  <c r="H806" s="1"/>
  <c r="H805" s="1"/>
  <c r="H777"/>
  <c r="H773" s="1"/>
  <c r="H763"/>
  <c r="H684"/>
  <c r="H683" s="1"/>
  <c r="H670"/>
  <c r="H661"/>
  <c r="H610"/>
  <c r="H592"/>
  <c r="H591" s="1"/>
  <c r="H564"/>
  <c r="H563" s="1"/>
  <c r="H562" s="1"/>
  <c r="H561" s="1"/>
  <c r="H552"/>
  <c r="H519"/>
  <c r="H518"/>
  <c r="H517" s="1"/>
  <c r="H516" s="1"/>
  <c r="H515" s="1"/>
  <c r="E39" i="1" s="1"/>
  <c r="H488" i="5"/>
  <c r="H487" s="1"/>
  <c r="H480" s="1"/>
  <c r="E36" i="1" s="1"/>
  <c r="H463" i="5"/>
  <c r="H380"/>
  <c r="H379" s="1"/>
  <c r="H372" s="1"/>
  <c r="H343"/>
  <c r="H342" s="1"/>
  <c r="H314"/>
  <c r="F579" i="6"/>
  <c r="F205"/>
  <c r="F1488"/>
  <c r="F1487" s="1"/>
  <c r="F595"/>
  <c r="F537"/>
  <c r="F536" s="1"/>
  <c r="F535" s="1"/>
  <c r="F632"/>
  <c r="F507"/>
  <c r="G305" i="5"/>
  <c r="G519" l="1"/>
  <c r="S338"/>
  <c r="U338" s="1"/>
  <c r="G1333"/>
  <c r="G1332" s="1"/>
  <c r="I189"/>
  <c r="K189" s="1"/>
  <c r="M189" s="1"/>
  <c r="O189" s="1"/>
  <c r="Q189" s="1"/>
  <c r="S189" s="1"/>
  <c r="U189" s="1"/>
  <c r="I183"/>
  <c r="K183" s="1"/>
  <c r="M183" s="1"/>
  <c r="O183" s="1"/>
  <c r="Q183" s="1"/>
  <c r="S183" s="1"/>
  <c r="U183" s="1"/>
  <c r="N32" i="6"/>
  <c r="P32" s="1"/>
  <c r="R32" s="1"/>
  <c r="T32" s="1"/>
  <c r="L26"/>
  <c r="N26" s="1"/>
  <c r="P26" s="1"/>
  <c r="R26" s="1"/>
  <c r="T26" s="1"/>
  <c r="G840" i="5"/>
  <c r="G839" s="1"/>
  <c r="I143"/>
  <c r="K143" s="1"/>
  <c r="M143" s="1"/>
  <c r="O143" s="1"/>
  <c r="Q143" s="1"/>
  <c r="S143" s="1"/>
  <c r="U143" s="1"/>
  <c r="H590"/>
  <c r="H589" s="1"/>
  <c r="H588" s="1"/>
  <c r="I43"/>
  <c r="K43" s="1"/>
  <c r="M43" s="1"/>
  <c r="O43" s="1"/>
  <c r="Q43" s="1"/>
  <c r="S43" s="1"/>
  <c r="U43" s="1"/>
  <c r="I884"/>
  <c r="K884" s="1"/>
  <c r="M884" s="1"/>
  <c r="O884" s="1"/>
  <c r="Q884" s="1"/>
  <c r="S884" s="1"/>
  <c r="U884" s="1"/>
  <c r="H1224"/>
  <c r="H1216" s="1"/>
  <c r="G288"/>
  <c r="I288" s="1"/>
  <c r="K288" s="1"/>
  <c r="M288" s="1"/>
  <c r="O288" s="1"/>
  <c r="Q288" s="1"/>
  <c r="S288" s="1"/>
  <c r="U288" s="1"/>
  <c r="H1240"/>
  <c r="H1239" s="1"/>
  <c r="H1238" s="1"/>
  <c r="I155"/>
  <c r="K155" s="1"/>
  <c r="M155" s="1"/>
  <c r="O155" s="1"/>
  <c r="Q155" s="1"/>
  <c r="S155" s="1"/>
  <c r="U155" s="1"/>
  <c r="I886"/>
  <c r="K886" s="1"/>
  <c r="M886" s="1"/>
  <c r="O886" s="1"/>
  <c r="Q886" s="1"/>
  <c r="S886" s="1"/>
  <c r="U886" s="1"/>
  <c r="H1038" i="6"/>
  <c r="J1038" s="1"/>
  <c r="L1038" s="1"/>
  <c r="N1038" s="1"/>
  <c r="P1038" s="1"/>
  <c r="R1038" s="1"/>
  <c r="T1038" s="1"/>
  <c r="H228"/>
  <c r="J228" s="1"/>
  <c r="L228" s="1"/>
  <c r="N228" s="1"/>
  <c r="P228" s="1"/>
  <c r="R228" s="1"/>
  <c r="T228" s="1"/>
  <c r="I203" i="5"/>
  <c r="K203" s="1"/>
  <c r="M203" s="1"/>
  <c r="O203" s="1"/>
  <c r="Q203" s="1"/>
  <c r="S203" s="1"/>
  <c r="U203" s="1"/>
  <c r="H1368" i="6"/>
  <c r="J1368" s="1"/>
  <c r="L1368" s="1"/>
  <c r="N1368" s="1"/>
  <c r="P1368" s="1"/>
  <c r="R1368" s="1"/>
  <c r="T1368" s="1"/>
  <c r="H205"/>
  <c r="J205" s="1"/>
  <c r="L205" s="1"/>
  <c r="N205" s="1"/>
  <c r="P205" s="1"/>
  <c r="R205" s="1"/>
  <c r="T205" s="1"/>
  <c r="F932"/>
  <c r="F931" s="1"/>
  <c r="F927" s="1"/>
  <c r="H927" s="1"/>
  <c r="J927" s="1"/>
  <c r="L927" s="1"/>
  <c r="N927" s="1"/>
  <c r="P927" s="1"/>
  <c r="R927" s="1"/>
  <c r="T927" s="1"/>
  <c r="F1412"/>
  <c r="F1405" s="1"/>
  <c r="H926"/>
  <c r="J926" s="1"/>
  <c r="L926" s="1"/>
  <c r="N926" s="1"/>
  <c r="P926" s="1"/>
  <c r="R926" s="1"/>
  <c r="T926" s="1"/>
  <c r="K103" i="5"/>
  <c r="M103" s="1"/>
  <c r="O103" s="1"/>
  <c r="Q103" s="1"/>
  <c r="S103" s="1"/>
  <c r="U103" s="1"/>
  <c r="I100"/>
  <c r="K100" s="1"/>
  <c r="M100" s="1"/>
  <c r="O100" s="1"/>
  <c r="Q100" s="1"/>
  <c r="S100" s="1"/>
  <c r="U100" s="1"/>
  <c r="I883"/>
  <c r="K883" s="1"/>
  <c r="M883" s="1"/>
  <c r="O883" s="1"/>
  <c r="Q883" s="1"/>
  <c r="S883" s="1"/>
  <c r="U883" s="1"/>
  <c r="G518"/>
  <c r="G517" s="1"/>
  <c r="I202"/>
  <c r="K202" s="1"/>
  <c r="M202" s="1"/>
  <c r="O202" s="1"/>
  <c r="Q202" s="1"/>
  <c r="S202" s="1"/>
  <c r="U202" s="1"/>
  <c r="I887"/>
  <c r="K887" s="1"/>
  <c r="M887" s="1"/>
  <c r="O887" s="1"/>
  <c r="Q887" s="1"/>
  <c r="S887" s="1"/>
  <c r="U887" s="1"/>
  <c r="I885"/>
  <c r="K885" s="1"/>
  <c r="M885" s="1"/>
  <c r="O885" s="1"/>
  <c r="Q885" s="1"/>
  <c r="S885" s="1"/>
  <c r="U885" s="1"/>
  <c r="G685"/>
  <c r="G684" s="1"/>
  <c r="G256"/>
  <c r="I161"/>
  <c r="K161" s="1"/>
  <c r="M161" s="1"/>
  <c r="O161" s="1"/>
  <c r="Q161" s="1"/>
  <c r="S161" s="1"/>
  <c r="U161" s="1"/>
  <c r="I888"/>
  <c r="K888" s="1"/>
  <c r="M888" s="1"/>
  <c r="O888" s="1"/>
  <c r="Q888" s="1"/>
  <c r="S888" s="1"/>
  <c r="U888" s="1"/>
  <c r="J972"/>
  <c r="J914" s="1"/>
  <c r="I179"/>
  <c r="K179" s="1"/>
  <c r="M179" s="1"/>
  <c r="O179" s="1"/>
  <c r="Q179" s="1"/>
  <c r="S179" s="1"/>
  <c r="U179" s="1"/>
  <c r="E25" i="1"/>
  <c r="F25" s="1"/>
  <c r="H25" s="1"/>
  <c r="J25" s="1"/>
  <c r="L25" s="1"/>
  <c r="N25" s="1"/>
  <c r="P25" s="1"/>
  <c r="R25" s="1"/>
  <c r="J21" i="5"/>
  <c r="G48" i="1"/>
  <c r="F194" i="6"/>
  <c r="H194" s="1"/>
  <c r="J194" s="1"/>
  <c r="L194" s="1"/>
  <c r="N194" s="1"/>
  <c r="P194" s="1"/>
  <c r="R194" s="1"/>
  <c r="T194" s="1"/>
  <c r="G1292"/>
  <c r="F1333"/>
  <c r="H63"/>
  <c r="J63" s="1"/>
  <c r="L63" s="1"/>
  <c r="N63" s="1"/>
  <c r="P63" s="1"/>
  <c r="R63" s="1"/>
  <c r="T63" s="1"/>
  <c r="H1817"/>
  <c r="J1817" s="1"/>
  <c r="L1817" s="1"/>
  <c r="N1817" s="1"/>
  <c r="P1817" s="1"/>
  <c r="R1817" s="1"/>
  <c r="T1817" s="1"/>
  <c r="I106" i="5"/>
  <c r="K106" s="1"/>
  <c r="M106" s="1"/>
  <c r="O106" s="1"/>
  <c r="Q106" s="1"/>
  <c r="S106" s="1"/>
  <c r="U106" s="1"/>
  <c r="I274"/>
  <c r="K274" s="1"/>
  <c r="M274" s="1"/>
  <c r="O274" s="1"/>
  <c r="Q274" s="1"/>
  <c r="S274" s="1"/>
  <c r="U274" s="1"/>
  <c r="I300"/>
  <c r="K300" s="1"/>
  <c r="M300" s="1"/>
  <c r="O300" s="1"/>
  <c r="Q300" s="1"/>
  <c r="S300" s="1"/>
  <c r="U300" s="1"/>
  <c r="I237"/>
  <c r="K237" s="1"/>
  <c r="M237" s="1"/>
  <c r="O237" s="1"/>
  <c r="Q237" s="1"/>
  <c r="S237" s="1"/>
  <c r="U237" s="1"/>
  <c r="I259"/>
  <c r="K259" s="1"/>
  <c r="M259" s="1"/>
  <c r="O259" s="1"/>
  <c r="Q259" s="1"/>
  <c r="S259" s="1"/>
  <c r="U259" s="1"/>
  <c r="F215" i="6"/>
  <c r="F214" s="1"/>
  <c r="G1400" i="5"/>
  <c r="I1400" s="1"/>
  <c r="K1400" s="1"/>
  <c r="M1400" s="1"/>
  <c r="O1400" s="1"/>
  <c r="Q1400" s="1"/>
  <c r="S1400" s="1"/>
  <c r="U1400" s="1"/>
  <c r="I258"/>
  <c r="K258" s="1"/>
  <c r="M258" s="1"/>
  <c r="O258" s="1"/>
  <c r="Q258" s="1"/>
  <c r="S258" s="1"/>
  <c r="U258" s="1"/>
  <c r="I87"/>
  <c r="K87" s="1"/>
  <c r="M87" s="1"/>
  <c r="O87" s="1"/>
  <c r="Q87" s="1"/>
  <c r="S87" s="1"/>
  <c r="U87" s="1"/>
  <c r="I105"/>
  <c r="K105" s="1"/>
  <c r="M105" s="1"/>
  <c r="O105" s="1"/>
  <c r="Q105" s="1"/>
  <c r="S105" s="1"/>
  <c r="U105" s="1"/>
  <c r="I270"/>
  <c r="K270" s="1"/>
  <c r="M270" s="1"/>
  <c r="O270" s="1"/>
  <c r="Q270" s="1"/>
  <c r="S270" s="1"/>
  <c r="U270" s="1"/>
  <c r="I196"/>
  <c r="K196" s="1"/>
  <c r="M196" s="1"/>
  <c r="O196" s="1"/>
  <c r="Q196" s="1"/>
  <c r="S196" s="1"/>
  <c r="U196" s="1"/>
  <c r="I1557"/>
  <c r="K1557" s="1"/>
  <c r="M1557" s="1"/>
  <c r="O1557" s="1"/>
  <c r="Q1557" s="1"/>
  <c r="S1557" s="1"/>
  <c r="U1557" s="1"/>
  <c r="H632"/>
  <c r="H631" s="1"/>
  <c r="H630" s="1"/>
  <c r="I248"/>
  <c r="K248" s="1"/>
  <c r="M248" s="1"/>
  <c r="O248" s="1"/>
  <c r="Q248" s="1"/>
  <c r="S248" s="1"/>
  <c r="U248" s="1"/>
  <c r="G1527"/>
  <c r="I1527" s="1"/>
  <c r="K1527" s="1"/>
  <c r="M1527" s="1"/>
  <c r="O1527" s="1"/>
  <c r="Q1527" s="1"/>
  <c r="S1527" s="1"/>
  <c r="U1527" s="1"/>
  <c r="H426"/>
  <c r="I426" s="1"/>
  <c r="K426" s="1"/>
  <c r="M426" s="1"/>
  <c r="O426" s="1"/>
  <c r="Q426" s="1"/>
  <c r="S426" s="1"/>
  <c r="U426" s="1"/>
  <c r="F1381" i="6"/>
  <c r="F1380" s="1"/>
  <c r="F1379" s="1"/>
  <c r="F1372" s="1"/>
  <c r="I46" i="5"/>
  <c r="K46" s="1"/>
  <c r="M46" s="1"/>
  <c r="O46" s="1"/>
  <c r="Q46" s="1"/>
  <c r="S46" s="1"/>
  <c r="U46" s="1"/>
  <c r="I447"/>
  <c r="K447" s="1"/>
  <c r="M447" s="1"/>
  <c r="O447" s="1"/>
  <c r="Q447" s="1"/>
  <c r="S447" s="1"/>
  <c r="U447" s="1"/>
  <c r="I448"/>
  <c r="K448" s="1"/>
  <c r="M448" s="1"/>
  <c r="O448" s="1"/>
  <c r="Q448" s="1"/>
  <c r="S448" s="1"/>
  <c r="U448" s="1"/>
  <c r="I150"/>
  <c r="K150" s="1"/>
  <c r="M150" s="1"/>
  <c r="O150" s="1"/>
  <c r="Q150" s="1"/>
  <c r="S150" s="1"/>
  <c r="U150" s="1"/>
  <c r="I146"/>
  <c r="K146" s="1"/>
  <c r="M146" s="1"/>
  <c r="O146" s="1"/>
  <c r="Q146" s="1"/>
  <c r="S146" s="1"/>
  <c r="U146" s="1"/>
  <c r="F1820" i="6"/>
  <c r="H1820" s="1"/>
  <c r="J1820" s="1"/>
  <c r="L1820" s="1"/>
  <c r="N1820" s="1"/>
  <c r="P1820" s="1"/>
  <c r="R1820" s="1"/>
  <c r="T1820" s="1"/>
  <c r="I151" i="5"/>
  <c r="K151" s="1"/>
  <c r="M151" s="1"/>
  <c r="O151" s="1"/>
  <c r="Q151" s="1"/>
  <c r="S151" s="1"/>
  <c r="U151" s="1"/>
  <c r="I147"/>
  <c r="K147" s="1"/>
  <c r="M147" s="1"/>
  <c r="O147" s="1"/>
  <c r="Q147" s="1"/>
  <c r="S147" s="1"/>
  <c r="U147" s="1"/>
  <c r="I512"/>
  <c r="K512" s="1"/>
  <c r="M512" s="1"/>
  <c r="O512" s="1"/>
  <c r="Q512" s="1"/>
  <c r="S512" s="1"/>
  <c r="U512" s="1"/>
  <c r="F394" i="6"/>
  <c r="H394" s="1"/>
  <c r="J394" s="1"/>
  <c r="L394" s="1"/>
  <c r="N394" s="1"/>
  <c r="P394" s="1"/>
  <c r="R394" s="1"/>
  <c r="T394" s="1"/>
  <c r="G52" i="5"/>
  <c r="I52" s="1"/>
  <c r="K52" s="1"/>
  <c r="M52" s="1"/>
  <c r="O52" s="1"/>
  <c r="Q52" s="1"/>
  <c r="S52" s="1"/>
  <c r="U52" s="1"/>
  <c r="G1009"/>
  <c r="I1009" s="1"/>
  <c r="K1009" s="1"/>
  <c r="M1009" s="1"/>
  <c r="O1009" s="1"/>
  <c r="Q1009" s="1"/>
  <c r="S1009" s="1"/>
  <c r="U1009" s="1"/>
  <c r="G177"/>
  <c r="F1798" i="6"/>
  <c r="F1797" s="1"/>
  <c r="G29" i="1"/>
  <c r="H851" i="6"/>
  <c r="J851" s="1"/>
  <c r="L851" s="1"/>
  <c r="N851" s="1"/>
  <c r="P851" s="1"/>
  <c r="R851" s="1"/>
  <c r="T851" s="1"/>
  <c r="I119" i="5"/>
  <c r="K119" s="1"/>
  <c r="M119" s="1"/>
  <c r="O119" s="1"/>
  <c r="Q119" s="1"/>
  <c r="S119" s="1"/>
  <c r="U119" s="1"/>
  <c r="G224"/>
  <c r="G223" s="1"/>
  <c r="G222" s="1"/>
  <c r="H512" i="6"/>
  <c r="J512" s="1"/>
  <c r="L512" s="1"/>
  <c r="N512" s="1"/>
  <c r="P512" s="1"/>
  <c r="R512" s="1"/>
  <c r="T512" s="1"/>
  <c r="G782" i="5"/>
  <c r="I782" s="1"/>
  <c r="K782" s="1"/>
  <c r="M782" s="1"/>
  <c r="O782" s="1"/>
  <c r="Q782" s="1"/>
  <c r="S782" s="1"/>
  <c r="U782" s="1"/>
  <c r="H738" i="6"/>
  <c r="J738" s="1"/>
  <c r="L738" s="1"/>
  <c r="N738" s="1"/>
  <c r="P738" s="1"/>
  <c r="R738" s="1"/>
  <c r="T738" s="1"/>
  <c r="F100"/>
  <c r="F99" s="1"/>
  <c r="J587" i="5"/>
  <c r="J574" s="1"/>
  <c r="G44" i="1"/>
  <c r="G43" s="1"/>
  <c r="J900" i="5"/>
  <c r="H856" i="6"/>
  <c r="J856" s="1"/>
  <c r="L856" s="1"/>
  <c r="N856" s="1"/>
  <c r="P856" s="1"/>
  <c r="R856" s="1"/>
  <c r="T856" s="1"/>
  <c r="H857"/>
  <c r="J857" s="1"/>
  <c r="L857" s="1"/>
  <c r="N857" s="1"/>
  <c r="P857" s="1"/>
  <c r="R857" s="1"/>
  <c r="T857" s="1"/>
  <c r="G58" i="1"/>
  <c r="F1295" i="6"/>
  <c r="H1295" s="1"/>
  <c r="J1295" s="1"/>
  <c r="L1295" s="1"/>
  <c r="N1295" s="1"/>
  <c r="P1295" s="1"/>
  <c r="R1295" s="1"/>
  <c r="T1295" s="1"/>
  <c r="F1302"/>
  <c r="F1301" s="1"/>
  <c r="H707"/>
  <c r="J707" s="1"/>
  <c r="L707" s="1"/>
  <c r="N707" s="1"/>
  <c r="P707" s="1"/>
  <c r="R707" s="1"/>
  <c r="T707" s="1"/>
  <c r="H73"/>
  <c r="J73" s="1"/>
  <c r="L73" s="1"/>
  <c r="N73" s="1"/>
  <c r="P73" s="1"/>
  <c r="R73" s="1"/>
  <c r="T73" s="1"/>
  <c r="H62"/>
  <c r="J62" s="1"/>
  <c r="L62" s="1"/>
  <c r="N62" s="1"/>
  <c r="P62" s="1"/>
  <c r="R62" s="1"/>
  <c r="T62" s="1"/>
  <c r="F231"/>
  <c r="H231" s="1"/>
  <c r="J231" s="1"/>
  <c r="L231" s="1"/>
  <c r="N231" s="1"/>
  <c r="P231" s="1"/>
  <c r="R231" s="1"/>
  <c r="T231" s="1"/>
  <c r="F1532"/>
  <c r="H1532" s="1"/>
  <c r="J1532" s="1"/>
  <c r="L1532" s="1"/>
  <c r="N1532" s="1"/>
  <c r="P1532" s="1"/>
  <c r="R1532" s="1"/>
  <c r="T1532" s="1"/>
  <c r="I921"/>
  <c r="I910" s="1"/>
  <c r="J121"/>
  <c r="L121" s="1"/>
  <c r="N121" s="1"/>
  <c r="P121" s="1"/>
  <c r="R121" s="1"/>
  <c r="T121" s="1"/>
  <c r="I114"/>
  <c r="G1495" i="5"/>
  <c r="I1495" s="1"/>
  <c r="K1495" s="1"/>
  <c r="M1495" s="1"/>
  <c r="O1495" s="1"/>
  <c r="Q1495" s="1"/>
  <c r="S1495" s="1"/>
  <c r="U1495" s="1"/>
  <c r="I1108"/>
  <c r="K1108" s="1"/>
  <c r="M1108" s="1"/>
  <c r="O1108" s="1"/>
  <c r="Q1108" s="1"/>
  <c r="S1108" s="1"/>
  <c r="U1108" s="1"/>
  <c r="H1724"/>
  <c r="H1723" s="1"/>
  <c r="H113" i="6"/>
  <c r="G76"/>
  <c r="F1035"/>
  <c r="H1035" s="1"/>
  <c r="J1035" s="1"/>
  <c r="L1035" s="1"/>
  <c r="N1035" s="1"/>
  <c r="P1035" s="1"/>
  <c r="R1035" s="1"/>
  <c r="T1035" s="1"/>
  <c r="H1036"/>
  <c r="J1036" s="1"/>
  <c r="L1036" s="1"/>
  <c r="N1036" s="1"/>
  <c r="P1036" s="1"/>
  <c r="R1036" s="1"/>
  <c r="T1036" s="1"/>
  <c r="H111"/>
  <c r="J111" s="1"/>
  <c r="L111" s="1"/>
  <c r="N111" s="1"/>
  <c r="P111" s="1"/>
  <c r="R111" s="1"/>
  <c r="T111" s="1"/>
  <c r="F999"/>
  <c r="H999" s="1"/>
  <c r="J999" s="1"/>
  <c r="L999" s="1"/>
  <c r="N999" s="1"/>
  <c r="P999" s="1"/>
  <c r="R999" s="1"/>
  <c r="T999" s="1"/>
  <c r="H108"/>
  <c r="J108" s="1"/>
  <c r="L108" s="1"/>
  <c r="N108" s="1"/>
  <c r="P108" s="1"/>
  <c r="R108" s="1"/>
  <c r="T108" s="1"/>
  <c r="H114"/>
  <c r="H937"/>
  <c r="J937" s="1"/>
  <c r="L937" s="1"/>
  <c r="N937" s="1"/>
  <c r="P937" s="1"/>
  <c r="R937" s="1"/>
  <c r="T937" s="1"/>
  <c r="I264" i="5"/>
  <c r="K264" s="1"/>
  <c r="M264" s="1"/>
  <c r="O264" s="1"/>
  <c r="Q264" s="1"/>
  <c r="S264" s="1"/>
  <c r="U264" s="1"/>
  <c r="G1340"/>
  <c r="G1339" s="1"/>
  <c r="G1090"/>
  <c r="I1090" s="1"/>
  <c r="K1090" s="1"/>
  <c r="M1090" s="1"/>
  <c r="O1090" s="1"/>
  <c r="Q1090" s="1"/>
  <c r="S1090" s="1"/>
  <c r="U1090" s="1"/>
  <c r="G1272"/>
  <c r="G1271" s="1"/>
  <c r="H736"/>
  <c r="F658" i="6"/>
  <c r="F654" s="1"/>
  <c r="G53"/>
  <c r="H32" i="5"/>
  <c r="H31" s="1"/>
  <c r="H581" i="6"/>
  <c r="J581" s="1"/>
  <c r="L581" s="1"/>
  <c r="N581" s="1"/>
  <c r="P581" s="1"/>
  <c r="R581" s="1"/>
  <c r="T581" s="1"/>
  <c r="H850"/>
  <c r="J850" s="1"/>
  <c r="L850" s="1"/>
  <c r="N850" s="1"/>
  <c r="P850" s="1"/>
  <c r="R850" s="1"/>
  <c r="T850" s="1"/>
  <c r="G818" i="5"/>
  <c r="I818" s="1"/>
  <c r="K818" s="1"/>
  <c r="M818" s="1"/>
  <c r="O818" s="1"/>
  <c r="Q818" s="1"/>
  <c r="S818" s="1"/>
  <c r="U818" s="1"/>
  <c r="G209"/>
  <c r="G192" s="1"/>
  <c r="G186" s="1"/>
  <c r="H1243" i="6"/>
  <c r="J1243" s="1"/>
  <c r="L1243" s="1"/>
  <c r="N1243" s="1"/>
  <c r="P1243" s="1"/>
  <c r="R1243" s="1"/>
  <c r="T1243" s="1"/>
  <c r="H74"/>
  <c r="J74" s="1"/>
  <c r="L74" s="1"/>
  <c r="N74" s="1"/>
  <c r="P74" s="1"/>
  <c r="R74" s="1"/>
  <c r="T74" s="1"/>
  <c r="H1242"/>
  <c r="J1242" s="1"/>
  <c r="L1242" s="1"/>
  <c r="N1242" s="1"/>
  <c r="P1242" s="1"/>
  <c r="R1242" s="1"/>
  <c r="T1242" s="1"/>
  <c r="H109"/>
  <c r="J109" s="1"/>
  <c r="L109" s="1"/>
  <c r="N109" s="1"/>
  <c r="P109" s="1"/>
  <c r="R109" s="1"/>
  <c r="T109" s="1"/>
  <c r="H72"/>
  <c r="J72" s="1"/>
  <c r="L72" s="1"/>
  <c r="N72" s="1"/>
  <c r="P72" s="1"/>
  <c r="R72" s="1"/>
  <c r="T72" s="1"/>
  <c r="H752"/>
  <c r="J752" s="1"/>
  <c r="L752" s="1"/>
  <c r="N752" s="1"/>
  <c r="P752" s="1"/>
  <c r="R752" s="1"/>
  <c r="T752" s="1"/>
  <c r="G268" i="5"/>
  <c r="G267" s="1"/>
  <c r="I1109"/>
  <c r="K1109" s="1"/>
  <c r="M1109" s="1"/>
  <c r="O1109" s="1"/>
  <c r="Q1109" s="1"/>
  <c r="S1109" s="1"/>
  <c r="U1109" s="1"/>
  <c r="J1325"/>
  <c r="E56" i="1"/>
  <c r="G400" i="5"/>
  <c r="G399" s="1"/>
  <c r="H224"/>
  <c r="H223" s="1"/>
  <c r="G74"/>
  <c r="G73" s="1"/>
  <c r="I634"/>
  <c r="K634" s="1"/>
  <c r="M634" s="1"/>
  <c r="O634" s="1"/>
  <c r="Q634" s="1"/>
  <c r="S634" s="1"/>
  <c r="U634" s="1"/>
  <c r="G384" i="6"/>
  <c r="G239" s="1"/>
  <c r="E35" i="1"/>
  <c r="H852" i="6"/>
  <c r="J852" s="1"/>
  <c r="L852" s="1"/>
  <c r="N852" s="1"/>
  <c r="P852" s="1"/>
  <c r="R852" s="1"/>
  <c r="T852" s="1"/>
  <c r="I519" i="5"/>
  <c r="K519" s="1"/>
  <c r="M519" s="1"/>
  <c r="O519" s="1"/>
  <c r="Q519" s="1"/>
  <c r="S519" s="1"/>
  <c r="U519" s="1"/>
  <c r="F482" i="6"/>
  <c r="F481" s="1"/>
  <c r="H824" i="5"/>
  <c r="F1277" i="6"/>
  <c r="H1277" s="1"/>
  <c r="J1277" s="1"/>
  <c r="L1277" s="1"/>
  <c r="N1277" s="1"/>
  <c r="P1277" s="1"/>
  <c r="R1277" s="1"/>
  <c r="T1277" s="1"/>
  <c r="F402"/>
  <c r="F401" s="1"/>
  <c r="F474"/>
  <c r="F473" s="1"/>
  <c r="G211"/>
  <c r="G210" s="1"/>
  <c r="H1382"/>
  <c r="J1382" s="1"/>
  <c r="L1382" s="1"/>
  <c r="N1382" s="1"/>
  <c r="P1382" s="1"/>
  <c r="R1382" s="1"/>
  <c r="T1382" s="1"/>
  <c r="H71"/>
  <c r="J71" s="1"/>
  <c r="L71" s="1"/>
  <c r="N71" s="1"/>
  <c r="P71" s="1"/>
  <c r="R71" s="1"/>
  <c r="T71" s="1"/>
  <c r="H1383"/>
  <c r="J1383" s="1"/>
  <c r="L1383" s="1"/>
  <c r="N1383" s="1"/>
  <c r="P1383" s="1"/>
  <c r="R1383" s="1"/>
  <c r="T1383" s="1"/>
  <c r="H513"/>
  <c r="J513" s="1"/>
  <c r="L513" s="1"/>
  <c r="N513" s="1"/>
  <c r="P513" s="1"/>
  <c r="R513" s="1"/>
  <c r="T513" s="1"/>
  <c r="H110"/>
  <c r="J110" s="1"/>
  <c r="L110" s="1"/>
  <c r="N110" s="1"/>
  <c r="P110" s="1"/>
  <c r="R110" s="1"/>
  <c r="T110" s="1"/>
  <c r="H102"/>
  <c r="J102" s="1"/>
  <c r="L102" s="1"/>
  <c r="N102" s="1"/>
  <c r="P102" s="1"/>
  <c r="R102" s="1"/>
  <c r="T102" s="1"/>
  <c r="I1261" i="5"/>
  <c r="K1261" s="1"/>
  <c r="M1261" s="1"/>
  <c r="O1261" s="1"/>
  <c r="Q1261" s="1"/>
  <c r="S1261" s="1"/>
  <c r="U1261" s="1"/>
  <c r="I77"/>
  <c r="K77" s="1"/>
  <c r="M77" s="1"/>
  <c r="O77" s="1"/>
  <c r="Q77" s="1"/>
  <c r="S77" s="1"/>
  <c r="U77" s="1"/>
  <c r="G1520"/>
  <c r="I1520" s="1"/>
  <c r="K1520" s="1"/>
  <c r="M1520" s="1"/>
  <c r="O1520" s="1"/>
  <c r="Q1520" s="1"/>
  <c r="S1520" s="1"/>
  <c r="U1520" s="1"/>
  <c r="I633"/>
  <c r="K633" s="1"/>
  <c r="M633" s="1"/>
  <c r="O633" s="1"/>
  <c r="Q633" s="1"/>
  <c r="S633" s="1"/>
  <c r="U633" s="1"/>
  <c r="I92"/>
  <c r="K92" s="1"/>
  <c r="M92" s="1"/>
  <c r="O92" s="1"/>
  <c r="Q92" s="1"/>
  <c r="S92" s="1"/>
  <c r="U92" s="1"/>
  <c r="G91"/>
  <c r="I193"/>
  <c r="K193" s="1"/>
  <c r="M193" s="1"/>
  <c r="O193" s="1"/>
  <c r="Q193" s="1"/>
  <c r="G141"/>
  <c r="H371"/>
  <c r="E64" i="1"/>
  <c r="E63" s="1"/>
  <c r="G597" i="5"/>
  <c r="I597" s="1"/>
  <c r="K597" s="1"/>
  <c r="M597" s="1"/>
  <c r="O597" s="1"/>
  <c r="Q597" s="1"/>
  <c r="S597" s="1"/>
  <c r="U597" s="1"/>
  <c r="I598"/>
  <c r="K598" s="1"/>
  <c r="M598" s="1"/>
  <c r="O598" s="1"/>
  <c r="Q598" s="1"/>
  <c r="S598" s="1"/>
  <c r="U598" s="1"/>
  <c r="G788"/>
  <c r="I789"/>
  <c r="K789" s="1"/>
  <c r="M789" s="1"/>
  <c r="O789" s="1"/>
  <c r="Q789" s="1"/>
  <c r="S789" s="1"/>
  <c r="U789" s="1"/>
  <c r="I1190"/>
  <c r="K1190" s="1"/>
  <c r="M1190" s="1"/>
  <c r="O1190" s="1"/>
  <c r="Q1190" s="1"/>
  <c r="S1190" s="1"/>
  <c r="U1190" s="1"/>
  <c r="G1187"/>
  <c r="G323"/>
  <c r="I323" s="1"/>
  <c r="K323" s="1"/>
  <c r="M323" s="1"/>
  <c r="O323" s="1"/>
  <c r="Q323" s="1"/>
  <c r="S323" s="1"/>
  <c r="U323" s="1"/>
  <c r="I324"/>
  <c r="K324" s="1"/>
  <c r="M324" s="1"/>
  <c r="O324" s="1"/>
  <c r="Q324" s="1"/>
  <c r="S324" s="1"/>
  <c r="U324" s="1"/>
  <c r="G454"/>
  <c r="I454" s="1"/>
  <c r="K454" s="1"/>
  <c r="M454" s="1"/>
  <c r="O454" s="1"/>
  <c r="Q454" s="1"/>
  <c r="S454" s="1"/>
  <c r="U454" s="1"/>
  <c r="I455"/>
  <c r="K455" s="1"/>
  <c r="M455" s="1"/>
  <c r="O455" s="1"/>
  <c r="Q455" s="1"/>
  <c r="S455" s="1"/>
  <c r="U455" s="1"/>
  <c r="I1643"/>
  <c r="K1643" s="1"/>
  <c r="M1643" s="1"/>
  <c r="O1643" s="1"/>
  <c r="Q1643" s="1"/>
  <c r="S1643" s="1"/>
  <c r="U1643" s="1"/>
  <c r="G1642"/>
  <c r="I1482"/>
  <c r="K1482" s="1"/>
  <c r="M1482" s="1"/>
  <c r="O1482" s="1"/>
  <c r="Q1482" s="1"/>
  <c r="S1482" s="1"/>
  <c r="U1482" s="1"/>
  <c r="G1479"/>
  <c r="I1479" s="1"/>
  <c r="K1479" s="1"/>
  <c r="M1479" s="1"/>
  <c r="O1479" s="1"/>
  <c r="Q1479" s="1"/>
  <c r="S1479" s="1"/>
  <c r="U1479" s="1"/>
  <c r="G1638"/>
  <c r="I1638" s="1"/>
  <c r="K1638" s="1"/>
  <c r="M1638" s="1"/>
  <c r="O1638" s="1"/>
  <c r="Q1638" s="1"/>
  <c r="S1638" s="1"/>
  <c r="U1638" s="1"/>
  <c r="I1639"/>
  <c r="K1639" s="1"/>
  <c r="M1639" s="1"/>
  <c r="O1639" s="1"/>
  <c r="Q1639" s="1"/>
  <c r="S1639" s="1"/>
  <c r="U1639" s="1"/>
  <c r="G349"/>
  <c r="I350"/>
  <c r="K350" s="1"/>
  <c r="M350" s="1"/>
  <c r="O350" s="1"/>
  <c r="Q350" s="1"/>
  <c r="S350" s="1"/>
  <c r="U350" s="1"/>
  <c r="G564"/>
  <c r="I567"/>
  <c r="K567" s="1"/>
  <c r="M567" s="1"/>
  <c r="O567" s="1"/>
  <c r="Q567" s="1"/>
  <c r="S567" s="1"/>
  <c r="U567" s="1"/>
  <c r="G834"/>
  <c r="I835"/>
  <c r="K835" s="1"/>
  <c r="M835" s="1"/>
  <c r="O835" s="1"/>
  <c r="Q835" s="1"/>
  <c r="S835" s="1"/>
  <c r="U835" s="1"/>
  <c r="G1095"/>
  <c r="I1096"/>
  <c r="K1096" s="1"/>
  <c r="M1096" s="1"/>
  <c r="O1096" s="1"/>
  <c r="Q1096" s="1"/>
  <c r="S1096" s="1"/>
  <c r="U1096" s="1"/>
  <c r="G730"/>
  <c r="I730" s="1"/>
  <c r="K730" s="1"/>
  <c r="M730" s="1"/>
  <c r="O730" s="1"/>
  <c r="Q730" s="1"/>
  <c r="S730" s="1"/>
  <c r="U730" s="1"/>
  <c r="I731"/>
  <c r="K731" s="1"/>
  <c r="M731" s="1"/>
  <c r="O731" s="1"/>
  <c r="Q731" s="1"/>
  <c r="S731" s="1"/>
  <c r="U731" s="1"/>
  <c r="G357"/>
  <c r="I357" s="1"/>
  <c r="K357" s="1"/>
  <c r="M357" s="1"/>
  <c r="O357" s="1"/>
  <c r="Q357" s="1"/>
  <c r="S357" s="1"/>
  <c r="U357" s="1"/>
  <c r="I358"/>
  <c r="K358" s="1"/>
  <c r="M358" s="1"/>
  <c r="O358" s="1"/>
  <c r="Q358" s="1"/>
  <c r="S358" s="1"/>
  <c r="U358" s="1"/>
  <c r="I1433"/>
  <c r="K1433" s="1"/>
  <c r="M1433" s="1"/>
  <c r="O1433" s="1"/>
  <c r="Q1433" s="1"/>
  <c r="S1433" s="1"/>
  <c r="U1433" s="1"/>
  <c r="G1430"/>
  <c r="G1145"/>
  <c r="I1145" s="1"/>
  <c r="K1145" s="1"/>
  <c r="M1145" s="1"/>
  <c r="O1145" s="1"/>
  <c r="Q1145" s="1"/>
  <c r="S1145" s="1"/>
  <c r="U1145" s="1"/>
  <c r="I1146"/>
  <c r="K1146" s="1"/>
  <c r="M1146" s="1"/>
  <c r="O1146" s="1"/>
  <c r="Q1146" s="1"/>
  <c r="S1146" s="1"/>
  <c r="U1146" s="1"/>
  <c r="G469"/>
  <c r="I469" s="1"/>
  <c r="K469" s="1"/>
  <c r="M469" s="1"/>
  <c r="O469" s="1"/>
  <c r="Q469" s="1"/>
  <c r="S469" s="1"/>
  <c r="U469" s="1"/>
  <c r="I470"/>
  <c r="K470" s="1"/>
  <c r="M470" s="1"/>
  <c r="O470" s="1"/>
  <c r="Q470" s="1"/>
  <c r="S470" s="1"/>
  <c r="U470" s="1"/>
  <c r="G764"/>
  <c r="I765"/>
  <c r="K765" s="1"/>
  <c r="M765" s="1"/>
  <c r="O765" s="1"/>
  <c r="Q765" s="1"/>
  <c r="S765" s="1"/>
  <c r="U765" s="1"/>
  <c r="G1355"/>
  <c r="I1359"/>
  <c r="K1359" s="1"/>
  <c r="M1359" s="1"/>
  <c r="O1359" s="1"/>
  <c r="Q1359" s="1"/>
  <c r="S1359" s="1"/>
  <c r="U1359" s="1"/>
  <c r="G647"/>
  <c r="I647" s="1"/>
  <c r="K647" s="1"/>
  <c r="M647" s="1"/>
  <c r="O647" s="1"/>
  <c r="Q647" s="1"/>
  <c r="S647" s="1"/>
  <c r="U647" s="1"/>
  <c r="I648"/>
  <c r="K648" s="1"/>
  <c r="M648" s="1"/>
  <c r="O648" s="1"/>
  <c r="Q648" s="1"/>
  <c r="S648" s="1"/>
  <c r="U648" s="1"/>
  <c r="G315"/>
  <c r="I315" s="1"/>
  <c r="K315" s="1"/>
  <c r="M315" s="1"/>
  <c r="O315" s="1"/>
  <c r="Q315" s="1"/>
  <c r="S315" s="1"/>
  <c r="U315" s="1"/>
  <c r="I316"/>
  <c r="K316" s="1"/>
  <c r="M316" s="1"/>
  <c r="O316" s="1"/>
  <c r="Q316" s="1"/>
  <c r="S316" s="1"/>
  <c r="U316" s="1"/>
  <c r="G390"/>
  <c r="I390" s="1"/>
  <c r="K390" s="1"/>
  <c r="M390" s="1"/>
  <c r="O390" s="1"/>
  <c r="Q390" s="1"/>
  <c r="S390" s="1"/>
  <c r="U390" s="1"/>
  <c r="I391"/>
  <c r="K391" s="1"/>
  <c r="M391" s="1"/>
  <c r="O391" s="1"/>
  <c r="Q391" s="1"/>
  <c r="S391" s="1"/>
  <c r="U391" s="1"/>
  <c r="I1116"/>
  <c r="K1116" s="1"/>
  <c r="M1116" s="1"/>
  <c r="O1116" s="1"/>
  <c r="Q1116" s="1"/>
  <c r="S1116" s="1"/>
  <c r="U1116" s="1"/>
  <c r="G1115"/>
  <c r="I1115" s="1"/>
  <c r="K1115" s="1"/>
  <c r="M1115" s="1"/>
  <c r="O1115" s="1"/>
  <c r="Q1115" s="1"/>
  <c r="S1115" s="1"/>
  <c r="U1115" s="1"/>
  <c r="I1500"/>
  <c r="K1500" s="1"/>
  <c r="M1500" s="1"/>
  <c r="O1500" s="1"/>
  <c r="Q1500" s="1"/>
  <c r="S1500" s="1"/>
  <c r="U1500" s="1"/>
  <c r="G1499"/>
  <c r="I1499" s="1"/>
  <c r="K1499" s="1"/>
  <c r="M1499" s="1"/>
  <c r="O1499" s="1"/>
  <c r="Q1499" s="1"/>
  <c r="S1499" s="1"/>
  <c r="U1499" s="1"/>
  <c r="G1151"/>
  <c r="I1152"/>
  <c r="K1152" s="1"/>
  <c r="M1152" s="1"/>
  <c r="O1152" s="1"/>
  <c r="Q1152" s="1"/>
  <c r="S1152" s="1"/>
  <c r="U1152" s="1"/>
  <c r="G988"/>
  <c r="I989"/>
  <c r="K989" s="1"/>
  <c r="M989" s="1"/>
  <c r="O989" s="1"/>
  <c r="Q989" s="1"/>
  <c r="S989" s="1"/>
  <c r="U989" s="1"/>
  <c r="H974"/>
  <c r="H973" s="1"/>
  <c r="E49" i="1" s="1"/>
  <c r="I777" i="5"/>
  <c r="K777" s="1"/>
  <c r="M777" s="1"/>
  <c r="O777" s="1"/>
  <c r="Q777" s="1"/>
  <c r="S777" s="1"/>
  <c r="U777" s="1"/>
  <c r="G34"/>
  <c r="G380"/>
  <c r="I749"/>
  <c r="K749" s="1"/>
  <c r="M749" s="1"/>
  <c r="O749" s="1"/>
  <c r="Q749" s="1"/>
  <c r="S749" s="1"/>
  <c r="U749" s="1"/>
  <c r="I1246"/>
  <c r="K1246" s="1"/>
  <c r="M1246" s="1"/>
  <c r="O1246" s="1"/>
  <c r="Q1246" s="1"/>
  <c r="S1246" s="1"/>
  <c r="U1246" s="1"/>
  <c r="G1245"/>
  <c r="I1458"/>
  <c r="K1458" s="1"/>
  <c r="M1458" s="1"/>
  <c r="O1458" s="1"/>
  <c r="Q1458" s="1"/>
  <c r="S1458" s="1"/>
  <c r="U1458" s="1"/>
  <c r="G1455"/>
  <c r="G1470"/>
  <c r="I1471"/>
  <c r="K1471" s="1"/>
  <c r="M1471" s="1"/>
  <c r="O1471" s="1"/>
  <c r="Q1471" s="1"/>
  <c r="S1471" s="1"/>
  <c r="U1471" s="1"/>
  <c r="G489"/>
  <c r="I490"/>
  <c r="K490" s="1"/>
  <c r="M490" s="1"/>
  <c r="O490" s="1"/>
  <c r="Q490" s="1"/>
  <c r="S490" s="1"/>
  <c r="U490" s="1"/>
  <c r="G344"/>
  <c r="I344" s="1"/>
  <c r="K344" s="1"/>
  <c r="M344" s="1"/>
  <c r="O344" s="1"/>
  <c r="Q344" s="1"/>
  <c r="S344" s="1"/>
  <c r="U344" s="1"/>
  <c r="I345"/>
  <c r="K345" s="1"/>
  <c r="M345" s="1"/>
  <c r="O345" s="1"/>
  <c r="Q345" s="1"/>
  <c r="S345" s="1"/>
  <c r="U345" s="1"/>
  <c r="G538"/>
  <c r="I539"/>
  <c r="K539" s="1"/>
  <c r="M539" s="1"/>
  <c r="O539" s="1"/>
  <c r="Q539" s="1"/>
  <c r="S539" s="1"/>
  <c r="U539" s="1"/>
  <c r="G530"/>
  <c r="I531"/>
  <c r="K531" s="1"/>
  <c r="M531" s="1"/>
  <c r="O531" s="1"/>
  <c r="Q531" s="1"/>
  <c r="S531" s="1"/>
  <c r="U531" s="1"/>
  <c r="G1005"/>
  <c r="I1006"/>
  <c r="K1006" s="1"/>
  <c r="M1006" s="1"/>
  <c r="O1006" s="1"/>
  <c r="Q1006" s="1"/>
  <c r="S1006" s="1"/>
  <c r="U1006" s="1"/>
  <c r="G1311"/>
  <c r="I1311" s="1"/>
  <c r="K1311" s="1"/>
  <c r="M1311" s="1"/>
  <c r="O1311" s="1"/>
  <c r="Q1311" s="1"/>
  <c r="S1311" s="1"/>
  <c r="U1311" s="1"/>
  <c r="I1312"/>
  <c r="K1312" s="1"/>
  <c r="M1312" s="1"/>
  <c r="O1312" s="1"/>
  <c r="Q1312" s="1"/>
  <c r="S1312" s="1"/>
  <c r="U1312" s="1"/>
  <c r="G1592"/>
  <c r="G1591" s="1"/>
  <c r="G1590" s="1"/>
  <c r="G1589" s="1"/>
  <c r="I1595"/>
  <c r="K1595" s="1"/>
  <c r="M1595" s="1"/>
  <c r="O1595" s="1"/>
  <c r="Q1595" s="1"/>
  <c r="S1595" s="1"/>
  <c r="U1595" s="1"/>
  <c r="G968"/>
  <c r="I968" s="1"/>
  <c r="K968" s="1"/>
  <c r="M968" s="1"/>
  <c r="O968" s="1"/>
  <c r="Q968" s="1"/>
  <c r="S968" s="1"/>
  <c r="U968" s="1"/>
  <c r="I969"/>
  <c r="K969" s="1"/>
  <c r="M969" s="1"/>
  <c r="O969" s="1"/>
  <c r="Q969" s="1"/>
  <c r="S969" s="1"/>
  <c r="U969" s="1"/>
  <c r="G1173"/>
  <c r="I1173" s="1"/>
  <c r="K1173" s="1"/>
  <c r="M1173" s="1"/>
  <c r="O1173" s="1"/>
  <c r="Q1173" s="1"/>
  <c r="S1173" s="1"/>
  <c r="U1173" s="1"/>
  <c r="I1174"/>
  <c r="K1174" s="1"/>
  <c r="M1174" s="1"/>
  <c r="O1174" s="1"/>
  <c r="Q1174" s="1"/>
  <c r="S1174" s="1"/>
  <c r="U1174" s="1"/>
  <c r="G1504"/>
  <c r="I1505"/>
  <c r="K1505" s="1"/>
  <c r="M1505" s="1"/>
  <c r="O1505" s="1"/>
  <c r="Q1505" s="1"/>
  <c r="S1505" s="1"/>
  <c r="U1505" s="1"/>
  <c r="I840"/>
  <c r="K840" s="1"/>
  <c r="M840" s="1"/>
  <c r="O840" s="1"/>
  <c r="Q840" s="1"/>
  <c r="S840" s="1"/>
  <c r="U840" s="1"/>
  <c r="I933"/>
  <c r="K933" s="1"/>
  <c r="M933" s="1"/>
  <c r="O933" s="1"/>
  <c r="Q933" s="1"/>
  <c r="S933" s="1"/>
  <c r="U933" s="1"/>
  <c r="G932"/>
  <c r="I1699"/>
  <c r="K1699" s="1"/>
  <c r="M1699" s="1"/>
  <c r="O1699" s="1"/>
  <c r="Q1699" s="1"/>
  <c r="S1699" s="1"/>
  <c r="U1699" s="1"/>
  <c r="G1698"/>
  <c r="G1077"/>
  <c r="I1077" s="1"/>
  <c r="K1077" s="1"/>
  <c r="M1077" s="1"/>
  <c r="O1077" s="1"/>
  <c r="Q1077" s="1"/>
  <c r="S1077" s="1"/>
  <c r="U1077" s="1"/>
  <c r="I1078"/>
  <c r="K1078" s="1"/>
  <c r="M1078" s="1"/>
  <c r="O1078" s="1"/>
  <c r="Q1078" s="1"/>
  <c r="S1078" s="1"/>
  <c r="U1078" s="1"/>
  <c r="G1392"/>
  <c r="I1392" s="1"/>
  <c r="K1392" s="1"/>
  <c r="M1392" s="1"/>
  <c r="O1392" s="1"/>
  <c r="Q1392" s="1"/>
  <c r="S1392" s="1"/>
  <c r="U1392" s="1"/>
  <c r="I1396"/>
  <c r="K1396" s="1"/>
  <c r="M1396" s="1"/>
  <c r="O1396" s="1"/>
  <c r="Q1396" s="1"/>
  <c r="S1396" s="1"/>
  <c r="U1396" s="1"/>
  <c r="I1418"/>
  <c r="K1418" s="1"/>
  <c r="M1418" s="1"/>
  <c r="O1418" s="1"/>
  <c r="Q1418" s="1"/>
  <c r="S1418" s="1"/>
  <c r="U1418" s="1"/>
  <c r="G1417"/>
  <c r="I1417" s="1"/>
  <c r="K1417" s="1"/>
  <c r="M1417" s="1"/>
  <c r="O1417" s="1"/>
  <c r="Q1417" s="1"/>
  <c r="S1417" s="1"/>
  <c r="U1417" s="1"/>
  <c r="I1014"/>
  <c r="K1014" s="1"/>
  <c r="M1014" s="1"/>
  <c r="O1014" s="1"/>
  <c r="Q1014" s="1"/>
  <c r="S1014" s="1"/>
  <c r="U1014" s="1"/>
  <c r="G1013"/>
  <c r="I1013" s="1"/>
  <c r="K1013" s="1"/>
  <c r="M1013" s="1"/>
  <c r="O1013" s="1"/>
  <c r="Q1013" s="1"/>
  <c r="S1013" s="1"/>
  <c r="U1013" s="1"/>
  <c r="I802"/>
  <c r="K802" s="1"/>
  <c r="M802" s="1"/>
  <c r="O802" s="1"/>
  <c r="Q802" s="1"/>
  <c r="S802" s="1"/>
  <c r="U802" s="1"/>
  <c r="G801"/>
  <c r="G1322"/>
  <c r="I1323"/>
  <c r="K1323" s="1"/>
  <c r="M1323" s="1"/>
  <c r="O1323" s="1"/>
  <c r="Q1323" s="1"/>
  <c r="S1323" s="1"/>
  <c r="U1323" s="1"/>
  <c r="G557"/>
  <c r="I558"/>
  <c r="K558" s="1"/>
  <c r="M558" s="1"/>
  <c r="O558" s="1"/>
  <c r="Q558" s="1"/>
  <c r="S558" s="1"/>
  <c r="U558" s="1"/>
  <c r="G795"/>
  <c r="I795" s="1"/>
  <c r="K795" s="1"/>
  <c r="M795" s="1"/>
  <c r="O795" s="1"/>
  <c r="Q795" s="1"/>
  <c r="S795" s="1"/>
  <c r="U795" s="1"/>
  <c r="I796"/>
  <c r="K796" s="1"/>
  <c r="M796" s="1"/>
  <c r="O796" s="1"/>
  <c r="Q796" s="1"/>
  <c r="S796" s="1"/>
  <c r="U796" s="1"/>
  <c r="I921"/>
  <c r="K921" s="1"/>
  <c r="M921" s="1"/>
  <c r="O921" s="1"/>
  <c r="Q921" s="1"/>
  <c r="S921" s="1"/>
  <c r="U921" s="1"/>
  <c r="G918"/>
  <c r="G1039"/>
  <c r="I1040"/>
  <c r="K1040" s="1"/>
  <c r="M1040" s="1"/>
  <c r="O1040" s="1"/>
  <c r="Q1040" s="1"/>
  <c r="S1040" s="1"/>
  <c r="U1040" s="1"/>
  <c r="G1104"/>
  <c r="I1105"/>
  <c r="K1105" s="1"/>
  <c r="M1105" s="1"/>
  <c r="O1105" s="1"/>
  <c r="Q1105" s="1"/>
  <c r="S1105" s="1"/>
  <c r="U1105" s="1"/>
  <c r="G1155"/>
  <c r="I1155" s="1"/>
  <c r="K1155" s="1"/>
  <c r="M1155" s="1"/>
  <c r="O1155" s="1"/>
  <c r="Q1155" s="1"/>
  <c r="S1155" s="1"/>
  <c r="U1155" s="1"/>
  <c r="I1156"/>
  <c r="K1156" s="1"/>
  <c r="M1156" s="1"/>
  <c r="O1156" s="1"/>
  <c r="Q1156" s="1"/>
  <c r="S1156" s="1"/>
  <c r="U1156" s="1"/>
  <c r="G1251"/>
  <c r="I1251" s="1"/>
  <c r="K1251" s="1"/>
  <c r="M1251" s="1"/>
  <c r="O1251" s="1"/>
  <c r="Q1251" s="1"/>
  <c r="S1251" s="1"/>
  <c r="U1251" s="1"/>
  <c r="I1252"/>
  <c r="K1252" s="1"/>
  <c r="M1252" s="1"/>
  <c r="O1252" s="1"/>
  <c r="Q1252" s="1"/>
  <c r="S1252" s="1"/>
  <c r="U1252" s="1"/>
  <c r="G1575"/>
  <c r="G1565" s="1"/>
  <c r="I1578"/>
  <c r="K1578" s="1"/>
  <c r="M1578" s="1"/>
  <c r="O1578" s="1"/>
  <c r="Q1578" s="1"/>
  <c r="S1578" s="1"/>
  <c r="U1578" s="1"/>
  <c r="G1743"/>
  <c r="I1749"/>
  <c r="K1749" s="1"/>
  <c r="M1749" s="1"/>
  <c r="O1749" s="1"/>
  <c r="Q1749" s="1"/>
  <c r="S1749" s="1"/>
  <c r="U1749" s="1"/>
  <c r="G483"/>
  <c r="I484"/>
  <c r="K484" s="1"/>
  <c r="M484" s="1"/>
  <c r="O484" s="1"/>
  <c r="Q484" s="1"/>
  <c r="S484" s="1"/>
  <c r="U484" s="1"/>
  <c r="G1055"/>
  <c r="I1056"/>
  <c r="K1056" s="1"/>
  <c r="M1056" s="1"/>
  <c r="O1056" s="1"/>
  <c r="Q1056" s="1"/>
  <c r="S1056" s="1"/>
  <c r="U1056" s="1"/>
  <c r="G1123"/>
  <c r="I1123" s="1"/>
  <c r="K1123" s="1"/>
  <c r="M1123" s="1"/>
  <c r="O1123" s="1"/>
  <c r="Q1123" s="1"/>
  <c r="S1123" s="1"/>
  <c r="U1123" s="1"/>
  <c r="I1124"/>
  <c r="K1124" s="1"/>
  <c r="M1124" s="1"/>
  <c r="O1124" s="1"/>
  <c r="Q1124" s="1"/>
  <c r="S1124" s="1"/>
  <c r="U1124" s="1"/>
  <c r="G1283"/>
  <c r="I1284"/>
  <c r="K1284" s="1"/>
  <c r="M1284" s="1"/>
  <c r="O1284" s="1"/>
  <c r="Q1284" s="1"/>
  <c r="S1284" s="1"/>
  <c r="U1284" s="1"/>
  <c r="G662"/>
  <c r="I663"/>
  <c r="K663" s="1"/>
  <c r="M663" s="1"/>
  <c r="O663" s="1"/>
  <c r="Q663" s="1"/>
  <c r="S663" s="1"/>
  <c r="U663" s="1"/>
  <c r="G871"/>
  <c r="I877"/>
  <c r="K877" s="1"/>
  <c r="M877" s="1"/>
  <c r="O877" s="1"/>
  <c r="Q877" s="1"/>
  <c r="S877" s="1"/>
  <c r="U877" s="1"/>
  <c r="G996"/>
  <c r="I996" s="1"/>
  <c r="K996" s="1"/>
  <c r="M996" s="1"/>
  <c r="O996" s="1"/>
  <c r="Q996" s="1"/>
  <c r="S996" s="1"/>
  <c r="U996" s="1"/>
  <c r="I997"/>
  <c r="K997" s="1"/>
  <c r="M997" s="1"/>
  <c r="O997" s="1"/>
  <c r="Q997" s="1"/>
  <c r="S997" s="1"/>
  <c r="U997" s="1"/>
  <c r="G1561"/>
  <c r="I1562"/>
  <c r="K1562" s="1"/>
  <c r="M1562" s="1"/>
  <c r="O1562" s="1"/>
  <c r="Q1562" s="1"/>
  <c r="S1562" s="1"/>
  <c r="U1562" s="1"/>
  <c r="E42" i="1"/>
  <c r="E40" s="1"/>
  <c r="I1255" i="5"/>
  <c r="K1255" s="1"/>
  <c r="M1255" s="1"/>
  <c r="O1255" s="1"/>
  <c r="Q1255" s="1"/>
  <c r="S1255" s="1"/>
  <c r="U1255" s="1"/>
  <c r="G444"/>
  <c r="I1653"/>
  <c r="K1653" s="1"/>
  <c r="M1653" s="1"/>
  <c r="O1653" s="1"/>
  <c r="Q1653" s="1"/>
  <c r="S1653" s="1"/>
  <c r="U1653" s="1"/>
  <c r="G1652"/>
  <c r="I554"/>
  <c r="K554" s="1"/>
  <c r="M554" s="1"/>
  <c r="O554" s="1"/>
  <c r="Q554" s="1"/>
  <c r="S554" s="1"/>
  <c r="U554" s="1"/>
  <c r="G553"/>
  <c r="I553" s="1"/>
  <c r="K553" s="1"/>
  <c r="M553" s="1"/>
  <c r="O553" s="1"/>
  <c r="Q553" s="1"/>
  <c r="S553" s="1"/>
  <c r="U553" s="1"/>
  <c r="G367"/>
  <c r="I368"/>
  <c r="K368" s="1"/>
  <c r="M368" s="1"/>
  <c r="O368" s="1"/>
  <c r="Q368" s="1"/>
  <c r="S368" s="1"/>
  <c r="U368" s="1"/>
  <c r="G655"/>
  <c r="I656"/>
  <c r="K656" s="1"/>
  <c r="M656" s="1"/>
  <c r="O656" s="1"/>
  <c r="Q656" s="1"/>
  <c r="S656" s="1"/>
  <c r="U656" s="1"/>
  <c r="G1439"/>
  <c r="I1439" s="1"/>
  <c r="K1439" s="1"/>
  <c r="M1439" s="1"/>
  <c r="O1439" s="1"/>
  <c r="Q1439" s="1"/>
  <c r="S1439" s="1"/>
  <c r="U1439" s="1"/>
  <c r="I1443"/>
  <c r="K1443" s="1"/>
  <c r="M1443" s="1"/>
  <c r="O1443" s="1"/>
  <c r="Q1443" s="1"/>
  <c r="S1443" s="1"/>
  <c r="U1443" s="1"/>
  <c r="I774"/>
  <c r="K774" s="1"/>
  <c r="M774" s="1"/>
  <c r="O774" s="1"/>
  <c r="Q774" s="1"/>
  <c r="S774" s="1"/>
  <c r="U774" s="1"/>
  <c r="G773"/>
  <c r="G639"/>
  <c r="I640"/>
  <c r="K640" s="1"/>
  <c r="M640" s="1"/>
  <c r="O640" s="1"/>
  <c r="Q640" s="1"/>
  <c r="S640" s="1"/>
  <c r="U640" s="1"/>
  <c r="G510"/>
  <c r="I510" s="1"/>
  <c r="K510" s="1"/>
  <c r="M510" s="1"/>
  <c r="O510" s="1"/>
  <c r="Q510" s="1"/>
  <c r="S510" s="1"/>
  <c r="U510" s="1"/>
  <c r="I511"/>
  <c r="K511" s="1"/>
  <c r="M511" s="1"/>
  <c r="O511" s="1"/>
  <c r="Q511" s="1"/>
  <c r="S511" s="1"/>
  <c r="U511" s="1"/>
  <c r="G768"/>
  <c r="I768" s="1"/>
  <c r="K768" s="1"/>
  <c r="M768" s="1"/>
  <c r="O768" s="1"/>
  <c r="Q768" s="1"/>
  <c r="S768" s="1"/>
  <c r="U768" s="1"/>
  <c r="I769"/>
  <c r="K769" s="1"/>
  <c r="M769" s="1"/>
  <c r="O769" s="1"/>
  <c r="Q769" s="1"/>
  <c r="S769" s="1"/>
  <c r="U769" s="1"/>
  <c r="G1026"/>
  <c r="I1027"/>
  <c r="K1027" s="1"/>
  <c r="M1027" s="1"/>
  <c r="O1027" s="1"/>
  <c r="Q1027" s="1"/>
  <c r="S1027" s="1"/>
  <c r="U1027" s="1"/>
  <c r="G1614"/>
  <c r="I1615"/>
  <c r="K1615" s="1"/>
  <c r="M1615" s="1"/>
  <c r="O1615" s="1"/>
  <c r="Q1615" s="1"/>
  <c r="S1615" s="1"/>
  <c r="U1615" s="1"/>
  <c r="G1656"/>
  <c r="I1656" s="1"/>
  <c r="K1656" s="1"/>
  <c r="M1656" s="1"/>
  <c r="O1656" s="1"/>
  <c r="Q1656" s="1"/>
  <c r="S1656" s="1"/>
  <c r="U1656" s="1"/>
  <c r="I1657"/>
  <c r="K1657" s="1"/>
  <c r="M1657" s="1"/>
  <c r="O1657" s="1"/>
  <c r="Q1657" s="1"/>
  <c r="S1657" s="1"/>
  <c r="U1657" s="1"/>
  <c r="G827"/>
  <c r="I827" s="1"/>
  <c r="K827" s="1"/>
  <c r="M827" s="1"/>
  <c r="O827" s="1"/>
  <c r="Q827" s="1"/>
  <c r="S827" s="1"/>
  <c r="U827" s="1"/>
  <c r="I828"/>
  <c r="K828" s="1"/>
  <c r="M828" s="1"/>
  <c r="O828" s="1"/>
  <c r="Q828" s="1"/>
  <c r="S828" s="1"/>
  <c r="U828" s="1"/>
  <c r="G1317"/>
  <c r="I1317" s="1"/>
  <c r="K1317" s="1"/>
  <c r="M1317" s="1"/>
  <c r="O1317" s="1"/>
  <c r="Q1317" s="1"/>
  <c r="S1317" s="1"/>
  <c r="U1317" s="1"/>
  <c r="I1318"/>
  <c r="K1318" s="1"/>
  <c r="M1318" s="1"/>
  <c r="O1318" s="1"/>
  <c r="Q1318" s="1"/>
  <c r="S1318" s="1"/>
  <c r="U1318" s="1"/>
  <c r="I1488"/>
  <c r="K1488" s="1"/>
  <c r="M1488" s="1"/>
  <c r="O1488" s="1"/>
  <c r="Q1488" s="1"/>
  <c r="S1488" s="1"/>
  <c r="U1488" s="1"/>
  <c r="G1485"/>
  <c r="I1485" s="1"/>
  <c r="K1485" s="1"/>
  <c r="M1485" s="1"/>
  <c r="O1485" s="1"/>
  <c r="Q1485" s="1"/>
  <c r="S1485" s="1"/>
  <c r="U1485" s="1"/>
  <c r="G894"/>
  <c r="I895"/>
  <c r="K895" s="1"/>
  <c r="M895" s="1"/>
  <c r="O895" s="1"/>
  <c r="Q895" s="1"/>
  <c r="S895" s="1"/>
  <c r="U895" s="1"/>
  <c r="I1138"/>
  <c r="K1138" s="1"/>
  <c r="M1138" s="1"/>
  <c r="O1138" s="1"/>
  <c r="Q1138" s="1"/>
  <c r="S1138" s="1"/>
  <c r="U1138" s="1"/>
  <c r="G1137"/>
  <c r="I1137" s="1"/>
  <c r="K1137" s="1"/>
  <c r="M1137" s="1"/>
  <c r="O1137" s="1"/>
  <c r="Q1137" s="1"/>
  <c r="S1137" s="1"/>
  <c r="U1137" s="1"/>
  <c r="G1555"/>
  <c r="I1556"/>
  <c r="K1556" s="1"/>
  <c r="M1556" s="1"/>
  <c r="O1556" s="1"/>
  <c r="Q1556" s="1"/>
  <c r="S1556" s="1"/>
  <c r="U1556" s="1"/>
  <c r="G336"/>
  <c r="I337"/>
  <c r="K337" s="1"/>
  <c r="M337" s="1"/>
  <c r="O337" s="1"/>
  <c r="Q337" s="1"/>
  <c r="S337" s="1"/>
  <c r="U337" s="1"/>
  <c r="G591"/>
  <c r="I592"/>
  <c r="K592" s="1"/>
  <c r="M592" s="1"/>
  <c r="O592" s="1"/>
  <c r="Q592" s="1"/>
  <c r="S592" s="1"/>
  <c r="U592" s="1"/>
  <c r="G715"/>
  <c r="I716"/>
  <c r="K716" s="1"/>
  <c r="M716" s="1"/>
  <c r="O716" s="1"/>
  <c r="Q716" s="1"/>
  <c r="S716" s="1"/>
  <c r="U716" s="1"/>
  <c r="G964"/>
  <c r="I965"/>
  <c r="K965" s="1"/>
  <c r="M965" s="1"/>
  <c r="O965" s="1"/>
  <c r="Q965" s="1"/>
  <c r="S965" s="1"/>
  <c r="U965" s="1"/>
  <c r="G1017"/>
  <c r="I1017" s="1"/>
  <c r="K1017" s="1"/>
  <c r="M1017" s="1"/>
  <c r="O1017" s="1"/>
  <c r="Q1017" s="1"/>
  <c r="S1017" s="1"/>
  <c r="U1017" s="1"/>
  <c r="I1018"/>
  <c r="K1018" s="1"/>
  <c r="M1018" s="1"/>
  <c r="O1018" s="1"/>
  <c r="Q1018" s="1"/>
  <c r="S1018" s="1"/>
  <c r="U1018" s="1"/>
  <c r="G1133"/>
  <c r="I1134"/>
  <c r="K1134" s="1"/>
  <c r="M1134" s="1"/>
  <c r="O1134" s="1"/>
  <c r="Q1134" s="1"/>
  <c r="S1134" s="1"/>
  <c r="U1134" s="1"/>
  <c r="G459"/>
  <c r="I460"/>
  <c r="K460" s="1"/>
  <c r="M460" s="1"/>
  <c r="O460" s="1"/>
  <c r="Q460" s="1"/>
  <c r="S460" s="1"/>
  <c r="U460" s="1"/>
  <c r="G858"/>
  <c r="I862"/>
  <c r="K862" s="1"/>
  <c r="M862" s="1"/>
  <c r="O862" s="1"/>
  <c r="Q862" s="1"/>
  <c r="S862" s="1"/>
  <c r="U862" s="1"/>
  <c r="I363"/>
  <c r="K363" s="1"/>
  <c r="M363" s="1"/>
  <c r="O363" s="1"/>
  <c r="Q363" s="1"/>
  <c r="S363" s="1"/>
  <c r="U363" s="1"/>
  <c r="G362"/>
  <c r="I619"/>
  <c r="K619" s="1"/>
  <c r="M619" s="1"/>
  <c r="O619" s="1"/>
  <c r="Q619" s="1"/>
  <c r="S619" s="1"/>
  <c r="U619" s="1"/>
  <c r="G618"/>
  <c r="I993"/>
  <c r="K993" s="1"/>
  <c r="M993" s="1"/>
  <c r="O993" s="1"/>
  <c r="Q993" s="1"/>
  <c r="S993" s="1"/>
  <c r="U993" s="1"/>
  <c r="G992"/>
  <c r="I992" s="1"/>
  <c r="K992" s="1"/>
  <c r="M992" s="1"/>
  <c r="O992" s="1"/>
  <c r="Q992" s="1"/>
  <c r="S992" s="1"/>
  <c r="U992" s="1"/>
  <c r="G1672"/>
  <c r="I1672" s="1"/>
  <c r="K1672" s="1"/>
  <c r="M1672" s="1"/>
  <c r="O1672" s="1"/>
  <c r="Q1672" s="1"/>
  <c r="S1672" s="1"/>
  <c r="U1672" s="1"/>
  <c r="I1673"/>
  <c r="K1673" s="1"/>
  <c r="M1673" s="1"/>
  <c r="O1673" s="1"/>
  <c r="Q1673" s="1"/>
  <c r="S1673" s="1"/>
  <c r="U1673" s="1"/>
  <c r="I719"/>
  <c r="K719" s="1"/>
  <c r="M719" s="1"/>
  <c r="O719" s="1"/>
  <c r="Q719" s="1"/>
  <c r="S719" s="1"/>
  <c r="U719" s="1"/>
  <c r="I720"/>
  <c r="K720" s="1"/>
  <c r="M720" s="1"/>
  <c r="O720" s="1"/>
  <c r="Q720" s="1"/>
  <c r="S720" s="1"/>
  <c r="U720" s="1"/>
  <c r="H333"/>
  <c r="H1453"/>
  <c r="H1452" s="1"/>
  <c r="H1415" s="1"/>
  <c r="H95"/>
  <c r="I84"/>
  <c r="K84" s="1"/>
  <c r="M84" s="1"/>
  <c r="O84" s="1"/>
  <c r="Q84" s="1"/>
  <c r="S84" s="1"/>
  <c r="U84" s="1"/>
  <c r="G1728"/>
  <c r="H395"/>
  <c r="H394" s="1"/>
  <c r="E21" i="1"/>
  <c r="H866" i="5"/>
  <c r="E24" i="1"/>
  <c r="G1226" i="5"/>
  <c r="I1227"/>
  <c r="K1227" s="1"/>
  <c r="M1227" s="1"/>
  <c r="O1227" s="1"/>
  <c r="Q1227" s="1"/>
  <c r="S1227" s="1"/>
  <c r="U1227" s="1"/>
  <c r="G1073"/>
  <c r="I1074"/>
  <c r="K1074" s="1"/>
  <c r="M1074" s="1"/>
  <c r="O1074" s="1"/>
  <c r="Q1074" s="1"/>
  <c r="S1074" s="1"/>
  <c r="U1074" s="1"/>
  <c r="G847"/>
  <c r="I848"/>
  <c r="K848" s="1"/>
  <c r="M848" s="1"/>
  <c r="O848" s="1"/>
  <c r="Q848" s="1"/>
  <c r="S848" s="1"/>
  <c r="U848" s="1"/>
  <c r="G704"/>
  <c r="I705"/>
  <c r="K705" s="1"/>
  <c r="M705" s="1"/>
  <c r="O705" s="1"/>
  <c r="Q705" s="1"/>
  <c r="S705" s="1"/>
  <c r="U705" s="1"/>
  <c r="G504"/>
  <c r="I505"/>
  <c r="K505" s="1"/>
  <c r="M505" s="1"/>
  <c r="O505" s="1"/>
  <c r="Q505" s="1"/>
  <c r="S505" s="1"/>
  <c r="U505" s="1"/>
  <c r="G672"/>
  <c r="I673"/>
  <c r="K673" s="1"/>
  <c r="M673" s="1"/>
  <c r="O673" s="1"/>
  <c r="Q673" s="1"/>
  <c r="S673" s="1"/>
  <c r="U673" s="1"/>
  <c r="G853"/>
  <c r="I854"/>
  <c r="K854" s="1"/>
  <c r="M854" s="1"/>
  <c r="O854" s="1"/>
  <c r="Q854" s="1"/>
  <c r="S854" s="1"/>
  <c r="U854" s="1"/>
  <c r="G1030"/>
  <c r="I1030" s="1"/>
  <c r="K1030" s="1"/>
  <c r="M1030" s="1"/>
  <c r="O1030" s="1"/>
  <c r="Q1030" s="1"/>
  <c r="S1030" s="1"/>
  <c r="U1030" s="1"/>
  <c r="I1031"/>
  <c r="K1031" s="1"/>
  <c r="M1031" s="1"/>
  <c r="O1031" s="1"/>
  <c r="Q1031" s="1"/>
  <c r="S1031" s="1"/>
  <c r="U1031" s="1"/>
  <c r="G1515"/>
  <c r="I1516"/>
  <c r="K1516" s="1"/>
  <c r="M1516" s="1"/>
  <c r="O1516" s="1"/>
  <c r="Q1516" s="1"/>
  <c r="S1516" s="1"/>
  <c r="U1516" s="1"/>
  <c r="G475"/>
  <c r="I476"/>
  <c r="K476" s="1"/>
  <c r="M476" s="1"/>
  <c r="O476" s="1"/>
  <c r="Q476" s="1"/>
  <c r="S476" s="1"/>
  <c r="U476" s="1"/>
  <c r="G1119"/>
  <c r="I1120"/>
  <c r="K1120" s="1"/>
  <c r="M1120" s="1"/>
  <c r="O1120" s="1"/>
  <c r="Q1120" s="1"/>
  <c r="S1120" s="1"/>
  <c r="U1120" s="1"/>
  <c r="G1307"/>
  <c r="I1308"/>
  <c r="K1308" s="1"/>
  <c r="M1308" s="1"/>
  <c r="O1308" s="1"/>
  <c r="Q1308" s="1"/>
  <c r="S1308" s="1"/>
  <c r="U1308" s="1"/>
  <c r="G1660"/>
  <c r="I1660" s="1"/>
  <c r="K1660" s="1"/>
  <c r="M1660" s="1"/>
  <c r="O1660" s="1"/>
  <c r="Q1660" s="1"/>
  <c r="S1660" s="1"/>
  <c r="U1660" s="1"/>
  <c r="I1661"/>
  <c r="K1661" s="1"/>
  <c r="M1661" s="1"/>
  <c r="O1661" s="1"/>
  <c r="Q1661" s="1"/>
  <c r="S1661" s="1"/>
  <c r="U1661" s="1"/>
  <c r="G1290"/>
  <c r="I1293"/>
  <c r="K1293" s="1"/>
  <c r="M1293" s="1"/>
  <c r="O1293" s="1"/>
  <c r="Q1293" s="1"/>
  <c r="S1293" s="1"/>
  <c r="U1293" s="1"/>
  <c r="I1426"/>
  <c r="K1426" s="1"/>
  <c r="M1426" s="1"/>
  <c r="O1426" s="1"/>
  <c r="Q1426" s="1"/>
  <c r="S1426" s="1"/>
  <c r="U1426" s="1"/>
  <c r="G1425"/>
  <c r="I97"/>
  <c r="K97" s="1"/>
  <c r="M97" s="1"/>
  <c r="O97" s="1"/>
  <c r="Q97" s="1"/>
  <c r="S97" s="1"/>
  <c r="U97" s="1"/>
  <c r="G96"/>
  <c r="G95" s="1"/>
  <c r="G278"/>
  <c r="I279"/>
  <c r="K279" s="1"/>
  <c r="M279" s="1"/>
  <c r="O279" s="1"/>
  <c r="Q279" s="1"/>
  <c r="S279" s="1"/>
  <c r="U279" s="1"/>
  <c r="I613"/>
  <c r="K613" s="1"/>
  <c r="M613" s="1"/>
  <c r="O613" s="1"/>
  <c r="Q613" s="1"/>
  <c r="S613" s="1"/>
  <c r="U613" s="1"/>
  <c r="G612"/>
  <c r="G976"/>
  <c r="I980"/>
  <c r="K980" s="1"/>
  <c r="M980" s="1"/>
  <c r="O980" s="1"/>
  <c r="Q980" s="1"/>
  <c r="S980" s="1"/>
  <c r="U980" s="1"/>
  <c r="G1625"/>
  <c r="I1626"/>
  <c r="K1626" s="1"/>
  <c r="M1626" s="1"/>
  <c r="O1626" s="1"/>
  <c r="Q1626" s="1"/>
  <c r="S1626" s="1"/>
  <c r="U1626" s="1"/>
  <c r="G421"/>
  <c r="I422"/>
  <c r="K422" s="1"/>
  <c r="M422" s="1"/>
  <c r="O422" s="1"/>
  <c r="Q422" s="1"/>
  <c r="S422" s="1"/>
  <c r="U422" s="1"/>
  <c r="I1087"/>
  <c r="K1087" s="1"/>
  <c r="M1087" s="1"/>
  <c r="O1087" s="1"/>
  <c r="Q1087" s="1"/>
  <c r="S1087" s="1"/>
  <c r="U1087" s="1"/>
  <c r="G1086"/>
  <c r="I1086" s="1"/>
  <c r="K1086" s="1"/>
  <c r="M1086" s="1"/>
  <c r="O1086" s="1"/>
  <c r="Q1086" s="1"/>
  <c r="S1086" s="1"/>
  <c r="U1086" s="1"/>
  <c r="G1411"/>
  <c r="I1412"/>
  <c r="K1412" s="1"/>
  <c r="M1412" s="1"/>
  <c r="O1412" s="1"/>
  <c r="Q1412" s="1"/>
  <c r="S1412" s="1"/>
  <c r="U1412" s="1"/>
  <c r="G319"/>
  <c r="I320"/>
  <c r="K320" s="1"/>
  <c r="M320" s="1"/>
  <c r="O320" s="1"/>
  <c r="Q320" s="1"/>
  <c r="S320" s="1"/>
  <c r="U320" s="1"/>
  <c r="G465"/>
  <c r="I466"/>
  <c r="K466" s="1"/>
  <c r="M466" s="1"/>
  <c r="O466" s="1"/>
  <c r="Q466" s="1"/>
  <c r="S466" s="1"/>
  <c r="U466" s="1"/>
  <c r="G545"/>
  <c r="I546"/>
  <c r="K546" s="1"/>
  <c r="M546" s="1"/>
  <c r="O546" s="1"/>
  <c r="Q546" s="1"/>
  <c r="S546" s="1"/>
  <c r="U546" s="1"/>
  <c r="G678"/>
  <c r="I679"/>
  <c r="K679" s="1"/>
  <c r="M679" s="1"/>
  <c r="O679" s="1"/>
  <c r="Q679" s="1"/>
  <c r="S679" s="1"/>
  <c r="U679" s="1"/>
  <c r="G949"/>
  <c r="I950"/>
  <c r="K950" s="1"/>
  <c r="M950" s="1"/>
  <c r="O950" s="1"/>
  <c r="Q950" s="1"/>
  <c r="S950" s="1"/>
  <c r="U950" s="1"/>
  <c r="G1068"/>
  <c r="I1069"/>
  <c r="K1069" s="1"/>
  <c r="M1069" s="1"/>
  <c r="O1069" s="1"/>
  <c r="Q1069" s="1"/>
  <c r="S1069" s="1"/>
  <c r="U1069" s="1"/>
  <c r="G1128"/>
  <c r="I1129"/>
  <c r="K1129" s="1"/>
  <c r="M1129" s="1"/>
  <c r="O1129" s="1"/>
  <c r="Q1129" s="1"/>
  <c r="S1129" s="1"/>
  <c r="U1129" s="1"/>
  <c r="G1232"/>
  <c r="I1232" s="1"/>
  <c r="K1232" s="1"/>
  <c r="M1232" s="1"/>
  <c r="O1232" s="1"/>
  <c r="Q1232" s="1"/>
  <c r="S1232" s="1"/>
  <c r="U1232" s="1"/>
  <c r="I1233"/>
  <c r="K1233" s="1"/>
  <c r="M1233" s="1"/>
  <c r="O1233" s="1"/>
  <c r="Q1233" s="1"/>
  <c r="S1233" s="1"/>
  <c r="U1233" s="1"/>
  <c r="G1347"/>
  <c r="I1351"/>
  <c r="K1351" s="1"/>
  <c r="M1351" s="1"/>
  <c r="O1351" s="1"/>
  <c r="Q1351" s="1"/>
  <c r="S1351" s="1"/>
  <c r="U1351" s="1"/>
  <c r="G1736"/>
  <c r="I1737"/>
  <c r="K1737" s="1"/>
  <c r="M1737" s="1"/>
  <c r="O1737" s="1"/>
  <c r="Q1737" s="1"/>
  <c r="S1737" s="1"/>
  <c r="U1737" s="1"/>
  <c r="G1141"/>
  <c r="I1141" s="1"/>
  <c r="K1141" s="1"/>
  <c r="M1141" s="1"/>
  <c r="O1141" s="1"/>
  <c r="Q1141" s="1"/>
  <c r="S1141" s="1"/>
  <c r="U1141" s="1"/>
  <c r="I1142"/>
  <c r="K1142" s="1"/>
  <c r="M1142" s="1"/>
  <c r="O1142" s="1"/>
  <c r="Q1142" s="1"/>
  <c r="S1142" s="1"/>
  <c r="U1142" s="1"/>
  <c r="G744"/>
  <c r="I745"/>
  <c r="K745" s="1"/>
  <c r="M745" s="1"/>
  <c r="O745" s="1"/>
  <c r="Q745" s="1"/>
  <c r="S745" s="1"/>
  <c r="U745" s="1"/>
  <c r="G1099"/>
  <c r="I1099" s="1"/>
  <c r="K1099" s="1"/>
  <c r="M1099" s="1"/>
  <c r="O1099" s="1"/>
  <c r="Q1099" s="1"/>
  <c r="S1099" s="1"/>
  <c r="U1099" s="1"/>
  <c r="I1100"/>
  <c r="K1100" s="1"/>
  <c r="M1100" s="1"/>
  <c r="O1100" s="1"/>
  <c r="Q1100" s="1"/>
  <c r="S1100" s="1"/>
  <c r="U1100" s="1"/>
  <c r="G1218"/>
  <c r="I1219"/>
  <c r="K1219" s="1"/>
  <c r="M1219" s="1"/>
  <c r="O1219" s="1"/>
  <c r="Q1219" s="1"/>
  <c r="S1219" s="1"/>
  <c r="U1219" s="1"/>
  <c r="G1371"/>
  <c r="I1375"/>
  <c r="K1375" s="1"/>
  <c r="M1375" s="1"/>
  <c r="O1375" s="1"/>
  <c r="Q1375" s="1"/>
  <c r="S1375" s="1"/>
  <c r="U1375" s="1"/>
  <c r="G754"/>
  <c r="I754" s="1"/>
  <c r="K754" s="1"/>
  <c r="M754" s="1"/>
  <c r="O754" s="1"/>
  <c r="Q754" s="1"/>
  <c r="S754" s="1"/>
  <c r="U754" s="1"/>
  <c r="I755"/>
  <c r="K755" s="1"/>
  <c r="M755" s="1"/>
  <c r="O755" s="1"/>
  <c r="Q755" s="1"/>
  <c r="S755" s="1"/>
  <c r="U755" s="1"/>
  <c r="G910"/>
  <c r="I911"/>
  <c r="K911" s="1"/>
  <c r="M911" s="1"/>
  <c r="O911" s="1"/>
  <c r="Q911" s="1"/>
  <c r="S911" s="1"/>
  <c r="U911" s="1"/>
  <c r="G1050"/>
  <c r="I1051"/>
  <c r="K1051" s="1"/>
  <c r="M1051" s="1"/>
  <c r="O1051" s="1"/>
  <c r="Q1051" s="1"/>
  <c r="S1051" s="1"/>
  <c r="U1051" s="1"/>
  <c r="G1363"/>
  <c r="I1367"/>
  <c r="K1367" s="1"/>
  <c r="M1367" s="1"/>
  <c r="O1367" s="1"/>
  <c r="Q1367" s="1"/>
  <c r="S1367" s="1"/>
  <c r="U1367" s="1"/>
  <c r="G1632"/>
  <c r="I1633"/>
  <c r="K1633" s="1"/>
  <c r="M1633" s="1"/>
  <c r="O1633" s="1"/>
  <c r="Q1633" s="1"/>
  <c r="S1633" s="1"/>
  <c r="U1633" s="1"/>
  <c r="H1066"/>
  <c r="H1065" s="1"/>
  <c r="G808"/>
  <c r="I748"/>
  <c r="K748" s="1"/>
  <c r="M748" s="1"/>
  <c r="O748" s="1"/>
  <c r="Q748" s="1"/>
  <c r="S748" s="1"/>
  <c r="U748" s="1"/>
  <c r="H1367" i="6"/>
  <c r="J1367" s="1"/>
  <c r="L1367" s="1"/>
  <c r="N1367" s="1"/>
  <c r="P1367" s="1"/>
  <c r="R1367" s="1"/>
  <c r="T1367" s="1"/>
  <c r="G587"/>
  <c r="G586" s="1"/>
  <c r="H751"/>
  <c r="J751" s="1"/>
  <c r="L751" s="1"/>
  <c r="N751" s="1"/>
  <c r="P751" s="1"/>
  <c r="R751" s="1"/>
  <c r="T751" s="1"/>
  <c r="F935"/>
  <c r="H935" s="1"/>
  <c r="J935" s="1"/>
  <c r="L935" s="1"/>
  <c r="N935" s="1"/>
  <c r="P935" s="1"/>
  <c r="R935" s="1"/>
  <c r="T935" s="1"/>
  <c r="H65"/>
  <c r="J65" s="1"/>
  <c r="L65" s="1"/>
  <c r="N65" s="1"/>
  <c r="P65" s="1"/>
  <c r="R65" s="1"/>
  <c r="T65" s="1"/>
  <c r="H64"/>
  <c r="J64" s="1"/>
  <c r="L64" s="1"/>
  <c r="N64" s="1"/>
  <c r="P64" s="1"/>
  <c r="R64" s="1"/>
  <c r="T64" s="1"/>
  <c r="H741"/>
  <c r="J741" s="1"/>
  <c r="L741" s="1"/>
  <c r="N741" s="1"/>
  <c r="P741" s="1"/>
  <c r="R741" s="1"/>
  <c r="T741" s="1"/>
  <c r="G1530"/>
  <c r="G1529" s="1"/>
  <c r="G1523" s="1"/>
  <c r="H739"/>
  <c r="J739" s="1"/>
  <c r="L739" s="1"/>
  <c r="N739" s="1"/>
  <c r="P739" s="1"/>
  <c r="R739" s="1"/>
  <c r="T739" s="1"/>
  <c r="G1428"/>
  <c r="H1428" s="1"/>
  <c r="J1428" s="1"/>
  <c r="L1428" s="1"/>
  <c r="N1428" s="1"/>
  <c r="P1428" s="1"/>
  <c r="R1428" s="1"/>
  <c r="T1428" s="1"/>
  <c r="H514"/>
  <c r="J514" s="1"/>
  <c r="L514" s="1"/>
  <c r="N514" s="1"/>
  <c r="P514" s="1"/>
  <c r="R514" s="1"/>
  <c r="T514" s="1"/>
  <c r="G504"/>
  <c r="G464" s="1"/>
  <c r="H1204" i="5"/>
  <c r="I1205"/>
  <c r="K1205" s="1"/>
  <c r="M1205" s="1"/>
  <c r="O1205" s="1"/>
  <c r="Q1205" s="1"/>
  <c r="S1205" s="1"/>
  <c r="U1205" s="1"/>
  <c r="H1433" i="6"/>
  <c r="J1433" s="1"/>
  <c r="L1433" s="1"/>
  <c r="N1433" s="1"/>
  <c r="P1433" s="1"/>
  <c r="R1433" s="1"/>
  <c r="T1433" s="1"/>
  <c r="H582"/>
  <c r="J582" s="1"/>
  <c r="L582" s="1"/>
  <c r="N582" s="1"/>
  <c r="P582" s="1"/>
  <c r="R582" s="1"/>
  <c r="T582" s="1"/>
  <c r="F1498"/>
  <c r="H1499"/>
  <c r="J1499" s="1"/>
  <c r="L1499" s="1"/>
  <c r="N1499" s="1"/>
  <c r="P1499" s="1"/>
  <c r="R1499" s="1"/>
  <c r="T1499" s="1"/>
  <c r="F1062"/>
  <c r="H1063"/>
  <c r="J1063" s="1"/>
  <c r="L1063" s="1"/>
  <c r="N1063" s="1"/>
  <c r="P1063" s="1"/>
  <c r="R1063" s="1"/>
  <c r="T1063" s="1"/>
  <c r="F1754"/>
  <c r="H1755"/>
  <c r="J1755" s="1"/>
  <c r="L1755" s="1"/>
  <c r="N1755" s="1"/>
  <c r="P1755" s="1"/>
  <c r="R1755" s="1"/>
  <c r="T1755" s="1"/>
  <c r="F1141"/>
  <c r="H1142"/>
  <c r="J1142" s="1"/>
  <c r="L1142" s="1"/>
  <c r="N1142" s="1"/>
  <c r="P1142" s="1"/>
  <c r="R1142" s="1"/>
  <c r="T1142" s="1"/>
  <c r="F1126"/>
  <c r="H1127"/>
  <c r="J1127" s="1"/>
  <c r="L1127" s="1"/>
  <c r="N1127" s="1"/>
  <c r="P1127" s="1"/>
  <c r="R1127" s="1"/>
  <c r="T1127" s="1"/>
  <c r="F1099"/>
  <c r="H1100"/>
  <c r="J1100" s="1"/>
  <c r="L1100" s="1"/>
  <c r="N1100" s="1"/>
  <c r="P1100" s="1"/>
  <c r="R1100" s="1"/>
  <c r="T1100" s="1"/>
  <c r="F767"/>
  <c r="H768"/>
  <c r="J768" s="1"/>
  <c r="L768" s="1"/>
  <c r="N768" s="1"/>
  <c r="P768" s="1"/>
  <c r="R768" s="1"/>
  <c r="T768" s="1"/>
  <c r="F468"/>
  <c r="H469"/>
  <c r="J469" s="1"/>
  <c r="L469" s="1"/>
  <c r="N469" s="1"/>
  <c r="P469" s="1"/>
  <c r="R469" s="1"/>
  <c r="T469" s="1"/>
  <c r="F1328"/>
  <c r="H1331"/>
  <c r="J1331" s="1"/>
  <c r="L1331" s="1"/>
  <c r="N1331" s="1"/>
  <c r="P1331" s="1"/>
  <c r="R1331" s="1"/>
  <c r="T1331" s="1"/>
  <c r="F436"/>
  <c r="H437"/>
  <c r="J437" s="1"/>
  <c r="L437" s="1"/>
  <c r="N437" s="1"/>
  <c r="P437" s="1"/>
  <c r="R437" s="1"/>
  <c r="T437" s="1"/>
  <c r="F326"/>
  <c r="H327"/>
  <c r="J327" s="1"/>
  <c r="L327" s="1"/>
  <c r="N327" s="1"/>
  <c r="P327" s="1"/>
  <c r="R327" s="1"/>
  <c r="T327" s="1"/>
  <c r="F177"/>
  <c r="H177" s="1"/>
  <c r="J177" s="1"/>
  <c r="L177" s="1"/>
  <c r="N177" s="1"/>
  <c r="P177" s="1"/>
  <c r="R177" s="1"/>
  <c r="T177" s="1"/>
  <c r="H178"/>
  <c r="J178" s="1"/>
  <c r="L178" s="1"/>
  <c r="N178" s="1"/>
  <c r="P178" s="1"/>
  <c r="R178" s="1"/>
  <c r="T178" s="1"/>
  <c r="F564"/>
  <c r="H565"/>
  <c r="J565" s="1"/>
  <c r="L565" s="1"/>
  <c r="N565" s="1"/>
  <c r="P565" s="1"/>
  <c r="R565" s="1"/>
  <c r="T565" s="1"/>
  <c r="F160"/>
  <c r="H161"/>
  <c r="J161" s="1"/>
  <c r="L161" s="1"/>
  <c r="N161" s="1"/>
  <c r="P161" s="1"/>
  <c r="R161" s="1"/>
  <c r="T161" s="1"/>
  <c r="F568"/>
  <c r="H569"/>
  <c r="J569" s="1"/>
  <c r="L569" s="1"/>
  <c r="N569" s="1"/>
  <c r="P569" s="1"/>
  <c r="R569" s="1"/>
  <c r="T569" s="1"/>
  <c r="F759"/>
  <c r="H760"/>
  <c r="J760" s="1"/>
  <c r="L760" s="1"/>
  <c r="N760" s="1"/>
  <c r="P760" s="1"/>
  <c r="R760" s="1"/>
  <c r="T760" s="1"/>
  <c r="F1537"/>
  <c r="H1537" s="1"/>
  <c r="J1537" s="1"/>
  <c r="L1537" s="1"/>
  <c r="N1537" s="1"/>
  <c r="P1537" s="1"/>
  <c r="R1537" s="1"/>
  <c r="T1537" s="1"/>
  <c r="H1538"/>
  <c r="J1538" s="1"/>
  <c r="L1538" s="1"/>
  <c r="N1538" s="1"/>
  <c r="P1538" s="1"/>
  <c r="R1538" s="1"/>
  <c r="T1538" s="1"/>
  <c r="F984"/>
  <c r="H985"/>
  <c r="J985" s="1"/>
  <c r="L985" s="1"/>
  <c r="N985" s="1"/>
  <c r="P985" s="1"/>
  <c r="R985" s="1"/>
  <c r="T985" s="1"/>
  <c r="F226"/>
  <c r="H227"/>
  <c r="J227" s="1"/>
  <c r="L227" s="1"/>
  <c r="N227" s="1"/>
  <c r="P227" s="1"/>
  <c r="R227" s="1"/>
  <c r="T227" s="1"/>
  <c r="H1722"/>
  <c r="J1722" s="1"/>
  <c r="L1722" s="1"/>
  <c r="N1722" s="1"/>
  <c r="P1722" s="1"/>
  <c r="R1722" s="1"/>
  <c r="T1722" s="1"/>
  <c r="F1759"/>
  <c r="H1760"/>
  <c r="J1760" s="1"/>
  <c r="L1760" s="1"/>
  <c r="N1760" s="1"/>
  <c r="P1760" s="1"/>
  <c r="R1760" s="1"/>
  <c r="T1760" s="1"/>
  <c r="F1131"/>
  <c r="H1132"/>
  <c r="J1132" s="1"/>
  <c r="L1132" s="1"/>
  <c r="N1132" s="1"/>
  <c r="P1132" s="1"/>
  <c r="R1132" s="1"/>
  <c r="T1132" s="1"/>
  <c r="F1239"/>
  <c r="H1240"/>
  <c r="J1240" s="1"/>
  <c r="L1240" s="1"/>
  <c r="N1240" s="1"/>
  <c r="P1240" s="1"/>
  <c r="R1240" s="1"/>
  <c r="T1240" s="1"/>
  <c r="F868"/>
  <c r="H869"/>
  <c r="J869" s="1"/>
  <c r="L869" s="1"/>
  <c r="N869" s="1"/>
  <c r="P869" s="1"/>
  <c r="R869" s="1"/>
  <c r="T869" s="1"/>
  <c r="F488"/>
  <c r="H489"/>
  <c r="J489" s="1"/>
  <c r="L489" s="1"/>
  <c r="N489" s="1"/>
  <c r="P489" s="1"/>
  <c r="R489" s="1"/>
  <c r="T489" s="1"/>
  <c r="F460"/>
  <c r="H461"/>
  <c r="J461" s="1"/>
  <c r="L461" s="1"/>
  <c r="N461" s="1"/>
  <c r="P461" s="1"/>
  <c r="R461" s="1"/>
  <c r="T461" s="1"/>
  <c r="F252"/>
  <c r="H253"/>
  <c r="J253" s="1"/>
  <c r="L253" s="1"/>
  <c r="N253" s="1"/>
  <c r="P253" s="1"/>
  <c r="R253" s="1"/>
  <c r="T253" s="1"/>
  <c r="F330"/>
  <c r="H330" s="1"/>
  <c r="J330" s="1"/>
  <c r="L330" s="1"/>
  <c r="N330" s="1"/>
  <c r="P330" s="1"/>
  <c r="R330" s="1"/>
  <c r="T330" s="1"/>
  <c r="H331"/>
  <c r="J331" s="1"/>
  <c r="L331" s="1"/>
  <c r="N331" s="1"/>
  <c r="P331" s="1"/>
  <c r="R331" s="1"/>
  <c r="T331" s="1"/>
  <c r="F1274"/>
  <c r="H1275"/>
  <c r="J1275" s="1"/>
  <c r="L1275" s="1"/>
  <c r="N1275" s="1"/>
  <c r="P1275" s="1"/>
  <c r="R1275" s="1"/>
  <c r="T1275" s="1"/>
  <c r="F185"/>
  <c r="H186"/>
  <c r="J186" s="1"/>
  <c r="L186" s="1"/>
  <c r="N186" s="1"/>
  <c r="P186" s="1"/>
  <c r="R186" s="1"/>
  <c r="T186" s="1"/>
  <c r="F860"/>
  <c r="H860" s="1"/>
  <c r="J860" s="1"/>
  <c r="L860" s="1"/>
  <c r="N860" s="1"/>
  <c r="P860" s="1"/>
  <c r="R860" s="1"/>
  <c r="T860" s="1"/>
  <c r="H861"/>
  <c r="J861" s="1"/>
  <c r="L861" s="1"/>
  <c r="N861" s="1"/>
  <c r="P861" s="1"/>
  <c r="R861" s="1"/>
  <c r="T861" s="1"/>
  <c r="F1050"/>
  <c r="H1051"/>
  <c r="J1051" s="1"/>
  <c r="L1051" s="1"/>
  <c r="N1051" s="1"/>
  <c r="P1051" s="1"/>
  <c r="R1051" s="1"/>
  <c r="T1051" s="1"/>
  <c r="F1470"/>
  <c r="H1471"/>
  <c r="J1471" s="1"/>
  <c r="L1471" s="1"/>
  <c r="N1471" s="1"/>
  <c r="P1471" s="1"/>
  <c r="R1471" s="1"/>
  <c r="T1471" s="1"/>
  <c r="F1226"/>
  <c r="H1227"/>
  <c r="J1227" s="1"/>
  <c r="L1227" s="1"/>
  <c r="N1227" s="1"/>
  <c r="P1227" s="1"/>
  <c r="R1227" s="1"/>
  <c r="T1227" s="1"/>
  <c r="F314"/>
  <c r="H315"/>
  <c r="J315" s="1"/>
  <c r="L315" s="1"/>
  <c r="N315" s="1"/>
  <c r="P315" s="1"/>
  <c r="R315" s="1"/>
  <c r="T315" s="1"/>
  <c r="F87"/>
  <c r="H88"/>
  <c r="J88" s="1"/>
  <c r="L88" s="1"/>
  <c r="N88" s="1"/>
  <c r="P88" s="1"/>
  <c r="R88" s="1"/>
  <c r="T88" s="1"/>
  <c r="G1751"/>
  <c r="G1750" s="1"/>
  <c r="H742"/>
  <c r="J742" s="1"/>
  <c r="L742" s="1"/>
  <c r="N742" s="1"/>
  <c r="P742" s="1"/>
  <c r="R742" s="1"/>
  <c r="T742" s="1"/>
  <c r="H1430"/>
  <c r="J1430" s="1"/>
  <c r="L1430" s="1"/>
  <c r="N1430" s="1"/>
  <c r="P1430" s="1"/>
  <c r="R1430" s="1"/>
  <c r="T1430" s="1"/>
  <c r="H740"/>
  <c r="J740" s="1"/>
  <c r="L740" s="1"/>
  <c r="N740" s="1"/>
  <c r="P740" s="1"/>
  <c r="R740" s="1"/>
  <c r="T740" s="1"/>
  <c r="G1336"/>
  <c r="G1335" s="1"/>
  <c r="H679"/>
  <c r="J679" s="1"/>
  <c r="L679" s="1"/>
  <c r="N679" s="1"/>
  <c r="P679" s="1"/>
  <c r="R679" s="1"/>
  <c r="T679" s="1"/>
  <c r="F506"/>
  <c r="H507"/>
  <c r="J507" s="1"/>
  <c r="L507" s="1"/>
  <c r="N507" s="1"/>
  <c r="P507" s="1"/>
  <c r="R507" s="1"/>
  <c r="T507" s="1"/>
  <c r="F147"/>
  <c r="H148"/>
  <c r="J148" s="1"/>
  <c r="L148" s="1"/>
  <c r="N148" s="1"/>
  <c r="P148" s="1"/>
  <c r="R148" s="1"/>
  <c r="T148" s="1"/>
  <c r="F893"/>
  <c r="H897"/>
  <c r="J897" s="1"/>
  <c r="L897" s="1"/>
  <c r="N897" s="1"/>
  <c r="P897" s="1"/>
  <c r="R897" s="1"/>
  <c r="T897" s="1"/>
  <c r="F944"/>
  <c r="H944" s="1"/>
  <c r="J944" s="1"/>
  <c r="L944" s="1"/>
  <c r="N944" s="1"/>
  <c r="P944" s="1"/>
  <c r="R944" s="1"/>
  <c r="T944" s="1"/>
  <c r="H945"/>
  <c r="J945" s="1"/>
  <c r="L945" s="1"/>
  <c r="N945" s="1"/>
  <c r="P945" s="1"/>
  <c r="R945" s="1"/>
  <c r="T945" s="1"/>
  <c r="F1675"/>
  <c r="H1676"/>
  <c r="J1676" s="1"/>
  <c r="L1676" s="1"/>
  <c r="N1676" s="1"/>
  <c r="P1676" s="1"/>
  <c r="R1676" s="1"/>
  <c r="T1676" s="1"/>
  <c r="F1577"/>
  <c r="H1577" s="1"/>
  <c r="J1577" s="1"/>
  <c r="L1577" s="1"/>
  <c r="N1577" s="1"/>
  <c r="P1577" s="1"/>
  <c r="R1577" s="1"/>
  <c r="T1577" s="1"/>
  <c r="H1578"/>
  <c r="J1578" s="1"/>
  <c r="L1578" s="1"/>
  <c r="N1578" s="1"/>
  <c r="P1578" s="1"/>
  <c r="R1578" s="1"/>
  <c r="T1578" s="1"/>
  <c r="F1159"/>
  <c r="H1160"/>
  <c r="J1160" s="1"/>
  <c r="L1160" s="1"/>
  <c r="N1160" s="1"/>
  <c r="P1160" s="1"/>
  <c r="R1160" s="1"/>
  <c r="T1160" s="1"/>
  <c r="F1093"/>
  <c r="H1094"/>
  <c r="J1094" s="1"/>
  <c r="L1094" s="1"/>
  <c r="N1094" s="1"/>
  <c r="P1094" s="1"/>
  <c r="R1094" s="1"/>
  <c r="T1094" s="1"/>
  <c r="F799"/>
  <c r="H800"/>
  <c r="J800" s="1"/>
  <c r="L800" s="1"/>
  <c r="N800" s="1"/>
  <c r="P800" s="1"/>
  <c r="R800" s="1"/>
  <c r="T800" s="1"/>
  <c r="F1618"/>
  <c r="H1619"/>
  <c r="J1619" s="1"/>
  <c r="L1619" s="1"/>
  <c r="N1619" s="1"/>
  <c r="P1619" s="1"/>
  <c r="R1619" s="1"/>
  <c r="T1619" s="1"/>
  <c r="F386"/>
  <c r="H387"/>
  <c r="J387" s="1"/>
  <c r="L387" s="1"/>
  <c r="N387" s="1"/>
  <c r="P387" s="1"/>
  <c r="R387" s="1"/>
  <c r="T387" s="1"/>
  <c r="F428"/>
  <c r="H429"/>
  <c r="J429" s="1"/>
  <c r="L429" s="1"/>
  <c r="N429" s="1"/>
  <c r="P429" s="1"/>
  <c r="R429" s="1"/>
  <c r="T429" s="1"/>
  <c r="F318"/>
  <c r="H318" s="1"/>
  <c r="J318" s="1"/>
  <c r="L318" s="1"/>
  <c r="N318" s="1"/>
  <c r="P318" s="1"/>
  <c r="R318" s="1"/>
  <c r="T318" s="1"/>
  <c r="H319"/>
  <c r="J319" s="1"/>
  <c r="L319" s="1"/>
  <c r="N319" s="1"/>
  <c r="P319" s="1"/>
  <c r="R319" s="1"/>
  <c r="T319" s="1"/>
  <c r="F1553"/>
  <c r="H1554"/>
  <c r="J1554" s="1"/>
  <c r="L1554" s="1"/>
  <c r="N1554" s="1"/>
  <c r="P1554" s="1"/>
  <c r="R1554" s="1"/>
  <c r="T1554" s="1"/>
  <c r="F135"/>
  <c r="H136"/>
  <c r="J136" s="1"/>
  <c r="L136" s="1"/>
  <c r="N136" s="1"/>
  <c r="P136" s="1"/>
  <c r="R136" s="1"/>
  <c r="T136" s="1"/>
  <c r="F1440"/>
  <c r="H1441"/>
  <c r="J1441" s="1"/>
  <c r="L1441" s="1"/>
  <c r="N1441" s="1"/>
  <c r="P1441" s="1"/>
  <c r="R1441" s="1"/>
  <c r="T1441" s="1"/>
  <c r="F1045"/>
  <c r="H1046"/>
  <c r="J1046" s="1"/>
  <c r="L1046" s="1"/>
  <c r="N1046" s="1"/>
  <c r="P1046" s="1"/>
  <c r="R1046" s="1"/>
  <c r="T1046" s="1"/>
  <c r="F965"/>
  <c r="H966"/>
  <c r="J966" s="1"/>
  <c r="L966" s="1"/>
  <c r="N966" s="1"/>
  <c r="P966" s="1"/>
  <c r="R966" s="1"/>
  <c r="T966" s="1"/>
  <c r="F1511"/>
  <c r="H1512"/>
  <c r="J1512" s="1"/>
  <c r="L1512" s="1"/>
  <c r="N1512" s="1"/>
  <c r="P1512" s="1"/>
  <c r="R1512" s="1"/>
  <c r="T1512" s="1"/>
  <c r="F1056"/>
  <c r="H1057"/>
  <c r="J1057" s="1"/>
  <c r="L1057" s="1"/>
  <c r="N1057" s="1"/>
  <c r="P1057" s="1"/>
  <c r="R1057" s="1"/>
  <c r="T1057" s="1"/>
  <c r="F977"/>
  <c r="H978"/>
  <c r="J978" s="1"/>
  <c r="L978" s="1"/>
  <c r="N978" s="1"/>
  <c r="P978" s="1"/>
  <c r="R978" s="1"/>
  <c r="T978" s="1"/>
  <c r="F1746"/>
  <c r="H1747"/>
  <c r="J1747" s="1"/>
  <c r="L1747" s="1"/>
  <c r="N1747" s="1"/>
  <c r="P1747" s="1"/>
  <c r="R1747" s="1"/>
  <c r="T1747" s="1"/>
  <c r="H1766"/>
  <c r="F771"/>
  <c r="H772"/>
  <c r="J772" s="1"/>
  <c r="L772" s="1"/>
  <c r="N772" s="1"/>
  <c r="P772" s="1"/>
  <c r="R772" s="1"/>
  <c r="T772" s="1"/>
  <c r="F1147"/>
  <c r="H1148"/>
  <c r="J1148" s="1"/>
  <c r="L1148" s="1"/>
  <c r="N1148" s="1"/>
  <c r="P1148" s="1"/>
  <c r="R1148" s="1"/>
  <c r="T1148" s="1"/>
  <c r="H1609"/>
  <c r="J1609" s="1"/>
  <c r="L1609" s="1"/>
  <c r="N1609" s="1"/>
  <c r="P1609" s="1"/>
  <c r="R1609" s="1"/>
  <c r="T1609" s="1"/>
  <c r="F1584"/>
  <c r="H1585"/>
  <c r="J1585" s="1"/>
  <c r="L1585" s="1"/>
  <c r="N1585" s="1"/>
  <c r="P1585" s="1"/>
  <c r="R1585" s="1"/>
  <c r="T1585" s="1"/>
  <c r="F1601"/>
  <c r="H1602"/>
  <c r="J1602" s="1"/>
  <c r="L1602" s="1"/>
  <c r="N1602" s="1"/>
  <c r="P1602" s="1"/>
  <c r="R1602" s="1"/>
  <c r="T1602" s="1"/>
  <c r="F556"/>
  <c r="H556" s="1"/>
  <c r="J556" s="1"/>
  <c r="L556" s="1"/>
  <c r="N556" s="1"/>
  <c r="P556" s="1"/>
  <c r="R556" s="1"/>
  <c r="T556" s="1"/>
  <c r="H557"/>
  <c r="J557" s="1"/>
  <c r="L557" s="1"/>
  <c r="N557" s="1"/>
  <c r="P557" s="1"/>
  <c r="R557" s="1"/>
  <c r="T557" s="1"/>
  <c r="F356"/>
  <c r="H357"/>
  <c r="J357" s="1"/>
  <c r="L357" s="1"/>
  <c r="N357" s="1"/>
  <c r="P357" s="1"/>
  <c r="R357" s="1"/>
  <c r="T357" s="1"/>
  <c r="F338"/>
  <c r="H339"/>
  <c r="J339" s="1"/>
  <c r="L339" s="1"/>
  <c r="N339" s="1"/>
  <c r="P339" s="1"/>
  <c r="R339" s="1"/>
  <c r="T339" s="1"/>
  <c r="F446"/>
  <c r="H447"/>
  <c r="J447" s="1"/>
  <c r="L447" s="1"/>
  <c r="N447" s="1"/>
  <c r="P447" s="1"/>
  <c r="R447" s="1"/>
  <c r="T447" s="1"/>
  <c r="F165"/>
  <c r="H166"/>
  <c r="J166" s="1"/>
  <c r="L166" s="1"/>
  <c r="N166" s="1"/>
  <c r="P166" s="1"/>
  <c r="R166" s="1"/>
  <c r="T166" s="1"/>
  <c r="F1628"/>
  <c r="H1629"/>
  <c r="J1629" s="1"/>
  <c r="L1629" s="1"/>
  <c r="N1629" s="1"/>
  <c r="P1629" s="1"/>
  <c r="R1629" s="1"/>
  <c r="T1629" s="1"/>
  <c r="F1400"/>
  <c r="H1401"/>
  <c r="J1401" s="1"/>
  <c r="L1401" s="1"/>
  <c r="N1401" s="1"/>
  <c r="P1401" s="1"/>
  <c r="R1401" s="1"/>
  <c r="T1401" s="1"/>
  <c r="F922"/>
  <c r="H923"/>
  <c r="J923" s="1"/>
  <c r="L923" s="1"/>
  <c r="N923" s="1"/>
  <c r="P923" s="1"/>
  <c r="R923" s="1"/>
  <c r="T923" s="1"/>
  <c r="F1534"/>
  <c r="H1535"/>
  <c r="J1535" s="1"/>
  <c r="L1535" s="1"/>
  <c r="N1535" s="1"/>
  <c r="P1535" s="1"/>
  <c r="R1535" s="1"/>
  <c r="T1535" s="1"/>
  <c r="F79"/>
  <c r="H80"/>
  <c r="J80" s="1"/>
  <c r="L80" s="1"/>
  <c r="N80" s="1"/>
  <c r="P80" s="1"/>
  <c r="R80" s="1"/>
  <c r="T80" s="1"/>
  <c r="F901"/>
  <c r="H902"/>
  <c r="J902" s="1"/>
  <c r="L902" s="1"/>
  <c r="N902" s="1"/>
  <c r="P902" s="1"/>
  <c r="R902" s="1"/>
  <c r="T902" s="1"/>
  <c r="F642"/>
  <c r="H642" s="1"/>
  <c r="J642" s="1"/>
  <c r="L642" s="1"/>
  <c r="N642" s="1"/>
  <c r="P642" s="1"/>
  <c r="R642" s="1"/>
  <c r="T642" s="1"/>
  <c r="H643"/>
  <c r="J643" s="1"/>
  <c r="L643" s="1"/>
  <c r="N643" s="1"/>
  <c r="P643" s="1"/>
  <c r="R643" s="1"/>
  <c r="T643" s="1"/>
  <c r="F1803"/>
  <c r="H1804"/>
  <c r="J1804" s="1"/>
  <c r="L1804" s="1"/>
  <c r="N1804" s="1"/>
  <c r="P1804" s="1"/>
  <c r="R1804" s="1"/>
  <c r="T1804" s="1"/>
  <c r="F1207"/>
  <c r="H1208"/>
  <c r="J1208" s="1"/>
  <c r="L1208" s="1"/>
  <c r="N1208" s="1"/>
  <c r="P1208" s="1"/>
  <c r="R1208" s="1"/>
  <c r="T1208" s="1"/>
  <c r="F1113"/>
  <c r="H1114"/>
  <c r="J1114" s="1"/>
  <c r="L1114" s="1"/>
  <c r="N1114" s="1"/>
  <c r="P1114" s="1"/>
  <c r="R1114" s="1"/>
  <c r="T1114" s="1"/>
  <c r="F803"/>
  <c r="H804"/>
  <c r="J804" s="1"/>
  <c r="L804" s="1"/>
  <c r="N804" s="1"/>
  <c r="P804" s="1"/>
  <c r="R804" s="1"/>
  <c r="T804" s="1"/>
  <c r="F544"/>
  <c r="H545"/>
  <c r="J545" s="1"/>
  <c r="L545" s="1"/>
  <c r="N545" s="1"/>
  <c r="P545" s="1"/>
  <c r="R545" s="1"/>
  <c r="T545" s="1"/>
  <c r="F1284"/>
  <c r="H1285"/>
  <c r="J1285" s="1"/>
  <c r="L1285" s="1"/>
  <c r="N1285" s="1"/>
  <c r="P1285" s="1"/>
  <c r="R1285" s="1"/>
  <c r="T1285" s="1"/>
  <c r="F306"/>
  <c r="H307"/>
  <c r="J307" s="1"/>
  <c r="L307" s="1"/>
  <c r="N307" s="1"/>
  <c r="P307" s="1"/>
  <c r="R307" s="1"/>
  <c r="T307" s="1"/>
  <c r="F372"/>
  <c r="H372" s="1"/>
  <c r="J372" s="1"/>
  <c r="L372" s="1"/>
  <c r="N372" s="1"/>
  <c r="P372" s="1"/>
  <c r="R372" s="1"/>
  <c r="T372" s="1"/>
  <c r="H373"/>
  <c r="J373" s="1"/>
  <c r="L373" s="1"/>
  <c r="N373" s="1"/>
  <c r="P373" s="1"/>
  <c r="R373" s="1"/>
  <c r="T373" s="1"/>
  <c r="F278"/>
  <c r="H279"/>
  <c r="J279" s="1"/>
  <c r="L279" s="1"/>
  <c r="N279" s="1"/>
  <c r="P279" s="1"/>
  <c r="R279" s="1"/>
  <c r="T279" s="1"/>
  <c r="F202"/>
  <c r="H203"/>
  <c r="J203" s="1"/>
  <c r="L203" s="1"/>
  <c r="N203" s="1"/>
  <c r="P203" s="1"/>
  <c r="R203" s="1"/>
  <c r="T203" s="1"/>
  <c r="F1075"/>
  <c r="H1076"/>
  <c r="J1076" s="1"/>
  <c r="L1076" s="1"/>
  <c r="N1076" s="1"/>
  <c r="P1076" s="1"/>
  <c r="R1076" s="1"/>
  <c r="T1076" s="1"/>
  <c r="F694"/>
  <c r="H695"/>
  <c r="J695" s="1"/>
  <c r="L695" s="1"/>
  <c r="N695" s="1"/>
  <c r="P695" s="1"/>
  <c r="R695" s="1"/>
  <c r="T695" s="1"/>
  <c r="F1732"/>
  <c r="H1733"/>
  <c r="J1733" s="1"/>
  <c r="L1733" s="1"/>
  <c r="N1733" s="1"/>
  <c r="P1733" s="1"/>
  <c r="R1733" s="1"/>
  <c r="T1733" s="1"/>
  <c r="F1665"/>
  <c r="H1666"/>
  <c r="J1666" s="1"/>
  <c r="L1666" s="1"/>
  <c r="N1666" s="1"/>
  <c r="P1666" s="1"/>
  <c r="R1666" s="1"/>
  <c r="T1666" s="1"/>
  <c r="F1222"/>
  <c r="H1223"/>
  <c r="J1223" s="1"/>
  <c r="L1223" s="1"/>
  <c r="N1223" s="1"/>
  <c r="P1223" s="1"/>
  <c r="R1223" s="1"/>
  <c r="T1223" s="1"/>
  <c r="F1563"/>
  <c r="H1564"/>
  <c r="J1564" s="1"/>
  <c r="L1564" s="1"/>
  <c r="N1564" s="1"/>
  <c r="P1564" s="1"/>
  <c r="R1564" s="1"/>
  <c r="T1564" s="1"/>
  <c r="F1105"/>
  <c r="H1106"/>
  <c r="J1106" s="1"/>
  <c r="L1106" s="1"/>
  <c r="N1106" s="1"/>
  <c r="P1106" s="1"/>
  <c r="R1106" s="1"/>
  <c r="T1106" s="1"/>
  <c r="F818"/>
  <c r="H819"/>
  <c r="J819" s="1"/>
  <c r="L819" s="1"/>
  <c r="N819" s="1"/>
  <c r="P819" s="1"/>
  <c r="R819" s="1"/>
  <c r="T819" s="1"/>
  <c r="F352"/>
  <c r="H353"/>
  <c r="J353" s="1"/>
  <c r="L353" s="1"/>
  <c r="N353" s="1"/>
  <c r="P353" s="1"/>
  <c r="R353" s="1"/>
  <c r="T353" s="1"/>
  <c r="F282"/>
  <c r="H283"/>
  <c r="J283" s="1"/>
  <c r="L283" s="1"/>
  <c r="N283" s="1"/>
  <c r="P283" s="1"/>
  <c r="R283" s="1"/>
  <c r="T283" s="1"/>
  <c r="F1594"/>
  <c r="H1595"/>
  <c r="J1595" s="1"/>
  <c r="L1595" s="1"/>
  <c r="N1595" s="1"/>
  <c r="P1595" s="1"/>
  <c r="R1595" s="1"/>
  <c r="T1595" s="1"/>
  <c r="F139"/>
  <c r="H140"/>
  <c r="J140" s="1"/>
  <c r="L140" s="1"/>
  <c r="N140" s="1"/>
  <c r="P140" s="1"/>
  <c r="R140" s="1"/>
  <c r="T140" s="1"/>
  <c r="F155"/>
  <c r="H156"/>
  <c r="J156" s="1"/>
  <c r="L156" s="1"/>
  <c r="N156" s="1"/>
  <c r="P156" s="1"/>
  <c r="R156" s="1"/>
  <c r="T156" s="1"/>
  <c r="F1025"/>
  <c r="H1026"/>
  <c r="J1026" s="1"/>
  <c r="L1026" s="1"/>
  <c r="N1026" s="1"/>
  <c r="P1026" s="1"/>
  <c r="R1026" s="1"/>
  <c r="T1026" s="1"/>
  <c r="F1623"/>
  <c r="H1624"/>
  <c r="J1624" s="1"/>
  <c r="L1624" s="1"/>
  <c r="N1624" s="1"/>
  <c r="P1624" s="1"/>
  <c r="R1624" s="1"/>
  <c r="T1624" s="1"/>
  <c r="F1460"/>
  <c r="H1461"/>
  <c r="J1461" s="1"/>
  <c r="L1461" s="1"/>
  <c r="N1461" s="1"/>
  <c r="P1461" s="1"/>
  <c r="R1461" s="1"/>
  <c r="T1461" s="1"/>
  <c r="F728"/>
  <c r="H729"/>
  <c r="J729" s="1"/>
  <c r="L729" s="1"/>
  <c r="N729" s="1"/>
  <c r="P729" s="1"/>
  <c r="R729" s="1"/>
  <c r="T729" s="1"/>
  <c r="F1526"/>
  <c r="H1527"/>
  <c r="J1527" s="1"/>
  <c r="L1527" s="1"/>
  <c r="N1527" s="1"/>
  <c r="P1527" s="1"/>
  <c r="R1527" s="1"/>
  <c r="T1527" s="1"/>
  <c r="F174"/>
  <c r="H175"/>
  <c r="J175" s="1"/>
  <c r="L175" s="1"/>
  <c r="N175" s="1"/>
  <c r="P175" s="1"/>
  <c r="R175" s="1"/>
  <c r="T175" s="1"/>
  <c r="F422"/>
  <c r="H423"/>
  <c r="J423" s="1"/>
  <c r="L423" s="1"/>
  <c r="N423" s="1"/>
  <c r="P423" s="1"/>
  <c r="R423" s="1"/>
  <c r="T423" s="1"/>
  <c r="H633"/>
  <c r="J633" s="1"/>
  <c r="L633" s="1"/>
  <c r="N633" s="1"/>
  <c r="P633" s="1"/>
  <c r="R633" s="1"/>
  <c r="T633" s="1"/>
  <c r="H632"/>
  <c r="J632" s="1"/>
  <c r="L632" s="1"/>
  <c r="N632" s="1"/>
  <c r="P632" s="1"/>
  <c r="R632" s="1"/>
  <c r="T632" s="1"/>
  <c r="H924"/>
  <c r="J924" s="1"/>
  <c r="L924" s="1"/>
  <c r="N924" s="1"/>
  <c r="P924" s="1"/>
  <c r="R924" s="1"/>
  <c r="T924" s="1"/>
  <c r="H499"/>
  <c r="J499" s="1"/>
  <c r="L499" s="1"/>
  <c r="N499" s="1"/>
  <c r="P499" s="1"/>
  <c r="R499" s="1"/>
  <c r="T499" s="1"/>
  <c r="F56"/>
  <c r="H57"/>
  <c r="J57" s="1"/>
  <c r="L57" s="1"/>
  <c r="N57" s="1"/>
  <c r="P57" s="1"/>
  <c r="R57" s="1"/>
  <c r="T57" s="1"/>
  <c r="F93"/>
  <c r="H94"/>
  <c r="J94" s="1"/>
  <c r="L94" s="1"/>
  <c r="N94" s="1"/>
  <c r="P94" s="1"/>
  <c r="R94" s="1"/>
  <c r="T94" s="1"/>
  <c r="F528"/>
  <c r="H529"/>
  <c r="J529" s="1"/>
  <c r="L529" s="1"/>
  <c r="N529" s="1"/>
  <c r="P529" s="1"/>
  <c r="R529" s="1"/>
  <c r="T529" s="1"/>
  <c r="F958"/>
  <c r="H959"/>
  <c r="J959" s="1"/>
  <c r="L959" s="1"/>
  <c r="N959" s="1"/>
  <c r="P959" s="1"/>
  <c r="R959" s="1"/>
  <c r="T959" s="1"/>
  <c r="F913"/>
  <c r="H914"/>
  <c r="J914" s="1"/>
  <c r="L914" s="1"/>
  <c r="N914" s="1"/>
  <c r="P914" s="1"/>
  <c r="R914" s="1"/>
  <c r="T914" s="1"/>
  <c r="F1788"/>
  <c r="H1789"/>
  <c r="J1789" s="1"/>
  <c r="L1789" s="1"/>
  <c r="N1789" s="1"/>
  <c r="P1789" s="1"/>
  <c r="R1789" s="1"/>
  <c r="T1789" s="1"/>
  <c r="F1780"/>
  <c r="H1781"/>
  <c r="J1781" s="1"/>
  <c r="L1781" s="1"/>
  <c r="N1781" s="1"/>
  <c r="P1781" s="1"/>
  <c r="R1781" s="1"/>
  <c r="T1781" s="1"/>
  <c r="F1793"/>
  <c r="H1794"/>
  <c r="J1794" s="1"/>
  <c r="L1794" s="1"/>
  <c r="N1794" s="1"/>
  <c r="P1794" s="1"/>
  <c r="R1794" s="1"/>
  <c r="T1794" s="1"/>
  <c r="F690"/>
  <c r="H691"/>
  <c r="J691" s="1"/>
  <c r="L691" s="1"/>
  <c r="N691" s="1"/>
  <c r="P691" s="1"/>
  <c r="R691" s="1"/>
  <c r="T691" s="1"/>
  <c r="F1153"/>
  <c r="H1154"/>
  <c r="J1154" s="1"/>
  <c r="L1154" s="1"/>
  <c r="N1154" s="1"/>
  <c r="P1154" s="1"/>
  <c r="R1154" s="1"/>
  <c r="T1154" s="1"/>
  <c r="F1611"/>
  <c r="H1611" s="1"/>
  <c r="J1611" s="1"/>
  <c r="L1611" s="1"/>
  <c r="N1611" s="1"/>
  <c r="P1611" s="1"/>
  <c r="R1611" s="1"/>
  <c r="T1611" s="1"/>
  <c r="H1612"/>
  <c r="J1612" s="1"/>
  <c r="L1612" s="1"/>
  <c r="N1612" s="1"/>
  <c r="P1612" s="1"/>
  <c r="R1612" s="1"/>
  <c r="T1612" s="1"/>
  <c r="F1088"/>
  <c r="H1089"/>
  <c r="J1089" s="1"/>
  <c r="L1089" s="1"/>
  <c r="N1089" s="1"/>
  <c r="P1089" s="1"/>
  <c r="R1089" s="1"/>
  <c r="T1089" s="1"/>
  <c r="F1587"/>
  <c r="H1587" s="1"/>
  <c r="J1587" s="1"/>
  <c r="L1587" s="1"/>
  <c r="N1587" s="1"/>
  <c r="P1587" s="1"/>
  <c r="R1587" s="1"/>
  <c r="T1587" s="1"/>
  <c r="H1588"/>
  <c r="J1588" s="1"/>
  <c r="L1588" s="1"/>
  <c r="N1588" s="1"/>
  <c r="P1588" s="1"/>
  <c r="R1588" s="1"/>
  <c r="T1588" s="1"/>
  <c r="F496"/>
  <c r="H496" s="1"/>
  <c r="J496" s="1"/>
  <c r="L496" s="1"/>
  <c r="N496" s="1"/>
  <c r="P496" s="1"/>
  <c r="R496" s="1"/>
  <c r="T496" s="1"/>
  <c r="H497"/>
  <c r="J497" s="1"/>
  <c r="L497" s="1"/>
  <c r="N497" s="1"/>
  <c r="P497" s="1"/>
  <c r="R497" s="1"/>
  <c r="T497" s="1"/>
  <c r="F1604"/>
  <c r="H1604" s="1"/>
  <c r="J1604" s="1"/>
  <c r="L1604" s="1"/>
  <c r="N1604" s="1"/>
  <c r="P1604" s="1"/>
  <c r="R1604" s="1"/>
  <c r="T1604" s="1"/>
  <c r="H1605"/>
  <c r="J1605" s="1"/>
  <c r="L1605" s="1"/>
  <c r="N1605" s="1"/>
  <c r="P1605" s="1"/>
  <c r="R1605" s="1"/>
  <c r="T1605" s="1"/>
  <c r="F664"/>
  <c r="H665"/>
  <c r="J665" s="1"/>
  <c r="L665" s="1"/>
  <c r="N665" s="1"/>
  <c r="P665" s="1"/>
  <c r="R665" s="1"/>
  <c r="T665" s="1"/>
  <c r="F270"/>
  <c r="H271"/>
  <c r="J271" s="1"/>
  <c r="L271" s="1"/>
  <c r="N271" s="1"/>
  <c r="P271" s="1"/>
  <c r="R271" s="1"/>
  <c r="T271" s="1"/>
  <c r="F368"/>
  <c r="H369"/>
  <c r="J369" s="1"/>
  <c r="L369" s="1"/>
  <c r="N369" s="1"/>
  <c r="P369" s="1"/>
  <c r="R369" s="1"/>
  <c r="T369" s="1"/>
  <c r="F241"/>
  <c r="H242"/>
  <c r="J242" s="1"/>
  <c r="L242" s="1"/>
  <c r="N242" s="1"/>
  <c r="P242" s="1"/>
  <c r="R242" s="1"/>
  <c r="T242" s="1"/>
  <c r="F552"/>
  <c r="H553"/>
  <c r="J553" s="1"/>
  <c r="L553" s="1"/>
  <c r="N553" s="1"/>
  <c r="P553" s="1"/>
  <c r="R553" s="1"/>
  <c r="T553" s="1"/>
  <c r="F1017"/>
  <c r="H1018"/>
  <c r="J1018" s="1"/>
  <c r="L1018" s="1"/>
  <c r="N1018" s="1"/>
  <c r="P1018" s="1"/>
  <c r="R1018" s="1"/>
  <c r="T1018" s="1"/>
  <c r="F1069"/>
  <c r="H1070"/>
  <c r="J1070" s="1"/>
  <c r="L1070" s="1"/>
  <c r="N1070" s="1"/>
  <c r="P1070" s="1"/>
  <c r="R1070" s="1"/>
  <c r="T1070" s="1"/>
  <c r="F1463"/>
  <c r="H1463" s="1"/>
  <c r="J1463" s="1"/>
  <c r="L1463" s="1"/>
  <c r="N1463" s="1"/>
  <c r="P1463" s="1"/>
  <c r="R1463" s="1"/>
  <c r="T1463" s="1"/>
  <c r="H1464"/>
  <c r="J1464" s="1"/>
  <c r="L1464" s="1"/>
  <c r="N1464" s="1"/>
  <c r="P1464" s="1"/>
  <c r="R1464" s="1"/>
  <c r="T1464" s="1"/>
  <c r="F668"/>
  <c r="H668" s="1"/>
  <c r="J668" s="1"/>
  <c r="L668" s="1"/>
  <c r="N668" s="1"/>
  <c r="P668" s="1"/>
  <c r="R668" s="1"/>
  <c r="T668" s="1"/>
  <c r="H669"/>
  <c r="J669" s="1"/>
  <c r="L669" s="1"/>
  <c r="N669" s="1"/>
  <c r="P669" s="1"/>
  <c r="R669" s="1"/>
  <c r="T669" s="1"/>
  <c r="F1653"/>
  <c r="H1654"/>
  <c r="J1654" s="1"/>
  <c r="L1654" s="1"/>
  <c r="N1654" s="1"/>
  <c r="P1654" s="1"/>
  <c r="R1654" s="1"/>
  <c r="T1654" s="1"/>
  <c r="F885"/>
  <c r="H885" s="1"/>
  <c r="J885" s="1"/>
  <c r="L885" s="1"/>
  <c r="N885" s="1"/>
  <c r="P885" s="1"/>
  <c r="R885" s="1"/>
  <c r="T885" s="1"/>
  <c r="H886"/>
  <c r="J886" s="1"/>
  <c r="L886" s="1"/>
  <c r="N886" s="1"/>
  <c r="P886" s="1"/>
  <c r="R886" s="1"/>
  <c r="T886" s="1"/>
  <c r="F1724"/>
  <c r="H1724" s="1"/>
  <c r="J1724" s="1"/>
  <c r="L1724" s="1"/>
  <c r="N1724" s="1"/>
  <c r="P1724" s="1"/>
  <c r="R1724" s="1"/>
  <c r="T1724" s="1"/>
  <c r="H1725"/>
  <c r="J1725" s="1"/>
  <c r="L1725" s="1"/>
  <c r="N1725" s="1"/>
  <c r="P1725" s="1"/>
  <c r="R1725" s="1"/>
  <c r="T1725" s="1"/>
  <c r="F711"/>
  <c r="H712"/>
  <c r="J712" s="1"/>
  <c r="L712" s="1"/>
  <c r="N712" s="1"/>
  <c r="P712" s="1"/>
  <c r="R712" s="1"/>
  <c r="T712" s="1"/>
  <c r="F1574"/>
  <c r="H1575"/>
  <c r="J1575" s="1"/>
  <c r="L1575" s="1"/>
  <c r="N1575" s="1"/>
  <c r="P1575" s="1"/>
  <c r="R1575" s="1"/>
  <c r="T1575" s="1"/>
  <c r="F1566"/>
  <c r="H1566" s="1"/>
  <c r="J1566" s="1"/>
  <c r="L1566" s="1"/>
  <c r="N1566" s="1"/>
  <c r="P1566" s="1"/>
  <c r="R1566" s="1"/>
  <c r="T1566" s="1"/>
  <c r="H1567"/>
  <c r="J1567" s="1"/>
  <c r="L1567" s="1"/>
  <c r="N1567" s="1"/>
  <c r="P1567" s="1"/>
  <c r="R1567" s="1"/>
  <c r="T1567" s="1"/>
  <c r="F785"/>
  <c r="H789"/>
  <c r="J789" s="1"/>
  <c r="L789" s="1"/>
  <c r="N789" s="1"/>
  <c r="P789" s="1"/>
  <c r="R789" s="1"/>
  <c r="T789" s="1"/>
  <c r="F416"/>
  <c r="H417"/>
  <c r="J417" s="1"/>
  <c r="L417" s="1"/>
  <c r="N417" s="1"/>
  <c r="P417" s="1"/>
  <c r="R417" s="1"/>
  <c r="T417" s="1"/>
  <c r="F266"/>
  <c r="H267"/>
  <c r="J267" s="1"/>
  <c r="L267" s="1"/>
  <c r="N267" s="1"/>
  <c r="P267" s="1"/>
  <c r="R267" s="1"/>
  <c r="T267" s="1"/>
  <c r="F290"/>
  <c r="H291"/>
  <c r="J291" s="1"/>
  <c r="L291" s="1"/>
  <c r="N291" s="1"/>
  <c r="P291" s="1"/>
  <c r="R291" s="1"/>
  <c r="T291" s="1"/>
  <c r="F1556"/>
  <c r="H1556" s="1"/>
  <c r="J1556" s="1"/>
  <c r="L1556" s="1"/>
  <c r="N1556" s="1"/>
  <c r="P1556" s="1"/>
  <c r="R1556" s="1"/>
  <c r="T1556" s="1"/>
  <c r="H1557"/>
  <c r="J1557" s="1"/>
  <c r="L1557" s="1"/>
  <c r="N1557" s="1"/>
  <c r="P1557" s="1"/>
  <c r="R1557" s="1"/>
  <c r="T1557" s="1"/>
  <c r="F1011"/>
  <c r="H1012"/>
  <c r="J1012" s="1"/>
  <c r="L1012" s="1"/>
  <c r="N1012" s="1"/>
  <c r="P1012" s="1"/>
  <c r="R1012" s="1"/>
  <c r="T1012" s="1"/>
  <c r="F992"/>
  <c r="H993"/>
  <c r="J993" s="1"/>
  <c r="L993" s="1"/>
  <c r="N993" s="1"/>
  <c r="P993" s="1"/>
  <c r="R993" s="1"/>
  <c r="T993" s="1"/>
  <c r="F1544"/>
  <c r="H1545"/>
  <c r="J1545" s="1"/>
  <c r="L1545" s="1"/>
  <c r="N1545" s="1"/>
  <c r="P1545" s="1"/>
  <c r="R1545" s="1"/>
  <c r="T1545" s="1"/>
  <c r="F1039"/>
  <c r="H1039" s="1"/>
  <c r="J1039" s="1"/>
  <c r="L1039" s="1"/>
  <c r="N1039" s="1"/>
  <c r="P1039" s="1"/>
  <c r="R1039" s="1"/>
  <c r="T1039" s="1"/>
  <c r="H1040"/>
  <c r="J1040" s="1"/>
  <c r="L1040" s="1"/>
  <c r="N1040" s="1"/>
  <c r="P1040" s="1"/>
  <c r="R1040" s="1"/>
  <c r="T1040" s="1"/>
  <c r="F1547"/>
  <c r="H1547" s="1"/>
  <c r="J1547" s="1"/>
  <c r="L1547" s="1"/>
  <c r="N1547" s="1"/>
  <c r="P1547" s="1"/>
  <c r="R1547" s="1"/>
  <c r="T1547" s="1"/>
  <c r="H1548"/>
  <c r="J1548" s="1"/>
  <c r="L1548" s="1"/>
  <c r="N1548" s="1"/>
  <c r="P1548" s="1"/>
  <c r="R1548" s="1"/>
  <c r="T1548" s="1"/>
  <c r="G921"/>
  <c r="G910" s="1"/>
  <c r="G763" s="1"/>
  <c r="H444" i="5"/>
  <c r="H443" s="1"/>
  <c r="H1685" i="6"/>
  <c r="J1685" s="1"/>
  <c r="L1685" s="1"/>
  <c r="N1685" s="1"/>
  <c r="P1685" s="1"/>
  <c r="R1685" s="1"/>
  <c r="T1685" s="1"/>
  <c r="G1684"/>
  <c r="H902" i="5"/>
  <c r="I903"/>
  <c r="K903" s="1"/>
  <c r="M903" s="1"/>
  <c r="O903" s="1"/>
  <c r="Q903" s="1"/>
  <c r="S903" s="1"/>
  <c r="U903" s="1"/>
  <c r="G1815" i="6"/>
  <c r="H1816"/>
  <c r="J1816" s="1"/>
  <c r="L1816" s="1"/>
  <c r="N1816" s="1"/>
  <c r="P1816" s="1"/>
  <c r="R1816" s="1"/>
  <c r="T1816" s="1"/>
  <c r="G1032"/>
  <c r="H615"/>
  <c r="J615" s="1"/>
  <c r="L615" s="1"/>
  <c r="N615" s="1"/>
  <c r="P615" s="1"/>
  <c r="R615" s="1"/>
  <c r="T615" s="1"/>
  <c r="G612"/>
  <c r="H612" s="1"/>
  <c r="J612" s="1"/>
  <c r="L612" s="1"/>
  <c r="N612" s="1"/>
  <c r="P612" s="1"/>
  <c r="R612" s="1"/>
  <c r="T612" s="1"/>
  <c r="H613"/>
  <c r="J613" s="1"/>
  <c r="L613" s="1"/>
  <c r="N613" s="1"/>
  <c r="P613" s="1"/>
  <c r="R613" s="1"/>
  <c r="T613" s="1"/>
  <c r="H614"/>
  <c r="J614" s="1"/>
  <c r="L614" s="1"/>
  <c r="N614" s="1"/>
  <c r="P614" s="1"/>
  <c r="R614" s="1"/>
  <c r="T614" s="1"/>
  <c r="G1446"/>
  <c r="H1447"/>
  <c r="J1447" s="1"/>
  <c r="L1447" s="1"/>
  <c r="N1447" s="1"/>
  <c r="P1447" s="1"/>
  <c r="R1447" s="1"/>
  <c r="T1447" s="1"/>
  <c r="H141" i="5"/>
  <c r="I307"/>
  <c r="K307" s="1"/>
  <c r="M307" s="1"/>
  <c r="O307" s="1"/>
  <c r="Q307" s="1"/>
  <c r="S307" s="1"/>
  <c r="U307" s="1"/>
  <c r="H306"/>
  <c r="I133"/>
  <c r="K133" s="1"/>
  <c r="M133" s="1"/>
  <c r="O133" s="1"/>
  <c r="Q133" s="1"/>
  <c r="S133" s="1"/>
  <c r="U133" s="1"/>
  <c r="H132"/>
  <c r="G1409" i="6"/>
  <c r="H1410"/>
  <c r="J1410" s="1"/>
  <c r="L1410" s="1"/>
  <c r="N1410" s="1"/>
  <c r="P1410" s="1"/>
  <c r="R1410" s="1"/>
  <c r="T1410" s="1"/>
  <c r="G628"/>
  <c r="H629"/>
  <c r="J629" s="1"/>
  <c r="L629" s="1"/>
  <c r="N629" s="1"/>
  <c r="P629" s="1"/>
  <c r="R629" s="1"/>
  <c r="T629" s="1"/>
  <c r="G524"/>
  <c r="G1357"/>
  <c r="H1358"/>
  <c r="J1358" s="1"/>
  <c r="L1358" s="1"/>
  <c r="N1358" s="1"/>
  <c r="P1358" s="1"/>
  <c r="R1358" s="1"/>
  <c r="T1358" s="1"/>
  <c r="G1483"/>
  <c r="H1484"/>
  <c r="J1484" s="1"/>
  <c r="L1484" s="1"/>
  <c r="N1484" s="1"/>
  <c r="P1484" s="1"/>
  <c r="R1484" s="1"/>
  <c r="T1484" s="1"/>
  <c r="G705"/>
  <c r="H706"/>
  <c r="J706" s="1"/>
  <c r="L706" s="1"/>
  <c r="N706" s="1"/>
  <c r="P706" s="1"/>
  <c r="R706" s="1"/>
  <c r="T706" s="1"/>
  <c r="H310" i="5"/>
  <c r="I310" s="1"/>
  <c r="K310" s="1"/>
  <c r="M310" s="1"/>
  <c r="O310" s="1"/>
  <c r="Q310" s="1"/>
  <c r="S310" s="1"/>
  <c r="U310" s="1"/>
  <c r="I311"/>
  <c r="K311" s="1"/>
  <c r="M311" s="1"/>
  <c r="O311" s="1"/>
  <c r="Q311" s="1"/>
  <c r="S311" s="1"/>
  <c r="U311" s="1"/>
  <c r="I257"/>
  <c r="K257" s="1"/>
  <c r="M257" s="1"/>
  <c r="O257" s="1"/>
  <c r="Q257" s="1"/>
  <c r="S257" s="1"/>
  <c r="U257" s="1"/>
  <c r="I142"/>
  <c r="K142" s="1"/>
  <c r="M142" s="1"/>
  <c r="O142" s="1"/>
  <c r="Q142" s="1"/>
  <c r="S142" s="1"/>
  <c r="U142" s="1"/>
  <c r="G648" i="6"/>
  <c r="H649"/>
  <c r="J649" s="1"/>
  <c r="L649" s="1"/>
  <c r="N649" s="1"/>
  <c r="P649" s="1"/>
  <c r="R649" s="1"/>
  <c r="T649" s="1"/>
  <c r="H209" i="5"/>
  <c r="G747" i="6"/>
  <c r="H748"/>
  <c r="J748" s="1"/>
  <c r="L748" s="1"/>
  <c r="N748" s="1"/>
  <c r="P748" s="1"/>
  <c r="R748" s="1"/>
  <c r="T748" s="1"/>
  <c r="I247" i="5"/>
  <c r="K247" s="1"/>
  <c r="M247" s="1"/>
  <c r="O247" s="1"/>
  <c r="Q247" s="1"/>
  <c r="S247" s="1"/>
  <c r="U247" s="1"/>
  <c r="I168"/>
  <c r="K168" s="1"/>
  <c r="M168" s="1"/>
  <c r="O168" s="1"/>
  <c r="Q168" s="1"/>
  <c r="S168" s="1"/>
  <c r="U168" s="1"/>
  <c r="H167"/>
  <c r="H1479" i="6"/>
  <c r="J1479" s="1"/>
  <c r="L1479" s="1"/>
  <c r="N1479" s="1"/>
  <c r="P1479" s="1"/>
  <c r="R1479" s="1"/>
  <c r="T1479" s="1"/>
  <c r="G1478"/>
  <c r="G1268"/>
  <c r="H1269"/>
  <c r="J1269" s="1"/>
  <c r="L1269" s="1"/>
  <c r="N1269" s="1"/>
  <c r="P1269" s="1"/>
  <c r="R1269" s="1"/>
  <c r="T1269" s="1"/>
  <c r="G573"/>
  <c r="H574"/>
  <c r="J574" s="1"/>
  <c r="L574" s="1"/>
  <c r="N574" s="1"/>
  <c r="P574" s="1"/>
  <c r="R574" s="1"/>
  <c r="T574" s="1"/>
  <c r="G733"/>
  <c r="H734"/>
  <c r="J734" s="1"/>
  <c r="L734" s="1"/>
  <c r="N734" s="1"/>
  <c r="P734" s="1"/>
  <c r="R734" s="1"/>
  <c r="T734" s="1"/>
  <c r="I160" i="5"/>
  <c r="K160" s="1"/>
  <c r="M160" s="1"/>
  <c r="O160" s="1"/>
  <c r="Q160" s="1"/>
  <c r="S160" s="1"/>
  <c r="U160" s="1"/>
  <c r="H159"/>
  <c r="G1415" i="6"/>
  <c r="H1416"/>
  <c r="J1416" s="1"/>
  <c r="L1416" s="1"/>
  <c r="N1416" s="1"/>
  <c r="P1416" s="1"/>
  <c r="R1416" s="1"/>
  <c r="T1416" s="1"/>
  <c r="I252" i="5"/>
  <c r="K252" s="1"/>
  <c r="M252" s="1"/>
  <c r="O252" s="1"/>
  <c r="Q252" s="1"/>
  <c r="S252" s="1"/>
  <c r="U252" s="1"/>
  <c r="H251"/>
  <c r="I251" s="1"/>
  <c r="K251" s="1"/>
  <c r="M251" s="1"/>
  <c r="O251" s="1"/>
  <c r="Q251" s="1"/>
  <c r="S251" s="1"/>
  <c r="U251" s="1"/>
  <c r="I117"/>
  <c r="K117" s="1"/>
  <c r="M117" s="1"/>
  <c r="O117" s="1"/>
  <c r="Q117" s="1"/>
  <c r="S117" s="1"/>
  <c r="U117" s="1"/>
  <c r="H116"/>
  <c r="G603" i="6"/>
  <c r="H604"/>
  <c r="J604" s="1"/>
  <c r="L604" s="1"/>
  <c r="N604" s="1"/>
  <c r="P604" s="1"/>
  <c r="R604" s="1"/>
  <c r="T604" s="1"/>
  <c r="G1451"/>
  <c r="H1452"/>
  <c r="J1452" s="1"/>
  <c r="L1452" s="1"/>
  <c r="N1452" s="1"/>
  <c r="P1452" s="1"/>
  <c r="R1452" s="1"/>
  <c r="T1452" s="1"/>
  <c r="H1635"/>
  <c r="J1635" s="1"/>
  <c r="L1635" s="1"/>
  <c r="N1635" s="1"/>
  <c r="P1635" s="1"/>
  <c r="R1635" s="1"/>
  <c r="T1635" s="1"/>
  <c r="G1634"/>
  <c r="G536"/>
  <c r="H537"/>
  <c r="J537" s="1"/>
  <c r="L537" s="1"/>
  <c r="N537" s="1"/>
  <c r="P537" s="1"/>
  <c r="R537" s="1"/>
  <c r="T537" s="1"/>
  <c r="H235" i="5"/>
  <c r="I236"/>
  <c r="K236" s="1"/>
  <c r="M236" s="1"/>
  <c r="O236" s="1"/>
  <c r="Q236" s="1"/>
  <c r="S236" s="1"/>
  <c r="U236" s="1"/>
  <c r="I178"/>
  <c r="K178" s="1"/>
  <c r="M178" s="1"/>
  <c r="O178" s="1"/>
  <c r="Q178" s="1"/>
  <c r="S178" s="1"/>
  <c r="U178" s="1"/>
  <c r="H177"/>
  <c r="H1349" i="6"/>
  <c r="J1349" s="1"/>
  <c r="L1349" s="1"/>
  <c r="N1349" s="1"/>
  <c r="P1349" s="1"/>
  <c r="R1349" s="1"/>
  <c r="T1349" s="1"/>
  <c r="G1348"/>
  <c r="H262" i="5"/>
  <c r="I262" s="1"/>
  <c r="K262" s="1"/>
  <c r="M262" s="1"/>
  <c r="O262" s="1"/>
  <c r="Q262" s="1"/>
  <c r="S262" s="1"/>
  <c r="U262" s="1"/>
  <c r="I263"/>
  <c r="K263" s="1"/>
  <c r="M263" s="1"/>
  <c r="O263" s="1"/>
  <c r="Q263" s="1"/>
  <c r="S263" s="1"/>
  <c r="U263" s="1"/>
  <c r="H127"/>
  <c r="I128"/>
  <c r="K128" s="1"/>
  <c r="M128" s="1"/>
  <c r="O128" s="1"/>
  <c r="Q128" s="1"/>
  <c r="S128" s="1"/>
  <c r="U128" s="1"/>
  <c r="G1494" i="6"/>
  <c r="H1495"/>
  <c r="J1495" s="1"/>
  <c r="L1495" s="1"/>
  <c r="N1495" s="1"/>
  <c r="P1495" s="1"/>
  <c r="R1495" s="1"/>
  <c r="T1495" s="1"/>
  <c r="G1387"/>
  <c r="H1388"/>
  <c r="J1388" s="1"/>
  <c r="L1388" s="1"/>
  <c r="N1388" s="1"/>
  <c r="P1388" s="1"/>
  <c r="R1388" s="1"/>
  <c r="T1388" s="1"/>
  <c r="H609"/>
  <c r="J609" s="1"/>
  <c r="L609" s="1"/>
  <c r="N609" s="1"/>
  <c r="P609" s="1"/>
  <c r="R609" s="1"/>
  <c r="T609" s="1"/>
  <c r="G608"/>
  <c r="I299" i="5"/>
  <c r="K299" s="1"/>
  <c r="M299" s="1"/>
  <c r="O299" s="1"/>
  <c r="Q299" s="1"/>
  <c r="S299" s="1"/>
  <c r="U299" s="1"/>
  <c r="H298"/>
  <c r="I298" s="1"/>
  <c r="K298" s="1"/>
  <c r="M298" s="1"/>
  <c r="O298" s="1"/>
  <c r="Q298" s="1"/>
  <c r="I188"/>
  <c r="K188" s="1"/>
  <c r="M188" s="1"/>
  <c r="O188" s="1"/>
  <c r="Q188" s="1"/>
  <c r="S188" s="1"/>
  <c r="U188" s="1"/>
  <c r="H187"/>
  <c r="I269"/>
  <c r="K269" s="1"/>
  <c r="M269" s="1"/>
  <c r="O269" s="1"/>
  <c r="Q269" s="1"/>
  <c r="S269" s="1"/>
  <c r="U269" s="1"/>
  <c r="H268"/>
  <c r="G1393" i="6"/>
  <c r="H1394"/>
  <c r="J1394" s="1"/>
  <c r="L1394" s="1"/>
  <c r="N1394" s="1"/>
  <c r="P1394" s="1"/>
  <c r="R1394" s="1"/>
  <c r="T1394" s="1"/>
  <c r="H73" i="5"/>
  <c r="H25"/>
  <c r="I26"/>
  <c r="K26" s="1"/>
  <c r="M26" s="1"/>
  <c r="O26" s="1"/>
  <c r="Q26" s="1"/>
  <c r="S26" s="1"/>
  <c r="U26" s="1"/>
  <c r="G1108" i="6"/>
  <c r="G150"/>
  <c r="H1565" i="5"/>
  <c r="H1591"/>
  <c r="H1629"/>
  <c r="H551"/>
  <c r="H550" s="1"/>
  <c r="H549" s="1"/>
  <c r="H479"/>
  <c r="I1333" l="1"/>
  <c r="K1333" s="1"/>
  <c r="M1333" s="1"/>
  <c r="O1333" s="1"/>
  <c r="Q1333" s="1"/>
  <c r="S1333" s="1"/>
  <c r="U1333" s="1"/>
  <c r="J1766" i="6"/>
  <c r="H1765"/>
  <c r="G787" i="5"/>
  <c r="G1225"/>
  <c r="G1224" s="1"/>
  <c r="I1226"/>
  <c r="G245"/>
  <c r="G1526"/>
  <c r="I1526" s="1"/>
  <c r="K1526" s="1"/>
  <c r="M1526" s="1"/>
  <c r="O1526" s="1"/>
  <c r="Q1526" s="1"/>
  <c r="S1526" s="1"/>
  <c r="U1526" s="1"/>
  <c r="I1555"/>
  <c r="K1555" s="1"/>
  <c r="M1555" s="1"/>
  <c r="O1555" s="1"/>
  <c r="Q1555" s="1"/>
  <c r="S1555" s="1"/>
  <c r="U1555" s="1"/>
  <c r="S193"/>
  <c r="U193" s="1"/>
  <c r="S298"/>
  <c r="U298" s="1"/>
  <c r="I685"/>
  <c r="K685" s="1"/>
  <c r="M685" s="1"/>
  <c r="O685" s="1"/>
  <c r="Q685" s="1"/>
  <c r="S685" s="1"/>
  <c r="U685" s="1"/>
  <c r="I518"/>
  <c r="K518" s="1"/>
  <c r="M518" s="1"/>
  <c r="O518" s="1"/>
  <c r="Q518" s="1"/>
  <c r="S518" s="1"/>
  <c r="U518" s="1"/>
  <c r="I1340"/>
  <c r="K1340" s="1"/>
  <c r="M1340" s="1"/>
  <c r="O1340" s="1"/>
  <c r="Q1340" s="1"/>
  <c r="S1340" s="1"/>
  <c r="U1340" s="1"/>
  <c r="I1272"/>
  <c r="K1272" s="1"/>
  <c r="M1272" s="1"/>
  <c r="O1272" s="1"/>
  <c r="Q1272" s="1"/>
  <c r="S1272" s="1"/>
  <c r="U1272" s="1"/>
  <c r="E31" i="1"/>
  <c r="I1565" i="5"/>
  <c r="K1565" s="1"/>
  <c r="M1565" s="1"/>
  <c r="O1565" s="1"/>
  <c r="G277"/>
  <c r="F193" i="6"/>
  <c r="H193" s="1"/>
  <c r="J193" s="1"/>
  <c r="L193" s="1"/>
  <c r="N193" s="1"/>
  <c r="P193" s="1"/>
  <c r="R193" s="1"/>
  <c r="T193" s="1"/>
  <c r="H932"/>
  <c r="J932" s="1"/>
  <c r="L932" s="1"/>
  <c r="N932" s="1"/>
  <c r="P932" s="1"/>
  <c r="R932" s="1"/>
  <c r="T932" s="1"/>
  <c r="H931"/>
  <c r="J931" s="1"/>
  <c r="L931" s="1"/>
  <c r="N931" s="1"/>
  <c r="P931" s="1"/>
  <c r="R931" s="1"/>
  <c r="T931" s="1"/>
  <c r="F1819"/>
  <c r="H1819" s="1"/>
  <c r="J1819" s="1"/>
  <c r="L1819" s="1"/>
  <c r="N1819" s="1"/>
  <c r="P1819" s="1"/>
  <c r="R1819" s="1"/>
  <c r="T1819" s="1"/>
  <c r="H1798"/>
  <c r="J1798" s="1"/>
  <c r="L1798" s="1"/>
  <c r="N1798" s="1"/>
  <c r="P1798" s="1"/>
  <c r="R1798" s="1"/>
  <c r="T1798" s="1"/>
  <c r="H215"/>
  <c r="J215" s="1"/>
  <c r="L215" s="1"/>
  <c r="N215" s="1"/>
  <c r="P215" s="1"/>
  <c r="R215" s="1"/>
  <c r="T215" s="1"/>
  <c r="I74" i="5"/>
  <c r="K74" s="1"/>
  <c r="M74" s="1"/>
  <c r="O74" s="1"/>
  <c r="Q74" s="1"/>
  <c r="S74" s="1"/>
  <c r="U74" s="1"/>
  <c r="H1302" i="6"/>
  <c r="J1302" s="1"/>
  <c r="L1302" s="1"/>
  <c r="N1302" s="1"/>
  <c r="P1302" s="1"/>
  <c r="R1302" s="1"/>
  <c r="T1302" s="1"/>
  <c r="F393"/>
  <c r="F392" s="1"/>
  <c r="H100"/>
  <c r="J100" s="1"/>
  <c r="L100" s="1"/>
  <c r="N100" s="1"/>
  <c r="P100" s="1"/>
  <c r="R100" s="1"/>
  <c r="T100" s="1"/>
  <c r="G176" i="5"/>
  <c r="D28" i="1" s="1"/>
  <c r="D27" s="1"/>
  <c r="I224" i="5"/>
  <c r="K224" s="1"/>
  <c r="M224" s="1"/>
  <c r="O224" s="1"/>
  <c r="Q224" s="1"/>
  <c r="S224" s="1"/>
  <c r="U224" s="1"/>
  <c r="I141"/>
  <c r="K141" s="1"/>
  <c r="M141" s="1"/>
  <c r="O141" s="1"/>
  <c r="Q141" s="1"/>
  <c r="S141" s="1"/>
  <c r="U141" s="1"/>
  <c r="I1575"/>
  <c r="K1575" s="1"/>
  <c r="M1575" s="1"/>
  <c r="O1575" s="1"/>
  <c r="Q1575" s="1"/>
  <c r="S1575" s="1"/>
  <c r="U1575" s="1"/>
  <c r="F1294" i="6"/>
  <c r="F1293" s="1"/>
  <c r="J899" i="5"/>
  <c r="F230" i="6"/>
  <c r="H230" s="1"/>
  <c r="J230" s="1"/>
  <c r="L230" s="1"/>
  <c r="N230" s="1"/>
  <c r="P230" s="1"/>
  <c r="R230" s="1"/>
  <c r="T230" s="1"/>
  <c r="F998"/>
  <c r="H998" s="1"/>
  <c r="J998" s="1"/>
  <c r="L998" s="1"/>
  <c r="N998" s="1"/>
  <c r="P998" s="1"/>
  <c r="R998" s="1"/>
  <c r="T998" s="1"/>
  <c r="H658"/>
  <c r="J658" s="1"/>
  <c r="L658" s="1"/>
  <c r="N658" s="1"/>
  <c r="P658" s="1"/>
  <c r="R658" s="1"/>
  <c r="T658" s="1"/>
  <c r="J114"/>
  <c r="L114" s="1"/>
  <c r="N114" s="1"/>
  <c r="P114" s="1"/>
  <c r="R114" s="1"/>
  <c r="T114" s="1"/>
  <c r="I113"/>
  <c r="G18"/>
  <c r="G632" i="5"/>
  <c r="I632" s="1"/>
  <c r="K632" s="1"/>
  <c r="M632" s="1"/>
  <c r="O632" s="1"/>
  <c r="Q632" s="1"/>
  <c r="S632" s="1"/>
  <c r="U632" s="1"/>
  <c r="I736"/>
  <c r="K736" s="1"/>
  <c r="M736" s="1"/>
  <c r="O736" s="1"/>
  <c r="Q736" s="1"/>
  <c r="S736" s="1"/>
  <c r="U736" s="1"/>
  <c r="H714"/>
  <c r="H713" s="1"/>
  <c r="E47" i="1" s="1"/>
  <c r="I655" i="5"/>
  <c r="K655" s="1"/>
  <c r="M655" s="1"/>
  <c r="O655" s="1"/>
  <c r="Q655" s="1"/>
  <c r="S655" s="1"/>
  <c r="U655" s="1"/>
  <c r="I1592"/>
  <c r="K1592" s="1"/>
  <c r="M1592" s="1"/>
  <c r="O1592" s="1"/>
  <c r="Q1592" s="1"/>
  <c r="S1592" s="1"/>
  <c r="U1592" s="1"/>
  <c r="G443"/>
  <c r="G442" s="1"/>
  <c r="I400"/>
  <c r="K400" s="1"/>
  <c r="M400" s="1"/>
  <c r="O400" s="1"/>
  <c r="Q400" s="1"/>
  <c r="S400" s="1"/>
  <c r="U400" s="1"/>
  <c r="G1519"/>
  <c r="I1519" s="1"/>
  <c r="K1519" s="1"/>
  <c r="M1519" s="1"/>
  <c r="O1519" s="1"/>
  <c r="Q1519" s="1"/>
  <c r="S1519" s="1"/>
  <c r="U1519" s="1"/>
  <c r="G53" i="1"/>
  <c r="J1296" i="5"/>
  <c r="I1522" i="6"/>
  <c r="H587"/>
  <c r="J587" s="1"/>
  <c r="L587" s="1"/>
  <c r="N587" s="1"/>
  <c r="P587" s="1"/>
  <c r="R587" s="1"/>
  <c r="T587" s="1"/>
  <c r="H482"/>
  <c r="J482" s="1"/>
  <c r="L482" s="1"/>
  <c r="N482" s="1"/>
  <c r="P482" s="1"/>
  <c r="R482" s="1"/>
  <c r="T482" s="1"/>
  <c r="H474"/>
  <c r="J474" s="1"/>
  <c r="L474" s="1"/>
  <c r="N474" s="1"/>
  <c r="P474" s="1"/>
  <c r="R474" s="1"/>
  <c r="T474" s="1"/>
  <c r="H402"/>
  <c r="J402" s="1"/>
  <c r="L402" s="1"/>
  <c r="N402" s="1"/>
  <c r="P402" s="1"/>
  <c r="R402" s="1"/>
  <c r="T402" s="1"/>
  <c r="H246" i="5"/>
  <c r="I246" s="1"/>
  <c r="K246" s="1"/>
  <c r="M246" s="1"/>
  <c r="O246" s="1"/>
  <c r="Q246" s="1"/>
  <c r="S246" s="1"/>
  <c r="U246" s="1"/>
  <c r="G90"/>
  <c r="I90" s="1"/>
  <c r="K90" s="1"/>
  <c r="M90" s="1"/>
  <c r="O90" s="1"/>
  <c r="Q90" s="1"/>
  <c r="S90" s="1"/>
  <c r="U90" s="1"/>
  <c r="I91"/>
  <c r="K91" s="1"/>
  <c r="M91" s="1"/>
  <c r="O91" s="1"/>
  <c r="Q91" s="1"/>
  <c r="S91" s="1"/>
  <c r="U91" s="1"/>
  <c r="H972"/>
  <c r="H914" s="1"/>
  <c r="E50" i="1"/>
  <c r="E48" s="1"/>
  <c r="E44"/>
  <c r="G1416" i="5"/>
  <c r="I1416" s="1"/>
  <c r="K1416" s="1"/>
  <c r="M1416" s="1"/>
  <c r="O1416" s="1"/>
  <c r="Q1416" s="1"/>
  <c r="S1416" s="1"/>
  <c r="U1416" s="1"/>
  <c r="I1425"/>
  <c r="K1425" s="1"/>
  <c r="M1425" s="1"/>
  <c r="O1425" s="1"/>
  <c r="Q1425" s="1"/>
  <c r="S1425" s="1"/>
  <c r="U1425" s="1"/>
  <c r="G458"/>
  <c r="I458" s="1"/>
  <c r="K458" s="1"/>
  <c r="M458" s="1"/>
  <c r="O458" s="1"/>
  <c r="Q458" s="1"/>
  <c r="S458" s="1"/>
  <c r="U458" s="1"/>
  <c r="I459"/>
  <c r="K459" s="1"/>
  <c r="M459" s="1"/>
  <c r="O459" s="1"/>
  <c r="Q459" s="1"/>
  <c r="S459" s="1"/>
  <c r="U459" s="1"/>
  <c r="I715"/>
  <c r="K715" s="1"/>
  <c r="M715" s="1"/>
  <c r="O715" s="1"/>
  <c r="Q715" s="1"/>
  <c r="S715" s="1"/>
  <c r="U715" s="1"/>
  <c r="G335"/>
  <c r="I336"/>
  <c r="K336" s="1"/>
  <c r="M336" s="1"/>
  <c r="O336" s="1"/>
  <c r="Q336" s="1"/>
  <c r="S336" s="1"/>
  <c r="U336" s="1"/>
  <c r="G1025"/>
  <c r="I1025" s="1"/>
  <c r="K1025" s="1"/>
  <c r="M1025" s="1"/>
  <c r="O1025" s="1"/>
  <c r="Q1025" s="1"/>
  <c r="S1025" s="1"/>
  <c r="U1025" s="1"/>
  <c r="I1026"/>
  <c r="K1026" s="1"/>
  <c r="M1026" s="1"/>
  <c r="O1026" s="1"/>
  <c r="Q1026" s="1"/>
  <c r="S1026" s="1"/>
  <c r="U1026" s="1"/>
  <c r="G1327"/>
  <c r="I1332"/>
  <c r="K1332" s="1"/>
  <c r="M1332" s="1"/>
  <c r="O1332" s="1"/>
  <c r="Q1332" s="1"/>
  <c r="S1332" s="1"/>
  <c r="U1332" s="1"/>
  <c r="G366"/>
  <c r="I366" s="1"/>
  <c r="K366" s="1"/>
  <c r="M366" s="1"/>
  <c r="O366" s="1"/>
  <c r="Q366" s="1"/>
  <c r="S366" s="1"/>
  <c r="U366" s="1"/>
  <c r="I367"/>
  <c r="K367" s="1"/>
  <c r="M367" s="1"/>
  <c r="O367" s="1"/>
  <c r="Q367" s="1"/>
  <c r="S367" s="1"/>
  <c r="U367" s="1"/>
  <c r="G661"/>
  <c r="I661" s="1"/>
  <c r="K661" s="1"/>
  <c r="M661" s="1"/>
  <c r="O661" s="1"/>
  <c r="Q661" s="1"/>
  <c r="S661" s="1"/>
  <c r="U661" s="1"/>
  <c r="I662"/>
  <c r="K662" s="1"/>
  <c r="M662" s="1"/>
  <c r="O662" s="1"/>
  <c r="Q662" s="1"/>
  <c r="S662" s="1"/>
  <c r="U662" s="1"/>
  <c r="G482"/>
  <c r="I483"/>
  <c r="K483" s="1"/>
  <c r="M483" s="1"/>
  <c r="O483" s="1"/>
  <c r="Q483" s="1"/>
  <c r="S483" s="1"/>
  <c r="U483" s="1"/>
  <c r="G1742"/>
  <c r="I1743"/>
  <c r="K1743" s="1"/>
  <c r="M1743" s="1"/>
  <c r="O1743" s="1"/>
  <c r="Q1743" s="1"/>
  <c r="S1743" s="1"/>
  <c r="U1743" s="1"/>
  <c r="G1103"/>
  <c r="I1103" s="1"/>
  <c r="K1103" s="1"/>
  <c r="M1103" s="1"/>
  <c r="O1103" s="1"/>
  <c r="Q1103" s="1"/>
  <c r="S1103" s="1"/>
  <c r="U1103" s="1"/>
  <c r="I1104"/>
  <c r="K1104" s="1"/>
  <c r="M1104" s="1"/>
  <c r="O1104" s="1"/>
  <c r="Q1104" s="1"/>
  <c r="S1104" s="1"/>
  <c r="U1104" s="1"/>
  <c r="G552"/>
  <c r="I552" s="1"/>
  <c r="K552" s="1"/>
  <c r="M552" s="1"/>
  <c r="O552" s="1"/>
  <c r="Q552" s="1"/>
  <c r="S552" s="1"/>
  <c r="U552" s="1"/>
  <c r="I557"/>
  <c r="K557" s="1"/>
  <c r="M557" s="1"/>
  <c r="O557" s="1"/>
  <c r="Q557" s="1"/>
  <c r="S557" s="1"/>
  <c r="U557" s="1"/>
  <c r="G398"/>
  <c r="I399"/>
  <c r="K399" s="1"/>
  <c r="M399" s="1"/>
  <c r="O399" s="1"/>
  <c r="Q399" s="1"/>
  <c r="S399" s="1"/>
  <c r="U399" s="1"/>
  <c r="G1503"/>
  <c r="I1504"/>
  <c r="K1504" s="1"/>
  <c r="M1504" s="1"/>
  <c r="O1504" s="1"/>
  <c r="Q1504" s="1"/>
  <c r="S1504" s="1"/>
  <c r="U1504" s="1"/>
  <c r="G529"/>
  <c r="I530"/>
  <c r="K530" s="1"/>
  <c r="M530" s="1"/>
  <c r="O530" s="1"/>
  <c r="Q530" s="1"/>
  <c r="S530" s="1"/>
  <c r="U530" s="1"/>
  <c r="G683"/>
  <c r="I683" s="1"/>
  <c r="K683" s="1"/>
  <c r="M683" s="1"/>
  <c r="O683" s="1"/>
  <c r="Q683" s="1"/>
  <c r="S683" s="1"/>
  <c r="U683" s="1"/>
  <c r="I684"/>
  <c r="K684" s="1"/>
  <c r="M684" s="1"/>
  <c r="O684" s="1"/>
  <c r="Q684" s="1"/>
  <c r="S684" s="1"/>
  <c r="U684" s="1"/>
  <c r="I489"/>
  <c r="K489" s="1"/>
  <c r="M489" s="1"/>
  <c r="O489" s="1"/>
  <c r="Q489" s="1"/>
  <c r="S489" s="1"/>
  <c r="U489" s="1"/>
  <c r="G488"/>
  <c r="I380"/>
  <c r="K380" s="1"/>
  <c r="M380" s="1"/>
  <c r="O380" s="1"/>
  <c r="Q380" s="1"/>
  <c r="S380" s="1"/>
  <c r="U380" s="1"/>
  <c r="G379"/>
  <c r="G1186"/>
  <c r="I1187"/>
  <c r="K1187" s="1"/>
  <c r="M1187" s="1"/>
  <c r="O1187" s="1"/>
  <c r="Q1187" s="1"/>
  <c r="S1187" s="1"/>
  <c r="U1187" s="1"/>
  <c r="I444"/>
  <c r="K444" s="1"/>
  <c r="M444" s="1"/>
  <c r="O444" s="1"/>
  <c r="Q444" s="1"/>
  <c r="S444" s="1"/>
  <c r="U444" s="1"/>
  <c r="I278"/>
  <c r="K278" s="1"/>
  <c r="M278" s="1"/>
  <c r="O278" s="1"/>
  <c r="Q278" s="1"/>
  <c r="S278" s="1"/>
  <c r="U278" s="1"/>
  <c r="H1325"/>
  <c r="H1296" s="1"/>
  <c r="E58" i="1"/>
  <c r="E53" s="1"/>
  <c r="G1362" i="5"/>
  <c r="I1363"/>
  <c r="K1363" s="1"/>
  <c r="M1363" s="1"/>
  <c r="O1363" s="1"/>
  <c r="Q1363" s="1"/>
  <c r="S1363" s="1"/>
  <c r="U1363" s="1"/>
  <c r="G909"/>
  <c r="I910"/>
  <c r="K910" s="1"/>
  <c r="M910" s="1"/>
  <c r="O910" s="1"/>
  <c r="Q910" s="1"/>
  <c r="S910" s="1"/>
  <c r="U910" s="1"/>
  <c r="G1370"/>
  <c r="I1370" s="1"/>
  <c r="K1370" s="1"/>
  <c r="M1370" s="1"/>
  <c r="O1370" s="1"/>
  <c r="Q1370" s="1"/>
  <c r="S1370" s="1"/>
  <c r="U1370" s="1"/>
  <c r="I1371"/>
  <c r="K1371" s="1"/>
  <c r="M1371" s="1"/>
  <c r="O1371" s="1"/>
  <c r="Q1371" s="1"/>
  <c r="S1371" s="1"/>
  <c r="U1371" s="1"/>
  <c r="G1346"/>
  <c r="I1346" s="1"/>
  <c r="K1346" s="1"/>
  <c r="M1346" s="1"/>
  <c r="O1346" s="1"/>
  <c r="Q1346" s="1"/>
  <c r="S1346" s="1"/>
  <c r="U1346" s="1"/>
  <c r="I1347"/>
  <c r="K1347" s="1"/>
  <c r="M1347" s="1"/>
  <c r="O1347" s="1"/>
  <c r="Q1347" s="1"/>
  <c r="S1347" s="1"/>
  <c r="U1347" s="1"/>
  <c r="G1127"/>
  <c r="I1127" s="1"/>
  <c r="K1127" s="1"/>
  <c r="M1127" s="1"/>
  <c r="O1127" s="1"/>
  <c r="Q1127" s="1"/>
  <c r="S1127" s="1"/>
  <c r="U1127" s="1"/>
  <c r="I1128"/>
  <c r="K1128" s="1"/>
  <c r="M1128" s="1"/>
  <c r="O1128" s="1"/>
  <c r="Q1128" s="1"/>
  <c r="S1128" s="1"/>
  <c r="U1128" s="1"/>
  <c r="G948"/>
  <c r="I949"/>
  <c r="K949" s="1"/>
  <c r="M949" s="1"/>
  <c r="O949" s="1"/>
  <c r="Q949" s="1"/>
  <c r="S949" s="1"/>
  <c r="U949" s="1"/>
  <c r="G544"/>
  <c r="I545"/>
  <c r="K545" s="1"/>
  <c r="M545" s="1"/>
  <c r="O545" s="1"/>
  <c r="Q545" s="1"/>
  <c r="S545" s="1"/>
  <c r="U545" s="1"/>
  <c r="G314"/>
  <c r="I319"/>
  <c r="K319" s="1"/>
  <c r="M319" s="1"/>
  <c r="O319" s="1"/>
  <c r="Q319" s="1"/>
  <c r="S319" s="1"/>
  <c r="U319" s="1"/>
  <c r="G1624"/>
  <c r="I1625"/>
  <c r="K1625" s="1"/>
  <c r="M1625" s="1"/>
  <c r="O1625" s="1"/>
  <c r="Q1625" s="1"/>
  <c r="S1625" s="1"/>
  <c r="U1625" s="1"/>
  <c r="G1289"/>
  <c r="I1290"/>
  <c r="K1290" s="1"/>
  <c r="M1290" s="1"/>
  <c r="O1290" s="1"/>
  <c r="Q1290" s="1"/>
  <c r="S1290" s="1"/>
  <c r="U1290" s="1"/>
  <c r="I1307"/>
  <c r="K1307" s="1"/>
  <c r="M1307" s="1"/>
  <c r="O1307" s="1"/>
  <c r="Q1307" s="1"/>
  <c r="S1307" s="1"/>
  <c r="U1307" s="1"/>
  <c r="G474"/>
  <c r="I475"/>
  <c r="K475" s="1"/>
  <c r="M475" s="1"/>
  <c r="O475" s="1"/>
  <c r="Q475" s="1"/>
  <c r="S475" s="1"/>
  <c r="U475" s="1"/>
  <c r="G671"/>
  <c r="I672"/>
  <c r="K672" s="1"/>
  <c r="M672" s="1"/>
  <c r="O672" s="1"/>
  <c r="Q672" s="1"/>
  <c r="S672" s="1"/>
  <c r="U672" s="1"/>
  <c r="G703"/>
  <c r="I704"/>
  <c r="K704" s="1"/>
  <c r="M704" s="1"/>
  <c r="O704" s="1"/>
  <c r="Q704" s="1"/>
  <c r="S704" s="1"/>
  <c r="U704" s="1"/>
  <c r="G1072"/>
  <c r="I1072" s="1"/>
  <c r="K1072" s="1"/>
  <c r="M1072" s="1"/>
  <c r="O1072" s="1"/>
  <c r="Q1072" s="1"/>
  <c r="S1072" s="1"/>
  <c r="U1072" s="1"/>
  <c r="I1073"/>
  <c r="K1073" s="1"/>
  <c r="M1073" s="1"/>
  <c r="O1073" s="1"/>
  <c r="Q1073" s="1"/>
  <c r="S1073" s="1"/>
  <c r="U1073" s="1"/>
  <c r="G361"/>
  <c r="I361" s="1"/>
  <c r="K361" s="1"/>
  <c r="M361" s="1"/>
  <c r="O361" s="1"/>
  <c r="Q361" s="1"/>
  <c r="S361" s="1"/>
  <c r="U361" s="1"/>
  <c r="I362"/>
  <c r="K362" s="1"/>
  <c r="M362" s="1"/>
  <c r="O362" s="1"/>
  <c r="Q362" s="1"/>
  <c r="S362" s="1"/>
  <c r="U362" s="1"/>
  <c r="I773"/>
  <c r="K773" s="1"/>
  <c r="M773" s="1"/>
  <c r="O773" s="1"/>
  <c r="Q773" s="1"/>
  <c r="S773" s="1"/>
  <c r="U773" s="1"/>
  <c r="G772"/>
  <c r="I772" s="1"/>
  <c r="K772" s="1"/>
  <c r="M772" s="1"/>
  <c r="O772" s="1"/>
  <c r="Q772" s="1"/>
  <c r="S772" s="1"/>
  <c r="U772" s="1"/>
  <c r="I1652"/>
  <c r="K1652" s="1"/>
  <c r="M1652" s="1"/>
  <c r="O1652" s="1"/>
  <c r="Q1652" s="1"/>
  <c r="S1652" s="1"/>
  <c r="U1652" s="1"/>
  <c r="G1651"/>
  <c r="G917"/>
  <c r="I918"/>
  <c r="K918" s="1"/>
  <c r="M918" s="1"/>
  <c r="O918" s="1"/>
  <c r="Q918" s="1"/>
  <c r="S918" s="1"/>
  <c r="U918" s="1"/>
  <c r="G927"/>
  <c r="I932"/>
  <c r="K932" s="1"/>
  <c r="M932" s="1"/>
  <c r="O932" s="1"/>
  <c r="Q932" s="1"/>
  <c r="S932" s="1"/>
  <c r="U932" s="1"/>
  <c r="G1454"/>
  <c r="I1455"/>
  <c r="K1455" s="1"/>
  <c r="M1455" s="1"/>
  <c r="O1455" s="1"/>
  <c r="Q1455" s="1"/>
  <c r="S1455" s="1"/>
  <c r="U1455" s="1"/>
  <c r="I988"/>
  <c r="K988" s="1"/>
  <c r="M988" s="1"/>
  <c r="O988" s="1"/>
  <c r="Q988" s="1"/>
  <c r="S988" s="1"/>
  <c r="U988" s="1"/>
  <c r="G987"/>
  <c r="G1094"/>
  <c r="I1094" s="1"/>
  <c r="K1094" s="1"/>
  <c r="M1094" s="1"/>
  <c r="O1094" s="1"/>
  <c r="Q1094" s="1"/>
  <c r="S1094" s="1"/>
  <c r="U1094" s="1"/>
  <c r="I1095"/>
  <c r="K1095" s="1"/>
  <c r="M1095" s="1"/>
  <c r="O1095" s="1"/>
  <c r="Q1095" s="1"/>
  <c r="S1095" s="1"/>
  <c r="U1095" s="1"/>
  <c r="G563"/>
  <c r="I564"/>
  <c r="K564" s="1"/>
  <c r="M564" s="1"/>
  <c r="O564" s="1"/>
  <c r="Q564" s="1"/>
  <c r="S564" s="1"/>
  <c r="U564" s="1"/>
  <c r="I788"/>
  <c r="K788" s="1"/>
  <c r="M788" s="1"/>
  <c r="O788" s="1"/>
  <c r="Q788" s="1"/>
  <c r="S788" s="1"/>
  <c r="U788" s="1"/>
  <c r="G1494"/>
  <c r="I1494" s="1"/>
  <c r="K1494" s="1"/>
  <c r="M1494" s="1"/>
  <c r="O1494" s="1"/>
  <c r="Q1494" s="1"/>
  <c r="S1494" s="1"/>
  <c r="U1494" s="1"/>
  <c r="G1085"/>
  <c r="I1085" s="1"/>
  <c r="K1085" s="1"/>
  <c r="M1085" s="1"/>
  <c r="O1085" s="1"/>
  <c r="Q1085" s="1"/>
  <c r="S1085" s="1"/>
  <c r="U1085" s="1"/>
  <c r="G807"/>
  <c r="I808"/>
  <c r="K808" s="1"/>
  <c r="M808" s="1"/>
  <c r="O808" s="1"/>
  <c r="Q808" s="1"/>
  <c r="S808" s="1"/>
  <c r="U808" s="1"/>
  <c r="I612"/>
  <c r="K612" s="1"/>
  <c r="M612" s="1"/>
  <c r="O612" s="1"/>
  <c r="Q612" s="1"/>
  <c r="S612" s="1"/>
  <c r="U612" s="1"/>
  <c r="G611"/>
  <c r="I1728"/>
  <c r="K1728" s="1"/>
  <c r="M1728" s="1"/>
  <c r="O1728" s="1"/>
  <c r="Q1728" s="1"/>
  <c r="S1728" s="1"/>
  <c r="U1728" s="1"/>
  <c r="G1727"/>
  <c r="G1270"/>
  <c r="I1271"/>
  <c r="K1271" s="1"/>
  <c r="M1271" s="1"/>
  <c r="O1271" s="1"/>
  <c r="Q1271" s="1"/>
  <c r="S1271" s="1"/>
  <c r="U1271" s="1"/>
  <c r="G857"/>
  <c r="I857" s="1"/>
  <c r="K857" s="1"/>
  <c r="M857" s="1"/>
  <c r="O857" s="1"/>
  <c r="Q857" s="1"/>
  <c r="S857" s="1"/>
  <c r="U857" s="1"/>
  <c r="I858"/>
  <c r="K858" s="1"/>
  <c r="M858" s="1"/>
  <c r="O858" s="1"/>
  <c r="Q858" s="1"/>
  <c r="S858" s="1"/>
  <c r="U858" s="1"/>
  <c r="G1132"/>
  <c r="I1132" s="1"/>
  <c r="K1132" s="1"/>
  <c r="M1132" s="1"/>
  <c r="O1132" s="1"/>
  <c r="Q1132" s="1"/>
  <c r="S1132" s="1"/>
  <c r="U1132" s="1"/>
  <c r="I1133"/>
  <c r="K1133" s="1"/>
  <c r="M1133" s="1"/>
  <c r="O1133" s="1"/>
  <c r="Q1133" s="1"/>
  <c r="S1133" s="1"/>
  <c r="U1133" s="1"/>
  <c r="I964"/>
  <c r="K964" s="1"/>
  <c r="M964" s="1"/>
  <c r="O964" s="1"/>
  <c r="Q964" s="1"/>
  <c r="S964" s="1"/>
  <c r="U964" s="1"/>
  <c r="G963"/>
  <c r="G590"/>
  <c r="I591"/>
  <c r="K591" s="1"/>
  <c r="M591" s="1"/>
  <c r="O591" s="1"/>
  <c r="Q591" s="1"/>
  <c r="S591" s="1"/>
  <c r="U591" s="1"/>
  <c r="G893"/>
  <c r="I894"/>
  <c r="K894" s="1"/>
  <c r="M894" s="1"/>
  <c r="O894" s="1"/>
  <c r="Q894" s="1"/>
  <c r="S894" s="1"/>
  <c r="U894" s="1"/>
  <c r="G1338"/>
  <c r="I1338" s="1"/>
  <c r="K1338" s="1"/>
  <c r="M1338" s="1"/>
  <c r="O1338" s="1"/>
  <c r="Q1338" s="1"/>
  <c r="S1338" s="1"/>
  <c r="U1338" s="1"/>
  <c r="I1339"/>
  <c r="K1339" s="1"/>
  <c r="M1339" s="1"/>
  <c r="O1339" s="1"/>
  <c r="Q1339" s="1"/>
  <c r="S1339" s="1"/>
  <c r="U1339" s="1"/>
  <c r="G1613"/>
  <c r="I1614"/>
  <c r="K1614" s="1"/>
  <c r="M1614" s="1"/>
  <c r="O1614" s="1"/>
  <c r="Q1614" s="1"/>
  <c r="S1614" s="1"/>
  <c r="U1614" s="1"/>
  <c r="I639"/>
  <c r="K639" s="1"/>
  <c r="M639" s="1"/>
  <c r="O639" s="1"/>
  <c r="Q639" s="1"/>
  <c r="S639" s="1"/>
  <c r="U639" s="1"/>
  <c r="G1560"/>
  <c r="G1554" s="1"/>
  <c r="I1561"/>
  <c r="K1561" s="1"/>
  <c r="M1561" s="1"/>
  <c r="O1561" s="1"/>
  <c r="Q1561" s="1"/>
  <c r="S1561" s="1"/>
  <c r="U1561" s="1"/>
  <c r="G870"/>
  <c r="I871"/>
  <c r="K871" s="1"/>
  <c r="M871" s="1"/>
  <c r="O871" s="1"/>
  <c r="Q871" s="1"/>
  <c r="S871" s="1"/>
  <c r="U871" s="1"/>
  <c r="G1282"/>
  <c r="I1283"/>
  <c r="K1283" s="1"/>
  <c r="M1283" s="1"/>
  <c r="O1283" s="1"/>
  <c r="Q1283" s="1"/>
  <c r="S1283" s="1"/>
  <c r="U1283" s="1"/>
  <c r="G1054"/>
  <c r="I1054" s="1"/>
  <c r="K1054" s="1"/>
  <c r="M1054" s="1"/>
  <c r="O1054" s="1"/>
  <c r="Q1054" s="1"/>
  <c r="S1054" s="1"/>
  <c r="U1054" s="1"/>
  <c r="I1055"/>
  <c r="K1055" s="1"/>
  <c r="M1055" s="1"/>
  <c r="O1055" s="1"/>
  <c r="Q1055" s="1"/>
  <c r="S1055" s="1"/>
  <c r="U1055" s="1"/>
  <c r="G1038"/>
  <c r="I1038" s="1"/>
  <c r="K1038" s="1"/>
  <c r="M1038" s="1"/>
  <c r="O1038" s="1"/>
  <c r="Q1038" s="1"/>
  <c r="S1038" s="1"/>
  <c r="U1038" s="1"/>
  <c r="I1039"/>
  <c r="K1039" s="1"/>
  <c r="M1039" s="1"/>
  <c r="O1039" s="1"/>
  <c r="Q1039" s="1"/>
  <c r="S1039" s="1"/>
  <c r="U1039" s="1"/>
  <c r="G1321"/>
  <c r="I1321" s="1"/>
  <c r="K1321" s="1"/>
  <c r="M1321" s="1"/>
  <c r="O1321" s="1"/>
  <c r="Q1321" s="1"/>
  <c r="S1321" s="1"/>
  <c r="U1321" s="1"/>
  <c r="I1322"/>
  <c r="K1322" s="1"/>
  <c r="M1322" s="1"/>
  <c r="O1322" s="1"/>
  <c r="Q1322" s="1"/>
  <c r="S1322" s="1"/>
  <c r="U1322" s="1"/>
  <c r="G838"/>
  <c r="I838" s="1"/>
  <c r="K838" s="1"/>
  <c r="M838" s="1"/>
  <c r="O838" s="1"/>
  <c r="Q838" s="1"/>
  <c r="S838" s="1"/>
  <c r="U838" s="1"/>
  <c r="I839"/>
  <c r="K839" s="1"/>
  <c r="M839" s="1"/>
  <c r="O839" s="1"/>
  <c r="Q839" s="1"/>
  <c r="S839" s="1"/>
  <c r="U839" s="1"/>
  <c r="G1004"/>
  <c r="I1004" s="1"/>
  <c r="K1004" s="1"/>
  <c r="M1004" s="1"/>
  <c r="O1004" s="1"/>
  <c r="Q1004" s="1"/>
  <c r="S1004" s="1"/>
  <c r="U1004" s="1"/>
  <c r="I1005"/>
  <c r="K1005" s="1"/>
  <c r="M1005" s="1"/>
  <c r="O1005" s="1"/>
  <c r="Q1005" s="1"/>
  <c r="S1005" s="1"/>
  <c r="U1005" s="1"/>
  <c r="G537"/>
  <c r="I538"/>
  <c r="K538" s="1"/>
  <c r="M538" s="1"/>
  <c r="O538" s="1"/>
  <c r="Q538" s="1"/>
  <c r="S538" s="1"/>
  <c r="U538" s="1"/>
  <c r="I1470"/>
  <c r="K1470" s="1"/>
  <c r="M1470" s="1"/>
  <c r="O1470" s="1"/>
  <c r="Q1470" s="1"/>
  <c r="S1470" s="1"/>
  <c r="U1470" s="1"/>
  <c r="G1467"/>
  <c r="I1467" s="1"/>
  <c r="K1467" s="1"/>
  <c r="M1467" s="1"/>
  <c r="O1467" s="1"/>
  <c r="Q1467" s="1"/>
  <c r="S1467" s="1"/>
  <c r="U1467" s="1"/>
  <c r="I1430"/>
  <c r="K1430" s="1"/>
  <c r="M1430" s="1"/>
  <c r="O1430" s="1"/>
  <c r="Q1430" s="1"/>
  <c r="S1430" s="1"/>
  <c r="U1430" s="1"/>
  <c r="G1429"/>
  <c r="I1429" s="1"/>
  <c r="K1429" s="1"/>
  <c r="M1429" s="1"/>
  <c r="O1429" s="1"/>
  <c r="Q1429" s="1"/>
  <c r="S1429" s="1"/>
  <c r="U1429" s="1"/>
  <c r="G1637"/>
  <c r="I1642"/>
  <c r="K1642" s="1"/>
  <c r="M1642" s="1"/>
  <c r="O1642" s="1"/>
  <c r="Q1642" s="1"/>
  <c r="S1642" s="1"/>
  <c r="U1642" s="1"/>
  <c r="I95"/>
  <c r="K95" s="1"/>
  <c r="M95" s="1"/>
  <c r="O95" s="1"/>
  <c r="Q95" s="1"/>
  <c r="S95" s="1"/>
  <c r="U95" s="1"/>
  <c r="G1631"/>
  <c r="I1632"/>
  <c r="K1632" s="1"/>
  <c r="M1632" s="1"/>
  <c r="O1632" s="1"/>
  <c r="Q1632" s="1"/>
  <c r="S1632" s="1"/>
  <c r="U1632" s="1"/>
  <c r="G1049"/>
  <c r="I1049" s="1"/>
  <c r="K1049" s="1"/>
  <c r="M1049" s="1"/>
  <c r="O1049" s="1"/>
  <c r="Q1049" s="1"/>
  <c r="S1049" s="1"/>
  <c r="U1049" s="1"/>
  <c r="I1050"/>
  <c r="K1050" s="1"/>
  <c r="M1050" s="1"/>
  <c r="O1050" s="1"/>
  <c r="Q1050" s="1"/>
  <c r="S1050" s="1"/>
  <c r="U1050" s="1"/>
  <c r="G1217"/>
  <c r="I1217" s="1"/>
  <c r="K1217" s="1"/>
  <c r="M1217" s="1"/>
  <c r="O1217" s="1"/>
  <c r="Q1217" s="1"/>
  <c r="S1217" s="1"/>
  <c r="U1217" s="1"/>
  <c r="I1218"/>
  <c r="K1218" s="1"/>
  <c r="M1218" s="1"/>
  <c r="O1218" s="1"/>
  <c r="Q1218" s="1"/>
  <c r="S1218" s="1"/>
  <c r="U1218" s="1"/>
  <c r="G743"/>
  <c r="I743" s="1"/>
  <c r="K743" s="1"/>
  <c r="M743" s="1"/>
  <c r="O743" s="1"/>
  <c r="Q743" s="1"/>
  <c r="S743" s="1"/>
  <c r="U743" s="1"/>
  <c r="I744"/>
  <c r="K744" s="1"/>
  <c r="M744" s="1"/>
  <c r="O744" s="1"/>
  <c r="Q744" s="1"/>
  <c r="S744" s="1"/>
  <c r="U744" s="1"/>
  <c r="G1735"/>
  <c r="I1735" s="1"/>
  <c r="K1735" s="1"/>
  <c r="M1735" s="1"/>
  <c r="O1735" s="1"/>
  <c r="Q1735" s="1"/>
  <c r="S1735" s="1"/>
  <c r="U1735" s="1"/>
  <c r="I1736"/>
  <c r="K1736" s="1"/>
  <c r="M1736" s="1"/>
  <c r="O1736" s="1"/>
  <c r="Q1736" s="1"/>
  <c r="S1736" s="1"/>
  <c r="U1736" s="1"/>
  <c r="G1067"/>
  <c r="I1068"/>
  <c r="K1068" s="1"/>
  <c r="M1068" s="1"/>
  <c r="O1068" s="1"/>
  <c r="Q1068" s="1"/>
  <c r="S1068" s="1"/>
  <c r="U1068" s="1"/>
  <c r="G677"/>
  <c r="I677" s="1"/>
  <c r="K677" s="1"/>
  <c r="M677" s="1"/>
  <c r="O677" s="1"/>
  <c r="Q677" s="1"/>
  <c r="S677" s="1"/>
  <c r="U677" s="1"/>
  <c r="I678"/>
  <c r="K678" s="1"/>
  <c r="M678" s="1"/>
  <c r="O678" s="1"/>
  <c r="Q678" s="1"/>
  <c r="S678" s="1"/>
  <c r="U678" s="1"/>
  <c r="G464"/>
  <c r="I465"/>
  <c r="K465" s="1"/>
  <c r="M465" s="1"/>
  <c r="O465" s="1"/>
  <c r="Q465" s="1"/>
  <c r="S465" s="1"/>
  <c r="U465" s="1"/>
  <c r="G1407"/>
  <c r="I1407" s="1"/>
  <c r="K1407" s="1"/>
  <c r="M1407" s="1"/>
  <c r="O1407" s="1"/>
  <c r="Q1407" s="1"/>
  <c r="S1407" s="1"/>
  <c r="U1407" s="1"/>
  <c r="I1411"/>
  <c r="K1411" s="1"/>
  <c r="M1411" s="1"/>
  <c r="O1411" s="1"/>
  <c r="Q1411" s="1"/>
  <c r="S1411" s="1"/>
  <c r="U1411" s="1"/>
  <c r="G420"/>
  <c r="I421"/>
  <c r="K421" s="1"/>
  <c r="M421" s="1"/>
  <c r="O421" s="1"/>
  <c r="Q421" s="1"/>
  <c r="S421" s="1"/>
  <c r="U421" s="1"/>
  <c r="G975"/>
  <c r="I975" s="1"/>
  <c r="K975" s="1"/>
  <c r="M975" s="1"/>
  <c r="O975" s="1"/>
  <c r="Q975" s="1"/>
  <c r="S975" s="1"/>
  <c r="U975" s="1"/>
  <c r="I976"/>
  <c r="K976" s="1"/>
  <c r="M976" s="1"/>
  <c r="O976" s="1"/>
  <c r="Q976" s="1"/>
  <c r="S976" s="1"/>
  <c r="U976" s="1"/>
  <c r="G1114"/>
  <c r="I1114" s="1"/>
  <c r="K1114" s="1"/>
  <c r="M1114" s="1"/>
  <c r="O1114" s="1"/>
  <c r="Q1114" s="1"/>
  <c r="S1114" s="1"/>
  <c r="U1114" s="1"/>
  <c r="I1119"/>
  <c r="K1119" s="1"/>
  <c r="M1119" s="1"/>
  <c r="O1119" s="1"/>
  <c r="Q1119" s="1"/>
  <c r="S1119" s="1"/>
  <c r="U1119" s="1"/>
  <c r="G1514"/>
  <c r="I1515"/>
  <c r="K1515" s="1"/>
  <c r="M1515" s="1"/>
  <c r="O1515" s="1"/>
  <c r="Q1515" s="1"/>
  <c r="S1515" s="1"/>
  <c r="U1515" s="1"/>
  <c r="G852"/>
  <c r="I853"/>
  <c r="K853" s="1"/>
  <c r="M853" s="1"/>
  <c r="O853" s="1"/>
  <c r="Q853" s="1"/>
  <c r="S853" s="1"/>
  <c r="U853" s="1"/>
  <c r="G503"/>
  <c r="I504"/>
  <c r="K504" s="1"/>
  <c r="M504" s="1"/>
  <c r="O504" s="1"/>
  <c r="Q504" s="1"/>
  <c r="S504" s="1"/>
  <c r="U504" s="1"/>
  <c r="G846"/>
  <c r="I847"/>
  <c r="K847" s="1"/>
  <c r="M847" s="1"/>
  <c r="O847" s="1"/>
  <c r="Q847" s="1"/>
  <c r="S847" s="1"/>
  <c r="U847" s="1"/>
  <c r="K1226"/>
  <c r="M1226" s="1"/>
  <c r="O1226" s="1"/>
  <c r="Q1226" s="1"/>
  <c r="S1226" s="1"/>
  <c r="U1226" s="1"/>
  <c r="I618"/>
  <c r="K618" s="1"/>
  <c r="M618" s="1"/>
  <c r="O618" s="1"/>
  <c r="Q618" s="1"/>
  <c r="S618" s="1"/>
  <c r="U618" s="1"/>
  <c r="G617"/>
  <c r="I617" s="1"/>
  <c r="K617" s="1"/>
  <c r="M617" s="1"/>
  <c r="O617" s="1"/>
  <c r="Q617" s="1"/>
  <c r="S617" s="1"/>
  <c r="U617" s="1"/>
  <c r="G800"/>
  <c r="I801"/>
  <c r="K801" s="1"/>
  <c r="M801" s="1"/>
  <c r="O801" s="1"/>
  <c r="Q801" s="1"/>
  <c r="S801" s="1"/>
  <c r="U801" s="1"/>
  <c r="G1697"/>
  <c r="I1698"/>
  <c r="K1698" s="1"/>
  <c r="M1698" s="1"/>
  <c r="O1698" s="1"/>
  <c r="Q1698" s="1"/>
  <c r="S1698" s="1"/>
  <c r="U1698" s="1"/>
  <c r="I1245"/>
  <c r="K1245" s="1"/>
  <c r="M1245" s="1"/>
  <c r="O1245" s="1"/>
  <c r="Q1245" s="1"/>
  <c r="S1245" s="1"/>
  <c r="U1245" s="1"/>
  <c r="G1240"/>
  <c r="G33"/>
  <c r="I34"/>
  <c r="K34" s="1"/>
  <c r="M34" s="1"/>
  <c r="O34" s="1"/>
  <c r="Q34" s="1"/>
  <c r="S34" s="1"/>
  <c r="U34" s="1"/>
  <c r="I1151"/>
  <c r="K1151" s="1"/>
  <c r="M1151" s="1"/>
  <c r="O1151" s="1"/>
  <c r="Q1151" s="1"/>
  <c r="S1151" s="1"/>
  <c r="U1151" s="1"/>
  <c r="G1150"/>
  <c r="G1354"/>
  <c r="I1354" s="1"/>
  <c r="K1354" s="1"/>
  <c r="M1354" s="1"/>
  <c r="O1354" s="1"/>
  <c r="Q1354" s="1"/>
  <c r="S1354" s="1"/>
  <c r="U1354" s="1"/>
  <c r="I1355"/>
  <c r="K1355" s="1"/>
  <c r="M1355" s="1"/>
  <c r="O1355" s="1"/>
  <c r="Q1355" s="1"/>
  <c r="S1355" s="1"/>
  <c r="U1355" s="1"/>
  <c r="I764"/>
  <c r="K764" s="1"/>
  <c r="M764" s="1"/>
  <c r="O764" s="1"/>
  <c r="Q764" s="1"/>
  <c r="S764" s="1"/>
  <c r="U764" s="1"/>
  <c r="G763"/>
  <c r="I763" s="1"/>
  <c r="K763" s="1"/>
  <c r="M763" s="1"/>
  <c r="O763" s="1"/>
  <c r="Q763" s="1"/>
  <c r="S763" s="1"/>
  <c r="U763" s="1"/>
  <c r="G833"/>
  <c r="I834"/>
  <c r="K834" s="1"/>
  <c r="M834" s="1"/>
  <c r="O834" s="1"/>
  <c r="Q834" s="1"/>
  <c r="S834" s="1"/>
  <c r="U834" s="1"/>
  <c r="G348"/>
  <c r="I349"/>
  <c r="K349" s="1"/>
  <c r="M349" s="1"/>
  <c r="O349" s="1"/>
  <c r="Q349" s="1"/>
  <c r="S349" s="1"/>
  <c r="U349" s="1"/>
  <c r="G516"/>
  <c r="I517"/>
  <c r="K517" s="1"/>
  <c r="M517" s="1"/>
  <c r="O517" s="1"/>
  <c r="Q517" s="1"/>
  <c r="S517" s="1"/>
  <c r="U517" s="1"/>
  <c r="I96"/>
  <c r="K96" s="1"/>
  <c r="M96" s="1"/>
  <c r="O96" s="1"/>
  <c r="Q96" s="1"/>
  <c r="S96" s="1"/>
  <c r="U96" s="1"/>
  <c r="G1427" i="6"/>
  <c r="H1427" s="1"/>
  <c r="J1427" s="1"/>
  <c r="L1427" s="1"/>
  <c r="N1427" s="1"/>
  <c r="P1427" s="1"/>
  <c r="R1427" s="1"/>
  <c r="T1427" s="1"/>
  <c r="H1336"/>
  <c r="J1336" s="1"/>
  <c r="L1336" s="1"/>
  <c r="N1336" s="1"/>
  <c r="P1336" s="1"/>
  <c r="R1336" s="1"/>
  <c r="T1336" s="1"/>
  <c r="E60" i="1"/>
  <c r="E59" s="1"/>
  <c r="H1203" i="5"/>
  <c r="I1204"/>
  <c r="K1204" s="1"/>
  <c r="M1204" s="1"/>
  <c r="O1204" s="1"/>
  <c r="Q1204" s="1"/>
  <c r="S1204" s="1"/>
  <c r="U1204" s="1"/>
  <c r="F495" i="6"/>
  <c r="F494" s="1"/>
  <c r="H1544"/>
  <c r="J1544" s="1"/>
  <c r="L1544" s="1"/>
  <c r="N1544" s="1"/>
  <c r="P1544" s="1"/>
  <c r="R1544" s="1"/>
  <c r="T1544" s="1"/>
  <c r="F1541"/>
  <c r="F1010"/>
  <c r="H1011"/>
  <c r="J1011" s="1"/>
  <c r="L1011" s="1"/>
  <c r="N1011" s="1"/>
  <c r="P1011" s="1"/>
  <c r="R1011" s="1"/>
  <c r="T1011" s="1"/>
  <c r="F289"/>
  <c r="H290"/>
  <c r="J290" s="1"/>
  <c r="L290" s="1"/>
  <c r="N290" s="1"/>
  <c r="P290" s="1"/>
  <c r="R290" s="1"/>
  <c r="T290" s="1"/>
  <c r="F415"/>
  <c r="H416"/>
  <c r="J416" s="1"/>
  <c r="L416" s="1"/>
  <c r="N416" s="1"/>
  <c r="P416" s="1"/>
  <c r="R416" s="1"/>
  <c r="T416" s="1"/>
  <c r="F710"/>
  <c r="H711"/>
  <c r="J711" s="1"/>
  <c r="L711" s="1"/>
  <c r="N711" s="1"/>
  <c r="P711" s="1"/>
  <c r="R711" s="1"/>
  <c r="T711" s="1"/>
  <c r="F1068"/>
  <c r="H1069"/>
  <c r="J1069" s="1"/>
  <c r="L1069" s="1"/>
  <c r="N1069" s="1"/>
  <c r="P1069" s="1"/>
  <c r="R1069" s="1"/>
  <c r="T1069" s="1"/>
  <c r="F551"/>
  <c r="H552"/>
  <c r="J552" s="1"/>
  <c r="L552" s="1"/>
  <c r="N552" s="1"/>
  <c r="P552" s="1"/>
  <c r="R552" s="1"/>
  <c r="T552" s="1"/>
  <c r="F367"/>
  <c r="H368"/>
  <c r="J368" s="1"/>
  <c r="L368" s="1"/>
  <c r="N368" s="1"/>
  <c r="P368" s="1"/>
  <c r="R368" s="1"/>
  <c r="T368" s="1"/>
  <c r="F663"/>
  <c r="H663" s="1"/>
  <c r="J663" s="1"/>
  <c r="L663" s="1"/>
  <c r="N663" s="1"/>
  <c r="P663" s="1"/>
  <c r="R663" s="1"/>
  <c r="T663" s="1"/>
  <c r="H664"/>
  <c r="J664" s="1"/>
  <c r="L664" s="1"/>
  <c r="N664" s="1"/>
  <c r="P664" s="1"/>
  <c r="R664" s="1"/>
  <c r="T664" s="1"/>
  <c r="F1087"/>
  <c r="H1088"/>
  <c r="J1088" s="1"/>
  <c r="L1088" s="1"/>
  <c r="N1088" s="1"/>
  <c r="P1088" s="1"/>
  <c r="R1088" s="1"/>
  <c r="T1088" s="1"/>
  <c r="F1152"/>
  <c r="H1153"/>
  <c r="J1153" s="1"/>
  <c r="L1153" s="1"/>
  <c r="N1153" s="1"/>
  <c r="P1153" s="1"/>
  <c r="R1153" s="1"/>
  <c r="T1153" s="1"/>
  <c r="F1792"/>
  <c r="H1793"/>
  <c r="J1793" s="1"/>
  <c r="L1793" s="1"/>
  <c r="N1793" s="1"/>
  <c r="P1793" s="1"/>
  <c r="R1793" s="1"/>
  <c r="T1793" s="1"/>
  <c r="H1788"/>
  <c r="J1788" s="1"/>
  <c r="L1788" s="1"/>
  <c r="N1788" s="1"/>
  <c r="P1788" s="1"/>
  <c r="R1788" s="1"/>
  <c r="T1788" s="1"/>
  <c r="F1785"/>
  <c r="F957"/>
  <c r="H958"/>
  <c r="J958" s="1"/>
  <c r="L958" s="1"/>
  <c r="N958" s="1"/>
  <c r="P958" s="1"/>
  <c r="R958" s="1"/>
  <c r="T958" s="1"/>
  <c r="F92"/>
  <c r="H93"/>
  <c r="J93" s="1"/>
  <c r="L93" s="1"/>
  <c r="N93" s="1"/>
  <c r="P93" s="1"/>
  <c r="R93" s="1"/>
  <c r="T93" s="1"/>
  <c r="F55"/>
  <c r="H56"/>
  <c r="J56" s="1"/>
  <c r="L56" s="1"/>
  <c r="N56" s="1"/>
  <c r="P56" s="1"/>
  <c r="R56" s="1"/>
  <c r="T56" s="1"/>
  <c r="F421"/>
  <c r="H422"/>
  <c r="J422" s="1"/>
  <c r="L422" s="1"/>
  <c r="N422" s="1"/>
  <c r="P422" s="1"/>
  <c r="R422" s="1"/>
  <c r="T422" s="1"/>
  <c r="F1525"/>
  <c r="H1526"/>
  <c r="J1526" s="1"/>
  <c r="L1526" s="1"/>
  <c r="N1526" s="1"/>
  <c r="P1526" s="1"/>
  <c r="R1526" s="1"/>
  <c r="T1526" s="1"/>
  <c r="H1460"/>
  <c r="J1460" s="1"/>
  <c r="L1460" s="1"/>
  <c r="N1460" s="1"/>
  <c r="P1460" s="1"/>
  <c r="R1460" s="1"/>
  <c r="T1460" s="1"/>
  <c r="F1457"/>
  <c r="H1025"/>
  <c r="J1025" s="1"/>
  <c r="L1025" s="1"/>
  <c r="N1025" s="1"/>
  <c r="P1025" s="1"/>
  <c r="R1025" s="1"/>
  <c r="T1025" s="1"/>
  <c r="F1024"/>
  <c r="F138"/>
  <c r="H138" s="1"/>
  <c r="J138" s="1"/>
  <c r="L138" s="1"/>
  <c r="N138" s="1"/>
  <c r="P138" s="1"/>
  <c r="R138" s="1"/>
  <c r="T138" s="1"/>
  <c r="H139"/>
  <c r="J139" s="1"/>
  <c r="L139" s="1"/>
  <c r="N139" s="1"/>
  <c r="P139" s="1"/>
  <c r="R139" s="1"/>
  <c r="T139" s="1"/>
  <c r="F281"/>
  <c r="H281" s="1"/>
  <c r="J281" s="1"/>
  <c r="L281" s="1"/>
  <c r="N281" s="1"/>
  <c r="P281" s="1"/>
  <c r="R281" s="1"/>
  <c r="T281" s="1"/>
  <c r="H282"/>
  <c r="J282" s="1"/>
  <c r="L282" s="1"/>
  <c r="N282" s="1"/>
  <c r="P282" s="1"/>
  <c r="R282" s="1"/>
  <c r="T282" s="1"/>
  <c r="F817"/>
  <c r="H818"/>
  <c r="J818" s="1"/>
  <c r="L818" s="1"/>
  <c r="N818" s="1"/>
  <c r="P818" s="1"/>
  <c r="R818" s="1"/>
  <c r="T818" s="1"/>
  <c r="H1563"/>
  <c r="J1563" s="1"/>
  <c r="L1563" s="1"/>
  <c r="N1563" s="1"/>
  <c r="P1563" s="1"/>
  <c r="R1563" s="1"/>
  <c r="T1563" s="1"/>
  <c r="F1560"/>
  <c r="F1664"/>
  <c r="H1665"/>
  <c r="J1665" s="1"/>
  <c r="L1665" s="1"/>
  <c r="N1665" s="1"/>
  <c r="P1665" s="1"/>
  <c r="R1665" s="1"/>
  <c r="T1665" s="1"/>
  <c r="H694"/>
  <c r="J694" s="1"/>
  <c r="L694" s="1"/>
  <c r="N694" s="1"/>
  <c r="P694" s="1"/>
  <c r="R694" s="1"/>
  <c r="T694" s="1"/>
  <c r="F693"/>
  <c r="H693" s="1"/>
  <c r="J693" s="1"/>
  <c r="L693" s="1"/>
  <c r="N693" s="1"/>
  <c r="P693" s="1"/>
  <c r="R693" s="1"/>
  <c r="T693" s="1"/>
  <c r="H202"/>
  <c r="J202" s="1"/>
  <c r="L202" s="1"/>
  <c r="N202" s="1"/>
  <c r="P202" s="1"/>
  <c r="R202" s="1"/>
  <c r="T202" s="1"/>
  <c r="F201"/>
  <c r="F1283"/>
  <c r="H1284"/>
  <c r="J1284" s="1"/>
  <c r="L1284" s="1"/>
  <c r="N1284" s="1"/>
  <c r="P1284" s="1"/>
  <c r="R1284" s="1"/>
  <c r="T1284" s="1"/>
  <c r="F802"/>
  <c r="H802" s="1"/>
  <c r="J802" s="1"/>
  <c r="L802" s="1"/>
  <c r="N802" s="1"/>
  <c r="P802" s="1"/>
  <c r="R802" s="1"/>
  <c r="T802" s="1"/>
  <c r="H803"/>
  <c r="J803" s="1"/>
  <c r="L803" s="1"/>
  <c r="N803" s="1"/>
  <c r="P803" s="1"/>
  <c r="R803" s="1"/>
  <c r="T803" s="1"/>
  <c r="F1206"/>
  <c r="H1207"/>
  <c r="J1207" s="1"/>
  <c r="L1207" s="1"/>
  <c r="N1207" s="1"/>
  <c r="P1207" s="1"/>
  <c r="R1207" s="1"/>
  <c r="T1207" s="1"/>
  <c r="F1802"/>
  <c r="H1803"/>
  <c r="J1803" s="1"/>
  <c r="L1803" s="1"/>
  <c r="N1803" s="1"/>
  <c r="P1803" s="1"/>
  <c r="R1803" s="1"/>
  <c r="T1803" s="1"/>
  <c r="F900"/>
  <c r="H901"/>
  <c r="J901" s="1"/>
  <c r="L901" s="1"/>
  <c r="N901" s="1"/>
  <c r="P901" s="1"/>
  <c r="R901" s="1"/>
  <c r="T901" s="1"/>
  <c r="H922"/>
  <c r="J922" s="1"/>
  <c r="L922" s="1"/>
  <c r="N922" s="1"/>
  <c r="P922" s="1"/>
  <c r="R922" s="1"/>
  <c r="T922" s="1"/>
  <c r="F921"/>
  <c r="F1627"/>
  <c r="H1628"/>
  <c r="J1628" s="1"/>
  <c r="L1628" s="1"/>
  <c r="N1628" s="1"/>
  <c r="P1628" s="1"/>
  <c r="R1628" s="1"/>
  <c r="T1628" s="1"/>
  <c r="F439"/>
  <c r="H439" s="1"/>
  <c r="J439" s="1"/>
  <c r="L439" s="1"/>
  <c r="N439" s="1"/>
  <c r="P439" s="1"/>
  <c r="R439" s="1"/>
  <c r="T439" s="1"/>
  <c r="H446"/>
  <c r="J446" s="1"/>
  <c r="L446" s="1"/>
  <c r="N446" s="1"/>
  <c r="P446" s="1"/>
  <c r="R446" s="1"/>
  <c r="T446" s="1"/>
  <c r="H356"/>
  <c r="J356" s="1"/>
  <c r="L356" s="1"/>
  <c r="N356" s="1"/>
  <c r="P356" s="1"/>
  <c r="R356" s="1"/>
  <c r="T356" s="1"/>
  <c r="F355"/>
  <c r="H355" s="1"/>
  <c r="J355" s="1"/>
  <c r="L355" s="1"/>
  <c r="N355" s="1"/>
  <c r="P355" s="1"/>
  <c r="R355" s="1"/>
  <c r="T355" s="1"/>
  <c r="H1601"/>
  <c r="J1601" s="1"/>
  <c r="L1601" s="1"/>
  <c r="N1601" s="1"/>
  <c r="P1601" s="1"/>
  <c r="R1601" s="1"/>
  <c r="T1601" s="1"/>
  <c r="F1598"/>
  <c r="F770"/>
  <c r="H770" s="1"/>
  <c r="J770" s="1"/>
  <c r="L770" s="1"/>
  <c r="N770" s="1"/>
  <c r="P770" s="1"/>
  <c r="R770" s="1"/>
  <c r="T770" s="1"/>
  <c r="H771"/>
  <c r="J771" s="1"/>
  <c r="L771" s="1"/>
  <c r="N771" s="1"/>
  <c r="P771" s="1"/>
  <c r="R771" s="1"/>
  <c r="T771" s="1"/>
  <c r="H1746"/>
  <c r="J1746" s="1"/>
  <c r="L1746" s="1"/>
  <c r="N1746" s="1"/>
  <c r="P1746" s="1"/>
  <c r="R1746" s="1"/>
  <c r="T1746" s="1"/>
  <c r="F1743"/>
  <c r="F1055"/>
  <c r="H1056"/>
  <c r="J1056" s="1"/>
  <c r="L1056" s="1"/>
  <c r="N1056" s="1"/>
  <c r="P1056" s="1"/>
  <c r="R1056" s="1"/>
  <c r="T1056" s="1"/>
  <c r="F964"/>
  <c r="H965"/>
  <c r="J965" s="1"/>
  <c r="L965" s="1"/>
  <c r="N965" s="1"/>
  <c r="P965" s="1"/>
  <c r="R965" s="1"/>
  <c r="T965" s="1"/>
  <c r="F1439"/>
  <c r="H1440"/>
  <c r="J1440" s="1"/>
  <c r="L1440" s="1"/>
  <c r="N1440" s="1"/>
  <c r="P1440" s="1"/>
  <c r="R1440" s="1"/>
  <c r="T1440" s="1"/>
  <c r="H1553"/>
  <c r="J1553" s="1"/>
  <c r="L1553" s="1"/>
  <c r="N1553" s="1"/>
  <c r="P1553" s="1"/>
  <c r="R1553" s="1"/>
  <c r="T1553" s="1"/>
  <c r="F1550"/>
  <c r="H1550" s="1"/>
  <c r="J1550" s="1"/>
  <c r="L1550" s="1"/>
  <c r="N1550" s="1"/>
  <c r="P1550" s="1"/>
  <c r="R1550" s="1"/>
  <c r="T1550" s="1"/>
  <c r="F427"/>
  <c r="H428"/>
  <c r="J428" s="1"/>
  <c r="L428" s="1"/>
  <c r="N428" s="1"/>
  <c r="P428" s="1"/>
  <c r="R428" s="1"/>
  <c r="T428" s="1"/>
  <c r="H1618"/>
  <c r="J1618" s="1"/>
  <c r="L1618" s="1"/>
  <c r="N1618" s="1"/>
  <c r="P1618" s="1"/>
  <c r="R1618" s="1"/>
  <c r="T1618" s="1"/>
  <c r="F1615"/>
  <c r="F1092"/>
  <c r="H1093"/>
  <c r="J1093" s="1"/>
  <c r="L1093" s="1"/>
  <c r="N1093" s="1"/>
  <c r="P1093" s="1"/>
  <c r="R1093" s="1"/>
  <c r="T1093" s="1"/>
  <c r="F213"/>
  <c r="H214"/>
  <c r="J214" s="1"/>
  <c r="L214" s="1"/>
  <c r="N214" s="1"/>
  <c r="P214" s="1"/>
  <c r="R214" s="1"/>
  <c r="T214" s="1"/>
  <c r="F146"/>
  <c r="H147"/>
  <c r="J147" s="1"/>
  <c r="L147" s="1"/>
  <c r="N147" s="1"/>
  <c r="P147" s="1"/>
  <c r="R147" s="1"/>
  <c r="T147" s="1"/>
  <c r="F313"/>
  <c r="H314"/>
  <c r="J314" s="1"/>
  <c r="L314" s="1"/>
  <c r="N314" s="1"/>
  <c r="P314" s="1"/>
  <c r="R314" s="1"/>
  <c r="T314" s="1"/>
  <c r="F1469"/>
  <c r="H1470"/>
  <c r="J1470" s="1"/>
  <c r="L1470" s="1"/>
  <c r="N1470" s="1"/>
  <c r="P1470" s="1"/>
  <c r="R1470" s="1"/>
  <c r="T1470" s="1"/>
  <c r="H1274"/>
  <c r="J1274" s="1"/>
  <c r="L1274" s="1"/>
  <c r="N1274" s="1"/>
  <c r="P1274" s="1"/>
  <c r="R1274" s="1"/>
  <c r="T1274" s="1"/>
  <c r="F1273"/>
  <c r="F251"/>
  <c r="H252"/>
  <c r="J252" s="1"/>
  <c r="L252" s="1"/>
  <c r="N252" s="1"/>
  <c r="P252" s="1"/>
  <c r="R252" s="1"/>
  <c r="T252" s="1"/>
  <c r="F487"/>
  <c r="H487" s="1"/>
  <c r="J487" s="1"/>
  <c r="L487" s="1"/>
  <c r="N487" s="1"/>
  <c r="P487" s="1"/>
  <c r="R487" s="1"/>
  <c r="T487" s="1"/>
  <c r="H488"/>
  <c r="J488" s="1"/>
  <c r="L488" s="1"/>
  <c r="N488" s="1"/>
  <c r="P488" s="1"/>
  <c r="R488" s="1"/>
  <c r="T488" s="1"/>
  <c r="F1130"/>
  <c r="H1131"/>
  <c r="J1131" s="1"/>
  <c r="L1131" s="1"/>
  <c r="N1131" s="1"/>
  <c r="P1131" s="1"/>
  <c r="R1131" s="1"/>
  <c r="T1131" s="1"/>
  <c r="F225"/>
  <c r="H226"/>
  <c r="J226" s="1"/>
  <c r="L226" s="1"/>
  <c r="N226" s="1"/>
  <c r="P226" s="1"/>
  <c r="R226" s="1"/>
  <c r="T226" s="1"/>
  <c r="F567"/>
  <c r="H567" s="1"/>
  <c r="J567" s="1"/>
  <c r="L567" s="1"/>
  <c r="N567" s="1"/>
  <c r="P567" s="1"/>
  <c r="R567" s="1"/>
  <c r="T567" s="1"/>
  <c r="H568"/>
  <c r="J568" s="1"/>
  <c r="L568" s="1"/>
  <c r="N568" s="1"/>
  <c r="P568" s="1"/>
  <c r="R568" s="1"/>
  <c r="T568" s="1"/>
  <c r="F563"/>
  <c r="H564"/>
  <c r="J564" s="1"/>
  <c r="L564" s="1"/>
  <c r="N564" s="1"/>
  <c r="P564" s="1"/>
  <c r="R564" s="1"/>
  <c r="T564" s="1"/>
  <c r="F325"/>
  <c r="H326"/>
  <c r="J326" s="1"/>
  <c r="L326" s="1"/>
  <c r="N326" s="1"/>
  <c r="P326" s="1"/>
  <c r="R326" s="1"/>
  <c r="T326" s="1"/>
  <c r="F1327"/>
  <c r="H1328"/>
  <c r="J1328" s="1"/>
  <c r="L1328" s="1"/>
  <c r="N1328" s="1"/>
  <c r="P1328" s="1"/>
  <c r="R1328" s="1"/>
  <c r="T1328" s="1"/>
  <c r="F766"/>
  <c r="H767"/>
  <c r="J767" s="1"/>
  <c r="L767" s="1"/>
  <c r="N767" s="1"/>
  <c r="P767" s="1"/>
  <c r="R767" s="1"/>
  <c r="T767" s="1"/>
  <c r="F1125"/>
  <c r="H1126"/>
  <c r="J1126" s="1"/>
  <c r="L1126" s="1"/>
  <c r="N1126" s="1"/>
  <c r="P1126" s="1"/>
  <c r="R1126" s="1"/>
  <c r="T1126" s="1"/>
  <c r="H1754"/>
  <c r="J1754" s="1"/>
  <c r="L1754" s="1"/>
  <c r="N1754" s="1"/>
  <c r="P1754" s="1"/>
  <c r="R1754" s="1"/>
  <c r="T1754" s="1"/>
  <c r="F1751"/>
  <c r="F1497"/>
  <c r="H1498"/>
  <c r="J1498" s="1"/>
  <c r="L1498" s="1"/>
  <c r="N1498" s="1"/>
  <c r="P1498" s="1"/>
  <c r="R1498" s="1"/>
  <c r="T1498" s="1"/>
  <c r="F400"/>
  <c r="H401"/>
  <c r="J401" s="1"/>
  <c r="L401" s="1"/>
  <c r="N401" s="1"/>
  <c r="P401" s="1"/>
  <c r="R401" s="1"/>
  <c r="T401" s="1"/>
  <c r="F653"/>
  <c r="H654"/>
  <c r="J654" s="1"/>
  <c r="L654" s="1"/>
  <c r="N654" s="1"/>
  <c r="P654" s="1"/>
  <c r="R654" s="1"/>
  <c r="T654" s="1"/>
  <c r="F631"/>
  <c r="F1608"/>
  <c r="F1032"/>
  <c r="F1031" s="1"/>
  <c r="F1030" s="1"/>
  <c r="F1721"/>
  <c r="F991"/>
  <c r="H992"/>
  <c r="J992" s="1"/>
  <c r="L992" s="1"/>
  <c r="N992" s="1"/>
  <c r="P992" s="1"/>
  <c r="R992" s="1"/>
  <c r="T992" s="1"/>
  <c r="F265"/>
  <c r="H266"/>
  <c r="J266" s="1"/>
  <c r="L266" s="1"/>
  <c r="N266" s="1"/>
  <c r="P266" s="1"/>
  <c r="R266" s="1"/>
  <c r="T266" s="1"/>
  <c r="F784"/>
  <c r="H785"/>
  <c r="J785" s="1"/>
  <c r="L785" s="1"/>
  <c r="N785" s="1"/>
  <c r="P785" s="1"/>
  <c r="R785" s="1"/>
  <c r="T785" s="1"/>
  <c r="H1574"/>
  <c r="J1574" s="1"/>
  <c r="L1574" s="1"/>
  <c r="N1574" s="1"/>
  <c r="P1574" s="1"/>
  <c r="R1574" s="1"/>
  <c r="T1574" s="1"/>
  <c r="F1571"/>
  <c r="F1652"/>
  <c r="H1653"/>
  <c r="J1653" s="1"/>
  <c r="L1653" s="1"/>
  <c r="N1653" s="1"/>
  <c r="P1653" s="1"/>
  <c r="R1653" s="1"/>
  <c r="T1653" s="1"/>
  <c r="F1016"/>
  <c r="H1017"/>
  <c r="J1017" s="1"/>
  <c r="L1017" s="1"/>
  <c r="N1017" s="1"/>
  <c r="P1017" s="1"/>
  <c r="R1017" s="1"/>
  <c r="T1017" s="1"/>
  <c r="H241"/>
  <c r="J241" s="1"/>
  <c r="L241" s="1"/>
  <c r="N241" s="1"/>
  <c r="P241" s="1"/>
  <c r="R241" s="1"/>
  <c r="T241" s="1"/>
  <c r="F269"/>
  <c r="H269" s="1"/>
  <c r="J269" s="1"/>
  <c r="L269" s="1"/>
  <c r="N269" s="1"/>
  <c r="P269" s="1"/>
  <c r="R269" s="1"/>
  <c r="T269" s="1"/>
  <c r="H270"/>
  <c r="J270" s="1"/>
  <c r="L270" s="1"/>
  <c r="N270" s="1"/>
  <c r="P270" s="1"/>
  <c r="R270" s="1"/>
  <c r="T270" s="1"/>
  <c r="F689"/>
  <c r="H690"/>
  <c r="J690" s="1"/>
  <c r="L690" s="1"/>
  <c r="N690" s="1"/>
  <c r="P690" s="1"/>
  <c r="R690" s="1"/>
  <c r="T690" s="1"/>
  <c r="H1780"/>
  <c r="J1780" s="1"/>
  <c r="L1780" s="1"/>
  <c r="N1780" s="1"/>
  <c r="P1780" s="1"/>
  <c r="R1780" s="1"/>
  <c r="T1780" s="1"/>
  <c r="F1777"/>
  <c r="F912"/>
  <c r="H913"/>
  <c r="J913" s="1"/>
  <c r="L913" s="1"/>
  <c r="N913" s="1"/>
  <c r="P913" s="1"/>
  <c r="R913" s="1"/>
  <c r="T913" s="1"/>
  <c r="H528"/>
  <c r="J528" s="1"/>
  <c r="L528" s="1"/>
  <c r="N528" s="1"/>
  <c r="P528" s="1"/>
  <c r="R528" s="1"/>
  <c r="T528" s="1"/>
  <c r="F525"/>
  <c r="F1300"/>
  <c r="H1300" s="1"/>
  <c r="J1300" s="1"/>
  <c r="L1300" s="1"/>
  <c r="N1300" s="1"/>
  <c r="P1300" s="1"/>
  <c r="R1300" s="1"/>
  <c r="T1300" s="1"/>
  <c r="H1301"/>
  <c r="J1301" s="1"/>
  <c r="L1301" s="1"/>
  <c r="N1301" s="1"/>
  <c r="P1301" s="1"/>
  <c r="R1301" s="1"/>
  <c r="T1301" s="1"/>
  <c r="F173"/>
  <c r="H174"/>
  <c r="J174" s="1"/>
  <c r="L174" s="1"/>
  <c r="N174" s="1"/>
  <c r="P174" s="1"/>
  <c r="R174" s="1"/>
  <c r="T174" s="1"/>
  <c r="F727"/>
  <c r="H728"/>
  <c r="J728" s="1"/>
  <c r="L728" s="1"/>
  <c r="N728" s="1"/>
  <c r="P728" s="1"/>
  <c r="R728" s="1"/>
  <c r="T728" s="1"/>
  <c r="F1622"/>
  <c r="H1623"/>
  <c r="J1623" s="1"/>
  <c r="L1623" s="1"/>
  <c r="N1623" s="1"/>
  <c r="P1623" s="1"/>
  <c r="R1623" s="1"/>
  <c r="T1623" s="1"/>
  <c r="F154"/>
  <c r="H155"/>
  <c r="J155" s="1"/>
  <c r="L155" s="1"/>
  <c r="N155" s="1"/>
  <c r="P155" s="1"/>
  <c r="R155" s="1"/>
  <c r="T155" s="1"/>
  <c r="F1591"/>
  <c r="H1594"/>
  <c r="J1594" s="1"/>
  <c r="L1594" s="1"/>
  <c r="N1594" s="1"/>
  <c r="P1594" s="1"/>
  <c r="R1594" s="1"/>
  <c r="T1594" s="1"/>
  <c r="F351"/>
  <c r="H352"/>
  <c r="J352" s="1"/>
  <c r="L352" s="1"/>
  <c r="N352" s="1"/>
  <c r="P352" s="1"/>
  <c r="R352" s="1"/>
  <c r="T352" s="1"/>
  <c r="F1104"/>
  <c r="H1105"/>
  <c r="J1105" s="1"/>
  <c r="L1105" s="1"/>
  <c r="N1105" s="1"/>
  <c r="P1105" s="1"/>
  <c r="R1105" s="1"/>
  <c r="T1105" s="1"/>
  <c r="F1221"/>
  <c r="H1222"/>
  <c r="J1222" s="1"/>
  <c r="L1222" s="1"/>
  <c r="N1222" s="1"/>
  <c r="P1222" s="1"/>
  <c r="R1222" s="1"/>
  <c r="T1222" s="1"/>
  <c r="H1732"/>
  <c r="J1732" s="1"/>
  <c r="L1732" s="1"/>
  <c r="N1732" s="1"/>
  <c r="P1732" s="1"/>
  <c r="R1732" s="1"/>
  <c r="T1732" s="1"/>
  <c r="F1729"/>
  <c r="F1074"/>
  <c r="H1075"/>
  <c r="J1075" s="1"/>
  <c r="L1075" s="1"/>
  <c r="N1075" s="1"/>
  <c r="P1075" s="1"/>
  <c r="R1075" s="1"/>
  <c r="T1075" s="1"/>
  <c r="F277"/>
  <c r="H278"/>
  <c r="J278" s="1"/>
  <c r="L278" s="1"/>
  <c r="N278" s="1"/>
  <c r="P278" s="1"/>
  <c r="R278" s="1"/>
  <c r="T278" s="1"/>
  <c r="H306"/>
  <c r="J306" s="1"/>
  <c r="L306" s="1"/>
  <c r="N306" s="1"/>
  <c r="P306" s="1"/>
  <c r="R306" s="1"/>
  <c r="T306" s="1"/>
  <c r="H544"/>
  <c r="J544" s="1"/>
  <c r="L544" s="1"/>
  <c r="N544" s="1"/>
  <c r="P544" s="1"/>
  <c r="R544" s="1"/>
  <c r="T544" s="1"/>
  <c r="F1112"/>
  <c r="H1113"/>
  <c r="J1113" s="1"/>
  <c r="L1113" s="1"/>
  <c r="N1113" s="1"/>
  <c r="P1113" s="1"/>
  <c r="R1113" s="1"/>
  <c r="T1113" s="1"/>
  <c r="F1796"/>
  <c r="H1796" s="1"/>
  <c r="J1796" s="1"/>
  <c r="L1796" s="1"/>
  <c r="N1796" s="1"/>
  <c r="P1796" s="1"/>
  <c r="R1796" s="1"/>
  <c r="T1796" s="1"/>
  <c r="H1797"/>
  <c r="J1797" s="1"/>
  <c r="L1797" s="1"/>
  <c r="N1797" s="1"/>
  <c r="P1797" s="1"/>
  <c r="R1797" s="1"/>
  <c r="T1797" s="1"/>
  <c r="F78"/>
  <c r="H79"/>
  <c r="J79" s="1"/>
  <c r="L79" s="1"/>
  <c r="N79" s="1"/>
  <c r="P79" s="1"/>
  <c r="R79" s="1"/>
  <c r="T79" s="1"/>
  <c r="H1534"/>
  <c r="J1534" s="1"/>
  <c r="L1534" s="1"/>
  <c r="N1534" s="1"/>
  <c r="P1534" s="1"/>
  <c r="R1534" s="1"/>
  <c r="T1534" s="1"/>
  <c r="F1531"/>
  <c r="H1531" s="1"/>
  <c r="J1531" s="1"/>
  <c r="L1531" s="1"/>
  <c r="N1531" s="1"/>
  <c r="P1531" s="1"/>
  <c r="R1531" s="1"/>
  <c r="T1531" s="1"/>
  <c r="F1399"/>
  <c r="H1400"/>
  <c r="J1400" s="1"/>
  <c r="L1400" s="1"/>
  <c r="N1400" s="1"/>
  <c r="P1400" s="1"/>
  <c r="R1400" s="1"/>
  <c r="T1400" s="1"/>
  <c r="H165"/>
  <c r="J165" s="1"/>
  <c r="L165" s="1"/>
  <c r="N165" s="1"/>
  <c r="P165" s="1"/>
  <c r="R165" s="1"/>
  <c r="T165" s="1"/>
  <c r="F337"/>
  <c r="H338"/>
  <c r="J338" s="1"/>
  <c r="L338" s="1"/>
  <c r="N338" s="1"/>
  <c r="P338" s="1"/>
  <c r="R338" s="1"/>
  <c r="T338" s="1"/>
  <c r="H1584"/>
  <c r="J1584" s="1"/>
  <c r="L1584" s="1"/>
  <c r="N1584" s="1"/>
  <c r="P1584" s="1"/>
  <c r="R1584" s="1"/>
  <c r="T1584" s="1"/>
  <c r="F1581"/>
  <c r="F1146"/>
  <c r="H1147"/>
  <c r="J1147" s="1"/>
  <c r="L1147" s="1"/>
  <c r="N1147" s="1"/>
  <c r="P1147" s="1"/>
  <c r="R1147" s="1"/>
  <c r="T1147" s="1"/>
  <c r="F1763"/>
  <c r="J1764"/>
  <c r="L1764" s="1"/>
  <c r="N1764" s="1"/>
  <c r="P1764" s="1"/>
  <c r="R1764" s="1"/>
  <c r="F976"/>
  <c r="H977"/>
  <c r="J977" s="1"/>
  <c r="L977" s="1"/>
  <c r="N977" s="1"/>
  <c r="P977" s="1"/>
  <c r="R977" s="1"/>
  <c r="T977" s="1"/>
  <c r="F1510"/>
  <c r="H1511"/>
  <c r="J1511" s="1"/>
  <c r="L1511" s="1"/>
  <c r="N1511" s="1"/>
  <c r="P1511" s="1"/>
  <c r="R1511" s="1"/>
  <c r="T1511" s="1"/>
  <c r="F1044"/>
  <c r="H1045"/>
  <c r="J1045" s="1"/>
  <c r="L1045" s="1"/>
  <c r="N1045" s="1"/>
  <c r="P1045" s="1"/>
  <c r="R1045" s="1"/>
  <c r="T1045" s="1"/>
  <c r="F134"/>
  <c r="H135"/>
  <c r="J135" s="1"/>
  <c r="L135" s="1"/>
  <c r="N135" s="1"/>
  <c r="P135" s="1"/>
  <c r="R135" s="1"/>
  <c r="T135" s="1"/>
  <c r="F385"/>
  <c r="H386"/>
  <c r="J386" s="1"/>
  <c r="L386" s="1"/>
  <c r="N386" s="1"/>
  <c r="P386" s="1"/>
  <c r="R386" s="1"/>
  <c r="T386" s="1"/>
  <c r="F795"/>
  <c r="H799"/>
  <c r="J799" s="1"/>
  <c r="L799" s="1"/>
  <c r="N799" s="1"/>
  <c r="P799" s="1"/>
  <c r="R799" s="1"/>
  <c r="T799" s="1"/>
  <c r="F1158"/>
  <c r="H1159"/>
  <c r="J1159" s="1"/>
  <c r="L1159" s="1"/>
  <c r="N1159" s="1"/>
  <c r="P1159" s="1"/>
  <c r="R1159" s="1"/>
  <c r="T1159" s="1"/>
  <c r="F1674"/>
  <c r="H1675"/>
  <c r="J1675" s="1"/>
  <c r="L1675" s="1"/>
  <c r="N1675" s="1"/>
  <c r="P1675" s="1"/>
  <c r="R1675" s="1"/>
  <c r="T1675" s="1"/>
  <c r="F892"/>
  <c r="H893"/>
  <c r="J893" s="1"/>
  <c r="L893" s="1"/>
  <c r="N893" s="1"/>
  <c r="P893" s="1"/>
  <c r="R893" s="1"/>
  <c r="T893" s="1"/>
  <c r="F98"/>
  <c r="H99"/>
  <c r="J99" s="1"/>
  <c r="L99" s="1"/>
  <c r="N99" s="1"/>
  <c r="P99" s="1"/>
  <c r="R99" s="1"/>
  <c r="T99" s="1"/>
  <c r="F505"/>
  <c r="H506"/>
  <c r="J506" s="1"/>
  <c r="L506" s="1"/>
  <c r="N506" s="1"/>
  <c r="P506" s="1"/>
  <c r="R506" s="1"/>
  <c r="T506" s="1"/>
  <c r="F86"/>
  <c r="H87"/>
  <c r="J87" s="1"/>
  <c r="L87" s="1"/>
  <c r="N87" s="1"/>
  <c r="P87" s="1"/>
  <c r="R87" s="1"/>
  <c r="T87" s="1"/>
  <c r="F1225"/>
  <c r="H1225" s="1"/>
  <c r="J1225" s="1"/>
  <c r="L1225" s="1"/>
  <c r="N1225" s="1"/>
  <c r="P1225" s="1"/>
  <c r="R1225" s="1"/>
  <c r="T1225" s="1"/>
  <c r="H1226"/>
  <c r="J1226" s="1"/>
  <c r="L1226" s="1"/>
  <c r="N1226" s="1"/>
  <c r="P1226" s="1"/>
  <c r="R1226" s="1"/>
  <c r="T1226" s="1"/>
  <c r="F1049"/>
  <c r="H1050"/>
  <c r="J1050" s="1"/>
  <c r="L1050" s="1"/>
  <c r="N1050" s="1"/>
  <c r="P1050" s="1"/>
  <c r="R1050" s="1"/>
  <c r="T1050" s="1"/>
  <c r="F184"/>
  <c r="H185"/>
  <c r="J185" s="1"/>
  <c r="L185" s="1"/>
  <c r="N185" s="1"/>
  <c r="P185" s="1"/>
  <c r="R185" s="1"/>
  <c r="T185" s="1"/>
  <c r="F459"/>
  <c r="H460"/>
  <c r="J460" s="1"/>
  <c r="L460" s="1"/>
  <c r="N460" s="1"/>
  <c r="P460" s="1"/>
  <c r="R460" s="1"/>
  <c r="T460" s="1"/>
  <c r="F867"/>
  <c r="H868"/>
  <c r="J868" s="1"/>
  <c r="L868" s="1"/>
  <c r="N868" s="1"/>
  <c r="P868" s="1"/>
  <c r="R868" s="1"/>
  <c r="T868" s="1"/>
  <c r="H1239"/>
  <c r="J1239" s="1"/>
  <c r="L1239" s="1"/>
  <c r="N1239" s="1"/>
  <c r="P1239" s="1"/>
  <c r="R1239" s="1"/>
  <c r="T1239" s="1"/>
  <c r="F1236"/>
  <c r="F1758"/>
  <c r="H1759"/>
  <c r="J1759" s="1"/>
  <c r="L1759" s="1"/>
  <c r="N1759" s="1"/>
  <c r="P1759" s="1"/>
  <c r="R1759" s="1"/>
  <c r="T1759" s="1"/>
  <c r="F983"/>
  <c r="H984"/>
  <c r="J984" s="1"/>
  <c r="L984" s="1"/>
  <c r="N984" s="1"/>
  <c r="P984" s="1"/>
  <c r="R984" s="1"/>
  <c r="T984" s="1"/>
  <c r="F758"/>
  <c r="H759"/>
  <c r="J759" s="1"/>
  <c r="L759" s="1"/>
  <c r="N759" s="1"/>
  <c r="P759" s="1"/>
  <c r="R759" s="1"/>
  <c r="T759" s="1"/>
  <c r="F159"/>
  <c r="H159" s="1"/>
  <c r="J159" s="1"/>
  <c r="L159" s="1"/>
  <c r="N159" s="1"/>
  <c r="P159" s="1"/>
  <c r="R159" s="1"/>
  <c r="T159" s="1"/>
  <c r="H160"/>
  <c r="J160" s="1"/>
  <c r="L160" s="1"/>
  <c r="N160" s="1"/>
  <c r="P160" s="1"/>
  <c r="R160" s="1"/>
  <c r="T160" s="1"/>
  <c r="F435"/>
  <c r="H436"/>
  <c r="J436" s="1"/>
  <c r="L436" s="1"/>
  <c r="N436" s="1"/>
  <c r="P436" s="1"/>
  <c r="R436" s="1"/>
  <c r="T436" s="1"/>
  <c r="F467"/>
  <c r="H468"/>
  <c r="J468" s="1"/>
  <c r="L468" s="1"/>
  <c r="N468" s="1"/>
  <c r="P468" s="1"/>
  <c r="R468" s="1"/>
  <c r="T468" s="1"/>
  <c r="F1098"/>
  <c r="H1099"/>
  <c r="J1099" s="1"/>
  <c r="L1099" s="1"/>
  <c r="N1099" s="1"/>
  <c r="P1099" s="1"/>
  <c r="R1099" s="1"/>
  <c r="T1099" s="1"/>
  <c r="F1140"/>
  <c r="H1141"/>
  <c r="J1141" s="1"/>
  <c r="L1141" s="1"/>
  <c r="N1141" s="1"/>
  <c r="P1141" s="1"/>
  <c r="R1141" s="1"/>
  <c r="T1141" s="1"/>
  <c r="F1061"/>
  <c r="H1062"/>
  <c r="J1062" s="1"/>
  <c r="L1062" s="1"/>
  <c r="N1062" s="1"/>
  <c r="P1062" s="1"/>
  <c r="R1062" s="1"/>
  <c r="T1062" s="1"/>
  <c r="F472"/>
  <c r="H473"/>
  <c r="J473" s="1"/>
  <c r="L473" s="1"/>
  <c r="N473" s="1"/>
  <c r="P473" s="1"/>
  <c r="R473" s="1"/>
  <c r="T473" s="1"/>
  <c r="F480"/>
  <c r="H481"/>
  <c r="J481" s="1"/>
  <c r="L481" s="1"/>
  <c r="N481" s="1"/>
  <c r="P481" s="1"/>
  <c r="R481" s="1"/>
  <c r="T481" s="1"/>
  <c r="H1684"/>
  <c r="J1684" s="1"/>
  <c r="L1684" s="1"/>
  <c r="N1684" s="1"/>
  <c r="P1684" s="1"/>
  <c r="R1684" s="1"/>
  <c r="T1684" s="1"/>
  <c r="G1683"/>
  <c r="H901" i="5"/>
  <c r="I902"/>
  <c r="K902" s="1"/>
  <c r="M902" s="1"/>
  <c r="O902" s="1"/>
  <c r="Q902" s="1"/>
  <c r="S902" s="1"/>
  <c r="U902" s="1"/>
  <c r="G1814" i="6"/>
  <c r="H1815"/>
  <c r="J1815" s="1"/>
  <c r="L1815" s="1"/>
  <c r="N1815" s="1"/>
  <c r="P1815" s="1"/>
  <c r="R1815" s="1"/>
  <c r="T1815" s="1"/>
  <c r="H442" i="5"/>
  <c r="G1031" i="6"/>
  <c r="G585"/>
  <c r="H586"/>
  <c r="J586" s="1"/>
  <c r="L586" s="1"/>
  <c r="N586" s="1"/>
  <c r="P586" s="1"/>
  <c r="R586" s="1"/>
  <c r="T586" s="1"/>
  <c r="H1446"/>
  <c r="J1446" s="1"/>
  <c r="L1446" s="1"/>
  <c r="N1446" s="1"/>
  <c r="P1446" s="1"/>
  <c r="R1446" s="1"/>
  <c r="T1446" s="1"/>
  <c r="G1445"/>
  <c r="G1392"/>
  <c r="H1393"/>
  <c r="J1393" s="1"/>
  <c r="L1393" s="1"/>
  <c r="N1393" s="1"/>
  <c r="P1393" s="1"/>
  <c r="R1393" s="1"/>
  <c r="T1393" s="1"/>
  <c r="H1387"/>
  <c r="J1387" s="1"/>
  <c r="L1387" s="1"/>
  <c r="N1387" s="1"/>
  <c r="P1387" s="1"/>
  <c r="R1387" s="1"/>
  <c r="T1387" s="1"/>
  <c r="G1381"/>
  <c r="H126" i="5"/>
  <c r="I126" s="1"/>
  <c r="K126" s="1"/>
  <c r="M126" s="1"/>
  <c r="O126" s="1"/>
  <c r="Q126" s="1"/>
  <c r="S126" s="1"/>
  <c r="U126" s="1"/>
  <c r="I127"/>
  <c r="K127" s="1"/>
  <c r="M127" s="1"/>
  <c r="O127" s="1"/>
  <c r="Q127" s="1"/>
  <c r="S127" s="1"/>
  <c r="U127" s="1"/>
  <c r="I235"/>
  <c r="K235" s="1"/>
  <c r="M235" s="1"/>
  <c r="O235" s="1"/>
  <c r="Q235" s="1"/>
  <c r="S235" s="1"/>
  <c r="U235" s="1"/>
  <c r="H234"/>
  <c r="G1450" i="6"/>
  <c r="H1451"/>
  <c r="J1451" s="1"/>
  <c r="L1451" s="1"/>
  <c r="N1451" s="1"/>
  <c r="P1451" s="1"/>
  <c r="R1451" s="1"/>
  <c r="T1451" s="1"/>
  <c r="G1414"/>
  <c r="H1415"/>
  <c r="J1415" s="1"/>
  <c r="L1415" s="1"/>
  <c r="N1415" s="1"/>
  <c r="P1415" s="1"/>
  <c r="R1415" s="1"/>
  <c r="T1415" s="1"/>
  <c r="G732"/>
  <c r="H733"/>
  <c r="J733" s="1"/>
  <c r="L733" s="1"/>
  <c r="N733" s="1"/>
  <c r="P733" s="1"/>
  <c r="R733" s="1"/>
  <c r="T733" s="1"/>
  <c r="G1267"/>
  <c r="H1268"/>
  <c r="J1268" s="1"/>
  <c r="L1268" s="1"/>
  <c r="N1268" s="1"/>
  <c r="P1268" s="1"/>
  <c r="R1268" s="1"/>
  <c r="T1268" s="1"/>
  <c r="G746"/>
  <c r="H747"/>
  <c r="J747" s="1"/>
  <c r="L747" s="1"/>
  <c r="N747" s="1"/>
  <c r="P747" s="1"/>
  <c r="R747" s="1"/>
  <c r="T747" s="1"/>
  <c r="I209" i="5"/>
  <c r="K209" s="1"/>
  <c r="M209" s="1"/>
  <c r="O209" s="1"/>
  <c r="Q209" s="1"/>
  <c r="S209" s="1"/>
  <c r="U209" s="1"/>
  <c r="H192"/>
  <c r="I192" s="1"/>
  <c r="K192" s="1"/>
  <c r="M192" s="1"/>
  <c r="O192" s="1"/>
  <c r="Q192" s="1"/>
  <c r="S192" s="1"/>
  <c r="U192" s="1"/>
  <c r="G704" i="6"/>
  <c r="H705"/>
  <c r="J705" s="1"/>
  <c r="L705" s="1"/>
  <c r="N705" s="1"/>
  <c r="P705" s="1"/>
  <c r="R705" s="1"/>
  <c r="T705" s="1"/>
  <c r="G1482"/>
  <c r="H1482" s="1"/>
  <c r="J1482" s="1"/>
  <c r="L1482" s="1"/>
  <c r="N1482" s="1"/>
  <c r="P1482" s="1"/>
  <c r="R1482" s="1"/>
  <c r="T1482" s="1"/>
  <c r="H1483"/>
  <c r="J1483" s="1"/>
  <c r="L1483" s="1"/>
  <c r="N1483" s="1"/>
  <c r="P1483" s="1"/>
  <c r="R1483" s="1"/>
  <c r="T1483" s="1"/>
  <c r="G523"/>
  <c r="G1408"/>
  <c r="H1409"/>
  <c r="J1409" s="1"/>
  <c r="L1409" s="1"/>
  <c r="N1409" s="1"/>
  <c r="P1409" s="1"/>
  <c r="R1409" s="1"/>
  <c r="T1409" s="1"/>
  <c r="H256" i="5"/>
  <c r="I256" s="1"/>
  <c r="K256" s="1"/>
  <c r="M256" s="1"/>
  <c r="O256" s="1"/>
  <c r="Q256" s="1"/>
  <c r="S256" s="1"/>
  <c r="U256" s="1"/>
  <c r="I187"/>
  <c r="K187" s="1"/>
  <c r="M187" s="1"/>
  <c r="O187" s="1"/>
  <c r="Q187" s="1"/>
  <c r="S187" s="1"/>
  <c r="U187" s="1"/>
  <c r="I223"/>
  <c r="K223" s="1"/>
  <c r="M223" s="1"/>
  <c r="O223" s="1"/>
  <c r="Q223" s="1"/>
  <c r="S223" s="1"/>
  <c r="U223" s="1"/>
  <c r="H222"/>
  <c r="I222" s="1"/>
  <c r="K222" s="1"/>
  <c r="M222" s="1"/>
  <c r="O222" s="1"/>
  <c r="Q222" s="1"/>
  <c r="S222" s="1"/>
  <c r="U222" s="1"/>
  <c r="H1348" i="6"/>
  <c r="J1348" s="1"/>
  <c r="L1348" s="1"/>
  <c r="N1348" s="1"/>
  <c r="P1348" s="1"/>
  <c r="R1348" s="1"/>
  <c r="T1348" s="1"/>
  <c r="G1347"/>
  <c r="G1633"/>
  <c r="H1634"/>
  <c r="J1634" s="1"/>
  <c r="L1634" s="1"/>
  <c r="N1634" s="1"/>
  <c r="P1634" s="1"/>
  <c r="R1634" s="1"/>
  <c r="T1634" s="1"/>
  <c r="H115" i="5"/>
  <c r="I116"/>
  <c r="K116" s="1"/>
  <c r="M116" s="1"/>
  <c r="O116" s="1"/>
  <c r="Q116" s="1"/>
  <c r="S116" s="1"/>
  <c r="U116" s="1"/>
  <c r="H166"/>
  <c r="I167"/>
  <c r="K167" s="1"/>
  <c r="M167" s="1"/>
  <c r="O167" s="1"/>
  <c r="Q167" s="1"/>
  <c r="S167" s="1"/>
  <c r="U167" s="1"/>
  <c r="H305"/>
  <c r="I306"/>
  <c r="K306" s="1"/>
  <c r="M306" s="1"/>
  <c r="O306" s="1"/>
  <c r="Q306" s="1"/>
  <c r="S306" s="1"/>
  <c r="U306" s="1"/>
  <c r="H277"/>
  <c r="H1494" i="6"/>
  <c r="J1494" s="1"/>
  <c r="L1494" s="1"/>
  <c r="N1494" s="1"/>
  <c r="P1494" s="1"/>
  <c r="R1494" s="1"/>
  <c r="T1494" s="1"/>
  <c r="G1488"/>
  <c r="G535"/>
  <c r="H535" s="1"/>
  <c r="J535" s="1"/>
  <c r="L535" s="1"/>
  <c r="N535" s="1"/>
  <c r="P535" s="1"/>
  <c r="R535" s="1"/>
  <c r="T535" s="1"/>
  <c r="H536"/>
  <c r="J536" s="1"/>
  <c r="L536" s="1"/>
  <c r="N536" s="1"/>
  <c r="P536" s="1"/>
  <c r="R536" s="1"/>
  <c r="T536" s="1"/>
  <c r="G1334"/>
  <c r="H1335"/>
  <c r="J1335" s="1"/>
  <c r="L1335" s="1"/>
  <c r="N1335" s="1"/>
  <c r="P1335" s="1"/>
  <c r="R1335" s="1"/>
  <c r="T1335" s="1"/>
  <c r="G602"/>
  <c r="H603"/>
  <c r="J603" s="1"/>
  <c r="L603" s="1"/>
  <c r="N603" s="1"/>
  <c r="P603" s="1"/>
  <c r="R603" s="1"/>
  <c r="T603" s="1"/>
  <c r="G572"/>
  <c r="H572" s="1"/>
  <c r="J572" s="1"/>
  <c r="L572" s="1"/>
  <c r="N572" s="1"/>
  <c r="P572" s="1"/>
  <c r="R572" s="1"/>
  <c r="T572" s="1"/>
  <c r="H573"/>
  <c r="J573" s="1"/>
  <c r="L573" s="1"/>
  <c r="N573" s="1"/>
  <c r="P573" s="1"/>
  <c r="R573" s="1"/>
  <c r="T573" s="1"/>
  <c r="H648"/>
  <c r="J648" s="1"/>
  <c r="L648" s="1"/>
  <c r="N648" s="1"/>
  <c r="P648" s="1"/>
  <c r="R648" s="1"/>
  <c r="T648" s="1"/>
  <c r="G647"/>
  <c r="G1356"/>
  <c r="H1356" s="1"/>
  <c r="J1356" s="1"/>
  <c r="L1356" s="1"/>
  <c r="N1356" s="1"/>
  <c r="P1356" s="1"/>
  <c r="R1356" s="1"/>
  <c r="T1356" s="1"/>
  <c r="H1357"/>
  <c r="J1357" s="1"/>
  <c r="L1357" s="1"/>
  <c r="N1357" s="1"/>
  <c r="P1357" s="1"/>
  <c r="R1357" s="1"/>
  <c r="T1357" s="1"/>
  <c r="G627"/>
  <c r="H628"/>
  <c r="J628" s="1"/>
  <c r="L628" s="1"/>
  <c r="N628" s="1"/>
  <c r="P628" s="1"/>
  <c r="R628" s="1"/>
  <c r="T628" s="1"/>
  <c r="I268" i="5"/>
  <c r="K268" s="1"/>
  <c r="M268" s="1"/>
  <c r="O268" s="1"/>
  <c r="Q268" s="1"/>
  <c r="S268" s="1"/>
  <c r="U268" s="1"/>
  <c r="H267"/>
  <c r="I267" s="1"/>
  <c r="K267" s="1"/>
  <c r="M267" s="1"/>
  <c r="O267" s="1"/>
  <c r="Q267" s="1"/>
  <c r="S267" s="1"/>
  <c r="U267" s="1"/>
  <c r="G607" i="6"/>
  <c r="H608"/>
  <c r="J608" s="1"/>
  <c r="L608" s="1"/>
  <c r="N608" s="1"/>
  <c r="P608" s="1"/>
  <c r="R608" s="1"/>
  <c r="T608" s="1"/>
  <c r="I177" i="5"/>
  <c r="K177" s="1"/>
  <c r="M177" s="1"/>
  <c r="O177" s="1"/>
  <c r="Q177" s="1"/>
  <c r="S177" s="1"/>
  <c r="U177" s="1"/>
  <c r="H158"/>
  <c r="I158" s="1"/>
  <c r="K158" s="1"/>
  <c r="M158" s="1"/>
  <c r="O158" s="1"/>
  <c r="Q158" s="1"/>
  <c r="S158" s="1"/>
  <c r="U158" s="1"/>
  <c r="I159"/>
  <c r="K159" s="1"/>
  <c r="M159" s="1"/>
  <c r="O159" s="1"/>
  <c r="Q159" s="1"/>
  <c r="S159" s="1"/>
  <c r="U159" s="1"/>
  <c r="G1477" i="6"/>
  <c r="H1478"/>
  <c r="J1478" s="1"/>
  <c r="L1478" s="1"/>
  <c r="N1478" s="1"/>
  <c r="P1478" s="1"/>
  <c r="R1478" s="1"/>
  <c r="T1478" s="1"/>
  <c r="H131" i="5"/>
  <c r="I131" s="1"/>
  <c r="K131" s="1"/>
  <c r="M131" s="1"/>
  <c r="O131" s="1"/>
  <c r="Q131" s="1"/>
  <c r="S131" s="1"/>
  <c r="U131" s="1"/>
  <c r="I132"/>
  <c r="K132" s="1"/>
  <c r="M132" s="1"/>
  <c r="O132" s="1"/>
  <c r="Q132" s="1"/>
  <c r="S132" s="1"/>
  <c r="U132" s="1"/>
  <c r="I73"/>
  <c r="K73" s="1"/>
  <c r="M73" s="1"/>
  <c r="O73" s="1"/>
  <c r="Q73" s="1"/>
  <c r="S73" s="1"/>
  <c r="U73" s="1"/>
  <c r="G1749" i="6"/>
  <c r="H30" i="5"/>
  <c r="H24"/>
  <c r="I25"/>
  <c r="K25" s="1"/>
  <c r="M25" s="1"/>
  <c r="O25" s="1"/>
  <c r="Q25" s="1"/>
  <c r="S25" s="1"/>
  <c r="U25" s="1"/>
  <c r="H1590"/>
  <c r="I1591"/>
  <c r="K1591" s="1"/>
  <c r="M1591" s="1"/>
  <c r="O1591" s="1"/>
  <c r="Q1591" s="1"/>
  <c r="S1591" s="1"/>
  <c r="U1591" s="1"/>
  <c r="D33" i="1"/>
  <c r="G233" i="5" l="1"/>
  <c r="L1766" i="6"/>
  <c r="J1765"/>
  <c r="Q1565" i="5"/>
  <c r="S1565" s="1"/>
  <c r="U1565" s="1"/>
  <c r="I1225"/>
  <c r="K1225" s="1"/>
  <c r="M1225" s="1"/>
  <c r="O1225" s="1"/>
  <c r="Q1225" s="1"/>
  <c r="S1225" s="1"/>
  <c r="U1225" s="1"/>
  <c r="I1224"/>
  <c r="G1525"/>
  <c r="F192" i="6"/>
  <c r="F191" s="1"/>
  <c r="H191" s="1"/>
  <c r="J191" s="1"/>
  <c r="L191" s="1"/>
  <c r="N191" s="1"/>
  <c r="P191" s="1"/>
  <c r="R191" s="1"/>
  <c r="T191" s="1"/>
  <c r="F1818"/>
  <c r="H1818" s="1"/>
  <c r="J1818" s="1"/>
  <c r="L1818" s="1"/>
  <c r="N1818" s="1"/>
  <c r="P1818" s="1"/>
  <c r="R1818" s="1"/>
  <c r="T1818" s="1"/>
  <c r="H393"/>
  <c r="J393" s="1"/>
  <c r="L393" s="1"/>
  <c r="N393" s="1"/>
  <c r="P393" s="1"/>
  <c r="R393" s="1"/>
  <c r="T393" s="1"/>
  <c r="H1294"/>
  <c r="J1294" s="1"/>
  <c r="L1294" s="1"/>
  <c r="N1294" s="1"/>
  <c r="P1294" s="1"/>
  <c r="R1294" s="1"/>
  <c r="T1294" s="1"/>
  <c r="G175" i="5"/>
  <c r="H495" i="6"/>
  <c r="J495" s="1"/>
  <c r="L495" s="1"/>
  <c r="N495" s="1"/>
  <c r="P495" s="1"/>
  <c r="R495" s="1"/>
  <c r="T495" s="1"/>
  <c r="J898" i="5"/>
  <c r="F997" i="6"/>
  <c r="F996" s="1"/>
  <c r="I763"/>
  <c r="J113"/>
  <c r="L113" s="1"/>
  <c r="N113" s="1"/>
  <c r="P113" s="1"/>
  <c r="R113" s="1"/>
  <c r="T113" s="1"/>
  <c r="I76"/>
  <c r="G72" i="5"/>
  <c r="G714"/>
  <c r="H587"/>
  <c r="H574" s="1"/>
  <c r="I714"/>
  <c r="K714" s="1"/>
  <c r="M714" s="1"/>
  <c r="O714" s="1"/>
  <c r="Q714" s="1"/>
  <c r="S714" s="1"/>
  <c r="U714" s="1"/>
  <c r="I443"/>
  <c r="K443" s="1"/>
  <c r="M443" s="1"/>
  <c r="O443" s="1"/>
  <c r="Q443" s="1"/>
  <c r="S443" s="1"/>
  <c r="U443" s="1"/>
  <c r="G67" i="1"/>
  <c r="I1521" i="6"/>
  <c r="G1426"/>
  <c r="H1426" s="1"/>
  <c r="J1426" s="1"/>
  <c r="L1426" s="1"/>
  <c r="N1426" s="1"/>
  <c r="P1426" s="1"/>
  <c r="R1426" s="1"/>
  <c r="T1426" s="1"/>
  <c r="G432" i="5"/>
  <c r="G1239"/>
  <c r="I1240"/>
  <c r="K1240" s="1"/>
  <c r="M1240" s="1"/>
  <c r="O1240" s="1"/>
  <c r="Q1240" s="1"/>
  <c r="S1240" s="1"/>
  <c r="U1240" s="1"/>
  <c r="G343"/>
  <c r="I348"/>
  <c r="K348" s="1"/>
  <c r="M348" s="1"/>
  <c r="O348" s="1"/>
  <c r="Q348" s="1"/>
  <c r="S348" s="1"/>
  <c r="U348" s="1"/>
  <c r="G1524"/>
  <c r="I1524" s="1"/>
  <c r="K1524" s="1"/>
  <c r="M1524" s="1"/>
  <c r="O1524" s="1"/>
  <c r="Q1524" s="1"/>
  <c r="S1524" s="1"/>
  <c r="U1524" s="1"/>
  <c r="I1525"/>
  <c r="K1525" s="1"/>
  <c r="M1525" s="1"/>
  <c r="O1525" s="1"/>
  <c r="Q1525" s="1"/>
  <c r="G32"/>
  <c r="I33"/>
  <c r="K33" s="1"/>
  <c r="M33" s="1"/>
  <c r="O33" s="1"/>
  <c r="Q33" s="1"/>
  <c r="S33" s="1"/>
  <c r="U33" s="1"/>
  <c r="G1696"/>
  <c r="I1697"/>
  <c r="K1697" s="1"/>
  <c r="M1697" s="1"/>
  <c r="O1697" s="1"/>
  <c r="Q1697" s="1"/>
  <c r="S1697" s="1"/>
  <c r="U1697" s="1"/>
  <c r="G502"/>
  <c r="I503"/>
  <c r="K503" s="1"/>
  <c r="M503" s="1"/>
  <c r="O503" s="1"/>
  <c r="Q503" s="1"/>
  <c r="S503" s="1"/>
  <c r="U503" s="1"/>
  <c r="G1513"/>
  <c r="I1514"/>
  <c r="K1514" s="1"/>
  <c r="M1514" s="1"/>
  <c r="O1514" s="1"/>
  <c r="Q1514" s="1"/>
  <c r="S1514" s="1"/>
  <c r="U1514" s="1"/>
  <c r="G1630"/>
  <c r="I1631"/>
  <c r="K1631" s="1"/>
  <c r="M1631" s="1"/>
  <c r="O1631" s="1"/>
  <c r="Q1631" s="1"/>
  <c r="S1631" s="1"/>
  <c r="U1631" s="1"/>
  <c r="G962"/>
  <c r="I963"/>
  <c r="K963" s="1"/>
  <c r="M963" s="1"/>
  <c r="O963" s="1"/>
  <c r="Q963" s="1"/>
  <c r="S963" s="1"/>
  <c r="U963" s="1"/>
  <c r="G1726"/>
  <c r="I1727"/>
  <c r="K1727" s="1"/>
  <c r="M1727" s="1"/>
  <c r="O1727" s="1"/>
  <c r="Q1727" s="1"/>
  <c r="S1727" s="1"/>
  <c r="U1727" s="1"/>
  <c r="G562"/>
  <c r="I563"/>
  <c r="K563" s="1"/>
  <c r="M563" s="1"/>
  <c r="O563" s="1"/>
  <c r="Q563" s="1"/>
  <c r="S563" s="1"/>
  <c r="U563" s="1"/>
  <c r="G926"/>
  <c r="I927"/>
  <c r="K927" s="1"/>
  <c r="M927" s="1"/>
  <c r="O927" s="1"/>
  <c r="Q927" s="1"/>
  <c r="S927" s="1"/>
  <c r="U927" s="1"/>
  <c r="G698"/>
  <c r="I703"/>
  <c r="K703" s="1"/>
  <c r="M703" s="1"/>
  <c r="O703" s="1"/>
  <c r="Q703" s="1"/>
  <c r="S703" s="1"/>
  <c r="U703" s="1"/>
  <c r="G473"/>
  <c r="I473" s="1"/>
  <c r="K473" s="1"/>
  <c r="M473" s="1"/>
  <c r="O473" s="1"/>
  <c r="Q473" s="1"/>
  <c r="S473" s="1"/>
  <c r="U473" s="1"/>
  <c r="I474"/>
  <c r="K474" s="1"/>
  <c r="M474" s="1"/>
  <c r="O474" s="1"/>
  <c r="Q474" s="1"/>
  <c r="S474" s="1"/>
  <c r="U474" s="1"/>
  <c r="G1288"/>
  <c r="I1289"/>
  <c r="K1289" s="1"/>
  <c r="M1289" s="1"/>
  <c r="O1289" s="1"/>
  <c r="Q1289" s="1"/>
  <c r="S1289" s="1"/>
  <c r="U1289" s="1"/>
  <c r="I314"/>
  <c r="K314" s="1"/>
  <c r="M314" s="1"/>
  <c r="O314" s="1"/>
  <c r="Q314" s="1"/>
  <c r="S314" s="1"/>
  <c r="U314" s="1"/>
  <c r="G304"/>
  <c r="G947"/>
  <c r="I947" s="1"/>
  <c r="K947" s="1"/>
  <c r="M947" s="1"/>
  <c r="O947" s="1"/>
  <c r="Q947" s="1"/>
  <c r="S947" s="1"/>
  <c r="U947" s="1"/>
  <c r="I948"/>
  <c r="K948" s="1"/>
  <c r="M948" s="1"/>
  <c r="O948" s="1"/>
  <c r="Q948" s="1"/>
  <c r="S948" s="1"/>
  <c r="U948" s="1"/>
  <c r="G908"/>
  <c r="I909"/>
  <c r="K909" s="1"/>
  <c r="M909" s="1"/>
  <c r="O909" s="1"/>
  <c r="Q909" s="1"/>
  <c r="S909" s="1"/>
  <c r="U909" s="1"/>
  <c r="G1185"/>
  <c r="I1186"/>
  <c r="K1186" s="1"/>
  <c r="M1186" s="1"/>
  <c r="O1186" s="1"/>
  <c r="Q1186" s="1"/>
  <c r="S1186" s="1"/>
  <c r="U1186" s="1"/>
  <c r="I529"/>
  <c r="K529" s="1"/>
  <c r="M529" s="1"/>
  <c r="O529" s="1"/>
  <c r="Q529" s="1"/>
  <c r="S529" s="1"/>
  <c r="U529" s="1"/>
  <c r="G528"/>
  <c r="I528" s="1"/>
  <c r="K528" s="1"/>
  <c r="M528" s="1"/>
  <c r="O528" s="1"/>
  <c r="Q528" s="1"/>
  <c r="S528" s="1"/>
  <c r="U528" s="1"/>
  <c r="G397"/>
  <c r="I398"/>
  <c r="K398" s="1"/>
  <c r="M398" s="1"/>
  <c r="O398" s="1"/>
  <c r="Q398" s="1"/>
  <c r="S398" s="1"/>
  <c r="U398" s="1"/>
  <c r="G481"/>
  <c r="I482"/>
  <c r="K482" s="1"/>
  <c r="M482" s="1"/>
  <c r="O482" s="1"/>
  <c r="Q482" s="1"/>
  <c r="S482" s="1"/>
  <c r="U482" s="1"/>
  <c r="G1216"/>
  <c r="K1224"/>
  <c r="M1224" s="1"/>
  <c r="O1224" s="1"/>
  <c r="Q1224" s="1"/>
  <c r="G536"/>
  <c r="I537"/>
  <c r="K537" s="1"/>
  <c r="M537" s="1"/>
  <c r="O537" s="1"/>
  <c r="Q537" s="1"/>
  <c r="S537" s="1"/>
  <c r="U537" s="1"/>
  <c r="G869"/>
  <c r="I870"/>
  <c r="K870" s="1"/>
  <c r="M870" s="1"/>
  <c r="O870" s="1"/>
  <c r="Q870" s="1"/>
  <c r="S870" s="1"/>
  <c r="U870" s="1"/>
  <c r="I590"/>
  <c r="K590" s="1"/>
  <c r="M590" s="1"/>
  <c r="O590" s="1"/>
  <c r="Q590" s="1"/>
  <c r="S590" s="1"/>
  <c r="U590" s="1"/>
  <c r="D61" i="1"/>
  <c r="F61" s="1"/>
  <c r="H61" s="1"/>
  <c r="J61" s="1"/>
  <c r="L61" s="1"/>
  <c r="N61" s="1"/>
  <c r="P61" s="1"/>
  <c r="R61" s="1"/>
  <c r="I1270" i="5"/>
  <c r="K1270" s="1"/>
  <c r="M1270" s="1"/>
  <c r="O1270" s="1"/>
  <c r="Q1270" s="1"/>
  <c r="S1270" s="1"/>
  <c r="U1270" s="1"/>
  <c r="G974"/>
  <c r="I987"/>
  <c r="K987" s="1"/>
  <c r="M987" s="1"/>
  <c r="O987" s="1"/>
  <c r="Q987" s="1"/>
  <c r="S987" s="1"/>
  <c r="U987" s="1"/>
  <c r="G1650"/>
  <c r="I1651"/>
  <c r="K1651" s="1"/>
  <c r="M1651" s="1"/>
  <c r="O1651" s="1"/>
  <c r="Q1651" s="1"/>
  <c r="S1651" s="1"/>
  <c r="U1651" s="1"/>
  <c r="G487"/>
  <c r="I487" s="1"/>
  <c r="K487" s="1"/>
  <c r="M487" s="1"/>
  <c r="O487" s="1"/>
  <c r="Q487" s="1"/>
  <c r="S487" s="1"/>
  <c r="U487" s="1"/>
  <c r="I488"/>
  <c r="K488" s="1"/>
  <c r="M488" s="1"/>
  <c r="O488" s="1"/>
  <c r="Q488" s="1"/>
  <c r="S488" s="1"/>
  <c r="U488" s="1"/>
  <c r="G515"/>
  <c r="I516"/>
  <c r="K516" s="1"/>
  <c r="M516" s="1"/>
  <c r="O516" s="1"/>
  <c r="Q516" s="1"/>
  <c r="S516" s="1"/>
  <c r="U516" s="1"/>
  <c r="G832"/>
  <c r="I833"/>
  <c r="K833" s="1"/>
  <c r="M833" s="1"/>
  <c r="O833" s="1"/>
  <c r="Q833" s="1"/>
  <c r="S833" s="1"/>
  <c r="U833" s="1"/>
  <c r="G799"/>
  <c r="I799" s="1"/>
  <c r="K799" s="1"/>
  <c r="M799" s="1"/>
  <c r="O799" s="1"/>
  <c r="Q799" s="1"/>
  <c r="S799" s="1"/>
  <c r="U799" s="1"/>
  <c r="I800"/>
  <c r="K800" s="1"/>
  <c r="M800" s="1"/>
  <c r="O800" s="1"/>
  <c r="Q800" s="1"/>
  <c r="S800" s="1"/>
  <c r="U800" s="1"/>
  <c r="I846"/>
  <c r="K846" s="1"/>
  <c r="M846" s="1"/>
  <c r="O846" s="1"/>
  <c r="Q846" s="1"/>
  <c r="S846" s="1"/>
  <c r="U846" s="1"/>
  <c r="G851"/>
  <c r="I851" s="1"/>
  <c r="K851" s="1"/>
  <c r="M851" s="1"/>
  <c r="O851" s="1"/>
  <c r="Q851" s="1"/>
  <c r="S851" s="1"/>
  <c r="U851" s="1"/>
  <c r="I852"/>
  <c r="K852" s="1"/>
  <c r="M852" s="1"/>
  <c r="O852" s="1"/>
  <c r="Q852" s="1"/>
  <c r="S852" s="1"/>
  <c r="U852" s="1"/>
  <c r="G419"/>
  <c r="I420"/>
  <c r="K420" s="1"/>
  <c r="M420" s="1"/>
  <c r="O420" s="1"/>
  <c r="Q420" s="1"/>
  <c r="S420" s="1"/>
  <c r="U420" s="1"/>
  <c r="I464"/>
  <c r="K464" s="1"/>
  <c r="M464" s="1"/>
  <c r="O464" s="1"/>
  <c r="Q464" s="1"/>
  <c r="S464" s="1"/>
  <c r="U464" s="1"/>
  <c r="I1067"/>
  <c r="K1067" s="1"/>
  <c r="M1067" s="1"/>
  <c r="O1067" s="1"/>
  <c r="Q1067" s="1"/>
  <c r="S1067" s="1"/>
  <c r="U1067" s="1"/>
  <c r="G1066"/>
  <c r="G610"/>
  <c r="I610" s="1"/>
  <c r="K610" s="1"/>
  <c r="M610" s="1"/>
  <c r="O610" s="1"/>
  <c r="Q610" s="1"/>
  <c r="S610" s="1"/>
  <c r="U610" s="1"/>
  <c r="I611"/>
  <c r="K611" s="1"/>
  <c r="M611" s="1"/>
  <c r="O611" s="1"/>
  <c r="Q611" s="1"/>
  <c r="S611" s="1"/>
  <c r="U611" s="1"/>
  <c r="G786"/>
  <c r="I786" s="1"/>
  <c r="K786" s="1"/>
  <c r="M786" s="1"/>
  <c r="O786" s="1"/>
  <c r="Q786" s="1"/>
  <c r="S786" s="1"/>
  <c r="U786" s="1"/>
  <c r="I787"/>
  <c r="K787" s="1"/>
  <c r="M787" s="1"/>
  <c r="O787" s="1"/>
  <c r="Q787" s="1"/>
  <c r="S787" s="1"/>
  <c r="U787" s="1"/>
  <c r="G1453"/>
  <c r="I1454"/>
  <c r="K1454" s="1"/>
  <c r="M1454" s="1"/>
  <c r="O1454" s="1"/>
  <c r="Q1454" s="1"/>
  <c r="S1454" s="1"/>
  <c r="U1454" s="1"/>
  <c r="G916"/>
  <c r="I917"/>
  <c r="K917" s="1"/>
  <c r="M917" s="1"/>
  <c r="O917" s="1"/>
  <c r="Q917" s="1"/>
  <c r="S917" s="1"/>
  <c r="U917" s="1"/>
  <c r="I671"/>
  <c r="K671" s="1"/>
  <c r="M671" s="1"/>
  <c r="O671" s="1"/>
  <c r="Q671" s="1"/>
  <c r="S671" s="1"/>
  <c r="U671" s="1"/>
  <c r="G670"/>
  <c r="I670" s="1"/>
  <c r="K670" s="1"/>
  <c r="M670" s="1"/>
  <c r="O670" s="1"/>
  <c r="Q670" s="1"/>
  <c r="S670" s="1"/>
  <c r="U670" s="1"/>
  <c r="G1623"/>
  <c r="I1624"/>
  <c r="K1624" s="1"/>
  <c r="M1624" s="1"/>
  <c r="O1624" s="1"/>
  <c r="Q1624" s="1"/>
  <c r="S1624" s="1"/>
  <c r="U1624" s="1"/>
  <c r="G543"/>
  <c r="I544"/>
  <c r="K544" s="1"/>
  <c r="M544" s="1"/>
  <c r="O544" s="1"/>
  <c r="Q544" s="1"/>
  <c r="S544" s="1"/>
  <c r="U544" s="1"/>
  <c r="G1345"/>
  <c r="I1362"/>
  <c r="K1362" s="1"/>
  <c r="M1362" s="1"/>
  <c r="O1362" s="1"/>
  <c r="Q1362" s="1"/>
  <c r="S1362" s="1"/>
  <c r="U1362" s="1"/>
  <c r="G1493"/>
  <c r="I1503"/>
  <c r="K1503" s="1"/>
  <c r="M1503" s="1"/>
  <c r="O1503" s="1"/>
  <c r="Q1503" s="1"/>
  <c r="G1741"/>
  <c r="I1742"/>
  <c r="K1742" s="1"/>
  <c r="M1742" s="1"/>
  <c r="O1742" s="1"/>
  <c r="Q1742" s="1"/>
  <c r="S1742" s="1"/>
  <c r="U1742" s="1"/>
  <c r="G1326"/>
  <c r="I1327"/>
  <c r="K1327" s="1"/>
  <c r="M1327" s="1"/>
  <c r="O1327" s="1"/>
  <c r="Q1327" s="1"/>
  <c r="S1327" s="1"/>
  <c r="U1327" s="1"/>
  <c r="G334"/>
  <c r="I335"/>
  <c r="K335" s="1"/>
  <c r="M335" s="1"/>
  <c r="O335" s="1"/>
  <c r="Q335" s="1"/>
  <c r="S335" s="1"/>
  <c r="U335" s="1"/>
  <c r="G1306"/>
  <c r="G1149"/>
  <c r="I1149" s="1"/>
  <c r="K1149" s="1"/>
  <c r="M1149" s="1"/>
  <c r="O1149" s="1"/>
  <c r="Q1149" s="1"/>
  <c r="S1149" s="1"/>
  <c r="U1149" s="1"/>
  <c r="I1150"/>
  <c r="K1150" s="1"/>
  <c r="M1150" s="1"/>
  <c r="O1150" s="1"/>
  <c r="Q1150" s="1"/>
  <c r="S1150" s="1"/>
  <c r="U1150" s="1"/>
  <c r="G1636"/>
  <c r="I1636" s="1"/>
  <c r="K1636" s="1"/>
  <c r="M1636" s="1"/>
  <c r="O1636" s="1"/>
  <c r="Q1636" s="1"/>
  <c r="S1636" s="1"/>
  <c r="U1636" s="1"/>
  <c r="I1637"/>
  <c r="K1637" s="1"/>
  <c r="M1637" s="1"/>
  <c r="O1637" s="1"/>
  <c r="Q1637" s="1"/>
  <c r="S1637" s="1"/>
  <c r="U1637" s="1"/>
  <c r="D23" i="1"/>
  <c r="F23" s="1"/>
  <c r="H23" s="1"/>
  <c r="J23" s="1"/>
  <c r="L23" s="1"/>
  <c r="N23" s="1"/>
  <c r="P23" s="1"/>
  <c r="R23" s="1"/>
  <c r="I1282" i="5"/>
  <c r="K1282" s="1"/>
  <c r="M1282" s="1"/>
  <c r="O1282" s="1"/>
  <c r="Q1282" s="1"/>
  <c r="S1282" s="1"/>
  <c r="U1282" s="1"/>
  <c r="I1560"/>
  <c r="K1560" s="1"/>
  <c r="M1560" s="1"/>
  <c r="O1560" s="1"/>
  <c r="Q1560" s="1"/>
  <c r="S1560" s="1"/>
  <c r="U1560" s="1"/>
  <c r="G1612"/>
  <c r="I1613"/>
  <c r="K1613" s="1"/>
  <c r="M1613" s="1"/>
  <c r="O1613" s="1"/>
  <c r="Q1613" s="1"/>
  <c r="S1613" s="1"/>
  <c r="U1613" s="1"/>
  <c r="G892"/>
  <c r="I893"/>
  <c r="K893" s="1"/>
  <c r="M893" s="1"/>
  <c r="O893" s="1"/>
  <c r="Q893" s="1"/>
  <c r="S893" s="1"/>
  <c r="U893" s="1"/>
  <c r="G806"/>
  <c r="I807"/>
  <c r="K807" s="1"/>
  <c r="M807" s="1"/>
  <c r="O807" s="1"/>
  <c r="Q807" s="1"/>
  <c r="S807" s="1"/>
  <c r="U807" s="1"/>
  <c r="G372"/>
  <c r="I379"/>
  <c r="K379" s="1"/>
  <c r="M379" s="1"/>
  <c r="O379" s="1"/>
  <c r="Q379" s="1"/>
  <c r="S379" s="1"/>
  <c r="U379" s="1"/>
  <c r="H1202"/>
  <c r="I1203"/>
  <c r="K1203" s="1"/>
  <c r="M1203" s="1"/>
  <c r="O1203" s="1"/>
  <c r="Q1203" s="1"/>
  <c r="S1203" s="1"/>
  <c r="U1203" s="1"/>
  <c r="H1032" i="6"/>
  <c r="J1032" s="1"/>
  <c r="L1032" s="1"/>
  <c r="N1032" s="1"/>
  <c r="P1032" s="1"/>
  <c r="R1032" s="1"/>
  <c r="T1032" s="1"/>
  <c r="F1097"/>
  <c r="H1098"/>
  <c r="J1098" s="1"/>
  <c r="L1098" s="1"/>
  <c r="N1098" s="1"/>
  <c r="P1098" s="1"/>
  <c r="R1098" s="1"/>
  <c r="T1098" s="1"/>
  <c r="F1580"/>
  <c r="H1580" s="1"/>
  <c r="J1580" s="1"/>
  <c r="L1580" s="1"/>
  <c r="N1580" s="1"/>
  <c r="P1580" s="1"/>
  <c r="R1580" s="1"/>
  <c r="T1580" s="1"/>
  <c r="H1581"/>
  <c r="J1581" s="1"/>
  <c r="L1581" s="1"/>
  <c r="N1581" s="1"/>
  <c r="P1581" s="1"/>
  <c r="R1581" s="1"/>
  <c r="T1581" s="1"/>
  <c r="F1728"/>
  <c r="H1729"/>
  <c r="J1729" s="1"/>
  <c r="L1729" s="1"/>
  <c r="N1729" s="1"/>
  <c r="P1729" s="1"/>
  <c r="R1729" s="1"/>
  <c r="T1729" s="1"/>
  <c r="F471"/>
  <c r="H471" s="1"/>
  <c r="J471" s="1"/>
  <c r="L471" s="1"/>
  <c r="N471" s="1"/>
  <c r="P471" s="1"/>
  <c r="R471" s="1"/>
  <c r="T471" s="1"/>
  <c r="H472"/>
  <c r="J472" s="1"/>
  <c r="L472" s="1"/>
  <c r="N472" s="1"/>
  <c r="P472" s="1"/>
  <c r="R472" s="1"/>
  <c r="T472" s="1"/>
  <c r="F1139"/>
  <c r="H1139" s="1"/>
  <c r="J1139" s="1"/>
  <c r="L1139" s="1"/>
  <c r="N1139" s="1"/>
  <c r="P1139" s="1"/>
  <c r="R1139" s="1"/>
  <c r="T1139" s="1"/>
  <c r="H1140"/>
  <c r="J1140" s="1"/>
  <c r="L1140" s="1"/>
  <c r="N1140" s="1"/>
  <c r="P1140" s="1"/>
  <c r="R1140" s="1"/>
  <c r="T1140" s="1"/>
  <c r="F466"/>
  <c r="H467"/>
  <c r="J467" s="1"/>
  <c r="L467" s="1"/>
  <c r="N467" s="1"/>
  <c r="P467" s="1"/>
  <c r="R467" s="1"/>
  <c r="T467" s="1"/>
  <c r="F982"/>
  <c r="H983"/>
  <c r="J983" s="1"/>
  <c r="L983" s="1"/>
  <c r="N983" s="1"/>
  <c r="P983" s="1"/>
  <c r="R983" s="1"/>
  <c r="T983" s="1"/>
  <c r="F458"/>
  <c r="H458" s="1"/>
  <c r="J458" s="1"/>
  <c r="L458" s="1"/>
  <c r="N458" s="1"/>
  <c r="P458" s="1"/>
  <c r="R458" s="1"/>
  <c r="T458" s="1"/>
  <c r="H459"/>
  <c r="J459" s="1"/>
  <c r="L459" s="1"/>
  <c r="N459" s="1"/>
  <c r="P459" s="1"/>
  <c r="R459" s="1"/>
  <c r="T459" s="1"/>
  <c r="F1048"/>
  <c r="H1048" s="1"/>
  <c r="J1048" s="1"/>
  <c r="L1048" s="1"/>
  <c r="N1048" s="1"/>
  <c r="P1048" s="1"/>
  <c r="R1048" s="1"/>
  <c r="T1048" s="1"/>
  <c r="H1049"/>
  <c r="J1049" s="1"/>
  <c r="L1049" s="1"/>
  <c r="N1049" s="1"/>
  <c r="P1049" s="1"/>
  <c r="R1049" s="1"/>
  <c r="T1049" s="1"/>
  <c r="F85"/>
  <c r="H85" s="1"/>
  <c r="J85" s="1"/>
  <c r="L85" s="1"/>
  <c r="N85" s="1"/>
  <c r="P85" s="1"/>
  <c r="R85" s="1"/>
  <c r="T85" s="1"/>
  <c r="H86"/>
  <c r="J86" s="1"/>
  <c r="L86" s="1"/>
  <c r="N86" s="1"/>
  <c r="P86" s="1"/>
  <c r="R86" s="1"/>
  <c r="T86" s="1"/>
  <c r="F97"/>
  <c r="H97" s="1"/>
  <c r="J97" s="1"/>
  <c r="L97" s="1"/>
  <c r="N97" s="1"/>
  <c r="P97" s="1"/>
  <c r="R97" s="1"/>
  <c r="T97" s="1"/>
  <c r="H98"/>
  <c r="J98" s="1"/>
  <c r="L98" s="1"/>
  <c r="N98" s="1"/>
  <c r="P98" s="1"/>
  <c r="R98" s="1"/>
  <c r="T98" s="1"/>
  <c r="F891"/>
  <c r="H891" s="1"/>
  <c r="J891" s="1"/>
  <c r="L891" s="1"/>
  <c r="N891" s="1"/>
  <c r="P891" s="1"/>
  <c r="R891" s="1"/>
  <c r="T891" s="1"/>
  <c r="H892"/>
  <c r="J892" s="1"/>
  <c r="L892" s="1"/>
  <c r="N892" s="1"/>
  <c r="P892" s="1"/>
  <c r="R892" s="1"/>
  <c r="T892" s="1"/>
  <c r="F1157"/>
  <c r="H1158"/>
  <c r="J1158" s="1"/>
  <c r="L1158" s="1"/>
  <c r="N1158" s="1"/>
  <c r="P1158" s="1"/>
  <c r="R1158" s="1"/>
  <c r="T1158" s="1"/>
  <c r="H385"/>
  <c r="J385" s="1"/>
  <c r="L385" s="1"/>
  <c r="N385" s="1"/>
  <c r="P385" s="1"/>
  <c r="R385" s="1"/>
  <c r="T385" s="1"/>
  <c r="F1043"/>
  <c r="H1044"/>
  <c r="J1044" s="1"/>
  <c r="L1044" s="1"/>
  <c r="N1044" s="1"/>
  <c r="P1044" s="1"/>
  <c r="R1044" s="1"/>
  <c r="T1044" s="1"/>
  <c r="F975"/>
  <c r="H976"/>
  <c r="J976" s="1"/>
  <c r="L976" s="1"/>
  <c r="N976" s="1"/>
  <c r="P976" s="1"/>
  <c r="R976" s="1"/>
  <c r="T976" s="1"/>
  <c r="F1145"/>
  <c r="H1146"/>
  <c r="J1146" s="1"/>
  <c r="L1146" s="1"/>
  <c r="N1146" s="1"/>
  <c r="P1146" s="1"/>
  <c r="R1146" s="1"/>
  <c r="T1146" s="1"/>
  <c r="F336"/>
  <c r="H336" s="1"/>
  <c r="J336" s="1"/>
  <c r="L336" s="1"/>
  <c r="N336" s="1"/>
  <c r="P336" s="1"/>
  <c r="R336" s="1"/>
  <c r="T336" s="1"/>
  <c r="H337"/>
  <c r="J337" s="1"/>
  <c r="L337" s="1"/>
  <c r="N337" s="1"/>
  <c r="P337" s="1"/>
  <c r="R337" s="1"/>
  <c r="T337" s="1"/>
  <c r="F1398"/>
  <c r="H1399"/>
  <c r="J1399" s="1"/>
  <c r="L1399" s="1"/>
  <c r="N1399" s="1"/>
  <c r="P1399" s="1"/>
  <c r="R1399" s="1"/>
  <c r="T1399" s="1"/>
  <c r="F77"/>
  <c r="H78"/>
  <c r="J78" s="1"/>
  <c r="L78" s="1"/>
  <c r="N78" s="1"/>
  <c r="P78" s="1"/>
  <c r="R78" s="1"/>
  <c r="T78" s="1"/>
  <c r="F1111"/>
  <c r="H1112"/>
  <c r="J1112" s="1"/>
  <c r="L1112" s="1"/>
  <c r="N1112" s="1"/>
  <c r="P1112" s="1"/>
  <c r="R1112" s="1"/>
  <c r="T1112" s="1"/>
  <c r="F1073"/>
  <c r="H1074"/>
  <c r="J1074" s="1"/>
  <c r="L1074" s="1"/>
  <c r="N1074" s="1"/>
  <c r="P1074" s="1"/>
  <c r="R1074" s="1"/>
  <c r="T1074" s="1"/>
  <c r="H1221"/>
  <c r="J1221" s="1"/>
  <c r="L1221" s="1"/>
  <c r="N1221" s="1"/>
  <c r="P1221" s="1"/>
  <c r="R1221" s="1"/>
  <c r="T1221" s="1"/>
  <c r="F1220"/>
  <c r="F350"/>
  <c r="H351"/>
  <c r="J351" s="1"/>
  <c r="L351" s="1"/>
  <c r="N351" s="1"/>
  <c r="P351" s="1"/>
  <c r="R351" s="1"/>
  <c r="T351" s="1"/>
  <c r="F153"/>
  <c r="H154"/>
  <c r="J154" s="1"/>
  <c r="L154" s="1"/>
  <c r="N154" s="1"/>
  <c r="P154" s="1"/>
  <c r="R154" s="1"/>
  <c r="T154" s="1"/>
  <c r="F726"/>
  <c r="H727"/>
  <c r="J727" s="1"/>
  <c r="L727" s="1"/>
  <c r="N727" s="1"/>
  <c r="P727" s="1"/>
  <c r="R727" s="1"/>
  <c r="T727" s="1"/>
  <c r="F493"/>
  <c r="H493" s="1"/>
  <c r="J493" s="1"/>
  <c r="L493" s="1"/>
  <c r="N493" s="1"/>
  <c r="P493" s="1"/>
  <c r="R493" s="1"/>
  <c r="T493" s="1"/>
  <c r="H494"/>
  <c r="J494" s="1"/>
  <c r="L494" s="1"/>
  <c r="N494" s="1"/>
  <c r="P494" s="1"/>
  <c r="R494" s="1"/>
  <c r="T494" s="1"/>
  <c r="F1015"/>
  <c r="H1016"/>
  <c r="J1016" s="1"/>
  <c r="L1016" s="1"/>
  <c r="N1016" s="1"/>
  <c r="P1016" s="1"/>
  <c r="R1016" s="1"/>
  <c r="T1016" s="1"/>
  <c r="F264"/>
  <c r="H265"/>
  <c r="J265" s="1"/>
  <c r="L265" s="1"/>
  <c r="N265" s="1"/>
  <c r="P265" s="1"/>
  <c r="R265" s="1"/>
  <c r="T265" s="1"/>
  <c r="F647"/>
  <c r="H647" s="1"/>
  <c r="J647" s="1"/>
  <c r="L647" s="1"/>
  <c r="N647" s="1"/>
  <c r="P647" s="1"/>
  <c r="R647" s="1"/>
  <c r="T647" s="1"/>
  <c r="H653"/>
  <c r="J653" s="1"/>
  <c r="L653" s="1"/>
  <c r="N653" s="1"/>
  <c r="P653" s="1"/>
  <c r="R653" s="1"/>
  <c r="T653" s="1"/>
  <c r="F399"/>
  <c r="H399" s="1"/>
  <c r="J399" s="1"/>
  <c r="L399" s="1"/>
  <c r="N399" s="1"/>
  <c r="P399" s="1"/>
  <c r="R399" s="1"/>
  <c r="T399" s="1"/>
  <c r="H400"/>
  <c r="J400" s="1"/>
  <c r="L400" s="1"/>
  <c r="N400" s="1"/>
  <c r="P400" s="1"/>
  <c r="R400" s="1"/>
  <c r="T400" s="1"/>
  <c r="F765"/>
  <c r="H766"/>
  <c r="J766" s="1"/>
  <c r="L766" s="1"/>
  <c r="N766" s="1"/>
  <c r="P766" s="1"/>
  <c r="R766" s="1"/>
  <c r="T766" s="1"/>
  <c r="F324"/>
  <c r="H324" s="1"/>
  <c r="J324" s="1"/>
  <c r="L324" s="1"/>
  <c r="N324" s="1"/>
  <c r="P324" s="1"/>
  <c r="R324" s="1"/>
  <c r="T324" s="1"/>
  <c r="H325"/>
  <c r="J325" s="1"/>
  <c r="L325" s="1"/>
  <c r="N325" s="1"/>
  <c r="P325" s="1"/>
  <c r="R325" s="1"/>
  <c r="T325" s="1"/>
  <c r="F1129"/>
  <c r="H1129" s="1"/>
  <c r="J1129" s="1"/>
  <c r="L1129" s="1"/>
  <c r="N1129" s="1"/>
  <c r="P1129" s="1"/>
  <c r="R1129" s="1"/>
  <c r="T1129" s="1"/>
  <c r="H1130"/>
  <c r="J1130" s="1"/>
  <c r="L1130" s="1"/>
  <c r="N1130" s="1"/>
  <c r="P1130" s="1"/>
  <c r="R1130" s="1"/>
  <c r="T1130" s="1"/>
  <c r="F312"/>
  <c r="H313"/>
  <c r="J313" s="1"/>
  <c r="L313" s="1"/>
  <c r="N313" s="1"/>
  <c r="P313" s="1"/>
  <c r="R313" s="1"/>
  <c r="T313" s="1"/>
  <c r="F145"/>
  <c r="H146"/>
  <c r="J146" s="1"/>
  <c r="L146" s="1"/>
  <c r="N146" s="1"/>
  <c r="P146" s="1"/>
  <c r="R146" s="1"/>
  <c r="T146" s="1"/>
  <c r="F1091"/>
  <c r="H1091" s="1"/>
  <c r="J1091" s="1"/>
  <c r="L1091" s="1"/>
  <c r="N1091" s="1"/>
  <c r="P1091" s="1"/>
  <c r="R1091" s="1"/>
  <c r="T1091" s="1"/>
  <c r="H1092"/>
  <c r="J1092" s="1"/>
  <c r="L1092" s="1"/>
  <c r="N1092" s="1"/>
  <c r="P1092" s="1"/>
  <c r="R1092" s="1"/>
  <c r="T1092" s="1"/>
  <c r="F426"/>
  <c r="H426" s="1"/>
  <c r="J426" s="1"/>
  <c r="L426" s="1"/>
  <c r="N426" s="1"/>
  <c r="P426" s="1"/>
  <c r="R426" s="1"/>
  <c r="T426" s="1"/>
  <c r="H427"/>
  <c r="J427" s="1"/>
  <c r="L427" s="1"/>
  <c r="N427" s="1"/>
  <c r="P427" s="1"/>
  <c r="R427" s="1"/>
  <c r="T427" s="1"/>
  <c r="F1438"/>
  <c r="H1439"/>
  <c r="J1439" s="1"/>
  <c r="L1439" s="1"/>
  <c r="N1439" s="1"/>
  <c r="P1439" s="1"/>
  <c r="R1439" s="1"/>
  <c r="T1439" s="1"/>
  <c r="F1054"/>
  <c r="H1055"/>
  <c r="J1055" s="1"/>
  <c r="L1055" s="1"/>
  <c r="N1055" s="1"/>
  <c r="P1055" s="1"/>
  <c r="R1055" s="1"/>
  <c r="T1055" s="1"/>
  <c r="F1626"/>
  <c r="H1626" s="1"/>
  <c r="J1626" s="1"/>
  <c r="L1626" s="1"/>
  <c r="N1626" s="1"/>
  <c r="P1626" s="1"/>
  <c r="R1626" s="1"/>
  <c r="T1626" s="1"/>
  <c r="H1627"/>
  <c r="J1627" s="1"/>
  <c r="L1627" s="1"/>
  <c r="N1627" s="1"/>
  <c r="P1627" s="1"/>
  <c r="R1627" s="1"/>
  <c r="T1627" s="1"/>
  <c r="F391"/>
  <c r="H391" s="1"/>
  <c r="J391" s="1"/>
  <c r="L391" s="1"/>
  <c r="N391" s="1"/>
  <c r="P391" s="1"/>
  <c r="R391" s="1"/>
  <c r="T391" s="1"/>
  <c r="H392"/>
  <c r="J392" s="1"/>
  <c r="L392" s="1"/>
  <c r="N392" s="1"/>
  <c r="P392" s="1"/>
  <c r="R392" s="1"/>
  <c r="T392" s="1"/>
  <c r="F1801"/>
  <c r="H1801" s="1"/>
  <c r="J1801" s="1"/>
  <c r="L1801" s="1"/>
  <c r="N1801" s="1"/>
  <c r="P1801" s="1"/>
  <c r="R1801" s="1"/>
  <c r="T1801" s="1"/>
  <c r="H1802"/>
  <c r="J1802" s="1"/>
  <c r="L1802" s="1"/>
  <c r="N1802" s="1"/>
  <c r="P1802" s="1"/>
  <c r="R1802" s="1"/>
  <c r="T1802" s="1"/>
  <c r="F1663"/>
  <c r="H1664"/>
  <c r="J1664" s="1"/>
  <c r="L1664" s="1"/>
  <c r="N1664" s="1"/>
  <c r="P1664" s="1"/>
  <c r="R1664" s="1"/>
  <c r="T1664" s="1"/>
  <c r="F816"/>
  <c r="H816" s="1"/>
  <c r="J816" s="1"/>
  <c r="L816" s="1"/>
  <c r="N816" s="1"/>
  <c r="P816" s="1"/>
  <c r="R816" s="1"/>
  <c r="T816" s="1"/>
  <c r="H817"/>
  <c r="J817" s="1"/>
  <c r="L817" s="1"/>
  <c r="N817" s="1"/>
  <c r="P817" s="1"/>
  <c r="R817" s="1"/>
  <c r="T817" s="1"/>
  <c r="F420"/>
  <c r="H420" s="1"/>
  <c r="J420" s="1"/>
  <c r="L420" s="1"/>
  <c r="N420" s="1"/>
  <c r="P420" s="1"/>
  <c r="R420" s="1"/>
  <c r="T420" s="1"/>
  <c r="H421"/>
  <c r="J421" s="1"/>
  <c r="L421" s="1"/>
  <c r="N421" s="1"/>
  <c r="P421" s="1"/>
  <c r="R421" s="1"/>
  <c r="T421" s="1"/>
  <c r="F91"/>
  <c r="H91" s="1"/>
  <c r="J91" s="1"/>
  <c r="L91" s="1"/>
  <c r="N91" s="1"/>
  <c r="P91" s="1"/>
  <c r="R91" s="1"/>
  <c r="T91" s="1"/>
  <c r="H92"/>
  <c r="J92" s="1"/>
  <c r="L92" s="1"/>
  <c r="N92" s="1"/>
  <c r="P92" s="1"/>
  <c r="R92" s="1"/>
  <c r="T92" s="1"/>
  <c r="F1151"/>
  <c r="H1152"/>
  <c r="J1152" s="1"/>
  <c r="L1152" s="1"/>
  <c r="N1152" s="1"/>
  <c r="P1152" s="1"/>
  <c r="R1152" s="1"/>
  <c r="T1152" s="1"/>
  <c r="H551"/>
  <c r="J551" s="1"/>
  <c r="L551" s="1"/>
  <c r="N551" s="1"/>
  <c r="P551" s="1"/>
  <c r="R551" s="1"/>
  <c r="T551" s="1"/>
  <c r="F550"/>
  <c r="H710"/>
  <c r="J710" s="1"/>
  <c r="L710" s="1"/>
  <c r="N710" s="1"/>
  <c r="P710" s="1"/>
  <c r="R710" s="1"/>
  <c r="T710" s="1"/>
  <c r="F704"/>
  <c r="H704" s="1"/>
  <c r="J704" s="1"/>
  <c r="L704" s="1"/>
  <c r="N704" s="1"/>
  <c r="P704" s="1"/>
  <c r="R704" s="1"/>
  <c r="T704" s="1"/>
  <c r="F288"/>
  <c r="H289"/>
  <c r="J289" s="1"/>
  <c r="L289" s="1"/>
  <c r="N289" s="1"/>
  <c r="P289" s="1"/>
  <c r="R289" s="1"/>
  <c r="T289" s="1"/>
  <c r="F1235"/>
  <c r="H1236"/>
  <c r="J1236" s="1"/>
  <c r="L1236" s="1"/>
  <c r="N1236" s="1"/>
  <c r="P1236" s="1"/>
  <c r="R1236" s="1"/>
  <c r="T1236" s="1"/>
  <c r="F524"/>
  <c r="H525"/>
  <c r="J525" s="1"/>
  <c r="L525" s="1"/>
  <c r="N525" s="1"/>
  <c r="P525" s="1"/>
  <c r="R525" s="1"/>
  <c r="T525" s="1"/>
  <c r="F1776"/>
  <c r="H1777"/>
  <c r="J1777" s="1"/>
  <c r="L1777" s="1"/>
  <c r="N1777" s="1"/>
  <c r="P1777" s="1"/>
  <c r="R1777" s="1"/>
  <c r="T1777" s="1"/>
  <c r="F1570"/>
  <c r="H1570" s="1"/>
  <c r="J1570" s="1"/>
  <c r="L1570" s="1"/>
  <c r="N1570" s="1"/>
  <c r="P1570" s="1"/>
  <c r="R1570" s="1"/>
  <c r="T1570" s="1"/>
  <c r="H1571"/>
  <c r="J1571" s="1"/>
  <c r="L1571" s="1"/>
  <c r="N1571" s="1"/>
  <c r="P1571" s="1"/>
  <c r="R1571" s="1"/>
  <c r="T1571" s="1"/>
  <c r="F1720"/>
  <c r="H1721"/>
  <c r="J1721" s="1"/>
  <c r="L1721" s="1"/>
  <c r="N1721" s="1"/>
  <c r="P1721" s="1"/>
  <c r="R1721" s="1"/>
  <c r="T1721" s="1"/>
  <c r="F1750"/>
  <c r="H1751"/>
  <c r="J1751" s="1"/>
  <c r="L1751" s="1"/>
  <c r="N1751" s="1"/>
  <c r="P1751" s="1"/>
  <c r="R1751" s="1"/>
  <c r="T1751" s="1"/>
  <c r="F1272"/>
  <c r="H1273"/>
  <c r="J1273" s="1"/>
  <c r="L1273" s="1"/>
  <c r="N1273" s="1"/>
  <c r="P1273" s="1"/>
  <c r="R1273" s="1"/>
  <c r="T1273" s="1"/>
  <c r="F200"/>
  <c r="H201"/>
  <c r="J201" s="1"/>
  <c r="L201" s="1"/>
  <c r="N201" s="1"/>
  <c r="P201" s="1"/>
  <c r="R201" s="1"/>
  <c r="T201" s="1"/>
  <c r="F1456"/>
  <c r="H1457"/>
  <c r="J1457" s="1"/>
  <c r="L1457" s="1"/>
  <c r="N1457" s="1"/>
  <c r="P1457" s="1"/>
  <c r="R1457" s="1"/>
  <c r="T1457" s="1"/>
  <c r="F1784"/>
  <c r="H1785"/>
  <c r="J1785" s="1"/>
  <c r="L1785" s="1"/>
  <c r="N1785" s="1"/>
  <c r="P1785" s="1"/>
  <c r="R1785" s="1"/>
  <c r="T1785" s="1"/>
  <c r="F1530"/>
  <c r="H1541"/>
  <c r="J1541" s="1"/>
  <c r="L1541" s="1"/>
  <c r="N1541" s="1"/>
  <c r="P1541" s="1"/>
  <c r="R1541" s="1"/>
  <c r="T1541" s="1"/>
  <c r="F479"/>
  <c r="H479" s="1"/>
  <c r="J479" s="1"/>
  <c r="L479" s="1"/>
  <c r="N479" s="1"/>
  <c r="P479" s="1"/>
  <c r="R479" s="1"/>
  <c r="T479" s="1"/>
  <c r="H480"/>
  <c r="J480" s="1"/>
  <c r="L480" s="1"/>
  <c r="N480" s="1"/>
  <c r="P480" s="1"/>
  <c r="R480" s="1"/>
  <c r="T480" s="1"/>
  <c r="F1060"/>
  <c r="H1061"/>
  <c r="J1061" s="1"/>
  <c r="L1061" s="1"/>
  <c r="N1061" s="1"/>
  <c r="P1061" s="1"/>
  <c r="R1061" s="1"/>
  <c r="T1061" s="1"/>
  <c r="F434"/>
  <c r="H435"/>
  <c r="J435" s="1"/>
  <c r="L435" s="1"/>
  <c r="N435" s="1"/>
  <c r="P435" s="1"/>
  <c r="R435" s="1"/>
  <c r="T435" s="1"/>
  <c r="F757"/>
  <c r="H758"/>
  <c r="J758" s="1"/>
  <c r="L758" s="1"/>
  <c r="N758" s="1"/>
  <c r="P758" s="1"/>
  <c r="R758" s="1"/>
  <c r="T758" s="1"/>
  <c r="F1757"/>
  <c r="H1757" s="1"/>
  <c r="J1757" s="1"/>
  <c r="L1757" s="1"/>
  <c r="N1757" s="1"/>
  <c r="P1757" s="1"/>
  <c r="R1757" s="1"/>
  <c r="T1757" s="1"/>
  <c r="H1758"/>
  <c r="J1758" s="1"/>
  <c r="L1758" s="1"/>
  <c r="N1758" s="1"/>
  <c r="P1758" s="1"/>
  <c r="R1758" s="1"/>
  <c r="T1758" s="1"/>
  <c r="F866"/>
  <c r="H866" s="1"/>
  <c r="J866" s="1"/>
  <c r="L866" s="1"/>
  <c r="N866" s="1"/>
  <c r="P866" s="1"/>
  <c r="R866" s="1"/>
  <c r="T866" s="1"/>
  <c r="H867"/>
  <c r="J867" s="1"/>
  <c r="L867" s="1"/>
  <c r="N867" s="1"/>
  <c r="P867" s="1"/>
  <c r="R867" s="1"/>
  <c r="T867" s="1"/>
  <c r="F183"/>
  <c r="H183" s="1"/>
  <c r="J183" s="1"/>
  <c r="L183" s="1"/>
  <c r="N183" s="1"/>
  <c r="P183" s="1"/>
  <c r="R183" s="1"/>
  <c r="T183" s="1"/>
  <c r="H184"/>
  <c r="J184" s="1"/>
  <c r="L184" s="1"/>
  <c r="N184" s="1"/>
  <c r="P184" s="1"/>
  <c r="R184" s="1"/>
  <c r="T184" s="1"/>
  <c r="H505"/>
  <c r="J505" s="1"/>
  <c r="L505" s="1"/>
  <c r="N505" s="1"/>
  <c r="P505" s="1"/>
  <c r="R505" s="1"/>
  <c r="T505" s="1"/>
  <c r="F504"/>
  <c r="F1673"/>
  <c r="H1673" s="1"/>
  <c r="J1673" s="1"/>
  <c r="L1673" s="1"/>
  <c r="N1673" s="1"/>
  <c r="P1673" s="1"/>
  <c r="R1673" s="1"/>
  <c r="T1673" s="1"/>
  <c r="H1674"/>
  <c r="J1674" s="1"/>
  <c r="L1674" s="1"/>
  <c r="N1674" s="1"/>
  <c r="P1674" s="1"/>
  <c r="R1674" s="1"/>
  <c r="T1674" s="1"/>
  <c r="F794"/>
  <c r="H795"/>
  <c r="J795" s="1"/>
  <c r="L795" s="1"/>
  <c r="N795" s="1"/>
  <c r="P795" s="1"/>
  <c r="R795" s="1"/>
  <c r="T795" s="1"/>
  <c r="F133"/>
  <c r="H134"/>
  <c r="J134" s="1"/>
  <c r="L134" s="1"/>
  <c r="N134" s="1"/>
  <c r="P134" s="1"/>
  <c r="R134" s="1"/>
  <c r="T134" s="1"/>
  <c r="F1509"/>
  <c r="H1510"/>
  <c r="J1510" s="1"/>
  <c r="L1510" s="1"/>
  <c r="N1510" s="1"/>
  <c r="P1510" s="1"/>
  <c r="R1510" s="1"/>
  <c r="T1510" s="1"/>
  <c r="F1762"/>
  <c r="H1762" s="1"/>
  <c r="J1762" s="1"/>
  <c r="L1762" s="1"/>
  <c r="N1762" s="1"/>
  <c r="P1762" s="1"/>
  <c r="R1762" s="1"/>
  <c r="T1762" s="1"/>
  <c r="H1763"/>
  <c r="J1763" s="1"/>
  <c r="L1763" s="1"/>
  <c r="N1763" s="1"/>
  <c r="P1763" s="1"/>
  <c r="R1763" s="1"/>
  <c r="T1763" s="1"/>
  <c r="F276"/>
  <c r="H277"/>
  <c r="J277" s="1"/>
  <c r="L277" s="1"/>
  <c r="N277" s="1"/>
  <c r="P277" s="1"/>
  <c r="R277" s="1"/>
  <c r="T277" s="1"/>
  <c r="F1103"/>
  <c r="H1104"/>
  <c r="J1104" s="1"/>
  <c r="L1104" s="1"/>
  <c r="N1104" s="1"/>
  <c r="P1104" s="1"/>
  <c r="R1104" s="1"/>
  <c r="T1104" s="1"/>
  <c r="F1590"/>
  <c r="H1590" s="1"/>
  <c r="J1590" s="1"/>
  <c r="L1590" s="1"/>
  <c r="N1590" s="1"/>
  <c r="P1590" s="1"/>
  <c r="R1590" s="1"/>
  <c r="T1590" s="1"/>
  <c r="H1591"/>
  <c r="J1591" s="1"/>
  <c r="L1591" s="1"/>
  <c r="N1591" s="1"/>
  <c r="P1591" s="1"/>
  <c r="R1591" s="1"/>
  <c r="T1591" s="1"/>
  <c r="F1621"/>
  <c r="H1621" s="1"/>
  <c r="J1621" s="1"/>
  <c r="L1621" s="1"/>
  <c r="N1621" s="1"/>
  <c r="P1621" s="1"/>
  <c r="R1621" s="1"/>
  <c r="T1621" s="1"/>
  <c r="H1622"/>
  <c r="J1622" s="1"/>
  <c r="L1622" s="1"/>
  <c r="N1622" s="1"/>
  <c r="P1622" s="1"/>
  <c r="R1622" s="1"/>
  <c r="T1622" s="1"/>
  <c r="F172"/>
  <c r="H173"/>
  <c r="J173" s="1"/>
  <c r="L173" s="1"/>
  <c r="N173" s="1"/>
  <c r="P173" s="1"/>
  <c r="R173" s="1"/>
  <c r="T173" s="1"/>
  <c r="F911"/>
  <c r="H911" s="1"/>
  <c r="J911" s="1"/>
  <c r="L911" s="1"/>
  <c r="N911" s="1"/>
  <c r="P911" s="1"/>
  <c r="R911" s="1"/>
  <c r="T911" s="1"/>
  <c r="H912"/>
  <c r="J912" s="1"/>
  <c r="L912" s="1"/>
  <c r="N912" s="1"/>
  <c r="P912" s="1"/>
  <c r="R912" s="1"/>
  <c r="T912" s="1"/>
  <c r="F688"/>
  <c r="H689"/>
  <c r="J689" s="1"/>
  <c r="L689" s="1"/>
  <c r="N689" s="1"/>
  <c r="P689" s="1"/>
  <c r="R689" s="1"/>
  <c r="T689" s="1"/>
  <c r="F1651"/>
  <c r="H1652"/>
  <c r="J1652" s="1"/>
  <c r="L1652" s="1"/>
  <c r="N1652" s="1"/>
  <c r="P1652" s="1"/>
  <c r="R1652" s="1"/>
  <c r="T1652" s="1"/>
  <c r="F783"/>
  <c r="H784"/>
  <c r="J784" s="1"/>
  <c r="L784" s="1"/>
  <c r="N784" s="1"/>
  <c r="P784" s="1"/>
  <c r="R784" s="1"/>
  <c r="T784" s="1"/>
  <c r="F990"/>
  <c r="H991"/>
  <c r="J991" s="1"/>
  <c r="L991" s="1"/>
  <c r="N991" s="1"/>
  <c r="P991" s="1"/>
  <c r="R991" s="1"/>
  <c r="T991" s="1"/>
  <c r="H631"/>
  <c r="J631" s="1"/>
  <c r="L631" s="1"/>
  <c r="N631" s="1"/>
  <c r="P631" s="1"/>
  <c r="R631" s="1"/>
  <c r="T631" s="1"/>
  <c r="F1292"/>
  <c r="H1292" s="1"/>
  <c r="J1292" s="1"/>
  <c r="L1292" s="1"/>
  <c r="N1292" s="1"/>
  <c r="P1292" s="1"/>
  <c r="R1292" s="1"/>
  <c r="T1292" s="1"/>
  <c r="H1293"/>
  <c r="J1293" s="1"/>
  <c r="L1293" s="1"/>
  <c r="N1293" s="1"/>
  <c r="P1293" s="1"/>
  <c r="R1293" s="1"/>
  <c r="T1293" s="1"/>
  <c r="H1497"/>
  <c r="J1497" s="1"/>
  <c r="L1497" s="1"/>
  <c r="N1497" s="1"/>
  <c r="P1497" s="1"/>
  <c r="R1497" s="1"/>
  <c r="T1497" s="1"/>
  <c r="F1481"/>
  <c r="F1474" s="1"/>
  <c r="F1124"/>
  <c r="H1124" s="1"/>
  <c r="J1124" s="1"/>
  <c r="L1124" s="1"/>
  <c r="N1124" s="1"/>
  <c r="P1124" s="1"/>
  <c r="R1124" s="1"/>
  <c r="T1124" s="1"/>
  <c r="H1125"/>
  <c r="J1125" s="1"/>
  <c r="L1125" s="1"/>
  <c r="N1125" s="1"/>
  <c r="P1125" s="1"/>
  <c r="R1125" s="1"/>
  <c r="T1125" s="1"/>
  <c r="F1326"/>
  <c r="H1327"/>
  <c r="J1327" s="1"/>
  <c r="L1327" s="1"/>
  <c r="N1327" s="1"/>
  <c r="P1327" s="1"/>
  <c r="R1327" s="1"/>
  <c r="T1327" s="1"/>
  <c r="F562"/>
  <c r="H563"/>
  <c r="J563" s="1"/>
  <c r="L563" s="1"/>
  <c r="N563" s="1"/>
  <c r="P563" s="1"/>
  <c r="R563" s="1"/>
  <c r="T563" s="1"/>
  <c r="F224"/>
  <c r="H224" s="1"/>
  <c r="J224" s="1"/>
  <c r="L224" s="1"/>
  <c r="N224" s="1"/>
  <c r="P224" s="1"/>
  <c r="R224" s="1"/>
  <c r="T224" s="1"/>
  <c r="H225"/>
  <c r="J225" s="1"/>
  <c r="L225" s="1"/>
  <c r="N225" s="1"/>
  <c r="P225" s="1"/>
  <c r="R225" s="1"/>
  <c r="T225" s="1"/>
  <c r="F250"/>
  <c r="H251"/>
  <c r="J251" s="1"/>
  <c r="L251" s="1"/>
  <c r="N251" s="1"/>
  <c r="P251" s="1"/>
  <c r="R251" s="1"/>
  <c r="T251" s="1"/>
  <c r="F1468"/>
  <c r="H1469"/>
  <c r="J1469" s="1"/>
  <c r="L1469" s="1"/>
  <c r="N1469" s="1"/>
  <c r="P1469" s="1"/>
  <c r="R1469" s="1"/>
  <c r="T1469" s="1"/>
  <c r="H213"/>
  <c r="J213" s="1"/>
  <c r="L213" s="1"/>
  <c r="N213" s="1"/>
  <c r="P213" s="1"/>
  <c r="R213" s="1"/>
  <c r="T213" s="1"/>
  <c r="F212"/>
  <c r="F963"/>
  <c r="H964"/>
  <c r="J964" s="1"/>
  <c r="L964" s="1"/>
  <c r="N964" s="1"/>
  <c r="P964" s="1"/>
  <c r="R964" s="1"/>
  <c r="T964" s="1"/>
  <c r="H900"/>
  <c r="J900" s="1"/>
  <c r="L900" s="1"/>
  <c r="N900" s="1"/>
  <c r="P900" s="1"/>
  <c r="R900" s="1"/>
  <c r="T900" s="1"/>
  <c r="F1205"/>
  <c r="H1205" s="1"/>
  <c r="J1205" s="1"/>
  <c r="L1205" s="1"/>
  <c r="N1205" s="1"/>
  <c r="P1205" s="1"/>
  <c r="R1205" s="1"/>
  <c r="T1205" s="1"/>
  <c r="H1206"/>
  <c r="J1206" s="1"/>
  <c r="L1206" s="1"/>
  <c r="N1206" s="1"/>
  <c r="P1206" s="1"/>
  <c r="R1206" s="1"/>
  <c r="T1206" s="1"/>
  <c r="F1282"/>
  <c r="H1282" s="1"/>
  <c r="J1282" s="1"/>
  <c r="L1282" s="1"/>
  <c r="N1282" s="1"/>
  <c r="P1282" s="1"/>
  <c r="R1282" s="1"/>
  <c r="T1282" s="1"/>
  <c r="H1283"/>
  <c r="J1283" s="1"/>
  <c r="L1283" s="1"/>
  <c r="N1283" s="1"/>
  <c r="P1283" s="1"/>
  <c r="R1283" s="1"/>
  <c r="T1283" s="1"/>
  <c r="F1524"/>
  <c r="H1524" s="1"/>
  <c r="J1524" s="1"/>
  <c r="L1524" s="1"/>
  <c r="N1524" s="1"/>
  <c r="P1524" s="1"/>
  <c r="R1524" s="1"/>
  <c r="T1524" s="1"/>
  <c r="H1525"/>
  <c r="J1525" s="1"/>
  <c r="L1525" s="1"/>
  <c r="N1525" s="1"/>
  <c r="P1525" s="1"/>
  <c r="R1525" s="1"/>
  <c r="T1525" s="1"/>
  <c r="F54"/>
  <c r="H55"/>
  <c r="J55" s="1"/>
  <c r="L55" s="1"/>
  <c r="N55" s="1"/>
  <c r="P55" s="1"/>
  <c r="R55" s="1"/>
  <c r="T55" s="1"/>
  <c r="F956"/>
  <c r="H957"/>
  <c r="J957" s="1"/>
  <c r="L957" s="1"/>
  <c r="N957" s="1"/>
  <c r="P957" s="1"/>
  <c r="R957" s="1"/>
  <c r="T957" s="1"/>
  <c r="F1791"/>
  <c r="H1791" s="1"/>
  <c r="J1791" s="1"/>
  <c r="L1791" s="1"/>
  <c r="N1791" s="1"/>
  <c r="P1791" s="1"/>
  <c r="R1791" s="1"/>
  <c r="T1791" s="1"/>
  <c r="H1792"/>
  <c r="J1792" s="1"/>
  <c r="L1792" s="1"/>
  <c r="N1792" s="1"/>
  <c r="P1792" s="1"/>
  <c r="R1792" s="1"/>
  <c r="T1792" s="1"/>
  <c r="F1086"/>
  <c r="H1087"/>
  <c r="J1087" s="1"/>
  <c r="L1087" s="1"/>
  <c r="N1087" s="1"/>
  <c r="P1087" s="1"/>
  <c r="R1087" s="1"/>
  <c r="T1087" s="1"/>
  <c r="F366"/>
  <c r="H366" s="1"/>
  <c r="J366" s="1"/>
  <c r="L366" s="1"/>
  <c r="N366" s="1"/>
  <c r="P366" s="1"/>
  <c r="R366" s="1"/>
  <c r="T366" s="1"/>
  <c r="H367"/>
  <c r="J367" s="1"/>
  <c r="L367" s="1"/>
  <c r="N367" s="1"/>
  <c r="P367" s="1"/>
  <c r="R367" s="1"/>
  <c r="T367" s="1"/>
  <c r="F1067"/>
  <c r="H1068"/>
  <c r="J1068" s="1"/>
  <c r="L1068" s="1"/>
  <c r="N1068" s="1"/>
  <c r="P1068" s="1"/>
  <c r="R1068" s="1"/>
  <c r="T1068" s="1"/>
  <c r="F414"/>
  <c r="H415"/>
  <c r="J415" s="1"/>
  <c r="L415" s="1"/>
  <c r="N415" s="1"/>
  <c r="P415" s="1"/>
  <c r="R415" s="1"/>
  <c r="T415" s="1"/>
  <c r="F1009"/>
  <c r="H1010"/>
  <c r="J1010" s="1"/>
  <c r="L1010" s="1"/>
  <c r="N1010" s="1"/>
  <c r="P1010" s="1"/>
  <c r="R1010" s="1"/>
  <c r="T1010" s="1"/>
  <c r="F1607"/>
  <c r="H1607" s="1"/>
  <c r="J1607" s="1"/>
  <c r="L1607" s="1"/>
  <c r="N1607" s="1"/>
  <c r="P1607" s="1"/>
  <c r="R1607" s="1"/>
  <c r="T1607" s="1"/>
  <c r="H1608"/>
  <c r="J1608" s="1"/>
  <c r="L1608" s="1"/>
  <c r="N1608" s="1"/>
  <c r="P1608" s="1"/>
  <c r="R1608" s="1"/>
  <c r="T1608" s="1"/>
  <c r="F1614"/>
  <c r="H1614" s="1"/>
  <c r="J1614" s="1"/>
  <c r="L1614" s="1"/>
  <c r="N1614" s="1"/>
  <c r="P1614" s="1"/>
  <c r="R1614" s="1"/>
  <c r="T1614" s="1"/>
  <c r="H1615"/>
  <c r="J1615" s="1"/>
  <c r="L1615" s="1"/>
  <c r="N1615" s="1"/>
  <c r="P1615" s="1"/>
  <c r="R1615" s="1"/>
  <c r="T1615" s="1"/>
  <c r="F1742"/>
  <c r="H1743"/>
  <c r="J1743" s="1"/>
  <c r="L1743" s="1"/>
  <c r="N1743" s="1"/>
  <c r="P1743" s="1"/>
  <c r="R1743" s="1"/>
  <c r="T1743" s="1"/>
  <c r="F1597"/>
  <c r="H1597" s="1"/>
  <c r="J1597" s="1"/>
  <c r="L1597" s="1"/>
  <c r="N1597" s="1"/>
  <c r="P1597" s="1"/>
  <c r="R1597" s="1"/>
  <c r="T1597" s="1"/>
  <c r="H1598"/>
  <c r="J1598" s="1"/>
  <c r="L1598" s="1"/>
  <c r="N1598" s="1"/>
  <c r="P1598" s="1"/>
  <c r="R1598" s="1"/>
  <c r="T1598" s="1"/>
  <c r="H921"/>
  <c r="J921" s="1"/>
  <c r="L921" s="1"/>
  <c r="N921" s="1"/>
  <c r="P921" s="1"/>
  <c r="R921" s="1"/>
  <c r="T921" s="1"/>
  <c r="F1559"/>
  <c r="H1559" s="1"/>
  <c r="J1559" s="1"/>
  <c r="L1559" s="1"/>
  <c r="N1559" s="1"/>
  <c r="P1559" s="1"/>
  <c r="R1559" s="1"/>
  <c r="T1559" s="1"/>
  <c r="H1560"/>
  <c r="J1560" s="1"/>
  <c r="L1560" s="1"/>
  <c r="N1560" s="1"/>
  <c r="P1560" s="1"/>
  <c r="R1560" s="1"/>
  <c r="T1560" s="1"/>
  <c r="F1023"/>
  <c r="H1024"/>
  <c r="J1024" s="1"/>
  <c r="L1024" s="1"/>
  <c r="N1024" s="1"/>
  <c r="P1024" s="1"/>
  <c r="R1024" s="1"/>
  <c r="T1024" s="1"/>
  <c r="G1682"/>
  <c r="H1683"/>
  <c r="J1683" s="1"/>
  <c r="L1683" s="1"/>
  <c r="N1683" s="1"/>
  <c r="P1683" s="1"/>
  <c r="R1683" s="1"/>
  <c r="T1683" s="1"/>
  <c r="H900" i="5"/>
  <c r="I901"/>
  <c r="K901" s="1"/>
  <c r="M901" s="1"/>
  <c r="O901" s="1"/>
  <c r="Q901" s="1"/>
  <c r="S901" s="1"/>
  <c r="U901" s="1"/>
  <c r="G1813" i="6"/>
  <c r="H1814"/>
  <c r="J1814" s="1"/>
  <c r="L1814" s="1"/>
  <c r="N1814" s="1"/>
  <c r="P1814" s="1"/>
  <c r="R1814" s="1"/>
  <c r="T1814" s="1"/>
  <c r="G1030"/>
  <c r="H1031"/>
  <c r="J1031" s="1"/>
  <c r="L1031" s="1"/>
  <c r="N1031" s="1"/>
  <c r="P1031" s="1"/>
  <c r="R1031" s="1"/>
  <c r="T1031" s="1"/>
  <c r="H432" i="5"/>
  <c r="H425" s="1"/>
  <c r="I442"/>
  <c r="K442" s="1"/>
  <c r="M442" s="1"/>
  <c r="O442" s="1"/>
  <c r="Q442" s="1"/>
  <c r="S442" s="1"/>
  <c r="U442" s="1"/>
  <c r="H585" i="6"/>
  <c r="J585" s="1"/>
  <c r="L585" s="1"/>
  <c r="N585" s="1"/>
  <c r="P585" s="1"/>
  <c r="R585" s="1"/>
  <c r="T585" s="1"/>
  <c r="G579"/>
  <c r="H579" s="1"/>
  <c r="J579" s="1"/>
  <c r="L579" s="1"/>
  <c r="N579" s="1"/>
  <c r="P579" s="1"/>
  <c r="R579" s="1"/>
  <c r="T579" s="1"/>
  <c r="H186" i="5"/>
  <c r="I186" s="1"/>
  <c r="K186" s="1"/>
  <c r="M186" s="1"/>
  <c r="O186" s="1"/>
  <c r="Q186" s="1"/>
  <c r="S186" s="1"/>
  <c r="U186" s="1"/>
  <c r="G1444" i="6"/>
  <c r="H1445"/>
  <c r="J1445" s="1"/>
  <c r="L1445" s="1"/>
  <c r="N1445" s="1"/>
  <c r="P1445" s="1"/>
  <c r="R1445" s="1"/>
  <c r="T1445" s="1"/>
  <c r="G1476"/>
  <c r="H1477"/>
  <c r="J1477" s="1"/>
  <c r="L1477" s="1"/>
  <c r="N1477" s="1"/>
  <c r="P1477" s="1"/>
  <c r="R1477" s="1"/>
  <c r="T1477" s="1"/>
  <c r="H1334"/>
  <c r="J1334" s="1"/>
  <c r="L1334" s="1"/>
  <c r="N1334" s="1"/>
  <c r="P1334" s="1"/>
  <c r="R1334" s="1"/>
  <c r="T1334" s="1"/>
  <c r="H1267"/>
  <c r="J1267" s="1"/>
  <c r="L1267" s="1"/>
  <c r="N1267" s="1"/>
  <c r="P1267" s="1"/>
  <c r="R1267" s="1"/>
  <c r="T1267" s="1"/>
  <c r="G1266"/>
  <c r="G606"/>
  <c r="H606" s="1"/>
  <c r="J606" s="1"/>
  <c r="L606" s="1"/>
  <c r="N606" s="1"/>
  <c r="P606" s="1"/>
  <c r="R606" s="1"/>
  <c r="T606" s="1"/>
  <c r="H607"/>
  <c r="J607" s="1"/>
  <c r="L607" s="1"/>
  <c r="N607" s="1"/>
  <c r="P607" s="1"/>
  <c r="R607" s="1"/>
  <c r="T607" s="1"/>
  <c r="G626"/>
  <c r="H627"/>
  <c r="J627" s="1"/>
  <c r="L627" s="1"/>
  <c r="N627" s="1"/>
  <c r="P627" s="1"/>
  <c r="R627" s="1"/>
  <c r="T627" s="1"/>
  <c r="G601"/>
  <c r="H602"/>
  <c r="J602" s="1"/>
  <c r="L602" s="1"/>
  <c r="N602" s="1"/>
  <c r="P602" s="1"/>
  <c r="R602" s="1"/>
  <c r="T602" s="1"/>
  <c r="G1346"/>
  <c r="H1347"/>
  <c r="J1347" s="1"/>
  <c r="L1347" s="1"/>
  <c r="N1347" s="1"/>
  <c r="P1347" s="1"/>
  <c r="R1347" s="1"/>
  <c r="T1347" s="1"/>
  <c r="G1407"/>
  <c r="H1408"/>
  <c r="J1408" s="1"/>
  <c r="L1408" s="1"/>
  <c r="N1408" s="1"/>
  <c r="P1408" s="1"/>
  <c r="R1408" s="1"/>
  <c r="T1408" s="1"/>
  <c r="G745"/>
  <c r="H746"/>
  <c r="J746" s="1"/>
  <c r="L746" s="1"/>
  <c r="N746" s="1"/>
  <c r="P746" s="1"/>
  <c r="R746" s="1"/>
  <c r="T746" s="1"/>
  <c r="G731"/>
  <c r="H731" s="1"/>
  <c r="J731" s="1"/>
  <c r="L731" s="1"/>
  <c r="N731" s="1"/>
  <c r="P731" s="1"/>
  <c r="R731" s="1"/>
  <c r="T731" s="1"/>
  <c r="H732"/>
  <c r="J732" s="1"/>
  <c r="L732" s="1"/>
  <c r="N732" s="1"/>
  <c r="P732" s="1"/>
  <c r="R732" s="1"/>
  <c r="T732" s="1"/>
  <c r="H1450"/>
  <c r="J1450" s="1"/>
  <c r="L1450" s="1"/>
  <c r="N1450" s="1"/>
  <c r="P1450" s="1"/>
  <c r="R1450" s="1"/>
  <c r="T1450" s="1"/>
  <c r="G1449"/>
  <c r="H1449" s="1"/>
  <c r="J1449" s="1"/>
  <c r="L1449" s="1"/>
  <c r="N1449" s="1"/>
  <c r="P1449" s="1"/>
  <c r="R1449" s="1"/>
  <c r="T1449" s="1"/>
  <c r="H1392"/>
  <c r="J1392" s="1"/>
  <c r="L1392" s="1"/>
  <c r="N1392" s="1"/>
  <c r="P1392" s="1"/>
  <c r="R1392" s="1"/>
  <c r="T1392" s="1"/>
  <c r="G1391"/>
  <c r="H245" i="5"/>
  <c r="H233" s="1"/>
  <c r="I233" s="1"/>
  <c r="K233" s="1"/>
  <c r="M233" s="1"/>
  <c r="O233" s="1"/>
  <c r="Q233" s="1"/>
  <c r="S233" s="1"/>
  <c r="U233" s="1"/>
  <c r="G1413" i="6"/>
  <c r="G1412" s="1"/>
  <c r="H1414"/>
  <c r="J1414" s="1"/>
  <c r="L1414" s="1"/>
  <c r="N1414" s="1"/>
  <c r="P1414" s="1"/>
  <c r="R1414" s="1"/>
  <c r="T1414" s="1"/>
  <c r="I277" i="5"/>
  <c r="K277" s="1"/>
  <c r="M277" s="1"/>
  <c r="O277" s="1"/>
  <c r="Q277" s="1"/>
  <c r="S277" s="1"/>
  <c r="U277" s="1"/>
  <c r="I166"/>
  <c r="K166" s="1"/>
  <c r="M166" s="1"/>
  <c r="O166" s="1"/>
  <c r="Q166" s="1"/>
  <c r="S166" s="1"/>
  <c r="U166" s="1"/>
  <c r="H165"/>
  <c r="G1632" i="6"/>
  <c r="H1633"/>
  <c r="J1633" s="1"/>
  <c r="L1633" s="1"/>
  <c r="N1633" s="1"/>
  <c r="P1633" s="1"/>
  <c r="R1633" s="1"/>
  <c r="T1633" s="1"/>
  <c r="G522"/>
  <c r="G630"/>
  <c r="G1487"/>
  <c r="H1488"/>
  <c r="J1488" s="1"/>
  <c r="L1488" s="1"/>
  <c r="N1488" s="1"/>
  <c r="P1488" s="1"/>
  <c r="R1488" s="1"/>
  <c r="T1488" s="1"/>
  <c r="H304" i="5"/>
  <c r="I305"/>
  <c r="K305" s="1"/>
  <c r="M305" s="1"/>
  <c r="O305" s="1"/>
  <c r="Q305" s="1"/>
  <c r="S305" s="1"/>
  <c r="U305" s="1"/>
  <c r="H114"/>
  <c r="I115"/>
  <c r="K115" s="1"/>
  <c r="M115" s="1"/>
  <c r="O115" s="1"/>
  <c r="Q115" s="1"/>
  <c r="S115" s="1"/>
  <c r="U115" s="1"/>
  <c r="E30" i="1"/>
  <c r="I234" i="5"/>
  <c r="K234" s="1"/>
  <c r="M234" s="1"/>
  <c r="O234" s="1"/>
  <c r="Q234" s="1"/>
  <c r="S234" s="1"/>
  <c r="U234" s="1"/>
  <c r="G1380" i="6"/>
  <c r="H1381"/>
  <c r="J1381" s="1"/>
  <c r="L1381" s="1"/>
  <c r="N1381" s="1"/>
  <c r="P1381" s="1"/>
  <c r="R1381" s="1"/>
  <c r="T1381" s="1"/>
  <c r="E22" i="1"/>
  <c r="H23" i="5"/>
  <c r="I24"/>
  <c r="K24" s="1"/>
  <c r="M24" s="1"/>
  <c r="O24" s="1"/>
  <c r="Q24" s="1"/>
  <c r="S24" s="1"/>
  <c r="U24" s="1"/>
  <c r="H1589"/>
  <c r="I1590"/>
  <c r="K1590" s="1"/>
  <c r="M1590" s="1"/>
  <c r="O1590" s="1"/>
  <c r="Q1590" s="1"/>
  <c r="S1590" s="1"/>
  <c r="U1590" s="1"/>
  <c r="N1766" i="6" l="1"/>
  <c r="L1765"/>
  <c r="S1224" i="5"/>
  <c r="U1224" s="1"/>
  <c r="S1525"/>
  <c r="U1525" s="1"/>
  <c r="S1503"/>
  <c r="U1503" s="1"/>
  <c r="G589"/>
  <c r="G588" s="1"/>
  <c r="H192" i="6"/>
  <c r="J192" s="1"/>
  <c r="L192" s="1"/>
  <c r="N192" s="1"/>
  <c r="P192" s="1"/>
  <c r="R192" s="1"/>
  <c r="T192" s="1"/>
  <c r="G463" i="5"/>
  <c r="G425" s="1"/>
  <c r="I425" s="1"/>
  <c r="K425" s="1"/>
  <c r="M425" s="1"/>
  <c r="O425" s="1"/>
  <c r="Q425" s="1"/>
  <c r="S425" s="1"/>
  <c r="U425" s="1"/>
  <c r="H997" i="6"/>
  <c r="J997" s="1"/>
  <c r="L997" s="1"/>
  <c r="N997" s="1"/>
  <c r="P997" s="1"/>
  <c r="R997" s="1"/>
  <c r="T997" s="1"/>
  <c r="J865" i="5"/>
  <c r="J1752" s="1"/>
  <c r="I18" i="6"/>
  <c r="I1823" s="1"/>
  <c r="D32" i="1"/>
  <c r="G845" i="5"/>
  <c r="I845" s="1"/>
  <c r="K845" s="1"/>
  <c r="M845" s="1"/>
  <c r="O845" s="1"/>
  <c r="Q845" s="1"/>
  <c r="S845" s="1"/>
  <c r="U845" s="1"/>
  <c r="G631"/>
  <c r="I631" s="1"/>
  <c r="K631" s="1"/>
  <c r="M631" s="1"/>
  <c r="O631" s="1"/>
  <c r="Q631" s="1"/>
  <c r="S631" s="1"/>
  <c r="U631" s="1"/>
  <c r="D64" i="1"/>
  <c r="I372" i="5"/>
  <c r="K372" s="1"/>
  <c r="M372" s="1"/>
  <c r="O372" s="1"/>
  <c r="Q372" s="1"/>
  <c r="S372" s="1"/>
  <c r="U372" s="1"/>
  <c r="G371"/>
  <c r="I371" s="1"/>
  <c r="K371" s="1"/>
  <c r="M371" s="1"/>
  <c r="O371" s="1"/>
  <c r="Q371" s="1"/>
  <c r="S371" s="1"/>
  <c r="U371" s="1"/>
  <c r="G891"/>
  <c r="I892"/>
  <c r="K892" s="1"/>
  <c r="M892" s="1"/>
  <c r="O892" s="1"/>
  <c r="Q892" s="1"/>
  <c r="S892" s="1"/>
  <c r="U892" s="1"/>
  <c r="I1066"/>
  <c r="K1066" s="1"/>
  <c r="M1066" s="1"/>
  <c r="O1066" s="1"/>
  <c r="Q1066" s="1"/>
  <c r="S1066" s="1"/>
  <c r="U1066" s="1"/>
  <c r="I481"/>
  <c r="K481" s="1"/>
  <c r="M481" s="1"/>
  <c r="O481" s="1"/>
  <c r="Q481" s="1"/>
  <c r="S481" s="1"/>
  <c r="U481" s="1"/>
  <c r="G480"/>
  <c r="G303"/>
  <c r="I334"/>
  <c r="K334" s="1"/>
  <c r="M334" s="1"/>
  <c r="O334" s="1"/>
  <c r="Q334" s="1"/>
  <c r="S334" s="1"/>
  <c r="U334" s="1"/>
  <c r="D54" i="1"/>
  <c r="G1740" i="5"/>
  <c r="I1741"/>
  <c r="K1741" s="1"/>
  <c r="M1741" s="1"/>
  <c r="O1741" s="1"/>
  <c r="Q1741" s="1"/>
  <c r="S1741" s="1"/>
  <c r="U1741" s="1"/>
  <c r="G1337"/>
  <c r="I1337" s="1"/>
  <c r="K1337" s="1"/>
  <c r="M1337" s="1"/>
  <c r="O1337" s="1"/>
  <c r="Q1337" s="1"/>
  <c r="S1337" s="1"/>
  <c r="U1337" s="1"/>
  <c r="I1345"/>
  <c r="K1345" s="1"/>
  <c r="M1345" s="1"/>
  <c r="O1345" s="1"/>
  <c r="Q1345" s="1"/>
  <c r="S1345" s="1"/>
  <c r="U1345" s="1"/>
  <c r="G1622"/>
  <c r="I1622" s="1"/>
  <c r="K1622" s="1"/>
  <c r="M1622" s="1"/>
  <c r="O1622" s="1"/>
  <c r="Q1622" s="1"/>
  <c r="S1622" s="1"/>
  <c r="U1622" s="1"/>
  <c r="I1623"/>
  <c r="K1623" s="1"/>
  <c r="M1623" s="1"/>
  <c r="O1623" s="1"/>
  <c r="Q1623" s="1"/>
  <c r="S1623" s="1"/>
  <c r="U1623" s="1"/>
  <c r="G915"/>
  <c r="I915" s="1"/>
  <c r="K915" s="1"/>
  <c r="M915" s="1"/>
  <c r="O915" s="1"/>
  <c r="Q915" s="1"/>
  <c r="S915" s="1"/>
  <c r="U915" s="1"/>
  <c r="I916"/>
  <c r="K916" s="1"/>
  <c r="M916" s="1"/>
  <c r="O916" s="1"/>
  <c r="Q916" s="1"/>
  <c r="S916" s="1"/>
  <c r="U916" s="1"/>
  <c r="D39" i="1"/>
  <c r="F39" s="1"/>
  <c r="H39" s="1"/>
  <c r="J39" s="1"/>
  <c r="L39" s="1"/>
  <c r="N39" s="1"/>
  <c r="P39" s="1"/>
  <c r="R39" s="1"/>
  <c r="I515" i="5"/>
  <c r="K515" s="1"/>
  <c r="M515" s="1"/>
  <c r="O515" s="1"/>
  <c r="Q515" s="1"/>
  <c r="S515" s="1"/>
  <c r="U515" s="1"/>
  <c r="G973"/>
  <c r="I974"/>
  <c r="K974" s="1"/>
  <c r="M974" s="1"/>
  <c r="O974" s="1"/>
  <c r="Q974" s="1"/>
  <c r="S974" s="1"/>
  <c r="U974" s="1"/>
  <c r="G535"/>
  <c r="I536"/>
  <c r="K536" s="1"/>
  <c r="M536" s="1"/>
  <c r="O536" s="1"/>
  <c r="Q536" s="1"/>
  <c r="S536" s="1"/>
  <c r="U536" s="1"/>
  <c r="G1184"/>
  <c r="I1184" s="1"/>
  <c r="K1184" s="1"/>
  <c r="M1184" s="1"/>
  <c r="O1184" s="1"/>
  <c r="Q1184" s="1"/>
  <c r="S1184" s="1"/>
  <c r="U1184" s="1"/>
  <c r="I1185"/>
  <c r="K1185" s="1"/>
  <c r="M1185" s="1"/>
  <c r="O1185" s="1"/>
  <c r="Q1185" s="1"/>
  <c r="S1185" s="1"/>
  <c r="U1185" s="1"/>
  <c r="G1287"/>
  <c r="I1288"/>
  <c r="K1288" s="1"/>
  <c r="M1288" s="1"/>
  <c r="O1288" s="1"/>
  <c r="Q1288" s="1"/>
  <c r="S1288" s="1"/>
  <c r="U1288" s="1"/>
  <c r="G697"/>
  <c r="I697" s="1"/>
  <c r="K697" s="1"/>
  <c r="M697" s="1"/>
  <c r="O697" s="1"/>
  <c r="Q697" s="1"/>
  <c r="S697" s="1"/>
  <c r="U697" s="1"/>
  <c r="I698"/>
  <c r="K698" s="1"/>
  <c r="M698" s="1"/>
  <c r="O698" s="1"/>
  <c r="Q698" s="1"/>
  <c r="S698" s="1"/>
  <c r="U698" s="1"/>
  <c r="G561"/>
  <c r="I562"/>
  <c r="K562" s="1"/>
  <c r="M562" s="1"/>
  <c r="O562" s="1"/>
  <c r="Q562" s="1"/>
  <c r="S562" s="1"/>
  <c r="U562" s="1"/>
  <c r="G946"/>
  <c r="I946" s="1"/>
  <c r="K946" s="1"/>
  <c r="M946" s="1"/>
  <c r="O946" s="1"/>
  <c r="Q946" s="1"/>
  <c r="S946" s="1"/>
  <c r="U946" s="1"/>
  <c r="I962"/>
  <c r="K962" s="1"/>
  <c r="M962" s="1"/>
  <c r="O962" s="1"/>
  <c r="Q962" s="1"/>
  <c r="S962" s="1"/>
  <c r="U962" s="1"/>
  <c r="I1513"/>
  <c r="K1513" s="1"/>
  <c r="M1513" s="1"/>
  <c r="O1513" s="1"/>
  <c r="Q1513" s="1"/>
  <c r="S1513" s="1"/>
  <c r="U1513" s="1"/>
  <c r="D31" i="1"/>
  <c r="G1512" i="5"/>
  <c r="G1695"/>
  <c r="I1696"/>
  <c r="K1696" s="1"/>
  <c r="M1696" s="1"/>
  <c r="O1696" s="1"/>
  <c r="Q1696" s="1"/>
  <c r="S1696" s="1"/>
  <c r="U1696" s="1"/>
  <c r="D60" i="1"/>
  <c r="I1239" i="5"/>
  <c r="K1239" s="1"/>
  <c r="M1239" s="1"/>
  <c r="O1239" s="1"/>
  <c r="Q1239" s="1"/>
  <c r="S1239" s="1"/>
  <c r="U1239" s="1"/>
  <c r="H176"/>
  <c r="E28" i="1" s="1"/>
  <c r="F910" i="6"/>
  <c r="H910" s="1"/>
  <c r="J910" s="1"/>
  <c r="L910" s="1"/>
  <c r="N910" s="1"/>
  <c r="P910" s="1"/>
  <c r="R910" s="1"/>
  <c r="T910" s="1"/>
  <c r="G396" i="5"/>
  <c r="I397"/>
  <c r="K397" s="1"/>
  <c r="M397" s="1"/>
  <c r="O397" s="1"/>
  <c r="Q397" s="1"/>
  <c r="S397" s="1"/>
  <c r="U397" s="1"/>
  <c r="G805"/>
  <c r="I805" s="1"/>
  <c r="K805" s="1"/>
  <c r="M805" s="1"/>
  <c r="O805" s="1"/>
  <c r="Q805" s="1"/>
  <c r="S805" s="1"/>
  <c r="U805" s="1"/>
  <c r="I806"/>
  <c r="K806" s="1"/>
  <c r="M806" s="1"/>
  <c r="O806" s="1"/>
  <c r="Q806" s="1"/>
  <c r="S806" s="1"/>
  <c r="U806" s="1"/>
  <c r="G1611"/>
  <c r="I1612"/>
  <c r="K1612" s="1"/>
  <c r="M1612" s="1"/>
  <c r="O1612" s="1"/>
  <c r="Q1612" s="1"/>
  <c r="S1612" s="1"/>
  <c r="U1612" s="1"/>
  <c r="G1305"/>
  <c r="I1306"/>
  <c r="K1306" s="1"/>
  <c r="M1306" s="1"/>
  <c r="O1306" s="1"/>
  <c r="Q1306" s="1"/>
  <c r="S1306" s="1"/>
  <c r="U1306" s="1"/>
  <c r="D55" i="1"/>
  <c r="F55" s="1"/>
  <c r="H55" s="1"/>
  <c r="J55" s="1"/>
  <c r="L55" s="1"/>
  <c r="N55" s="1"/>
  <c r="P55" s="1"/>
  <c r="R55" s="1"/>
  <c r="I1326" i="5"/>
  <c r="K1326" s="1"/>
  <c r="M1326" s="1"/>
  <c r="O1326" s="1"/>
  <c r="Q1326" s="1"/>
  <c r="S1326" s="1"/>
  <c r="U1326" s="1"/>
  <c r="G1492"/>
  <c r="I1492" s="1"/>
  <c r="K1492" s="1"/>
  <c r="M1492" s="1"/>
  <c r="O1492" s="1"/>
  <c r="Q1492" s="1"/>
  <c r="S1492" s="1"/>
  <c r="U1492" s="1"/>
  <c r="I1493"/>
  <c r="K1493" s="1"/>
  <c r="M1493" s="1"/>
  <c r="O1493" s="1"/>
  <c r="Q1493" s="1"/>
  <c r="S1493" s="1"/>
  <c r="U1493" s="1"/>
  <c r="G542"/>
  <c r="I542" s="1"/>
  <c r="K542" s="1"/>
  <c r="M542" s="1"/>
  <c r="O542" s="1"/>
  <c r="Q542" s="1"/>
  <c r="S542" s="1"/>
  <c r="U542" s="1"/>
  <c r="I543"/>
  <c r="K543" s="1"/>
  <c r="M543" s="1"/>
  <c r="O543" s="1"/>
  <c r="Q543" s="1"/>
  <c r="S543" s="1"/>
  <c r="U543" s="1"/>
  <c r="I1453"/>
  <c r="K1453" s="1"/>
  <c r="M1453" s="1"/>
  <c r="O1453" s="1"/>
  <c r="Q1453" s="1"/>
  <c r="S1453" s="1"/>
  <c r="U1453" s="1"/>
  <c r="G1452"/>
  <c r="G418"/>
  <c r="I419"/>
  <c r="K419" s="1"/>
  <c r="M419" s="1"/>
  <c r="O419" s="1"/>
  <c r="Q419" s="1"/>
  <c r="S419" s="1"/>
  <c r="U419" s="1"/>
  <c r="G826"/>
  <c r="I832"/>
  <c r="K832" s="1"/>
  <c r="M832" s="1"/>
  <c r="O832" s="1"/>
  <c r="Q832" s="1"/>
  <c r="S832" s="1"/>
  <c r="U832" s="1"/>
  <c r="G1649"/>
  <c r="I1649" s="1"/>
  <c r="K1649" s="1"/>
  <c r="M1649" s="1"/>
  <c r="O1649" s="1"/>
  <c r="Q1649" s="1"/>
  <c r="S1649" s="1"/>
  <c r="U1649" s="1"/>
  <c r="I1650"/>
  <c r="K1650" s="1"/>
  <c r="M1650" s="1"/>
  <c r="O1650" s="1"/>
  <c r="Q1650" s="1"/>
  <c r="S1650" s="1"/>
  <c r="U1650" s="1"/>
  <c r="G868"/>
  <c r="I869"/>
  <c r="K869" s="1"/>
  <c r="M869" s="1"/>
  <c r="O869" s="1"/>
  <c r="Q869" s="1"/>
  <c r="S869" s="1"/>
  <c r="U869" s="1"/>
  <c r="G1201"/>
  <c r="I1216"/>
  <c r="K1216" s="1"/>
  <c r="M1216" s="1"/>
  <c r="O1216" s="1"/>
  <c r="Q1216" s="1"/>
  <c r="S1216" s="1"/>
  <c r="U1216" s="1"/>
  <c r="G907"/>
  <c r="I908"/>
  <c r="K908" s="1"/>
  <c r="M908" s="1"/>
  <c r="O908" s="1"/>
  <c r="Q908" s="1"/>
  <c r="S908" s="1"/>
  <c r="U908" s="1"/>
  <c r="G925"/>
  <c r="I926"/>
  <c r="K926" s="1"/>
  <c r="M926" s="1"/>
  <c r="O926" s="1"/>
  <c r="Q926" s="1"/>
  <c r="S926" s="1"/>
  <c r="U926" s="1"/>
  <c r="G1725"/>
  <c r="I1726"/>
  <c r="K1726" s="1"/>
  <c r="M1726" s="1"/>
  <c r="O1726" s="1"/>
  <c r="Q1726" s="1"/>
  <c r="S1726" s="1"/>
  <c r="U1726" s="1"/>
  <c r="I1630"/>
  <c r="K1630" s="1"/>
  <c r="M1630" s="1"/>
  <c r="O1630" s="1"/>
  <c r="Q1630" s="1"/>
  <c r="S1630" s="1"/>
  <c r="U1630" s="1"/>
  <c r="I502"/>
  <c r="K502" s="1"/>
  <c r="M502" s="1"/>
  <c r="O502" s="1"/>
  <c r="Q502" s="1"/>
  <c r="S502" s="1"/>
  <c r="U502" s="1"/>
  <c r="G501"/>
  <c r="G31"/>
  <c r="I32"/>
  <c r="K32" s="1"/>
  <c r="M32" s="1"/>
  <c r="O32" s="1"/>
  <c r="Q32" s="1"/>
  <c r="S32" s="1"/>
  <c r="U32" s="1"/>
  <c r="G342"/>
  <c r="G333" s="1"/>
  <c r="I333" s="1"/>
  <c r="K333" s="1"/>
  <c r="M333" s="1"/>
  <c r="O333" s="1"/>
  <c r="Q333" s="1"/>
  <c r="S333" s="1"/>
  <c r="U333" s="1"/>
  <c r="I343"/>
  <c r="K343" s="1"/>
  <c r="M343" s="1"/>
  <c r="O343" s="1"/>
  <c r="Q343" s="1"/>
  <c r="S343" s="1"/>
  <c r="U343" s="1"/>
  <c r="E45" i="1"/>
  <c r="I1202" i="5"/>
  <c r="K1202" s="1"/>
  <c r="M1202" s="1"/>
  <c r="O1202" s="1"/>
  <c r="Q1202" s="1"/>
  <c r="S1202" s="1"/>
  <c r="U1202" s="1"/>
  <c r="H1201"/>
  <c r="F1008" i="6"/>
  <c r="H1009"/>
  <c r="J1009" s="1"/>
  <c r="L1009" s="1"/>
  <c r="N1009" s="1"/>
  <c r="P1009" s="1"/>
  <c r="R1009" s="1"/>
  <c r="T1009" s="1"/>
  <c r="F1066"/>
  <c r="H1067"/>
  <c r="J1067" s="1"/>
  <c r="L1067" s="1"/>
  <c r="N1067" s="1"/>
  <c r="P1067" s="1"/>
  <c r="R1067" s="1"/>
  <c r="T1067" s="1"/>
  <c r="F1085"/>
  <c r="H1086"/>
  <c r="J1086" s="1"/>
  <c r="L1086" s="1"/>
  <c r="N1086" s="1"/>
  <c r="P1086" s="1"/>
  <c r="R1086" s="1"/>
  <c r="T1086" s="1"/>
  <c r="F962"/>
  <c r="H963"/>
  <c r="J963" s="1"/>
  <c r="L963" s="1"/>
  <c r="N963" s="1"/>
  <c r="P963" s="1"/>
  <c r="R963" s="1"/>
  <c r="T963" s="1"/>
  <c r="H250"/>
  <c r="J250" s="1"/>
  <c r="L250" s="1"/>
  <c r="N250" s="1"/>
  <c r="P250" s="1"/>
  <c r="R250" s="1"/>
  <c r="T250" s="1"/>
  <c r="F240"/>
  <c r="H240" s="1"/>
  <c r="J240" s="1"/>
  <c r="L240" s="1"/>
  <c r="N240" s="1"/>
  <c r="P240" s="1"/>
  <c r="R240" s="1"/>
  <c r="T240" s="1"/>
  <c r="F782"/>
  <c r="H782" s="1"/>
  <c r="J782" s="1"/>
  <c r="L782" s="1"/>
  <c r="N782" s="1"/>
  <c r="P782" s="1"/>
  <c r="R782" s="1"/>
  <c r="T782" s="1"/>
  <c r="H783"/>
  <c r="J783" s="1"/>
  <c r="L783" s="1"/>
  <c r="N783" s="1"/>
  <c r="P783" s="1"/>
  <c r="R783" s="1"/>
  <c r="T783" s="1"/>
  <c r="H688"/>
  <c r="J688" s="1"/>
  <c r="L688" s="1"/>
  <c r="N688" s="1"/>
  <c r="P688" s="1"/>
  <c r="R688" s="1"/>
  <c r="T688" s="1"/>
  <c r="F673"/>
  <c r="H673" s="1"/>
  <c r="J673" s="1"/>
  <c r="L673" s="1"/>
  <c r="N673" s="1"/>
  <c r="P673" s="1"/>
  <c r="R673" s="1"/>
  <c r="T673" s="1"/>
  <c r="F171"/>
  <c r="H172"/>
  <c r="J172" s="1"/>
  <c r="L172" s="1"/>
  <c r="N172" s="1"/>
  <c r="P172" s="1"/>
  <c r="R172" s="1"/>
  <c r="T172" s="1"/>
  <c r="F275"/>
  <c r="H275" s="1"/>
  <c r="J275" s="1"/>
  <c r="L275" s="1"/>
  <c r="N275" s="1"/>
  <c r="P275" s="1"/>
  <c r="R275" s="1"/>
  <c r="T275" s="1"/>
  <c r="H276"/>
  <c r="J276" s="1"/>
  <c r="L276" s="1"/>
  <c r="N276" s="1"/>
  <c r="P276" s="1"/>
  <c r="R276" s="1"/>
  <c r="T276" s="1"/>
  <c r="F793"/>
  <c r="H794"/>
  <c r="J794" s="1"/>
  <c r="L794" s="1"/>
  <c r="N794" s="1"/>
  <c r="P794" s="1"/>
  <c r="R794" s="1"/>
  <c r="T794" s="1"/>
  <c r="H757"/>
  <c r="J757" s="1"/>
  <c r="L757" s="1"/>
  <c r="N757" s="1"/>
  <c r="P757" s="1"/>
  <c r="R757" s="1"/>
  <c r="T757" s="1"/>
  <c r="F745"/>
  <c r="H745" s="1"/>
  <c r="J745" s="1"/>
  <c r="L745" s="1"/>
  <c r="N745" s="1"/>
  <c r="P745" s="1"/>
  <c r="R745" s="1"/>
  <c r="T745" s="1"/>
  <c r="F1059"/>
  <c r="H1059" s="1"/>
  <c r="J1059" s="1"/>
  <c r="L1059" s="1"/>
  <c r="N1059" s="1"/>
  <c r="P1059" s="1"/>
  <c r="R1059" s="1"/>
  <c r="T1059" s="1"/>
  <c r="H1060"/>
  <c r="J1060" s="1"/>
  <c r="L1060" s="1"/>
  <c r="N1060" s="1"/>
  <c r="P1060" s="1"/>
  <c r="R1060" s="1"/>
  <c r="T1060" s="1"/>
  <c r="H1530"/>
  <c r="J1530" s="1"/>
  <c r="L1530" s="1"/>
  <c r="N1530" s="1"/>
  <c r="P1530" s="1"/>
  <c r="R1530" s="1"/>
  <c r="T1530" s="1"/>
  <c r="F1529"/>
  <c r="F1266"/>
  <c r="H1266" s="1"/>
  <c r="J1266" s="1"/>
  <c r="L1266" s="1"/>
  <c r="N1266" s="1"/>
  <c r="P1266" s="1"/>
  <c r="R1266" s="1"/>
  <c r="T1266" s="1"/>
  <c r="H1272"/>
  <c r="J1272" s="1"/>
  <c r="L1272" s="1"/>
  <c r="N1272" s="1"/>
  <c r="P1272" s="1"/>
  <c r="R1272" s="1"/>
  <c r="T1272" s="1"/>
  <c r="F1719"/>
  <c r="H1719" s="1"/>
  <c r="J1719" s="1"/>
  <c r="L1719" s="1"/>
  <c r="N1719" s="1"/>
  <c r="P1719" s="1"/>
  <c r="R1719" s="1"/>
  <c r="T1719" s="1"/>
  <c r="H1720"/>
  <c r="J1720" s="1"/>
  <c r="L1720" s="1"/>
  <c r="N1720" s="1"/>
  <c r="P1720" s="1"/>
  <c r="R1720" s="1"/>
  <c r="T1720" s="1"/>
  <c r="F1768"/>
  <c r="H1768" s="1"/>
  <c r="J1768" s="1"/>
  <c r="L1768" s="1"/>
  <c r="N1768" s="1"/>
  <c r="P1768" s="1"/>
  <c r="R1768" s="1"/>
  <c r="T1768" s="1"/>
  <c r="H1776"/>
  <c r="J1776" s="1"/>
  <c r="L1776" s="1"/>
  <c r="N1776" s="1"/>
  <c r="P1776" s="1"/>
  <c r="R1776" s="1"/>
  <c r="T1776" s="1"/>
  <c r="F1234"/>
  <c r="H1234" s="1"/>
  <c r="J1234" s="1"/>
  <c r="L1234" s="1"/>
  <c r="N1234" s="1"/>
  <c r="P1234" s="1"/>
  <c r="R1234" s="1"/>
  <c r="T1234" s="1"/>
  <c r="H1235"/>
  <c r="J1235" s="1"/>
  <c r="L1235" s="1"/>
  <c r="N1235" s="1"/>
  <c r="P1235" s="1"/>
  <c r="R1235" s="1"/>
  <c r="T1235" s="1"/>
  <c r="H504"/>
  <c r="J504" s="1"/>
  <c r="L504" s="1"/>
  <c r="N504" s="1"/>
  <c r="P504" s="1"/>
  <c r="R504" s="1"/>
  <c r="T504" s="1"/>
  <c r="F287"/>
  <c r="H287" s="1"/>
  <c r="J287" s="1"/>
  <c r="L287" s="1"/>
  <c r="N287" s="1"/>
  <c r="P287" s="1"/>
  <c r="R287" s="1"/>
  <c r="T287" s="1"/>
  <c r="H288"/>
  <c r="J288" s="1"/>
  <c r="L288" s="1"/>
  <c r="N288" s="1"/>
  <c r="P288" s="1"/>
  <c r="R288" s="1"/>
  <c r="T288" s="1"/>
  <c r="H1438"/>
  <c r="J1438" s="1"/>
  <c r="L1438" s="1"/>
  <c r="N1438" s="1"/>
  <c r="P1438" s="1"/>
  <c r="R1438" s="1"/>
  <c r="T1438" s="1"/>
  <c r="F1432"/>
  <c r="H312"/>
  <c r="J312" s="1"/>
  <c r="L312" s="1"/>
  <c r="N312" s="1"/>
  <c r="P312" s="1"/>
  <c r="R312" s="1"/>
  <c r="T312" s="1"/>
  <c r="F305"/>
  <c r="H305" s="1"/>
  <c r="J305" s="1"/>
  <c r="L305" s="1"/>
  <c r="N305" s="1"/>
  <c r="P305" s="1"/>
  <c r="R305" s="1"/>
  <c r="T305" s="1"/>
  <c r="F263"/>
  <c r="H264"/>
  <c r="J264" s="1"/>
  <c r="L264" s="1"/>
  <c r="N264" s="1"/>
  <c r="P264" s="1"/>
  <c r="R264" s="1"/>
  <c r="T264" s="1"/>
  <c r="F152"/>
  <c r="H153"/>
  <c r="J153" s="1"/>
  <c r="L153" s="1"/>
  <c r="N153" s="1"/>
  <c r="P153" s="1"/>
  <c r="R153" s="1"/>
  <c r="T153" s="1"/>
  <c r="H1111"/>
  <c r="J1111" s="1"/>
  <c r="L1111" s="1"/>
  <c r="N1111" s="1"/>
  <c r="P1111" s="1"/>
  <c r="R1111" s="1"/>
  <c r="T1111" s="1"/>
  <c r="F1110"/>
  <c r="H1398"/>
  <c r="J1398" s="1"/>
  <c r="L1398" s="1"/>
  <c r="N1398" s="1"/>
  <c r="P1398" s="1"/>
  <c r="R1398" s="1"/>
  <c r="T1398" s="1"/>
  <c r="F1391"/>
  <c r="F1371" s="1"/>
  <c r="F1144"/>
  <c r="H1144" s="1"/>
  <c r="J1144" s="1"/>
  <c r="L1144" s="1"/>
  <c r="N1144" s="1"/>
  <c r="P1144" s="1"/>
  <c r="R1144" s="1"/>
  <c r="T1144" s="1"/>
  <c r="H1145"/>
  <c r="J1145" s="1"/>
  <c r="L1145" s="1"/>
  <c r="N1145" s="1"/>
  <c r="P1145" s="1"/>
  <c r="R1145" s="1"/>
  <c r="T1145" s="1"/>
  <c r="H1043"/>
  <c r="J1043" s="1"/>
  <c r="L1043" s="1"/>
  <c r="N1043" s="1"/>
  <c r="P1043" s="1"/>
  <c r="R1043" s="1"/>
  <c r="T1043" s="1"/>
  <c r="F1042"/>
  <c r="H1042" s="1"/>
  <c r="J1042" s="1"/>
  <c r="L1042" s="1"/>
  <c r="N1042" s="1"/>
  <c r="P1042" s="1"/>
  <c r="R1042" s="1"/>
  <c r="T1042" s="1"/>
  <c r="F1156"/>
  <c r="H1156" s="1"/>
  <c r="J1156" s="1"/>
  <c r="L1156" s="1"/>
  <c r="N1156" s="1"/>
  <c r="P1156" s="1"/>
  <c r="R1156" s="1"/>
  <c r="T1156" s="1"/>
  <c r="H1157"/>
  <c r="J1157" s="1"/>
  <c r="L1157" s="1"/>
  <c r="N1157" s="1"/>
  <c r="P1157" s="1"/>
  <c r="R1157" s="1"/>
  <c r="T1157" s="1"/>
  <c r="F981"/>
  <c r="H982"/>
  <c r="J982" s="1"/>
  <c r="L982" s="1"/>
  <c r="N982" s="1"/>
  <c r="P982" s="1"/>
  <c r="R982" s="1"/>
  <c r="T982" s="1"/>
  <c r="F1727"/>
  <c r="H1727" s="1"/>
  <c r="J1727" s="1"/>
  <c r="L1727" s="1"/>
  <c r="N1727" s="1"/>
  <c r="P1727" s="1"/>
  <c r="R1727" s="1"/>
  <c r="T1727" s="1"/>
  <c r="H1728"/>
  <c r="J1728" s="1"/>
  <c r="L1728" s="1"/>
  <c r="N1728" s="1"/>
  <c r="P1728" s="1"/>
  <c r="R1728" s="1"/>
  <c r="T1728" s="1"/>
  <c r="F1096"/>
  <c r="H1096" s="1"/>
  <c r="J1096" s="1"/>
  <c r="L1096" s="1"/>
  <c r="N1096" s="1"/>
  <c r="P1096" s="1"/>
  <c r="R1096" s="1"/>
  <c r="T1096" s="1"/>
  <c r="H1097"/>
  <c r="J1097" s="1"/>
  <c r="L1097" s="1"/>
  <c r="N1097" s="1"/>
  <c r="P1097" s="1"/>
  <c r="R1097" s="1"/>
  <c r="T1097" s="1"/>
  <c r="F1022"/>
  <c r="H1023"/>
  <c r="J1023" s="1"/>
  <c r="L1023" s="1"/>
  <c r="N1023" s="1"/>
  <c r="P1023" s="1"/>
  <c r="R1023" s="1"/>
  <c r="T1023" s="1"/>
  <c r="F1741"/>
  <c r="H1741" s="1"/>
  <c r="J1741" s="1"/>
  <c r="L1741" s="1"/>
  <c r="N1741" s="1"/>
  <c r="P1741" s="1"/>
  <c r="R1741" s="1"/>
  <c r="T1741" s="1"/>
  <c r="H1742"/>
  <c r="J1742" s="1"/>
  <c r="L1742" s="1"/>
  <c r="N1742" s="1"/>
  <c r="P1742" s="1"/>
  <c r="R1742" s="1"/>
  <c r="T1742" s="1"/>
  <c r="H414"/>
  <c r="J414" s="1"/>
  <c r="L414" s="1"/>
  <c r="N414" s="1"/>
  <c r="P414" s="1"/>
  <c r="R414" s="1"/>
  <c r="T414" s="1"/>
  <c r="F413"/>
  <c r="H413" s="1"/>
  <c r="J413" s="1"/>
  <c r="L413" s="1"/>
  <c r="N413" s="1"/>
  <c r="P413" s="1"/>
  <c r="R413" s="1"/>
  <c r="T413" s="1"/>
  <c r="H54"/>
  <c r="J54" s="1"/>
  <c r="L54" s="1"/>
  <c r="N54" s="1"/>
  <c r="P54" s="1"/>
  <c r="R54" s="1"/>
  <c r="T54" s="1"/>
  <c r="F53"/>
  <c r="F1467"/>
  <c r="H1467" s="1"/>
  <c r="J1467" s="1"/>
  <c r="L1467" s="1"/>
  <c r="N1467" s="1"/>
  <c r="P1467" s="1"/>
  <c r="R1467" s="1"/>
  <c r="T1467" s="1"/>
  <c r="H1468"/>
  <c r="J1468" s="1"/>
  <c r="L1468" s="1"/>
  <c r="N1468" s="1"/>
  <c r="P1468" s="1"/>
  <c r="R1468" s="1"/>
  <c r="T1468" s="1"/>
  <c r="F995"/>
  <c r="H995" s="1"/>
  <c r="J995" s="1"/>
  <c r="L995" s="1"/>
  <c r="N995" s="1"/>
  <c r="P995" s="1"/>
  <c r="R995" s="1"/>
  <c r="T995" s="1"/>
  <c r="H996"/>
  <c r="J996" s="1"/>
  <c r="L996" s="1"/>
  <c r="N996" s="1"/>
  <c r="P996" s="1"/>
  <c r="R996" s="1"/>
  <c r="T996" s="1"/>
  <c r="F561"/>
  <c r="H561" s="1"/>
  <c r="J561" s="1"/>
  <c r="L561" s="1"/>
  <c r="N561" s="1"/>
  <c r="P561" s="1"/>
  <c r="R561" s="1"/>
  <c r="T561" s="1"/>
  <c r="H562"/>
  <c r="J562" s="1"/>
  <c r="L562" s="1"/>
  <c r="N562" s="1"/>
  <c r="P562" s="1"/>
  <c r="R562" s="1"/>
  <c r="T562" s="1"/>
  <c r="F989"/>
  <c r="H990"/>
  <c r="J990" s="1"/>
  <c r="L990" s="1"/>
  <c r="N990" s="1"/>
  <c r="P990" s="1"/>
  <c r="R990" s="1"/>
  <c r="T990" s="1"/>
  <c r="F1650"/>
  <c r="H1650" s="1"/>
  <c r="J1650" s="1"/>
  <c r="L1650" s="1"/>
  <c r="N1650" s="1"/>
  <c r="P1650" s="1"/>
  <c r="R1650" s="1"/>
  <c r="T1650" s="1"/>
  <c r="H1651"/>
  <c r="J1651" s="1"/>
  <c r="L1651" s="1"/>
  <c r="N1651" s="1"/>
  <c r="P1651" s="1"/>
  <c r="R1651" s="1"/>
  <c r="T1651" s="1"/>
  <c r="F1102"/>
  <c r="H1102" s="1"/>
  <c r="J1102" s="1"/>
  <c r="L1102" s="1"/>
  <c r="N1102" s="1"/>
  <c r="P1102" s="1"/>
  <c r="R1102" s="1"/>
  <c r="T1102" s="1"/>
  <c r="H1103"/>
  <c r="J1103" s="1"/>
  <c r="L1103" s="1"/>
  <c r="N1103" s="1"/>
  <c r="P1103" s="1"/>
  <c r="R1103" s="1"/>
  <c r="T1103" s="1"/>
  <c r="F132"/>
  <c r="H133"/>
  <c r="J133" s="1"/>
  <c r="L133" s="1"/>
  <c r="N133" s="1"/>
  <c r="P133" s="1"/>
  <c r="R133" s="1"/>
  <c r="T133" s="1"/>
  <c r="F433"/>
  <c r="H434"/>
  <c r="J434" s="1"/>
  <c r="L434" s="1"/>
  <c r="N434" s="1"/>
  <c r="P434" s="1"/>
  <c r="R434" s="1"/>
  <c r="T434" s="1"/>
  <c r="F1783"/>
  <c r="H1783" s="1"/>
  <c r="J1783" s="1"/>
  <c r="L1783" s="1"/>
  <c r="N1783" s="1"/>
  <c r="P1783" s="1"/>
  <c r="R1783" s="1"/>
  <c r="T1783" s="1"/>
  <c r="H1784"/>
  <c r="J1784" s="1"/>
  <c r="L1784" s="1"/>
  <c r="N1784" s="1"/>
  <c r="P1784" s="1"/>
  <c r="R1784" s="1"/>
  <c r="T1784" s="1"/>
  <c r="F199"/>
  <c r="H199" s="1"/>
  <c r="J199" s="1"/>
  <c r="L199" s="1"/>
  <c r="N199" s="1"/>
  <c r="P199" s="1"/>
  <c r="R199" s="1"/>
  <c r="T199" s="1"/>
  <c r="H200"/>
  <c r="J200" s="1"/>
  <c r="L200" s="1"/>
  <c r="N200" s="1"/>
  <c r="P200" s="1"/>
  <c r="R200" s="1"/>
  <c r="T200" s="1"/>
  <c r="F1749"/>
  <c r="H1749" s="1"/>
  <c r="J1749" s="1"/>
  <c r="L1749" s="1"/>
  <c r="N1749" s="1"/>
  <c r="P1749" s="1"/>
  <c r="R1749" s="1"/>
  <c r="T1749" s="1"/>
  <c r="H1750"/>
  <c r="J1750" s="1"/>
  <c r="L1750" s="1"/>
  <c r="N1750" s="1"/>
  <c r="P1750" s="1"/>
  <c r="R1750" s="1"/>
  <c r="T1750" s="1"/>
  <c r="F523"/>
  <c r="H524"/>
  <c r="J524" s="1"/>
  <c r="L524" s="1"/>
  <c r="N524" s="1"/>
  <c r="P524" s="1"/>
  <c r="R524" s="1"/>
  <c r="T524" s="1"/>
  <c r="H550"/>
  <c r="J550" s="1"/>
  <c r="L550" s="1"/>
  <c r="N550" s="1"/>
  <c r="P550" s="1"/>
  <c r="R550" s="1"/>
  <c r="T550" s="1"/>
  <c r="F1204"/>
  <c r="H1204" s="1"/>
  <c r="J1204" s="1"/>
  <c r="L1204" s="1"/>
  <c r="N1204" s="1"/>
  <c r="P1204" s="1"/>
  <c r="R1204" s="1"/>
  <c r="T1204" s="1"/>
  <c r="H1220"/>
  <c r="J1220" s="1"/>
  <c r="L1220" s="1"/>
  <c r="N1220" s="1"/>
  <c r="P1220" s="1"/>
  <c r="R1220" s="1"/>
  <c r="T1220" s="1"/>
  <c r="H1391"/>
  <c r="J1391" s="1"/>
  <c r="L1391" s="1"/>
  <c r="N1391" s="1"/>
  <c r="P1391" s="1"/>
  <c r="R1391" s="1"/>
  <c r="T1391" s="1"/>
  <c r="H212"/>
  <c r="J212" s="1"/>
  <c r="L212" s="1"/>
  <c r="N212" s="1"/>
  <c r="P212" s="1"/>
  <c r="R212" s="1"/>
  <c r="T212" s="1"/>
  <c r="F211"/>
  <c r="F1150"/>
  <c r="H1150" s="1"/>
  <c r="J1150" s="1"/>
  <c r="L1150" s="1"/>
  <c r="N1150" s="1"/>
  <c r="P1150" s="1"/>
  <c r="R1150" s="1"/>
  <c r="T1150" s="1"/>
  <c r="H1151"/>
  <c r="J1151" s="1"/>
  <c r="L1151" s="1"/>
  <c r="N1151" s="1"/>
  <c r="P1151" s="1"/>
  <c r="R1151" s="1"/>
  <c r="T1151" s="1"/>
  <c r="F1662"/>
  <c r="H1662" s="1"/>
  <c r="J1662" s="1"/>
  <c r="L1662" s="1"/>
  <c r="N1662" s="1"/>
  <c r="P1662" s="1"/>
  <c r="R1662" s="1"/>
  <c r="T1662" s="1"/>
  <c r="H1663"/>
  <c r="J1663" s="1"/>
  <c r="L1663" s="1"/>
  <c r="N1663" s="1"/>
  <c r="P1663" s="1"/>
  <c r="R1663" s="1"/>
  <c r="T1663" s="1"/>
  <c r="F1053"/>
  <c r="H1053" s="1"/>
  <c r="J1053" s="1"/>
  <c r="L1053" s="1"/>
  <c r="N1053" s="1"/>
  <c r="P1053" s="1"/>
  <c r="R1053" s="1"/>
  <c r="T1053" s="1"/>
  <c r="H1054"/>
  <c r="J1054" s="1"/>
  <c r="L1054" s="1"/>
  <c r="N1054" s="1"/>
  <c r="P1054" s="1"/>
  <c r="R1054" s="1"/>
  <c r="T1054" s="1"/>
  <c r="F144"/>
  <c r="H144" s="1"/>
  <c r="J144" s="1"/>
  <c r="L144" s="1"/>
  <c r="N144" s="1"/>
  <c r="P144" s="1"/>
  <c r="R144" s="1"/>
  <c r="T144" s="1"/>
  <c r="H145"/>
  <c r="J145" s="1"/>
  <c r="L145" s="1"/>
  <c r="N145" s="1"/>
  <c r="P145" s="1"/>
  <c r="R145" s="1"/>
  <c r="T145" s="1"/>
  <c r="F764"/>
  <c r="H765"/>
  <c r="J765" s="1"/>
  <c r="L765" s="1"/>
  <c r="N765" s="1"/>
  <c r="P765" s="1"/>
  <c r="R765" s="1"/>
  <c r="T765" s="1"/>
  <c r="F1014"/>
  <c r="H1014" s="1"/>
  <c r="J1014" s="1"/>
  <c r="L1014" s="1"/>
  <c r="N1014" s="1"/>
  <c r="P1014" s="1"/>
  <c r="R1014" s="1"/>
  <c r="T1014" s="1"/>
  <c r="H1015"/>
  <c r="J1015" s="1"/>
  <c r="L1015" s="1"/>
  <c r="N1015" s="1"/>
  <c r="P1015" s="1"/>
  <c r="R1015" s="1"/>
  <c r="T1015" s="1"/>
  <c r="F720"/>
  <c r="H720" s="1"/>
  <c r="J720" s="1"/>
  <c r="L720" s="1"/>
  <c r="N720" s="1"/>
  <c r="P720" s="1"/>
  <c r="R720" s="1"/>
  <c r="T720" s="1"/>
  <c r="H726"/>
  <c r="J726" s="1"/>
  <c r="L726" s="1"/>
  <c r="N726" s="1"/>
  <c r="P726" s="1"/>
  <c r="R726" s="1"/>
  <c r="T726" s="1"/>
  <c r="F349"/>
  <c r="H350"/>
  <c r="J350" s="1"/>
  <c r="L350" s="1"/>
  <c r="N350" s="1"/>
  <c r="P350" s="1"/>
  <c r="R350" s="1"/>
  <c r="T350" s="1"/>
  <c r="F1072"/>
  <c r="H1072" s="1"/>
  <c r="J1072" s="1"/>
  <c r="L1072" s="1"/>
  <c r="N1072" s="1"/>
  <c r="P1072" s="1"/>
  <c r="R1072" s="1"/>
  <c r="T1072" s="1"/>
  <c r="H1073"/>
  <c r="J1073" s="1"/>
  <c r="L1073" s="1"/>
  <c r="N1073" s="1"/>
  <c r="P1073" s="1"/>
  <c r="R1073" s="1"/>
  <c r="T1073" s="1"/>
  <c r="H77"/>
  <c r="J77" s="1"/>
  <c r="L77" s="1"/>
  <c r="N77" s="1"/>
  <c r="P77" s="1"/>
  <c r="R77" s="1"/>
  <c r="T77" s="1"/>
  <c r="F76"/>
  <c r="H76" s="1"/>
  <c r="J76" s="1"/>
  <c r="L76" s="1"/>
  <c r="N76" s="1"/>
  <c r="P76" s="1"/>
  <c r="R76" s="1"/>
  <c r="T76" s="1"/>
  <c r="F974"/>
  <c r="H974" s="1"/>
  <c r="J974" s="1"/>
  <c r="L974" s="1"/>
  <c r="N974" s="1"/>
  <c r="P974" s="1"/>
  <c r="R974" s="1"/>
  <c r="T974" s="1"/>
  <c r="H975"/>
  <c r="J975" s="1"/>
  <c r="L975" s="1"/>
  <c r="N975" s="1"/>
  <c r="P975" s="1"/>
  <c r="R975" s="1"/>
  <c r="T975" s="1"/>
  <c r="F465"/>
  <c r="H465" s="1"/>
  <c r="J465" s="1"/>
  <c r="L465" s="1"/>
  <c r="N465" s="1"/>
  <c r="P465" s="1"/>
  <c r="R465" s="1"/>
  <c r="T465" s="1"/>
  <c r="H466"/>
  <c r="J466" s="1"/>
  <c r="L466" s="1"/>
  <c r="N466" s="1"/>
  <c r="P466" s="1"/>
  <c r="R466" s="1"/>
  <c r="T466" s="1"/>
  <c r="F955"/>
  <c r="H956"/>
  <c r="J956" s="1"/>
  <c r="L956" s="1"/>
  <c r="N956" s="1"/>
  <c r="P956" s="1"/>
  <c r="R956" s="1"/>
  <c r="T956" s="1"/>
  <c r="F1325"/>
  <c r="H1325" s="1"/>
  <c r="J1325" s="1"/>
  <c r="L1325" s="1"/>
  <c r="N1325" s="1"/>
  <c r="P1325" s="1"/>
  <c r="R1325" s="1"/>
  <c r="T1325" s="1"/>
  <c r="H1326"/>
  <c r="J1326" s="1"/>
  <c r="L1326" s="1"/>
  <c r="N1326" s="1"/>
  <c r="P1326" s="1"/>
  <c r="R1326" s="1"/>
  <c r="T1326" s="1"/>
  <c r="F1508"/>
  <c r="H1509"/>
  <c r="J1509" s="1"/>
  <c r="L1509" s="1"/>
  <c r="N1509" s="1"/>
  <c r="P1509" s="1"/>
  <c r="R1509" s="1"/>
  <c r="T1509" s="1"/>
  <c r="F1455"/>
  <c r="H1455" s="1"/>
  <c r="J1455" s="1"/>
  <c r="L1455" s="1"/>
  <c r="N1455" s="1"/>
  <c r="P1455" s="1"/>
  <c r="R1455" s="1"/>
  <c r="T1455" s="1"/>
  <c r="H1456"/>
  <c r="J1456" s="1"/>
  <c r="L1456" s="1"/>
  <c r="N1456" s="1"/>
  <c r="P1456" s="1"/>
  <c r="R1456" s="1"/>
  <c r="T1456" s="1"/>
  <c r="F384"/>
  <c r="H899" i="5"/>
  <c r="I900"/>
  <c r="K900" s="1"/>
  <c r="M900" s="1"/>
  <c r="O900" s="1"/>
  <c r="Q900" s="1"/>
  <c r="S900" s="1"/>
  <c r="U900" s="1"/>
  <c r="G1681" i="6"/>
  <c r="H1681" s="1"/>
  <c r="J1681" s="1"/>
  <c r="L1681" s="1"/>
  <c r="N1681" s="1"/>
  <c r="P1681" s="1"/>
  <c r="R1681" s="1"/>
  <c r="T1681" s="1"/>
  <c r="H1682"/>
  <c r="J1682" s="1"/>
  <c r="L1682" s="1"/>
  <c r="N1682" s="1"/>
  <c r="P1682" s="1"/>
  <c r="R1682" s="1"/>
  <c r="T1682" s="1"/>
  <c r="H1813"/>
  <c r="J1813" s="1"/>
  <c r="L1813" s="1"/>
  <c r="N1813" s="1"/>
  <c r="P1813" s="1"/>
  <c r="R1813" s="1"/>
  <c r="T1813" s="1"/>
  <c r="G1812"/>
  <c r="H1812" s="1"/>
  <c r="J1812" s="1"/>
  <c r="L1812" s="1"/>
  <c r="N1812" s="1"/>
  <c r="P1812" s="1"/>
  <c r="R1812" s="1"/>
  <c r="T1812" s="1"/>
  <c r="E32" i="1"/>
  <c r="I432" i="5"/>
  <c r="K432" s="1"/>
  <c r="M432" s="1"/>
  <c r="O432" s="1"/>
  <c r="Q432" s="1"/>
  <c r="S432" s="1"/>
  <c r="U432" s="1"/>
  <c r="H1030" i="6"/>
  <c r="J1030" s="1"/>
  <c r="L1030" s="1"/>
  <c r="N1030" s="1"/>
  <c r="P1030" s="1"/>
  <c r="R1030" s="1"/>
  <c r="T1030" s="1"/>
  <c r="G1021"/>
  <c r="H1444"/>
  <c r="J1444" s="1"/>
  <c r="L1444" s="1"/>
  <c r="N1444" s="1"/>
  <c r="P1444" s="1"/>
  <c r="R1444" s="1"/>
  <c r="T1444" s="1"/>
  <c r="G1443"/>
  <c r="H1443" s="1"/>
  <c r="J1443" s="1"/>
  <c r="L1443" s="1"/>
  <c r="N1443" s="1"/>
  <c r="P1443" s="1"/>
  <c r="R1443" s="1"/>
  <c r="T1443" s="1"/>
  <c r="I245" i="5"/>
  <c r="K245" s="1"/>
  <c r="M245" s="1"/>
  <c r="O245" s="1"/>
  <c r="Q245" s="1"/>
  <c r="S245" s="1"/>
  <c r="U245" s="1"/>
  <c r="E33" i="1"/>
  <c r="F33" s="1"/>
  <c r="H33" s="1"/>
  <c r="J33" s="1"/>
  <c r="L33" s="1"/>
  <c r="N33" s="1"/>
  <c r="P33" s="1"/>
  <c r="R33" s="1"/>
  <c r="G1345" i="6"/>
  <c r="H1346"/>
  <c r="J1346" s="1"/>
  <c r="L1346" s="1"/>
  <c r="N1346" s="1"/>
  <c r="P1346" s="1"/>
  <c r="R1346" s="1"/>
  <c r="T1346" s="1"/>
  <c r="I114" i="5"/>
  <c r="K114" s="1"/>
  <c r="M114" s="1"/>
  <c r="O114" s="1"/>
  <c r="Q114" s="1"/>
  <c r="S114" s="1"/>
  <c r="U114" s="1"/>
  <c r="G1481" i="6"/>
  <c r="H1487"/>
  <c r="J1487" s="1"/>
  <c r="L1487" s="1"/>
  <c r="N1487" s="1"/>
  <c r="P1487" s="1"/>
  <c r="R1487" s="1"/>
  <c r="T1487" s="1"/>
  <c r="H1413"/>
  <c r="G1379"/>
  <c r="H1380"/>
  <c r="J1380" s="1"/>
  <c r="L1380" s="1"/>
  <c r="N1380" s="1"/>
  <c r="P1380" s="1"/>
  <c r="R1380" s="1"/>
  <c r="T1380" s="1"/>
  <c r="I165" i="5"/>
  <c r="K165" s="1"/>
  <c r="M165" s="1"/>
  <c r="O165" s="1"/>
  <c r="Q165" s="1"/>
  <c r="S165" s="1"/>
  <c r="U165" s="1"/>
  <c r="H164"/>
  <c r="I164" s="1"/>
  <c r="K164" s="1"/>
  <c r="M164" s="1"/>
  <c r="O164" s="1"/>
  <c r="Q164" s="1"/>
  <c r="S164" s="1"/>
  <c r="U164" s="1"/>
  <c r="G1406" i="6"/>
  <c r="H1407"/>
  <c r="J1407" s="1"/>
  <c r="L1407" s="1"/>
  <c r="N1407" s="1"/>
  <c r="P1407" s="1"/>
  <c r="R1407" s="1"/>
  <c r="T1407" s="1"/>
  <c r="H601"/>
  <c r="J601" s="1"/>
  <c r="L601" s="1"/>
  <c r="N601" s="1"/>
  <c r="P601" s="1"/>
  <c r="R601" s="1"/>
  <c r="T601" s="1"/>
  <c r="G595"/>
  <c r="H595" s="1"/>
  <c r="J595" s="1"/>
  <c r="L595" s="1"/>
  <c r="N595" s="1"/>
  <c r="P595" s="1"/>
  <c r="R595" s="1"/>
  <c r="T595" s="1"/>
  <c r="G625"/>
  <c r="H626"/>
  <c r="J626" s="1"/>
  <c r="L626" s="1"/>
  <c r="N626" s="1"/>
  <c r="P626" s="1"/>
  <c r="R626" s="1"/>
  <c r="T626" s="1"/>
  <c r="G1475"/>
  <c r="H1475" s="1"/>
  <c r="J1475" s="1"/>
  <c r="L1475" s="1"/>
  <c r="N1475" s="1"/>
  <c r="P1475" s="1"/>
  <c r="R1475" s="1"/>
  <c r="T1475" s="1"/>
  <c r="H1476"/>
  <c r="J1476" s="1"/>
  <c r="L1476" s="1"/>
  <c r="N1476" s="1"/>
  <c r="P1476" s="1"/>
  <c r="R1476" s="1"/>
  <c r="T1476" s="1"/>
  <c r="F30" i="1"/>
  <c r="H30" s="1"/>
  <c r="J30" s="1"/>
  <c r="L30" s="1"/>
  <c r="N30" s="1"/>
  <c r="P30" s="1"/>
  <c r="R30" s="1"/>
  <c r="I304" i="5"/>
  <c r="K304" s="1"/>
  <c r="M304" s="1"/>
  <c r="O304" s="1"/>
  <c r="Q304" s="1"/>
  <c r="S304" s="1"/>
  <c r="U304" s="1"/>
  <c r="H303"/>
  <c r="E46" i="1"/>
  <c r="G1631" i="6"/>
  <c r="H1632"/>
  <c r="J1632" s="1"/>
  <c r="L1632" s="1"/>
  <c r="N1632" s="1"/>
  <c r="P1632" s="1"/>
  <c r="R1632" s="1"/>
  <c r="T1632" s="1"/>
  <c r="G1265"/>
  <c r="I23" i="5"/>
  <c r="K23" s="1"/>
  <c r="M23" s="1"/>
  <c r="O23" s="1"/>
  <c r="Q23" s="1"/>
  <c r="S23" s="1"/>
  <c r="U23" s="1"/>
  <c r="E20" i="1"/>
  <c r="I1589" i="5"/>
  <c r="K1589" s="1"/>
  <c r="M1589" s="1"/>
  <c r="O1589" s="1"/>
  <c r="Q1589" s="1"/>
  <c r="S1589" s="1"/>
  <c r="U1589" s="1"/>
  <c r="H1554"/>
  <c r="E34" i="1" s="1"/>
  <c r="P1766" i="6" l="1"/>
  <c r="N1765"/>
  <c r="G630" i="5"/>
  <c r="D45" i="1" s="1"/>
  <c r="F45" s="1"/>
  <c r="H45" s="1"/>
  <c r="J45" s="1"/>
  <c r="L45" s="1"/>
  <c r="H175" i="5"/>
  <c r="I175" s="1"/>
  <c r="K175" s="1"/>
  <c r="M175" s="1"/>
  <c r="O175" s="1"/>
  <c r="Q175" s="1"/>
  <c r="S175" s="1"/>
  <c r="U175" s="1"/>
  <c r="J1413" i="6"/>
  <c r="H1412"/>
  <c r="I463" i="5"/>
  <c r="K463" s="1"/>
  <c r="M463" s="1"/>
  <c r="O463" s="1"/>
  <c r="Q463" s="1"/>
  <c r="S463" s="1"/>
  <c r="U463" s="1"/>
  <c r="F32" i="1"/>
  <c r="H32" s="1"/>
  <c r="J32" s="1"/>
  <c r="L32" s="1"/>
  <c r="N32" s="1"/>
  <c r="P32" s="1"/>
  <c r="R32" s="1"/>
  <c r="I176" i="5"/>
  <c r="K176" s="1"/>
  <c r="M176" s="1"/>
  <c r="O176" s="1"/>
  <c r="Q176" s="1"/>
  <c r="S176" s="1"/>
  <c r="U176" s="1"/>
  <c r="G844"/>
  <c r="I844" s="1"/>
  <c r="K844" s="1"/>
  <c r="M844" s="1"/>
  <c r="O844" s="1"/>
  <c r="Q844" s="1"/>
  <c r="S844" s="1"/>
  <c r="U844" s="1"/>
  <c r="G1629"/>
  <c r="I1629" s="1"/>
  <c r="K1629" s="1"/>
  <c r="M1629" s="1"/>
  <c r="O1629" s="1"/>
  <c r="Q1629" s="1"/>
  <c r="S1629" s="1"/>
  <c r="U1629" s="1"/>
  <c r="I303"/>
  <c r="K303" s="1"/>
  <c r="M303" s="1"/>
  <c r="O303" s="1"/>
  <c r="Q303" s="1"/>
  <c r="S303" s="1"/>
  <c r="U303" s="1"/>
  <c r="I589"/>
  <c r="K589" s="1"/>
  <c r="M589" s="1"/>
  <c r="O589" s="1"/>
  <c r="Q589" s="1"/>
  <c r="S589" s="1"/>
  <c r="U589" s="1"/>
  <c r="G30"/>
  <c r="I31"/>
  <c r="K31" s="1"/>
  <c r="M31" s="1"/>
  <c r="O31" s="1"/>
  <c r="Q31" s="1"/>
  <c r="S31" s="1"/>
  <c r="U31" s="1"/>
  <c r="I925"/>
  <c r="K925" s="1"/>
  <c r="M925" s="1"/>
  <c r="O925" s="1"/>
  <c r="Q925" s="1"/>
  <c r="S925" s="1"/>
  <c r="U925" s="1"/>
  <c r="G924"/>
  <c r="I924" s="1"/>
  <c r="K924" s="1"/>
  <c r="M924" s="1"/>
  <c r="O924" s="1"/>
  <c r="Q924" s="1"/>
  <c r="S924" s="1"/>
  <c r="U924" s="1"/>
  <c r="G417"/>
  <c r="I417" s="1"/>
  <c r="K417" s="1"/>
  <c r="M417" s="1"/>
  <c r="O417" s="1"/>
  <c r="Q417" s="1"/>
  <c r="S417" s="1"/>
  <c r="U417" s="1"/>
  <c r="I418"/>
  <c r="K418" s="1"/>
  <c r="M418" s="1"/>
  <c r="O418" s="1"/>
  <c r="Q418" s="1"/>
  <c r="S418" s="1"/>
  <c r="U418" s="1"/>
  <c r="D37" i="1"/>
  <c r="F37" s="1"/>
  <c r="H37" s="1"/>
  <c r="J37" s="1"/>
  <c r="L37" s="1"/>
  <c r="N37" s="1"/>
  <c r="P37" s="1"/>
  <c r="R37" s="1"/>
  <c r="I1611" i="5"/>
  <c r="K1611" s="1"/>
  <c r="M1611" s="1"/>
  <c r="O1611" s="1"/>
  <c r="Q1611" s="1"/>
  <c r="S1611" s="1"/>
  <c r="U1611" s="1"/>
  <c r="G1604"/>
  <c r="I1604" s="1"/>
  <c r="K1604" s="1"/>
  <c r="M1604" s="1"/>
  <c r="O1604" s="1"/>
  <c r="Q1604" s="1"/>
  <c r="S1604" s="1"/>
  <c r="U1604" s="1"/>
  <c r="I396"/>
  <c r="K396" s="1"/>
  <c r="M396" s="1"/>
  <c r="O396" s="1"/>
  <c r="Q396" s="1"/>
  <c r="S396" s="1"/>
  <c r="U396" s="1"/>
  <c r="G395"/>
  <c r="D21" i="1"/>
  <c r="I973" i="5"/>
  <c r="K973" s="1"/>
  <c r="M973" s="1"/>
  <c r="O973" s="1"/>
  <c r="Q973" s="1"/>
  <c r="S973" s="1"/>
  <c r="U973" s="1"/>
  <c r="D49" i="1"/>
  <c r="I480" i="5"/>
  <c r="K480" s="1"/>
  <c r="M480" s="1"/>
  <c r="O480" s="1"/>
  <c r="Q480" s="1"/>
  <c r="S480" s="1"/>
  <c r="U480" s="1"/>
  <c r="D36" i="1"/>
  <c r="G479" i="5"/>
  <c r="D63" i="1"/>
  <c r="F63" s="1"/>
  <c r="H63" s="1"/>
  <c r="J63" s="1"/>
  <c r="L63" s="1"/>
  <c r="N63" s="1"/>
  <c r="P63" s="1"/>
  <c r="R63" s="1"/>
  <c r="F64"/>
  <c r="H64" s="1"/>
  <c r="J64" s="1"/>
  <c r="L64" s="1"/>
  <c r="N64" s="1"/>
  <c r="P64" s="1"/>
  <c r="R64" s="1"/>
  <c r="G1304" i="5"/>
  <c r="I1305"/>
  <c r="K1305" s="1"/>
  <c r="M1305" s="1"/>
  <c r="O1305" s="1"/>
  <c r="Q1305" s="1"/>
  <c r="S1305" s="1"/>
  <c r="U1305" s="1"/>
  <c r="G1694"/>
  <c r="I1694" s="1"/>
  <c r="K1694" s="1"/>
  <c r="M1694" s="1"/>
  <c r="O1694" s="1"/>
  <c r="Q1694" s="1"/>
  <c r="S1694" s="1"/>
  <c r="U1694" s="1"/>
  <c r="I1695"/>
  <c r="K1695" s="1"/>
  <c r="M1695" s="1"/>
  <c r="O1695" s="1"/>
  <c r="Q1695" s="1"/>
  <c r="S1695" s="1"/>
  <c r="U1695" s="1"/>
  <c r="F54" i="1"/>
  <c r="H54" s="1"/>
  <c r="J54" s="1"/>
  <c r="L54" s="1"/>
  <c r="N54" s="1"/>
  <c r="P54" s="1"/>
  <c r="R54" s="1"/>
  <c r="D46"/>
  <c r="F46" s="1"/>
  <c r="H46" s="1"/>
  <c r="J46" s="1"/>
  <c r="L46" s="1"/>
  <c r="N46" s="1"/>
  <c r="P46" s="1"/>
  <c r="R46" s="1"/>
  <c r="G1065" i="5"/>
  <c r="I342"/>
  <c r="K342" s="1"/>
  <c r="M342" s="1"/>
  <c r="O342" s="1"/>
  <c r="Q342" s="1"/>
  <c r="S342" s="1"/>
  <c r="U342" s="1"/>
  <c r="D41" i="1"/>
  <c r="I1725" i="5"/>
  <c r="K1725" s="1"/>
  <c r="M1725" s="1"/>
  <c r="O1725" s="1"/>
  <c r="Q1725" s="1"/>
  <c r="S1725" s="1"/>
  <c r="U1725" s="1"/>
  <c r="I907"/>
  <c r="K907" s="1"/>
  <c r="M907" s="1"/>
  <c r="O907" s="1"/>
  <c r="Q907" s="1"/>
  <c r="S907" s="1"/>
  <c r="U907" s="1"/>
  <c r="D66" i="1"/>
  <c r="G906" i="5"/>
  <c r="I906" s="1"/>
  <c r="K906" s="1"/>
  <c r="M906" s="1"/>
  <c r="O906" s="1"/>
  <c r="Q906" s="1"/>
  <c r="S906" s="1"/>
  <c r="U906" s="1"/>
  <c r="G867"/>
  <c r="I868"/>
  <c r="K868" s="1"/>
  <c r="M868" s="1"/>
  <c r="O868" s="1"/>
  <c r="Q868" s="1"/>
  <c r="G825"/>
  <c r="I826"/>
  <c r="K826" s="1"/>
  <c r="M826" s="1"/>
  <c r="O826" s="1"/>
  <c r="Q826" s="1"/>
  <c r="S826" s="1"/>
  <c r="U826" s="1"/>
  <c r="G551"/>
  <c r="I561"/>
  <c r="K561" s="1"/>
  <c r="M561" s="1"/>
  <c r="O561" s="1"/>
  <c r="Q561" s="1"/>
  <c r="S561" s="1"/>
  <c r="U561" s="1"/>
  <c r="I1287"/>
  <c r="K1287" s="1"/>
  <c r="M1287" s="1"/>
  <c r="O1287" s="1"/>
  <c r="Q1287" s="1"/>
  <c r="S1287" s="1"/>
  <c r="U1287" s="1"/>
  <c r="G1281"/>
  <c r="I535"/>
  <c r="K535" s="1"/>
  <c r="M535" s="1"/>
  <c r="O535" s="1"/>
  <c r="Q535" s="1"/>
  <c r="S535" s="1"/>
  <c r="U535" s="1"/>
  <c r="G534"/>
  <c r="I534" s="1"/>
  <c r="K534" s="1"/>
  <c r="M534" s="1"/>
  <c r="O534" s="1"/>
  <c r="Q534" s="1"/>
  <c r="S534" s="1"/>
  <c r="U534" s="1"/>
  <c r="D52" i="1"/>
  <c r="G1734" i="5"/>
  <c r="I1740"/>
  <c r="K1740" s="1"/>
  <c r="M1740" s="1"/>
  <c r="O1740" s="1"/>
  <c r="Q1740" s="1"/>
  <c r="S1740" s="1"/>
  <c r="U1740" s="1"/>
  <c r="G713"/>
  <c r="D38" i="1"/>
  <c r="F38" s="1"/>
  <c r="H38" s="1"/>
  <c r="J38" s="1"/>
  <c r="L38" s="1"/>
  <c r="N38" s="1"/>
  <c r="P38" s="1"/>
  <c r="R38" s="1"/>
  <c r="I501" i="5"/>
  <c r="K501" s="1"/>
  <c r="M501" s="1"/>
  <c r="O501" s="1"/>
  <c r="Q501" s="1"/>
  <c r="S501" s="1"/>
  <c r="U501" s="1"/>
  <c r="G1415"/>
  <c r="I1452"/>
  <c r="K1452" s="1"/>
  <c r="M1452" s="1"/>
  <c r="O1452" s="1"/>
  <c r="Q1452" s="1"/>
  <c r="S1452" s="1"/>
  <c r="U1452" s="1"/>
  <c r="I588"/>
  <c r="K588" s="1"/>
  <c r="M588" s="1"/>
  <c r="O588" s="1"/>
  <c r="Q588" s="1"/>
  <c r="S588" s="1"/>
  <c r="U588" s="1"/>
  <c r="D44" i="1"/>
  <c r="F60"/>
  <c r="H60" s="1"/>
  <c r="J60" s="1"/>
  <c r="L60" s="1"/>
  <c r="N60" s="1"/>
  <c r="P60" s="1"/>
  <c r="R60" s="1"/>
  <c r="F31"/>
  <c r="H31" s="1"/>
  <c r="J31" s="1"/>
  <c r="L31" s="1"/>
  <c r="N31" s="1"/>
  <c r="P31" s="1"/>
  <c r="R31" s="1"/>
  <c r="D57"/>
  <c r="F57" s="1"/>
  <c r="H57" s="1"/>
  <c r="J57" s="1"/>
  <c r="L57" s="1"/>
  <c r="N57" s="1"/>
  <c r="P57" s="1"/>
  <c r="R57" s="1"/>
  <c r="G890" i="5"/>
  <c r="I890" s="1"/>
  <c r="K890" s="1"/>
  <c r="M890" s="1"/>
  <c r="O890" s="1"/>
  <c r="Q890" s="1"/>
  <c r="S890" s="1"/>
  <c r="U890" s="1"/>
  <c r="I891"/>
  <c r="K891" s="1"/>
  <c r="M891" s="1"/>
  <c r="O891" s="1"/>
  <c r="Q891" s="1"/>
  <c r="S891" s="1"/>
  <c r="U891" s="1"/>
  <c r="I1201"/>
  <c r="K1201" s="1"/>
  <c r="M1201" s="1"/>
  <c r="O1201" s="1"/>
  <c r="Q1201" s="1"/>
  <c r="S1201" s="1"/>
  <c r="U1201" s="1"/>
  <c r="H1200"/>
  <c r="H349" i="6"/>
  <c r="J349" s="1"/>
  <c r="L349" s="1"/>
  <c r="N349" s="1"/>
  <c r="P349" s="1"/>
  <c r="R349" s="1"/>
  <c r="T349" s="1"/>
  <c r="F348"/>
  <c r="H348" s="1"/>
  <c r="J348" s="1"/>
  <c r="L348" s="1"/>
  <c r="N348" s="1"/>
  <c r="P348" s="1"/>
  <c r="R348" s="1"/>
  <c r="T348" s="1"/>
  <c r="H263"/>
  <c r="J263" s="1"/>
  <c r="L263" s="1"/>
  <c r="N263" s="1"/>
  <c r="P263" s="1"/>
  <c r="R263" s="1"/>
  <c r="T263" s="1"/>
  <c r="F262"/>
  <c r="H262" s="1"/>
  <c r="J262" s="1"/>
  <c r="L262" s="1"/>
  <c r="N262" s="1"/>
  <c r="P262" s="1"/>
  <c r="R262" s="1"/>
  <c r="T262" s="1"/>
  <c r="F792"/>
  <c r="H792" s="1"/>
  <c r="J792" s="1"/>
  <c r="L792" s="1"/>
  <c r="N792" s="1"/>
  <c r="P792" s="1"/>
  <c r="R792" s="1"/>
  <c r="T792" s="1"/>
  <c r="H793"/>
  <c r="J793" s="1"/>
  <c r="L793" s="1"/>
  <c r="N793" s="1"/>
  <c r="P793" s="1"/>
  <c r="R793" s="1"/>
  <c r="T793" s="1"/>
  <c r="H171"/>
  <c r="J171" s="1"/>
  <c r="L171" s="1"/>
  <c r="N171" s="1"/>
  <c r="P171" s="1"/>
  <c r="R171" s="1"/>
  <c r="T171" s="1"/>
  <c r="F164"/>
  <c r="H164" s="1"/>
  <c r="J164" s="1"/>
  <c r="L164" s="1"/>
  <c r="N164" s="1"/>
  <c r="P164" s="1"/>
  <c r="R164" s="1"/>
  <c r="T164" s="1"/>
  <c r="F961"/>
  <c r="H961" s="1"/>
  <c r="J961" s="1"/>
  <c r="L961" s="1"/>
  <c r="N961" s="1"/>
  <c r="P961" s="1"/>
  <c r="R961" s="1"/>
  <c r="T961" s="1"/>
  <c r="H962"/>
  <c r="J962" s="1"/>
  <c r="L962" s="1"/>
  <c r="N962" s="1"/>
  <c r="P962" s="1"/>
  <c r="R962" s="1"/>
  <c r="T962" s="1"/>
  <c r="H1066"/>
  <c r="J1066" s="1"/>
  <c r="L1066" s="1"/>
  <c r="N1066" s="1"/>
  <c r="P1066" s="1"/>
  <c r="R1066" s="1"/>
  <c r="T1066" s="1"/>
  <c r="F1065"/>
  <c r="H1065" s="1"/>
  <c r="J1065" s="1"/>
  <c r="L1065" s="1"/>
  <c r="N1065" s="1"/>
  <c r="P1065" s="1"/>
  <c r="R1065" s="1"/>
  <c r="T1065" s="1"/>
  <c r="F210"/>
  <c r="H210" s="1"/>
  <c r="J210" s="1"/>
  <c r="L210" s="1"/>
  <c r="N210" s="1"/>
  <c r="P210" s="1"/>
  <c r="R210" s="1"/>
  <c r="T210" s="1"/>
  <c r="H211"/>
  <c r="J211" s="1"/>
  <c r="L211" s="1"/>
  <c r="N211" s="1"/>
  <c r="P211" s="1"/>
  <c r="R211" s="1"/>
  <c r="T211" s="1"/>
  <c r="F522"/>
  <c r="H522" s="1"/>
  <c r="J522" s="1"/>
  <c r="L522" s="1"/>
  <c r="N522" s="1"/>
  <c r="P522" s="1"/>
  <c r="R522" s="1"/>
  <c r="T522" s="1"/>
  <c r="H523"/>
  <c r="J523" s="1"/>
  <c r="L523" s="1"/>
  <c r="N523" s="1"/>
  <c r="P523" s="1"/>
  <c r="R523" s="1"/>
  <c r="T523" s="1"/>
  <c r="F432"/>
  <c r="H432" s="1"/>
  <c r="J432" s="1"/>
  <c r="L432" s="1"/>
  <c r="N432" s="1"/>
  <c r="P432" s="1"/>
  <c r="R432" s="1"/>
  <c r="T432" s="1"/>
  <c r="H433"/>
  <c r="J433" s="1"/>
  <c r="L433" s="1"/>
  <c r="N433" s="1"/>
  <c r="P433" s="1"/>
  <c r="R433" s="1"/>
  <c r="T433" s="1"/>
  <c r="F988"/>
  <c r="H989"/>
  <c r="J989" s="1"/>
  <c r="L989" s="1"/>
  <c r="N989" s="1"/>
  <c r="P989" s="1"/>
  <c r="R989" s="1"/>
  <c r="T989" s="1"/>
  <c r="F1109"/>
  <c r="H1110"/>
  <c r="J1110" s="1"/>
  <c r="L1110" s="1"/>
  <c r="N1110" s="1"/>
  <c r="P1110" s="1"/>
  <c r="R1110" s="1"/>
  <c r="T1110" s="1"/>
  <c r="F1425"/>
  <c r="H1432"/>
  <c r="J1432" s="1"/>
  <c r="L1432" s="1"/>
  <c r="N1432" s="1"/>
  <c r="P1432" s="1"/>
  <c r="R1432" s="1"/>
  <c r="T1432" s="1"/>
  <c r="F543"/>
  <c r="H543" s="1"/>
  <c r="J543" s="1"/>
  <c r="L543" s="1"/>
  <c r="N543" s="1"/>
  <c r="P543" s="1"/>
  <c r="R543" s="1"/>
  <c r="T543" s="1"/>
  <c r="F464"/>
  <c r="H464" s="1"/>
  <c r="J464" s="1"/>
  <c r="L464" s="1"/>
  <c r="N464" s="1"/>
  <c r="P464" s="1"/>
  <c r="R464" s="1"/>
  <c r="T464" s="1"/>
  <c r="F1265"/>
  <c r="F1264" s="1"/>
  <c r="F630"/>
  <c r="H630" s="1"/>
  <c r="J630" s="1"/>
  <c r="L630" s="1"/>
  <c r="N630" s="1"/>
  <c r="P630" s="1"/>
  <c r="R630" s="1"/>
  <c r="T630" s="1"/>
  <c r="F1507"/>
  <c r="H1508"/>
  <c r="J1508" s="1"/>
  <c r="L1508" s="1"/>
  <c r="N1508" s="1"/>
  <c r="P1508" s="1"/>
  <c r="R1508" s="1"/>
  <c r="T1508" s="1"/>
  <c r="H955"/>
  <c r="J955" s="1"/>
  <c r="L955" s="1"/>
  <c r="N955" s="1"/>
  <c r="P955" s="1"/>
  <c r="R955" s="1"/>
  <c r="T955" s="1"/>
  <c r="H764"/>
  <c r="J764" s="1"/>
  <c r="L764" s="1"/>
  <c r="N764" s="1"/>
  <c r="P764" s="1"/>
  <c r="R764" s="1"/>
  <c r="T764" s="1"/>
  <c r="F763"/>
  <c r="H763" s="1"/>
  <c r="J763" s="1"/>
  <c r="L763" s="1"/>
  <c r="N763" s="1"/>
  <c r="P763" s="1"/>
  <c r="R763" s="1"/>
  <c r="T763" s="1"/>
  <c r="H53"/>
  <c r="J53" s="1"/>
  <c r="L53" s="1"/>
  <c r="N53" s="1"/>
  <c r="P53" s="1"/>
  <c r="R53" s="1"/>
  <c r="T53" s="1"/>
  <c r="F980"/>
  <c r="H980" s="1"/>
  <c r="J980" s="1"/>
  <c r="L980" s="1"/>
  <c r="N980" s="1"/>
  <c r="P980" s="1"/>
  <c r="R980" s="1"/>
  <c r="T980" s="1"/>
  <c r="H981"/>
  <c r="J981" s="1"/>
  <c r="L981" s="1"/>
  <c r="N981" s="1"/>
  <c r="P981" s="1"/>
  <c r="R981" s="1"/>
  <c r="T981" s="1"/>
  <c r="F151"/>
  <c r="H152"/>
  <c r="J152" s="1"/>
  <c r="L152" s="1"/>
  <c r="N152" s="1"/>
  <c r="P152" s="1"/>
  <c r="R152" s="1"/>
  <c r="T152" s="1"/>
  <c r="H1085"/>
  <c r="J1085" s="1"/>
  <c r="L1085" s="1"/>
  <c r="N1085" s="1"/>
  <c r="P1085" s="1"/>
  <c r="R1085" s="1"/>
  <c r="T1085" s="1"/>
  <c r="F1084"/>
  <c r="H1084" s="1"/>
  <c r="J1084" s="1"/>
  <c r="L1084" s="1"/>
  <c r="N1084" s="1"/>
  <c r="P1084" s="1"/>
  <c r="R1084" s="1"/>
  <c r="T1084" s="1"/>
  <c r="F1007"/>
  <c r="H1007" s="1"/>
  <c r="J1007" s="1"/>
  <c r="L1007" s="1"/>
  <c r="N1007" s="1"/>
  <c r="P1007" s="1"/>
  <c r="R1007" s="1"/>
  <c r="T1007" s="1"/>
  <c r="H1008"/>
  <c r="J1008" s="1"/>
  <c r="L1008" s="1"/>
  <c r="N1008" s="1"/>
  <c r="P1008" s="1"/>
  <c r="R1008" s="1"/>
  <c r="T1008" s="1"/>
  <c r="H132"/>
  <c r="J132" s="1"/>
  <c r="L132" s="1"/>
  <c r="N132" s="1"/>
  <c r="P132" s="1"/>
  <c r="R132" s="1"/>
  <c r="T132" s="1"/>
  <c r="F131"/>
  <c r="H131" s="1"/>
  <c r="J131" s="1"/>
  <c r="L131" s="1"/>
  <c r="N131" s="1"/>
  <c r="P131" s="1"/>
  <c r="R131" s="1"/>
  <c r="T131" s="1"/>
  <c r="F1021"/>
  <c r="H1021" s="1"/>
  <c r="J1021" s="1"/>
  <c r="L1021" s="1"/>
  <c r="N1021" s="1"/>
  <c r="P1021" s="1"/>
  <c r="R1021" s="1"/>
  <c r="T1021" s="1"/>
  <c r="H1022"/>
  <c r="J1022" s="1"/>
  <c r="L1022" s="1"/>
  <c r="N1022" s="1"/>
  <c r="P1022" s="1"/>
  <c r="R1022" s="1"/>
  <c r="T1022" s="1"/>
  <c r="F1523"/>
  <c r="H1529"/>
  <c r="J1529" s="1"/>
  <c r="L1529" s="1"/>
  <c r="N1529" s="1"/>
  <c r="P1529" s="1"/>
  <c r="R1529" s="1"/>
  <c r="T1529" s="1"/>
  <c r="H384"/>
  <c r="J384" s="1"/>
  <c r="L384" s="1"/>
  <c r="N384" s="1"/>
  <c r="P384" s="1"/>
  <c r="R384" s="1"/>
  <c r="T384" s="1"/>
  <c r="H898" i="5"/>
  <c r="I899"/>
  <c r="K899" s="1"/>
  <c r="M899" s="1"/>
  <c r="O899" s="1"/>
  <c r="Q899" s="1"/>
  <c r="S899" s="1"/>
  <c r="U899" s="1"/>
  <c r="G1020" i="6"/>
  <c r="H416" i="5"/>
  <c r="E29" i="1"/>
  <c r="G1425" i="6"/>
  <c r="H1425" s="1"/>
  <c r="J1425" s="1"/>
  <c r="L1425" s="1"/>
  <c r="N1425" s="1"/>
  <c r="P1425" s="1"/>
  <c r="R1425" s="1"/>
  <c r="T1425" s="1"/>
  <c r="H72" i="5"/>
  <c r="E43" i="1"/>
  <c r="H1631" i="6"/>
  <c r="J1631" s="1"/>
  <c r="L1631" s="1"/>
  <c r="N1631" s="1"/>
  <c r="P1631" s="1"/>
  <c r="R1631" s="1"/>
  <c r="T1631" s="1"/>
  <c r="G1522"/>
  <c r="G624"/>
  <c r="H625"/>
  <c r="J625" s="1"/>
  <c r="L625" s="1"/>
  <c r="N625" s="1"/>
  <c r="P625" s="1"/>
  <c r="R625" s="1"/>
  <c r="T625" s="1"/>
  <c r="H1406"/>
  <c r="J1406" s="1"/>
  <c r="L1406" s="1"/>
  <c r="N1406" s="1"/>
  <c r="P1406" s="1"/>
  <c r="R1406" s="1"/>
  <c r="T1406" s="1"/>
  <c r="H1379"/>
  <c r="J1379" s="1"/>
  <c r="L1379" s="1"/>
  <c r="N1379" s="1"/>
  <c r="P1379" s="1"/>
  <c r="R1379" s="1"/>
  <c r="T1379" s="1"/>
  <c r="G1372"/>
  <c r="G1474"/>
  <c r="H1481"/>
  <c r="J1481" s="1"/>
  <c r="L1481" s="1"/>
  <c r="N1481" s="1"/>
  <c r="P1481" s="1"/>
  <c r="R1481" s="1"/>
  <c r="T1481" s="1"/>
  <c r="H1345"/>
  <c r="J1345" s="1"/>
  <c r="L1345" s="1"/>
  <c r="N1345" s="1"/>
  <c r="P1345" s="1"/>
  <c r="R1345" s="1"/>
  <c r="T1345" s="1"/>
  <c r="G1333"/>
  <c r="H1333" s="1"/>
  <c r="J1333" s="1"/>
  <c r="L1333" s="1"/>
  <c r="N1333" s="1"/>
  <c r="P1333" s="1"/>
  <c r="R1333" s="1"/>
  <c r="T1333" s="1"/>
  <c r="E27" i="1"/>
  <c r="F27" s="1"/>
  <c r="H27" s="1"/>
  <c r="J27" s="1"/>
  <c r="L27" s="1"/>
  <c r="N27" s="1"/>
  <c r="P27" s="1"/>
  <c r="R27" s="1"/>
  <c r="F28"/>
  <c r="H28" s="1"/>
  <c r="J28" s="1"/>
  <c r="L28" s="1"/>
  <c r="N28" s="1"/>
  <c r="P28" s="1"/>
  <c r="R28" s="1"/>
  <c r="F20"/>
  <c r="H20" s="1"/>
  <c r="J20" s="1"/>
  <c r="L20" s="1"/>
  <c r="N20" s="1"/>
  <c r="P20" s="1"/>
  <c r="R20" s="1"/>
  <c r="H1512" i="5"/>
  <c r="I1554"/>
  <c r="K1554" s="1"/>
  <c r="M1554" s="1"/>
  <c r="O1554" s="1"/>
  <c r="Q1554" s="1"/>
  <c r="R1766" i="6" l="1"/>
  <c r="T1766" s="1"/>
  <c r="P1765"/>
  <c r="G587" i="5"/>
  <c r="I630"/>
  <c r="K630" s="1"/>
  <c r="M630" s="1"/>
  <c r="O630" s="1"/>
  <c r="Q630" s="1"/>
  <c r="S630" s="1"/>
  <c r="U630" s="1"/>
  <c r="S1554"/>
  <c r="U1554" s="1"/>
  <c r="S868"/>
  <c r="U868" s="1"/>
  <c r="N45" i="1"/>
  <c r="P45" s="1"/>
  <c r="R45" s="1"/>
  <c r="L1413" i="6"/>
  <c r="J1412"/>
  <c r="H1265"/>
  <c r="J1265" s="1"/>
  <c r="L1265" s="1"/>
  <c r="N1265" s="1"/>
  <c r="P1265" s="1"/>
  <c r="R1265" s="1"/>
  <c r="T1265" s="1"/>
  <c r="F44" i="1"/>
  <c r="H44" s="1"/>
  <c r="J44" s="1"/>
  <c r="L44" s="1"/>
  <c r="N44" s="1"/>
  <c r="P44" s="1"/>
  <c r="R44" s="1"/>
  <c r="G1724" i="5"/>
  <c r="I1734"/>
  <c r="K1734" s="1"/>
  <c r="M1734" s="1"/>
  <c r="O1734" s="1"/>
  <c r="Q1734" s="1"/>
  <c r="S1734" s="1"/>
  <c r="U1734" s="1"/>
  <c r="D42" i="1"/>
  <c r="F42" s="1"/>
  <c r="H42" s="1"/>
  <c r="J42" s="1"/>
  <c r="L42" s="1"/>
  <c r="N42" s="1"/>
  <c r="P42" s="1"/>
  <c r="R42" s="1"/>
  <c r="I1281" i="5"/>
  <c r="K1281" s="1"/>
  <c r="M1281" s="1"/>
  <c r="O1281" s="1"/>
  <c r="Q1281" s="1"/>
  <c r="S1281" s="1"/>
  <c r="U1281" s="1"/>
  <c r="D62" i="1"/>
  <c r="G1238" i="5"/>
  <c r="F21" i="1"/>
  <c r="H21" s="1"/>
  <c r="J21" s="1"/>
  <c r="L21" s="1"/>
  <c r="N21" s="1"/>
  <c r="P21" s="1"/>
  <c r="R21" s="1"/>
  <c r="D22"/>
  <c r="F22" s="1"/>
  <c r="H22" s="1"/>
  <c r="J22" s="1"/>
  <c r="L22" s="1"/>
  <c r="N22" s="1"/>
  <c r="P22" s="1"/>
  <c r="R22" s="1"/>
  <c r="G22" i="5"/>
  <c r="G21" s="1"/>
  <c r="I30"/>
  <c r="K30" s="1"/>
  <c r="M30" s="1"/>
  <c r="O30" s="1"/>
  <c r="Q30" s="1"/>
  <c r="S30" s="1"/>
  <c r="U30" s="1"/>
  <c r="I587"/>
  <c r="K587" s="1"/>
  <c r="M587" s="1"/>
  <c r="O587" s="1"/>
  <c r="Q587" s="1"/>
  <c r="S587" s="1"/>
  <c r="U587" s="1"/>
  <c r="D58" i="1"/>
  <c r="F58" s="1"/>
  <c r="H58" s="1"/>
  <c r="J58" s="1"/>
  <c r="L58" s="1"/>
  <c r="N58" s="1"/>
  <c r="P58" s="1"/>
  <c r="R58" s="1"/>
  <c r="I1415" i="5"/>
  <c r="K1415" s="1"/>
  <c r="M1415" s="1"/>
  <c r="O1415" s="1"/>
  <c r="Q1415" s="1"/>
  <c r="S1415" s="1"/>
  <c r="U1415" s="1"/>
  <c r="G1325"/>
  <c r="I1325" s="1"/>
  <c r="K1325" s="1"/>
  <c r="M1325" s="1"/>
  <c r="O1325" s="1"/>
  <c r="Q1325" s="1"/>
  <c r="S1325" s="1"/>
  <c r="U1325" s="1"/>
  <c r="G550"/>
  <c r="I551"/>
  <c r="K551" s="1"/>
  <c r="M551" s="1"/>
  <c r="O551" s="1"/>
  <c r="Q551" s="1"/>
  <c r="S551" s="1"/>
  <c r="U551" s="1"/>
  <c r="D34" i="1"/>
  <c r="G824" i="5"/>
  <c r="I824" s="1"/>
  <c r="K824" s="1"/>
  <c r="M824" s="1"/>
  <c r="O824" s="1"/>
  <c r="Q824" s="1"/>
  <c r="S824" s="1"/>
  <c r="U824" s="1"/>
  <c r="I825"/>
  <c r="K825" s="1"/>
  <c r="M825" s="1"/>
  <c r="O825" s="1"/>
  <c r="Q825" s="1"/>
  <c r="S825" s="1"/>
  <c r="U825" s="1"/>
  <c r="F66" i="1"/>
  <c r="H66" s="1"/>
  <c r="J66" s="1"/>
  <c r="L66" s="1"/>
  <c r="N66" s="1"/>
  <c r="P66" s="1"/>
  <c r="R66" s="1"/>
  <c r="D65"/>
  <c r="F65" s="1"/>
  <c r="H65" s="1"/>
  <c r="J65" s="1"/>
  <c r="L65" s="1"/>
  <c r="N65" s="1"/>
  <c r="P65" s="1"/>
  <c r="R65" s="1"/>
  <c r="D35"/>
  <c r="F35" s="1"/>
  <c r="H35" s="1"/>
  <c r="J35" s="1"/>
  <c r="L35" s="1"/>
  <c r="N35" s="1"/>
  <c r="P35" s="1"/>
  <c r="R35" s="1"/>
  <c r="F36"/>
  <c r="H36" s="1"/>
  <c r="J36" s="1"/>
  <c r="L36" s="1"/>
  <c r="N36" s="1"/>
  <c r="P36" s="1"/>
  <c r="R36" s="1"/>
  <c r="D56"/>
  <c r="D47"/>
  <c r="F47" s="1"/>
  <c r="H47" s="1"/>
  <c r="J47" s="1"/>
  <c r="L47" s="1"/>
  <c r="N47" s="1"/>
  <c r="P47" s="1"/>
  <c r="R47" s="1"/>
  <c r="I713" i="5"/>
  <c r="K713" s="1"/>
  <c r="M713" s="1"/>
  <c r="O713" s="1"/>
  <c r="Q713" s="1"/>
  <c r="S713" s="1"/>
  <c r="U713" s="1"/>
  <c r="F41" i="1"/>
  <c r="H41" s="1"/>
  <c r="J41" s="1"/>
  <c r="L41" s="1"/>
  <c r="N41" s="1"/>
  <c r="P41" s="1"/>
  <c r="R41" s="1"/>
  <c r="G416" i="5"/>
  <c r="I416" s="1"/>
  <c r="K416" s="1"/>
  <c r="M416" s="1"/>
  <c r="O416" s="1"/>
  <c r="Q416" s="1"/>
  <c r="S416" s="1"/>
  <c r="U416" s="1"/>
  <c r="I479"/>
  <c r="K479" s="1"/>
  <c r="M479" s="1"/>
  <c r="O479" s="1"/>
  <c r="Q479" s="1"/>
  <c r="S479" s="1"/>
  <c r="U479" s="1"/>
  <c r="F49" i="1"/>
  <c r="H49" s="1"/>
  <c r="J49" s="1"/>
  <c r="L49" s="1"/>
  <c r="N49" s="1"/>
  <c r="P49" s="1"/>
  <c r="R49" s="1"/>
  <c r="G1491" i="5"/>
  <c r="D26" i="1"/>
  <c r="D51"/>
  <c r="F51" s="1"/>
  <c r="H51" s="1"/>
  <c r="J51" s="1"/>
  <c r="L51" s="1"/>
  <c r="N51" s="1"/>
  <c r="P51" s="1"/>
  <c r="R51" s="1"/>
  <c r="F52"/>
  <c r="H52" s="1"/>
  <c r="J52" s="1"/>
  <c r="L52" s="1"/>
  <c r="N52" s="1"/>
  <c r="P52" s="1"/>
  <c r="R52" s="1"/>
  <c r="I867" i="5"/>
  <c r="K867" s="1"/>
  <c r="M867" s="1"/>
  <c r="O867" s="1"/>
  <c r="Q867" s="1"/>
  <c r="S867" s="1"/>
  <c r="U867" s="1"/>
  <c r="D24" i="1"/>
  <c r="F24" s="1"/>
  <c r="H24" s="1"/>
  <c r="J24" s="1"/>
  <c r="L24" s="1"/>
  <c r="N24" s="1"/>
  <c r="P24" s="1"/>
  <c r="R24" s="1"/>
  <c r="G866" i="5"/>
  <c r="D50" i="1"/>
  <c r="F50" s="1"/>
  <c r="H50" s="1"/>
  <c r="J50" s="1"/>
  <c r="L50" s="1"/>
  <c r="I1065" i="5"/>
  <c r="K1065" s="1"/>
  <c r="M1065" s="1"/>
  <c r="O1065" s="1"/>
  <c r="Q1065" s="1"/>
  <c r="S1065" s="1"/>
  <c r="U1065" s="1"/>
  <c r="I1304"/>
  <c r="K1304" s="1"/>
  <c r="M1304" s="1"/>
  <c r="O1304" s="1"/>
  <c r="Q1304" s="1"/>
  <c r="S1304" s="1"/>
  <c r="U1304" s="1"/>
  <c r="G394"/>
  <c r="I394" s="1"/>
  <c r="K394" s="1"/>
  <c r="M394" s="1"/>
  <c r="O394" s="1"/>
  <c r="Q394" s="1"/>
  <c r="S394" s="1"/>
  <c r="U394" s="1"/>
  <c r="I395"/>
  <c r="K395" s="1"/>
  <c r="M395" s="1"/>
  <c r="O395" s="1"/>
  <c r="Q395" s="1"/>
  <c r="S395" s="1"/>
  <c r="U395" s="1"/>
  <c r="G972"/>
  <c r="F239" i="6"/>
  <c r="H239" s="1"/>
  <c r="J239" s="1"/>
  <c r="L239" s="1"/>
  <c r="N239" s="1"/>
  <c r="P239" s="1"/>
  <c r="R239" s="1"/>
  <c r="T239" s="1"/>
  <c r="F1020"/>
  <c r="H1020" s="1"/>
  <c r="J1020" s="1"/>
  <c r="L1020" s="1"/>
  <c r="N1020" s="1"/>
  <c r="P1020" s="1"/>
  <c r="R1020" s="1"/>
  <c r="T1020" s="1"/>
  <c r="G1405"/>
  <c r="H1405" s="1"/>
  <c r="J1405" s="1"/>
  <c r="L1405" s="1"/>
  <c r="N1405" s="1"/>
  <c r="P1405" s="1"/>
  <c r="R1405" s="1"/>
  <c r="T1405" s="1"/>
  <c r="F954"/>
  <c r="H954" s="1"/>
  <c r="J954" s="1"/>
  <c r="L954" s="1"/>
  <c r="N954" s="1"/>
  <c r="P954" s="1"/>
  <c r="R954" s="1"/>
  <c r="T954" s="1"/>
  <c r="F1522"/>
  <c r="F1521" s="1"/>
  <c r="H1523"/>
  <c r="J1523" s="1"/>
  <c r="L1523" s="1"/>
  <c r="N1523" s="1"/>
  <c r="P1523" s="1"/>
  <c r="R1523" s="1"/>
  <c r="T1523" s="1"/>
  <c r="H1507"/>
  <c r="J1507" s="1"/>
  <c r="L1507" s="1"/>
  <c r="N1507" s="1"/>
  <c r="P1507" s="1"/>
  <c r="R1507" s="1"/>
  <c r="T1507" s="1"/>
  <c r="F1473"/>
  <c r="H1109"/>
  <c r="J1109" s="1"/>
  <c r="L1109" s="1"/>
  <c r="N1109" s="1"/>
  <c r="P1109" s="1"/>
  <c r="R1109" s="1"/>
  <c r="T1109" s="1"/>
  <c r="F1108"/>
  <c r="H1108" s="1"/>
  <c r="J1108" s="1"/>
  <c r="L1108" s="1"/>
  <c r="N1108" s="1"/>
  <c r="P1108" s="1"/>
  <c r="H151"/>
  <c r="J151" s="1"/>
  <c r="L151" s="1"/>
  <c r="N151" s="1"/>
  <c r="P151" s="1"/>
  <c r="R151" s="1"/>
  <c r="T151" s="1"/>
  <c r="F150"/>
  <c r="H150" s="1"/>
  <c r="J150" s="1"/>
  <c r="L150" s="1"/>
  <c r="N150" s="1"/>
  <c r="P150" s="1"/>
  <c r="R150" s="1"/>
  <c r="T150" s="1"/>
  <c r="F987"/>
  <c r="H987" s="1"/>
  <c r="J987" s="1"/>
  <c r="L987" s="1"/>
  <c r="N987" s="1"/>
  <c r="P987" s="1"/>
  <c r="R987" s="1"/>
  <c r="T987" s="1"/>
  <c r="H988"/>
  <c r="J988" s="1"/>
  <c r="L988" s="1"/>
  <c r="N988" s="1"/>
  <c r="P988" s="1"/>
  <c r="R988" s="1"/>
  <c r="T988" s="1"/>
  <c r="I898" i="5"/>
  <c r="K898" s="1"/>
  <c r="M898" s="1"/>
  <c r="O898" s="1"/>
  <c r="Q898" s="1"/>
  <c r="S898" s="1"/>
  <c r="U898" s="1"/>
  <c r="H865"/>
  <c r="G1264" i="6"/>
  <c r="H1264" s="1"/>
  <c r="J1264" s="1"/>
  <c r="L1264" s="1"/>
  <c r="N1264" s="1"/>
  <c r="P1264" s="1"/>
  <c r="R1264" s="1"/>
  <c r="T1264" s="1"/>
  <c r="G1473"/>
  <c r="H1474"/>
  <c r="J1474" s="1"/>
  <c r="L1474" s="1"/>
  <c r="N1474" s="1"/>
  <c r="P1474" s="1"/>
  <c r="R1474" s="1"/>
  <c r="T1474" s="1"/>
  <c r="H624"/>
  <c r="J624" s="1"/>
  <c r="L624" s="1"/>
  <c r="N624" s="1"/>
  <c r="P624" s="1"/>
  <c r="R624" s="1"/>
  <c r="T624" s="1"/>
  <c r="G611"/>
  <c r="H1372"/>
  <c r="J1372" s="1"/>
  <c r="L1372" s="1"/>
  <c r="N1372" s="1"/>
  <c r="P1372" s="1"/>
  <c r="R1372" s="1"/>
  <c r="T1372" s="1"/>
  <c r="G1521"/>
  <c r="I72" i="5"/>
  <c r="K72" s="1"/>
  <c r="M72" s="1"/>
  <c r="O72" s="1"/>
  <c r="Q72" s="1"/>
  <c r="S72" s="1"/>
  <c r="U72" s="1"/>
  <c r="E26" i="1"/>
  <c r="H22" i="5"/>
  <c r="I1512"/>
  <c r="K1512" s="1"/>
  <c r="M1512" s="1"/>
  <c r="O1512" s="1"/>
  <c r="Q1512" s="1"/>
  <c r="S1512" s="1"/>
  <c r="U1512" s="1"/>
  <c r="H1491"/>
  <c r="R1108" i="6" l="1"/>
  <c r="T1108" s="1"/>
  <c r="N50" i="1"/>
  <c r="P50" s="1"/>
  <c r="R50" s="1"/>
  <c r="L1412" i="6"/>
  <c r="N1413"/>
  <c r="G1296" i="5"/>
  <c r="I1296" s="1"/>
  <c r="K1296" s="1"/>
  <c r="M1296" s="1"/>
  <c r="O1296" s="1"/>
  <c r="Q1296" s="1"/>
  <c r="S1296" s="1"/>
  <c r="U1296" s="1"/>
  <c r="D40" i="1"/>
  <c r="F40" s="1"/>
  <c r="H40" s="1"/>
  <c r="J40" s="1"/>
  <c r="L40" s="1"/>
  <c r="N40" s="1"/>
  <c r="P40" s="1"/>
  <c r="R40" s="1"/>
  <c r="G865" i="5"/>
  <c r="I866"/>
  <c r="K866" s="1"/>
  <c r="M866" s="1"/>
  <c r="O866" s="1"/>
  <c r="Q866" s="1"/>
  <c r="S866" s="1"/>
  <c r="U866" s="1"/>
  <c r="F34" i="1"/>
  <c r="H34" s="1"/>
  <c r="J34" s="1"/>
  <c r="L34" s="1"/>
  <c r="N34" s="1"/>
  <c r="P34" s="1"/>
  <c r="R34" s="1"/>
  <c r="D29"/>
  <c r="F29" s="1"/>
  <c r="H29" s="1"/>
  <c r="J29" s="1"/>
  <c r="L29" s="1"/>
  <c r="N29" s="1"/>
  <c r="P29" s="1"/>
  <c r="R29" s="1"/>
  <c r="G914" i="5"/>
  <c r="I914" s="1"/>
  <c r="K914" s="1"/>
  <c r="M914" s="1"/>
  <c r="O914" s="1"/>
  <c r="Q914" s="1"/>
  <c r="S914" s="1"/>
  <c r="U914" s="1"/>
  <c r="I972"/>
  <c r="K972" s="1"/>
  <c r="M972" s="1"/>
  <c r="O972" s="1"/>
  <c r="Q972" s="1"/>
  <c r="S972" s="1"/>
  <c r="U972" s="1"/>
  <c r="G574"/>
  <c r="I574" s="1"/>
  <c r="K574" s="1"/>
  <c r="M574" s="1"/>
  <c r="O574" s="1"/>
  <c r="Q574" s="1"/>
  <c r="S574" s="1"/>
  <c r="U574" s="1"/>
  <c r="D19" i="1"/>
  <c r="D43"/>
  <c r="F43" s="1"/>
  <c r="H43" s="1"/>
  <c r="J43" s="1"/>
  <c r="L43" s="1"/>
  <c r="N43" s="1"/>
  <c r="P43" s="1"/>
  <c r="R43" s="1"/>
  <c r="G549" i="5"/>
  <c r="I549" s="1"/>
  <c r="K549" s="1"/>
  <c r="M549" s="1"/>
  <c r="O549" s="1"/>
  <c r="Q549" s="1"/>
  <c r="S549" s="1"/>
  <c r="U549" s="1"/>
  <c r="I550"/>
  <c r="K550" s="1"/>
  <c r="M550" s="1"/>
  <c r="O550" s="1"/>
  <c r="Q550" s="1"/>
  <c r="S550" s="1"/>
  <c r="U550" s="1"/>
  <c r="F62" i="1"/>
  <c r="H62" s="1"/>
  <c r="J62" s="1"/>
  <c r="L62" s="1"/>
  <c r="N62" s="1"/>
  <c r="P62" s="1"/>
  <c r="R62" s="1"/>
  <c r="D59"/>
  <c r="F59" s="1"/>
  <c r="H59" s="1"/>
  <c r="J59" s="1"/>
  <c r="L59" s="1"/>
  <c r="N59" s="1"/>
  <c r="P59" s="1"/>
  <c r="R59" s="1"/>
  <c r="G1723" i="5"/>
  <c r="I1723" s="1"/>
  <c r="K1723" s="1"/>
  <c r="M1723" s="1"/>
  <c r="O1723" s="1"/>
  <c r="Q1723" s="1"/>
  <c r="S1723" s="1"/>
  <c r="U1723" s="1"/>
  <c r="I1724"/>
  <c r="K1724" s="1"/>
  <c r="M1724" s="1"/>
  <c r="O1724" s="1"/>
  <c r="Q1724" s="1"/>
  <c r="S1724" s="1"/>
  <c r="U1724" s="1"/>
  <c r="D48" i="1"/>
  <c r="F48" s="1"/>
  <c r="H48" s="1"/>
  <c r="J48" s="1"/>
  <c r="L48" s="1"/>
  <c r="N48" s="1"/>
  <c r="P48" s="1"/>
  <c r="R48" s="1"/>
  <c r="F56"/>
  <c r="H56" s="1"/>
  <c r="J56" s="1"/>
  <c r="L56" s="1"/>
  <c r="N56" s="1"/>
  <c r="P56" s="1"/>
  <c r="R56" s="1"/>
  <c r="D53"/>
  <c r="F53" s="1"/>
  <c r="H53" s="1"/>
  <c r="J53" s="1"/>
  <c r="L53" s="1"/>
  <c r="N53" s="1"/>
  <c r="P53" s="1"/>
  <c r="R53" s="1"/>
  <c r="G1200" i="5"/>
  <c r="I1200" s="1"/>
  <c r="K1200" s="1"/>
  <c r="M1200" s="1"/>
  <c r="O1200" s="1"/>
  <c r="Q1200" s="1"/>
  <c r="S1200" s="1"/>
  <c r="U1200" s="1"/>
  <c r="I1238"/>
  <c r="K1238" s="1"/>
  <c r="M1238" s="1"/>
  <c r="O1238" s="1"/>
  <c r="Q1238" s="1"/>
  <c r="S1238" s="1"/>
  <c r="U1238" s="1"/>
  <c r="I865"/>
  <c r="K865" s="1"/>
  <c r="M865" s="1"/>
  <c r="O865" s="1"/>
  <c r="Q865" s="1"/>
  <c r="S865" s="1"/>
  <c r="U865" s="1"/>
  <c r="H1522" i="6"/>
  <c r="J1522" s="1"/>
  <c r="L1522" s="1"/>
  <c r="N1522" s="1"/>
  <c r="P1522" s="1"/>
  <c r="R1522" s="1"/>
  <c r="T1522" s="1"/>
  <c r="H1521"/>
  <c r="J1521" s="1"/>
  <c r="L1521" s="1"/>
  <c r="N1521" s="1"/>
  <c r="P1521" s="1"/>
  <c r="G1371"/>
  <c r="H1371" s="1"/>
  <c r="J1371" s="1"/>
  <c r="L1371" s="1"/>
  <c r="N1371" s="1"/>
  <c r="P1371" s="1"/>
  <c r="R1371" s="1"/>
  <c r="T1371" s="1"/>
  <c r="H1473"/>
  <c r="J1473" s="1"/>
  <c r="L1473" s="1"/>
  <c r="N1473" s="1"/>
  <c r="P1473" s="1"/>
  <c r="R1473" s="1"/>
  <c r="T1473" s="1"/>
  <c r="F18"/>
  <c r="F26" i="1"/>
  <c r="H26" s="1"/>
  <c r="J26" s="1"/>
  <c r="L26" s="1"/>
  <c r="N26" s="1"/>
  <c r="P26" s="1"/>
  <c r="R26" s="1"/>
  <c r="E19"/>
  <c r="I22" i="5"/>
  <c r="K22" s="1"/>
  <c r="M22" s="1"/>
  <c r="O22" s="1"/>
  <c r="Q22" s="1"/>
  <c r="S22" s="1"/>
  <c r="U22" s="1"/>
  <c r="H21"/>
  <c r="I21" s="1"/>
  <c r="K21" s="1"/>
  <c r="M21" s="1"/>
  <c r="O21" s="1"/>
  <c r="Q21" s="1"/>
  <c r="S21" s="1"/>
  <c r="U21" s="1"/>
  <c r="H611" i="6"/>
  <c r="J611" s="1"/>
  <c r="L611" s="1"/>
  <c r="N611" s="1"/>
  <c r="P611" s="1"/>
  <c r="R611" s="1"/>
  <c r="T611" s="1"/>
  <c r="I1491" i="5"/>
  <c r="K1491" s="1"/>
  <c r="M1491" s="1"/>
  <c r="O1491" s="1"/>
  <c r="Q1491" s="1"/>
  <c r="S1491" s="1"/>
  <c r="U1491" s="1"/>
  <c r="R1521" i="6" l="1"/>
  <c r="T1521" s="1"/>
  <c r="U1752" i="5"/>
  <c r="N1412" i="6"/>
  <c r="P1412" s="1"/>
  <c r="R1412" s="1"/>
  <c r="T1412" s="1"/>
  <c r="P1413"/>
  <c r="R1413" s="1"/>
  <c r="T1413" s="1"/>
  <c r="G1823"/>
  <c r="G1752" i="5"/>
  <c r="D67" i="1"/>
  <c r="H18" i="6"/>
  <c r="J18" s="1"/>
  <c r="L18" s="1"/>
  <c r="N18" s="1"/>
  <c r="P18" s="1"/>
  <c r="R18" s="1"/>
  <c r="T18" s="1"/>
  <c r="F1823"/>
  <c r="H1752" i="5"/>
  <c r="F19" i="1"/>
  <c r="H19" s="1"/>
  <c r="J19" s="1"/>
  <c r="L19" s="1"/>
  <c r="N19" s="1"/>
  <c r="P19" s="1"/>
  <c r="R19" s="1"/>
  <c r="R67" s="1"/>
  <c r="E67"/>
  <c r="T1823" i="6" l="1"/>
  <c r="H1823"/>
  <c r="J1823" s="1"/>
  <c r="L1823" s="1"/>
  <c r="I1752" i="5"/>
  <c r="K1752" s="1"/>
  <c r="F67" i="1"/>
  <c r="N1823" i="6" l="1"/>
  <c r="P1823" s="1"/>
  <c r="R1823" s="1"/>
  <c r="M1752" i="5"/>
  <c r="O1752" s="1"/>
  <c r="Q1752" s="1"/>
  <c r="S1752" s="1"/>
  <c r="H67" i="1"/>
  <c r="J67" s="1"/>
  <c r="R1825" i="6" l="1"/>
  <c r="L67" i="1"/>
  <c r="N67" s="1"/>
  <c r="P67" s="1"/>
  <c r="P70" l="1"/>
  <c r="P69"/>
  <c r="A31" i="6"/>
  <c r="T1764" l="1"/>
  <c r="R1765"/>
  <c r="T1765" s="1"/>
  <c r="A735"/>
  <c r="A863" i="5"/>
  <c r="A1757" i="6"/>
  <c r="A170" i="5"/>
  <c r="A1278" i="6"/>
  <c r="A556" i="5"/>
  <c r="A1208" i="6"/>
  <c r="A49" i="5"/>
  <c r="A1578" i="6"/>
  <c r="A760"/>
  <c r="A1730" i="5"/>
  <c r="A1482" i="6"/>
  <c r="A639" i="5"/>
  <c r="A749"/>
  <c r="A721"/>
  <c r="A1302" i="6"/>
  <c r="A635"/>
  <c r="A1612" i="5"/>
  <c r="A33"/>
  <c r="A192"/>
  <c r="A1229"/>
  <c r="A1312"/>
  <c r="A442"/>
  <c r="A1748"/>
  <c r="A997" i="6"/>
  <c r="A333" i="5"/>
  <c r="A239"/>
  <c r="A796"/>
  <c r="A318"/>
  <c r="A768"/>
  <c r="A709" i="6"/>
  <c r="A1559" i="5"/>
  <c r="A1471" i="6"/>
  <c r="A1535"/>
  <c r="A1217" i="5"/>
  <c r="A1107" i="6"/>
  <c r="A1372"/>
  <c r="A950" i="5"/>
  <c r="A406" i="6"/>
  <c r="A1088"/>
  <c r="A1617"/>
  <c r="A453" i="5"/>
  <c r="A86" i="6"/>
  <c r="A177"/>
  <c r="A1266"/>
  <c r="A1059"/>
  <c r="A1546"/>
  <c r="A1609"/>
  <c r="A509"/>
  <c r="A987"/>
  <c r="A1114" i="5"/>
  <c r="A846"/>
  <c r="A525"/>
  <c r="A62" i="6"/>
  <c r="A397"/>
  <c r="A1028"/>
  <c r="A266"/>
  <c r="A351" i="5"/>
  <c r="A1662" i="6"/>
  <c r="A919" i="5"/>
  <c r="A1111" i="6"/>
  <c r="A1261" i="5"/>
  <c r="A1110" i="6"/>
  <c r="A1192" i="5"/>
  <c r="A1508" i="6"/>
  <c r="A744"/>
  <c r="A1635"/>
  <c r="A1019" i="5"/>
  <c r="A135" i="6"/>
  <c r="A455" i="5"/>
  <c r="A1471"/>
  <c r="A1325" i="6"/>
  <c r="A122"/>
  <c r="A309"/>
  <c r="A1529"/>
  <c r="A40" i="5"/>
  <c r="A1126"/>
  <c r="A689"/>
  <c r="A645" i="6"/>
  <c r="A1116" i="5"/>
  <c r="A1314"/>
  <c r="A935"/>
  <c r="A107" i="6"/>
  <c r="A305"/>
  <c r="A571" i="5"/>
  <c r="A752" i="6"/>
  <c r="A1025" i="5"/>
  <c r="A1458"/>
  <c r="A1781" i="6"/>
  <c r="A1053"/>
  <c r="A1194" i="5"/>
  <c r="A1305" i="6"/>
  <c r="A936"/>
  <c r="A447"/>
  <c r="A1565" i="5"/>
  <c r="A1633"/>
  <c r="A597"/>
  <c r="A897" i="6"/>
  <c r="A73"/>
  <c r="A1276"/>
  <c r="A55"/>
  <c r="A1029" i="5"/>
  <c r="A1699"/>
  <c r="A1284"/>
  <c r="A75"/>
  <c r="A1431" i="6"/>
  <c r="A368" i="5"/>
  <c r="A539" i="6"/>
  <c r="A1288" i="5"/>
  <c r="A843"/>
  <c r="A73"/>
  <c r="A248"/>
  <c r="A578" i="6"/>
  <c r="A637" i="5"/>
  <c r="A817" i="6"/>
  <c r="A1106" i="5"/>
  <c r="A335" i="6"/>
  <c r="A249" i="5"/>
  <c r="A379"/>
  <c r="A1675"/>
  <c r="A607" i="6"/>
  <c r="A656"/>
  <c r="A373"/>
  <c r="A767" i="5"/>
  <c r="A1573" i="6"/>
  <c r="A1057" i="5"/>
  <c r="A1227"/>
  <c r="A1682" i="6"/>
  <c r="A308" i="5"/>
  <c r="A1291"/>
  <c r="A839"/>
  <c r="A361"/>
  <c r="A1359" i="6"/>
  <c r="A710"/>
  <c r="A469"/>
  <c r="A993"/>
  <c r="A517"/>
  <c r="A842" i="5"/>
  <c r="A1085"/>
  <c r="A1306" i="6"/>
  <c r="A93" i="5"/>
  <c r="A202"/>
  <c r="A1611" i="6"/>
  <c r="A731"/>
  <c r="A1814"/>
  <c r="A870" i="5"/>
  <c r="A862"/>
  <c r="A1795" i="6"/>
  <c r="A609"/>
  <c r="A932" i="5"/>
  <c r="A511"/>
  <c r="A1572" i="6"/>
  <c r="A352" i="5"/>
  <c r="A588" i="6"/>
  <c r="A1511"/>
  <c r="A1239"/>
  <c r="A367" i="5"/>
  <c r="A1648"/>
  <c r="A484"/>
  <c r="A1557" i="6"/>
  <c r="A1378"/>
  <c r="A824" i="5"/>
  <c r="A310"/>
  <c r="A1406"/>
  <c r="A566"/>
  <c r="A811"/>
  <c r="A1498"/>
  <c r="A1053"/>
  <c r="A1100"/>
  <c r="A284"/>
  <c r="A1271"/>
  <c r="A1079"/>
  <c r="A1562" i="6"/>
  <c r="A591" i="5"/>
  <c r="A515" i="6"/>
  <c r="A1333"/>
  <c r="A1625" i="5"/>
  <c r="A892" i="6"/>
  <c r="A766" i="5"/>
  <c r="A974" i="6"/>
  <c r="A1009" i="5"/>
  <c r="A161" i="6"/>
  <c r="A959"/>
  <c r="A984"/>
  <c r="A1545"/>
  <c r="A175" i="5"/>
  <c r="A1617"/>
  <c r="A160" i="6"/>
  <c r="A1228"/>
  <c r="A629"/>
  <c r="A899"/>
  <c r="A1255" i="5"/>
  <c r="A1124"/>
  <c r="A750" i="6"/>
  <c r="A1334" i="5"/>
  <c r="A1326" i="6"/>
  <c r="A613"/>
  <c r="A931"/>
  <c r="A253" i="5"/>
  <c r="A55"/>
  <c r="A1018"/>
  <c r="A555" i="6"/>
  <c r="A1382"/>
  <c r="A694"/>
  <c r="A1108"/>
  <c r="A1205" i="5"/>
  <c r="A1768" i="6"/>
  <c r="A737"/>
  <c r="A1426" i="5"/>
  <c r="A1445"/>
  <c r="A1089" i="6"/>
  <c r="A221" i="5"/>
  <c r="A449"/>
  <c r="A1487"/>
  <c r="A1727" i="6"/>
  <c r="A968" i="5"/>
  <c r="A889" i="6"/>
  <c r="A1361" i="5"/>
  <c r="A857"/>
  <c r="A486"/>
  <c r="A458" i="6"/>
  <c r="A360" i="5"/>
  <c r="A468" i="6"/>
  <c r="A337" i="5"/>
  <c r="A1485"/>
  <c r="A142"/>
  <c r="A138" i="6"/>
  <c r="A273" i="5"/>
  <c r="A1514"/>
  <c r="A510" i="6"/>
  <c r="A211"/>
  <c r="A154" i="5"/>
  <c r="A634"/>
  <c r="A494"/>
  <c r="A1753" i="6"/>
  <c r="A878" i="5"/>
  <c r="A150"/>
  <c r="A939" i="6"/>
  <c r="A380" i="5"/>
  <c r="A753"/>
  <c r="A345"/>
  <c r="A792" i="6"/>
  <c r="A42" i="5"/>
  <c r="A157" i="6"/>
  <c r="A794" i="5"/>
  <c r="A1160"/>
  <c r="A1030"/>
  <c r="A720" i="6"/>
  <c r="A1153"/>
  <c r="A104" i="5"/>
  <c r="A361" i="6"/>
  <c r="A1732" i="5"/>
  <c r="A1103" i="6"/>
  <c r="A1353" i="5"/>
  <c r="A1487" i="6"/>
  <c r="A450"/>
  <c r="A349" i="5"/>
  <c r="A604" i="6"/>
  <c r="A955"/>
  <c r="A1736" i="5"/>
  <c r="A1601" i="6"/>
  <c r="A1077" i="5"/>
  <c r="A1580"/>
  <c r="A653"/>
  <c r="A910" i="6"/>
  <c r="A399" i="5"/>
  <c r="A903" i="6"/>
  <c r="A726" i="5"/>
  <c r="A405" i="6"/>
  <c r="A437"/>
  <c r="A1659" i="5"/>
  <c r="A1780" i="6"/>
  <c r="A217"/>
  <c r="A593" i="5"/>
  <c r="A1246"/>
  <c r="A275"/>
  <c r="A1384" i="6"/>
  <c r="A212"/>
  <c r="A1558"/>
  <c r="A94" i="5"/>
  <c r="A1627" i="6"/>
  <c r="A1103" i="5"/>
  <c r="A446" i="6"/>
  <c r="A868" i="5"/>
  <c r="A996" i="6"/>
  <c r="A1646" i="5"/>
  <c r="A1159" i="6"/>
  <c r="A1463" i="5"/>
  <c r="A389"/>
  <c r="A779"/>
  <c r="A1790" i="6"/>
  <c r="A789" i="5"/>
  <c r="A411"/>
  <c r="A765" i="6"/>
  <c r="A566"/>
  <c r="A753"/>
  <c r="A531"/>
  <c r="A386"/>
  <c r="A1293"/>
  <c r="A409" i="5"/>
  <c r="A185" i="6"/>
  <c r="A1592"/>
  <c r="A555" i="5"/>
  <c r="A1057" i="6"/>
  <c r="A999"/>
  <c r="A476" i="5"/>
  <c r="A472"/>
  <c r="A719"/>
  <c r="A967"/>
  <c r="A240" i="6"/>
  <c r="A1306" i="5"/>
  <c r="A770" i="6"/>
  <c r="A424"/>
  <c r="A152" i="5"/>
  <c r="A1556" i="6"/>
  <c r="A1348"/>
  <c r="A1397" i="5"/>
  <c r="A549" i="6"/>
  <c r="A891" i="5"/>
  <c r="A1189"/>
  <c r="A777"/>
  <c r="A757"/>
  <c r="A628" i="6"/>
  <c r="A1579"/>
  <c r="A1519" i="5"/>
  <c r="A1193"/>
  <c r="A1784" i="6"/>
  <c r="A1067"/>
  <c r="A206" i="5"/>
  <c r="A1750" i="6"/>
  <c r="A102"/>
  <c r="A662"/>
  <c r="A1033"/>
  <c r="A178" i="5"/>
  <c r="A1283"/>
  <c r="A1313"/>
  <c r="A471"/>
  <c r="A1499"/>
  <c r="A311" i="6"/>
  <c r="A80" i="5"/>
  <c r="A372" i="6"/>
  <c r="A363"/>
  <c r="A1104" i="5"/>
  <c r="A1026"/>
  <c r="A1244"/>
  <c r="A871" i="6"/>
  <c r="A1507"/>
  <c r="A1105"/>
  <c r="A1452" i="5"/>
  <c r="A94" i="6"/>
  <c r="A512" i="5"/>
  <c r="A370"/>
  <c r="A1656"/>
  <c r="A452"/>
  <c r="A1431"/>
  <c r="A438" i="6"/>
  <c r="A1437"/>
  <c r="A1241" i="5"/>
  <c r="A1663" i="6"/>
  <c r="A996" i="5"/>
  <c r="A144"/>
  <c r="A1072"/>
  <c r="A512" i="6"/>
  <c r="A1399"/>
  <c r="A250" i="5"/>
  <c r="A713" i="6"/>
  <c r="A1138" i="5"/>
  <c r="A383"/>
  <c r="A1604" i="6"/>
  <c r="A876" i="5"/>
  <c r="A679" i="6"/>
  <c r="A89" i="5"/>
  <c r="A1145" i="6"/>
  <c r="A360"/>
  <c r="A1597" i="5"/>
  <c r="A1595"/>
  <c r="A1256"/>
  <c r="A681" i="6"/>
  <c r="A125" i="5"/>
  <c r="A283"/>
  <c r="A1792" i="6"/>
  <c r="A446" i="5"/>
  <c r="A477" i="6"/>
  <c r="A896" i="5"/>
  <c r="A851" i="6"/>
  <c r="A1407" i="5"/>
  <c r="A203" i="6"/>
  <c r="A894" i="5"/>
  <c r="A797"/>
  <c r="A980" i="6"/>
  <c r="A74" i="5"/>
  <c r="A1352" i="6"/>
  <c r="A1588"/>
  <c r="A1501" i="5"/>
  <c r="A579" i="6"/>
  <c r="A1295"/>
  <c r="A610"/>
  <c r="A963"/>
  <c r="A296" i="5"/>
  <c r="A751"/>
  <c r="A769" i="6"/>
  <c r="A1129"/>
  <c r="A747"/>
  <c r="A910" i="5"/>
  <c r="A818"/>
  <c r="A1577"/>
  <c r="A1594" i="6"/>
  <c r="A1506"/>
  <c r="A1624" i="5"/>
  <c r="A818" i="6"/>
  <c r="A807" i="5"/>
  <c r="A1486" i="6"/>
  <c r="A1409"/>
  <c r="A1133"/>
  <c r="A177" i="5"/>
  <c r="A978" i="6"/>
  <c r="A602"/>
  <c r="A159" i="5"/>
  <c r="A693" i="6"/>
  <c r="A707"/>
  <c r="A1473"/>
  <c r="A1522" i="5"/>
  <c r="A1698"/>
  <c r="A1333"/>
  <c r="A1203"/>
  <c r="A1350" i="6"/>
  <c r="A692"/>
  <c r="A79" i="5"/>
  <c r="A1645"/>
  <c r="A1120"/>
  <c r="A52"/>
  <c r="A1600"/>
  <c r="A1625" i="6"/>
  <c r="A853" i="5"/>
  <c r="A532" i="6"/>
  <c r="A1760"/>
  <c r="A218"/>
  <c r="A1109" i="5"/>
  <c r="A757" i="6"/>
  <c r="A36" i="5"/>
  <c r="A89" i="6"/>
  <c r="A561" i="5"/>
  <c r="A434" i="6"/>
  <c r="A1173" i="5"/>
  <c r="A219" i="6"/>
  <c r="A48" i="5"/>
  <c r="A1767" i="6"/>
  <c r="A1009"/>
  <c r="A649" i="5"/>
  <c r="A825" i="6"/>
  <c r="A228" i="5"/>
  <c r="A924"/>
  <c r="A1720" i="6"/>
  <c r="A778" i="5"/>
  <c r="A1069"/>
  <c r="A1007"/>
  <c r="A395" i="6"/>
  <c r="A888" i="5"/>
  <c r="A725" i="6"/>
  <c r="A904" i="5"/>
  <c r="A921"/>
  <c r="A640"/>
  <c r="A951" i="6"/>
  <c r="A728"/>
  <c r="A483" i="5"/>
  <c r="A1603"/>
  <c r="A482"/>
  <c r="A990"/>
  <c r="A85" i="6"/>
  <c r="A1292" i="5"/>
  <c r="A1152"/>
  <c r="A792"/>
  <c r="A1397" i="6"/>
  <c r="A1788"/>
  <c r="A1796"/>
  <c r="A1518" i="5"/>
  <c r="A213"/>
  <c r="A536"/>
  <c r="A625" i="6"/>
  <c r="A143" i="5"/>
  <c r="A1248"/>
  <c r="A534"/>
  <c r="A45" i="6"/>
  <c r="A636"/>
  <c r="A859"/>
  <c r="A490"/>
  <c r="A493"/>
  <c r="A762" i="5"/>
  <c r="A1289"/>
  <c r="A1226" i="6"/>
  <c r="A1621"/>
  <c r="A1121" i="5"/>
  <c r="A1072" i="6"/>
  <c r="A998" i="5"/>
  <c r="A995" i="6"/>
  <c r="A127" i="5"/>
  <c r="A522"/>
  <c r="A1461"/>
  <c r="A319" i="6"/>
  <c r="A1694" i="5"/>
  <c r="A1495" i="6"/>
  <c r="A250"/>
  <c r="A1404"/>
  <c r="A902" i="5"/>
  <c r="A1089"/>
  <c r="A25"/>
  <c r="A1156"/>
  <c r="A1742" i="6"/>
  <c r="A854" i="5"/>
  <c r="A634" i="6"/>
  <c r="A1051" i="5"/>
  <c r="A1637"/>
  <c r="A1048" i="6"/>
  <c r="A787" i="5"/>
  <c r="A1635"/>
  <c r="A256"/>
  <c r="A227"/>
  <c r="A1559" i="6"/>
  <c r="A1367"/>
  <c r="A531" i="5"/>
  <c r="A1102" i="6"/>
  <c r="A1080" i="5"/>
  <c r="A1241" i="6"/>
  <c r="A1503" i="5"/>
  <c r="A1723" i="6"/>
  <c r="A1579" i="5"/>
  <c r="A1338" i="6"/>
  <c r="A292"/>
  <c r="A60"/>
  <c r="A1620"/>
  <c r="A915" i="5"/>
  <c r="A27"/>
  <c r="A494" i="6"/>
  <c r="A1049" i="5"/>
  <c r="A847"/>
  <c r="A900"/>
  <c r="A260"/>
  <c r="A139" i="6"/>
  <c r="A39" i="5"/>
  <c r="A183"/>
  <c r="A720"/>
  <c r="A353" i="6"/>
  <c r="A1265"/>
  <c r="A160" i="5"/>
  <c r="A247" i="6"/>
  <c r="A1008" i="5"/>
  <c r="A1804" i="6"/>
  <c r="A1463"/>
  <c r="A676"/>
  <c r="A1724" i="5"/>
  <c r="A1596" i="6"/>
  <c r="A1091"/>
  <c r="A226"/>
  <c r="A169"/>
  <c r="A142"/>
  <c r="A322"/>
  <c r="A1602" i="5"/>
  <c r="A1432"/>
  <c r="A572" i="6"/>
  <c r="A1812"/>
  <c r="A750" i="5"/>
  <c r="A369" i="6"/>
  <c r="A1665"/>
  <c r="A182" i="5"/>
  <c r="A960" i="6"/>
  <c r="A1455" i="5"/>
  <c r="A1638"/>
  <c r="A661"/>
  <c r="A346"/>
  <c r="A443"/>
  <c r="A1593"/>
  <c r="A326"/>
  <c r="A1251"/>
  <c r="A381"/>
  <c r="A1750"/>
  <c r="A550"/>
  <c r="A1101"/>
  <c r="A1319"/>
  <c r="A533"/>
  <c r="A210"/>
  <c r="A661" i="6"/>
  <c r="A166" i="5"/>
  <c r="A964"/>
  <c r="A803" i="6"/>
  <c r="A642"/>
  <c r="A617" i="5"/>
  <c r="A1294"/>
  <c r="A516"/>
  <c r="A209"/>
  <c r="A187" i="6"/>
  <c r="A794"/>
  <c r="A51" i="5"/>
  <c r="A521" i="6"/>
  <c r="A59"/>
  <c r="A1605"/>
  <c r="A1527" i="5"/>
  <c r="A285" i="6"/>
  <c r="A845" i="5"/>
  <c r="A1020" i="6"/>
  <c r="A71"/>
  <c r="A205" i="5"/>
  <c r="A906"/>
  <c r="A104" i="6"/>
  <c r="A1549"/>
  <c r="A282"/>
  <c r="A564" i="5"/>
  <c r="A319"/>
  <c r="A488"/>
  <c r="A621"/>
  <c r="A1622" i="6"/>
  <c r="A233" i="5"/>
  <c r="A831"/>
  <c r="A1341" i="6"/>
  <c r="A867"/>
  <c r="A837" i="5"/>
  <c r="A1481"/>
  <c r="A714"/>
  <c r="A155" i="6"/>
  <c r="A1245"/>
  <c r="A279"/>
  <c r="A912" i="5"/>
  <c r="A257"/>
  <c r="A1602" i="6"/>
  <c r="A1460"/>
  <c r="A165" i="5"/>
  <c r="A597" i="6"/>
  <c r="A68"/>
  <c r="A1639" i="5"/>
  <c r="A156" i="6"/>
  <c r="A186" i="5"/>
  <c r="A253" i="6"/>
  <c r="A533"/>
  <c r="A508"/>
  <c r="A1137" i="5"/>
  <c r="A835"/>
  <c r="A1745" i="6"/>
  <c r="A517" i="5"/>
  <c r="A1005"/>
  <c r="A1351" i="6"/>
  <c r="A1341" i="5"/>
  <c r="A522" i="6"/>
  <c r="A214"/>
  <c r="A966" i="5"/>
  <c r="A1401" i="6"/>
  <c r="A730" i="5"/>
  <c r="A1287"/>
  <c r="A1296"/>
  <c r="A1345" i="6"/>
  <c r="A254" i="5"/>
  <c r="A1186"/>
  <c r="A529" i="6"/>
  <c r="A1467" i="5"/>
  <c r="A763" i="6"/>
  <c r="A1131" i="5"/>
  <c r="A851"/>
  <c r="A1565" i="6"/>
  <c r="A947" i="5"/>
  <c r="A1779" i="6"/>
  <c r="A688" i="5"/>
  <c r="A618"/>
  <c r="A1726" i="6"/>
  <c r="A1160"/>
  <c r="A602" i="5"/>
  <c r="A92"/>
  <c r="A1470" i="6"/>
  <c r="A344" i="5"/>
  <c r="A387"/>
  <c r="A231"/>
  <c r="A1505"/>
  <c r="A262" i="6"/>
  <c r="A1012" i="5"/>
  <c r="A321"/>
  <c r="A1041" i="6"/>
  <c r="A1274"/>
  <c r="A1335"/>
  <c r="A769" i="5"/>
  <c r="A1016"/>
  <c r="A1161" i="6"/>
  <c r="A1634" i="5"/>
  <c r="A1219"/>
  <c r="A521"/>
  <c r="A1819" i="6"/>
  <c r="A391"/>
  <c r="A43" i="5"/>
  <c r="A1817" i="6"/>
  <c r="A776" i="5"/>
  <c r="A1465" i="6"/>
  <c r="A410" i="5"/>
  <c r="A1099" i="6"/>
  <c r="A1122" i="5"/>
  <c r="A421"/>
  <c r="A1343"/>
  <c r="A865"/>
  <c r="A1119"/>
  <c r="A857" i="6"/>
  <c r="A1357"/>
  <c r="A421"/>
  <c r="A800"/>
  <c r="A1523"/>
  <c r="A38" i="5"/>
  <c r="A1258"/>
  <c r="A1337" i="6"/>
  <c r="A479"/>
  <c r="A151"/>
  <c r="A1590" i="5"/>
  <c r="A1548" i="6"/>
  <c r="A1236" i="5"/>
  <c r="A519" i="6"/>
  <c r="A23"/>
  <c r="A84" i="5"/>
  <c r="A1073"/>
  <c r="A1405"/>
  <c r="A1526"/>
  <c r="A622" i="6"/>
  <c r="A696"/>
  <c r="A1360" i="5"/>
  <c r="A1505" i="6"/>
  <c r="A1731"/>
  <c r="A1066"/>
  <c r="A615"/>
  <c r="A975" i="5"/>
  <c r="A633"/>
  <c r="A272"/>
  <c r="A1587" i="6"/>
  <c r="A1489"/>
  <c r="A191" i="5"/>
  <c r="A1614" i="6"/>
  <c r="A1677"/>
  <c r="A784" i="5"/>
  <c r="A952" i="6"/>
  <c r="A1056"/>
  <c r="A430"/>
  <c r="A194" i="5"/>
  <c r="A773"/>
  <c r="A1516"/>
  <c r="A584" i="6"/>
  <c r="A1143"/>
  <c r="A913" i="5"/>
  <c r="A1650"/>
  <c r="A466"/>
  <c r="A909"/>
  <c r="A1404"/>
  <c r="A528"/>
  <c r="A223" i="6"/>
  <c r="A1273" i="5"/>
  <c r="A755"/>
  <c r="A1131" i="6"/>
  <c r="A1085"/>
  <c r="A1578" i="5"/>
  <c r="A224" i="6"/>
  <c r="A1224" i="5"/>
  <c r="A1252"/>
  <c r="A1209"/>
  <c r="A880"/>
  <c r="A974"/>
  <c r="A1515"/>
  <c r="A1626" i="6"/>
  <c r="A237" i="5"/>
  <c r="A180" i="6"/>
  <c r="A1093"/>
  <c r="A538"/>
  <c r="A448" i="5"/>
  <c r="A1371" i="6"/>
  <c r="A595"/>
  <c r="A484"/>
  <c r="A322" i="5"/>
  <c r="A301"/>
  <c r="A348"/>
  <c r="A459"/>
  <c r="A1761" i="6"/>
  <c r="A293" i="5"/>
  <c r="A487" i="6"/>
  <c r="A225" i="5"/>
  <c r="A1237" i="6"/>
  <c r="A911"/>
  <c r="A1472" i="5"/>
  <c r="A505"/>
  <c r="A1354" i="6"/>
  <c r="A635" i="5"/>
  <c r="A1113"/>
  <c r="A513"/>
  <c r="A97" i="6"/>
  <c r="A548" i="5"/>
  <c r="A772"/>
  <c r="A482" i="6"/>
  <c r="A76" i="5"/>
  <c r="A1443"/>
  <c r="A1191"/>
  <c r="A1460"/>
  <c r="A804"/>
  <c r="A1244" i="6"/>
  <c r="A1416" i="5"/>
  <c r="A1616" i="6"/>
  <c r="A1801"/>
  <c r="A1436"/>
  <c r="A150"/>
  <c r="A392"/>
  <c r="A1484" i="5"/>
  <c r="A933"/>
  <c r="A96" i="6"/>
  <c r="A810"/>
  <c r="A207"/>
  <c r="A1524"/>
  <c r="A1145" i="5"/>
  <c r="A375" i="6"/>
  <c r="A1425" i="5"/>
  <c r="A1528"/>
  <c r="A663"/>
  <c r="A1296" i="6"/>
  <c r="A981"/>
  <c r="A1522"/>
  <c r="A33"/>
  <c r="A685" i="5"/>
  <c r="A1031"/>
  <c r="A274" i="6"/>
  <c r="A1286" i="5"/>
  <c r="A70" i="6"/>
  <c r="A324"/>
  <c r="A827" i="5"/>
  <c r="A1427"/>
  <c r="A155"/>
  <c r="A715"/>
  <c r="A751" i="6"/>
  <c r="A265" i="5"/>
  <c r="A895"/>
  <c r="A1020"/>
  <c r="A137" i="6"/>
  <c r="A1040"/>
  <c r="A1253" i="5"/>
  <c r="A559" i="6"/>
  <c r="A480"/>
  <c r="A945"/>
  <c r="A126" i="5"/>
  <c r="A758" i="6"/>
  <c r="A468" i="5"/>
  <c r="A1596"/>
  <c r="A600"/>
  <c r="A1068"/>
  <c r="A206" i="6"/>
  <c r="A1101"/>
  <c r="A1095" i="5"/>
  <c r="A901" i="6"/>
  <c r="A1492" i="5"/>
  <c r="A1110"/>
  <c r="A238"/>
  <c r="A544" i="6"/>
  <c r="A1125" i="5"/>
  <c r="A1128"/>
  <c r="A1043"/>
  <c r="A106"/>
  <c r="A1746" i="6"/>
  <c r="A1113"/>
  <c r="A1094"/>
  <c r="A621"/>
  <c r="A1247" i="5"/>
  <c r="A1666" i="6"/>
  <c r="A1054"/>
  <c r="A786" i="5"/>
  <c r="A469"/>
  <c r="A19" i="6"/>
  <c r="A1346" i="5"/>
  <c r="A181" i="6"/>
  <c r="A1472"/>
  <c r="A1154"/>
  <c r="A1603"/>
  <c r="A1127" i="5"/>
  <c r="A1724" i="6"/>
  <c r="A1658" i="5"/>
  <c r="A1476" i="6"/>
  <c r="A1554"/>
  <c r="A1557" i="5"/>
  <c r="A235"/>
  <c r="A865" i="6"/>
  <c r="A576"/>
  <c r="A1681"/>
  <c r="A1521" i="5"/>
  <c r="A399" i="6"/>
  <c r="A612" i="5"/>
  <c r="A1493" i="6"/>
  <c r="A675" i="5"/>
  <c r="A1087"/>
  <c r="A1462" i="6"/>
  <c r="A767"/>
  <c r="A1417"/>
  <c r="A773"/>
  <c r="A1221" i="5"/>
  <c r="A1435"/>
  <c r="A1329" i="6"/>
  <c r="A242"/>
  <c r="A1783"/>
  <c r="A303" i="5"/>
  <c r="A1722" i="6"/>
  <c r="A678"/>
  <c r="A1099" i="5"/>
  <c r="A1567" i="6"/>
  <c r="A1070"/>
  <c r="A1133" i="5"/>
  <c r="A617" i="6"/>
  <c r="A980" i="5"/>
  <c r="A1490"/>
  <c r="A1228"/>
  <c r="A394" i="6"/>
  <c r="A115" i="5"/>
  <c r="A1513" i="6"/>
  <c r="A511"/>
  <c r="A1627" i="5"/>
  <c r="A328" i="6"/>
  <c r="A1425"/>
  <c r="A1090"/>
  <c r="A1576"/>
  <c r="A422" i="5"/>
  <c r="A1115"/>
  <c r="A85"/>
  <c r="A1078"/>
  <c r="A596" i="6"/>
  <c r="A705" i="5"/>
  <c r="A1647"/>
  <c r="A1654" i="6"/>
  <c r="A1517" i="5"/>
  <c r="A516" i="6"/>
  <c r="A168"/>
  <c r="A271" i="5"/>
  <c r="A324"/>
  <c r="A1577" i="6"/>
  <c r="A812" i="5"/>
  <c r="A103"/>
  <c r="A1661"/>
  <c r="A121"/>
  <c r="A1290"/>
  <c r="A832"/>
  <c r="A280"/>
  <c r="A382"/>
  <c r="A1441" i="6"/>
  <c r="A554" i="5"/>
  <c r="A1455" i="6"/>
  <c r="A136"/>
  <c r="A541"/>
  <c r="A369" i="5"/>
  <c r="A1032"/>
  <c r="A1379" i="6"/>
  <c r="A574" i="5"/>
  <c r="A156"/>
  <c r="A1610" i="6"/>
  <c r="A22"/>
  <c r="A1636"/>
  <c r="A1491"/>
  <c r="A1328"/>
  <c r="A132" i="5"/>
  <c r="A1575" i="6"/>
  <c r="A1222" i="5"/>
  <c r="A1195"/>
  <c r="A667" i="6"/>
  <c r="A704" i="5"/>
  <c r="A318" i="6"/>
  <c r="A492"/>
  <c r="A1250" i="5"/>
  <c r="A1223"/>
  <c r="A1626"/>
  <c r="A198"/>
  <c r="A1098"/>
  <c r="A826"/>
  <c r="A28"/>
  <c r="A153"/>
  <c r="A850"/>
  <c r="A1086"/>
  <c r="A465"/>
  <c r="A784" i="6"/>
  <c r="A1146" i="5"/>
  <c r="A26"/>
  <c r="A385" i="6"/>
  <c r="A209"/>
  <c r="A57"/>
  <c r="A567"/>
  <c r="A672"/>
  <c r="A358"/>
  <c r="A523" i="5"/>
  <c r="A699" i="6"/>
  <c r="A1310" i="5"/>
  <c r="A1652" i="6"/>
  <c r="A281"/>
  <c r="A210"/>
  <c r="A392" i="5"/>
  <c r="A536" i="6"/>
  <c r="A1157" i="5"/>
  <c r="A909" i="6"/>
  <c r="A1123" i="5"/>
  <c r="A1309"/>
  <c r="A118"/>
  <c r="A1102"/>
  <c r="A920"/>
  <c r="A965"/>
  <c r="A747"/>
  <c r="A1335"/>
  <c r="A705" i="6"/>
  <c r="A823" i="5"/>
  <c r="A54"/>
  <c r="A933" i="6"/>
  <c r="A1304" i="5"/>
  <c r="A53"/>
  <c r="A1390" i="6"/>
  <c r="A1732"/>
  <c r="A167" i="5"/>
  <c r="A657"/>
  <c r="A897"/>
  <c r="A1205" i="6"/>
  <c r="A81"/>
  <c r="A1456"/>
  <c r="A1275" i="5"/>
  <c r="A650"/>
  <c r="A169"/>
  <c r="A833"/>
  <c r="A1614"/>
  <c r="A352" i="6"/>
  <c r="A406" i="5"/>
  <c r="A148" i="6"/>
  <c r="A1497"/>
  <c r="A1090" i="5"/>
  <c r="A331" i="6"/>
  <c r="A592" i="5"/>
  <c r="A834"/>
  <c r="A95" i="6"/>
  <c r="A152"/>
  <c r="A997" i="5"/>
  <c r="A1144" i="6"/>
  <c r="A131"/>
  <c r="A349"/>
  <c r="A1443"/>
  <c r="A600"/>
  <c r="A63"/>
  <c r="A196"/>
  <c r="A1091" i="5"/>
  <c r="A419" i="6"/>
  <c r="A31" i="5"/>
  <c r="A314"/>
  <c r="A1592"/>
  <c r="A1582" i="6"/>
  <c r="A113"/>
  <c r="A1235" i="5"/>
  <c r="A50"/>
  <c r="A1789" i="6"/>
  <c r="A454" i="5"/>
  <c r="A88" i="6"/>
  <c r="A1317" i="5"/>
  <c r="A1086" i="6"/>
  <c r="A543"/>
  <c r="A888"/>
  <c r="A1822"/>
  <c r="A45" i="5"/>
  <c r="A1006"/>
  <c r="A396" i="6"/>
  <c r="A673" i="5"/>
  <c r="A290" i="6"/>
  <c r="A1464"/>
  <c r="A1534"/>
  <c r="A231"/>
  <c r="A1412" i="5"/>
  <c r="A1156" i="6"/>
  <c r="A568"/>
  <c r="A424" i="5"/>
  <c r="A133" i="6"/>
  <c r="A1260" i="5"/>
  <c r="A924" i="6"/>
  <c r="A1746" i="5"/>
  <c r="A665" i="6"/>
  <c r="A1527"/>
  <c r="A248"/>
  <c r="A1491" i="5"/>
  <c r="A1480" i="6"/>
  <c r="A420" i="5"/>
  <c r="A614"/>
  <c r="A1323"/>
  <c r="A321" i="6"/>
  <c r="A1332" i="5"/>
  <c r="A1398" i="6"/>
  <c r="A263" i="5"/>
  <c r="A1758" i="6"/>
  <c r="A483"/>
  <c r="A864"/>
  <c r="A632"/>
  <c r="A1601" i="5"/>
  <c r="A1155"/>
  <c r="A1360" i="6"/>
  <c r="A1233" i="5"/>
  <c r="A1339"/>
  <c r="A1733"/>
  <c r="A1106" i="6"/>
  <c r="A904"/>
  <c r="A1234" i="5"/>
  <c r="A982"/>
  <c r="A462"/>
  <c r="A926" i="6"/>
  <c r="A1417" i="5"/>
  <c r="A229"/>
  <c r="A1564" i="6"/>
  <c r="A803" i="5"/>
  <c r="A1363" i="6"/>
  <c r="A671"/>
  <c r="A183"/>
  <c r="A151" i="5"/>
  <c r="A288"/>
  <c r="A477"/>
  <c r="A1561" i="6"/>
  <c r="A264" i="5"/>
  <c r="A1141" i="6"/>
  <c r="A90" i="5"/>
  <c r="A653" i="6"/>
  <c r="A212" i="5"/>
  <c r="A558" i="6"/>
  <c r="A1150" i="5"/>
  <c r="A990" i="6"/>
  <c r="A856"/>
  <c r="A1410"/>
  <c r="A43"/>
  <c r="A184"/>
  <c r="A224" i="5"/>
  <c r="A1631" i="6"/>
  <c r="A1735" i="5"/>
  <c r="A927"/>
  <c r="A905" i="6"/>
  <c r="A937"/>
  <c r="A255"/>
  <c r="A680" i="5"/>
  <c r="A128"/>
  <c r="A727"/>
  <c r="A98" i="6"/>
  <c r="A1147"/>
  <c r="A1050" i="5"/>
  <c r="A1584"/>
  <c r="A460"/>
  <c r="A1520"/>
  <c r="A1553" i="6"/>
  <c r="A197"/>
  <c r="A1127"/>
  <c r="A1598" i="5"/>
  <c r="A1013"/>
  <c r="A1321"/>
  <c r="A1427" i="6"/>
  <c r="A864" i="5"/>
  <c r="A683" i="6"/>
  <c r="A298" i="5"/>
  <c r="A467"/>
  <c r="A760"/>
  <c r="A1763" i="6"/>
  <c r="A1097" i="5"/>
  <c r="A268" i="6"/>
  <c r="A1149"/>
  <c r="A341"/>
  <c r="A1037"/>
  <c r="A327"/>
  <c r="A1747"/>
  <c r="A269" i="5"/>
  <c r="A350" i="6"/>
  <c r="A92"/>
  <c r="A701"/>
  <c r="A1607"/>
  <c r="A1583" i="5"/>
  <c r="A1453"/>
  <c r="A176" i="6"/>
  <c r="A1740" i="5"/>
  <c r="A1375"/>
  <c r="A788"/>
  <c r="A801" i="6"/>
  <c r="A574"/>
  <c r="A197" i="5"/>
  <c r="A969"/>
  <c r="A135"/>
  <c r="A900" i="6"/>
  <c r="A1755"/>
  <c r="A1447"/>
  <c r="A1528"/>
  <c r="A644"/>
  <c r="A1475"/>
  <c r="A451"/>
  <c r="A726"/>
  <c r="A76"/>
  <c r="A527"/>
  <c r="A1448"/>
  <c r="A1594" i="5"/>
  <c r="A218"/>
  <c r="A53" i="6"/>
  <c r="A503" i="5"/>
  <c r="A1231"/>
  <c r="A1308"/>
  <c r="A631"/>
  <c r="A813"/>
  <c r="A1414"/>
  <c r="A222" i="6"/>
  <c r="A782"/>
  <c r="A755"/>
  <c r="A989"/>
  <c r="A658" i="5"/>
  <c r="A458"/>
  <c r="A873"/>
  <c r="A599" i="6"/>
  <c r="A563" i="5"/>
  <c r="A178" i="6"/>
  <c r="A1741"/>
  <c r="A1805"/>
  <c r="A284"/>
  <c r="A205"/>
  <c r="A1264" i="5"/>
  <c r="A475"/>
  <c r="A1657"/>
  <c r="A802" i="6"/>
  <c r="A1629"/>
  <c r="A806" i="5"/>
  <c r="A1320"/>
  <c r="A496"/>
  <c r="A274"/>
  <c r="A1178"/>
  <c r="A1026" i="6"/>
  <c r="A495" i="5"/>
  <c r="A21"/>
  <c r="A334" i="6"/>
  <c r="A1243" i="5"/>
  <c r="A1135"/>
  <c r="A1488"/>
  <c r="A863" i="6"/>
  <c r="A215"/>
  <c r="A34" i="5"/>
  <c r="A1007" i="6"/>
  <c r="A1018"/>
  <c r="A1367" i="5"/>
  <c r="A1433"/>
  <c r="A547"/>
  <c r="A861" i="6"/>
  <c r="A1731" i="5"/>
  <c r="A1025" i="6"/>
  <c r="A524" i="5"/>
  <c r="A1555" i="6"/>
  <c r="A1544"/>
  <c r="A1096"/>
  <c r="A601"/>
  <c r="A674" i="5"/>
  <c r="A108"/>
  <c r="A365"/>
  <c r="A356" i="6"/>
  <c r="A922" i="5"/>
  <c r="A291"/>
  <c r="A1155" i="6"/>
  <c r="A1501"/>
  <c r="A263"/>
  <c r="A1392"/>
  <c r="A1327" i="5"/>
  <c r="A195"/>
  <c r="A1017" i="6"/>
  <c r="A1034"/>
  <c r="A802" i="5"/>
  <c r="A145"/>
  <c r="A887"/>
  <c r="A141"/>
  <c r="A1446" i="6"/>
  <c r="A1184" i="5"/>
  <c r="A1387" i="6"/>
  <c r="A415"/>
  <c r="A1369" i="5"/>
  <c r="A1055"/>
  <c r="A1449" i="6"/>
  <c r="A189"/>
  <c r="A1242"/>
  <c r="A436"/>
  <c r="A958"/>
  <c r="A565"/>
  <c r="A1719"/>
  <c r="A1340"/>
  <c r="A1015"/>
  <c r="A528"/>
  <c r="A995" i="5"/>
  <c r="A744"/>
  <c r="A519"/>
  <c r="A733"/>
  <c r="A884"/>
  <c r="A1738"/>
  <c r="A623" i="6"/>
  <c r="A764"/>
  <c r="A1442"/>
  <c r="A804"/>
  <c r="A1575" i="5"/>
  <c r="A570"/>
  <c r="A1509" i="6"/>
  <c r="A882" i="5"/>
  <c r="A647"/>
  <c r="A573"/>
  <c r="A1782" i="6"/>
  <c r="A561"/>
  <c r="A1419" i="5"/>
  <c r="A416"/>
  <c r="A1272" i="6"/>
  <c r="A590" i="5"/>
  <c r="A678"/>
  <c r="A184"/>
  <c r="A1797" i="6"/>
  <c r="A510" i="5"/>
  <c r="A1307"/>
  <c r="A1574" i="6"/>
  <c r="A1330"/>
  <c r="A921"/>
  <c r="A1776"/>
  <c r="A849" i="5"/>
  <c r="A412"/>
  <c r="A46" i="6"/>
  <c r="A944"/>
  <c r="A1070" i="5"/>
  <c r="A1014"/>
  <c r="A461"/>
  <c r="A1672"/>
  <c r="A923"/>
  <c r="A545" i="6"/>
  <c r="A1141" i="5"/>
  <c r="A1742"/>
  <c r="A290"/>
  <c r="A193"/>
  <c r="A1396" i="6"/>
  <c r="A466"/>
  <c r="A819" i="5"/>
  <c r="A810"/>
  <c r="A1643"/>
  <c r="A1237"/>
  <c r="A404"/>
  <c r="A774" i="6"/>
  <c r="A599" i="5"/>
  <c r="A220"/>
  <c r="A1629"/>
  <c r="A1039" i="6"/>
  <c r="A664" i="5"/>
  <c r="A1696"/>
  <c r="A1482"/>
  <c r="A1257"/>
  <c r="A1444"/>
  <c r="A724" i="6"/>
  <c r="A1589"/>
  <c r="A793" i="5"/>
  <c r="A1589"/>
  <c r="A336" i="6"/>
  <c r="A117" i="5"/>
  <c r="A391"/>
  <c r="A1766" i="6"/>
  <c r="A1486" i="5"/>
  <c r="A475" i="6"/>
  <c r="A681" i="5"/>
  <c r="A840"/>
  <c r="A1064" i="6"/>
  <c r="A940"/>
  <c r="A1208" i="5"/>
  <c r="A1362" i="6"/>
  <c r="A1376"/>
  <c r="A1206" i="5"/>
  <c r="A829"/>
  <c r="A259"/>
  <c r="A1392"/>
  <c r="A1023" i="6"/>
  <c r="A589" i="5"/>
  <c r="A1071" i="6"/>
  <c r="A1286"/>
  <c r="A280"/>
  <c r="A505"/>
  <c r="A130" i="5"/>
  <c r="A211"/>
  <c r="A1667" i="6"/>
  <c r="A791" i="5"/>
  <c r="A541"/>
  <c r="A748"/>
  <c r="A526" i="6"/>
  <c r="A1010" i="5"/>
  <c r="A992" i="6"/>
  <c r="A1729" i="5"/>
  <c r="A901"/>
  <c r="A640" i="6"/>
  <c r="A514"/>
  <c r="A659"/>
  <c r="A417" i="5"/>
  <c r="A975" i="6"/>
  <c r="A1459"/>
  <c r="A365"/>
  <c r="A596" i="5"/>
  <c r="A956" i="6"/>
  <c r="A232" i="5"/>
  <c r="A562" i="6"/>
  <c r="A712"/>
  <c r="A195"/>
  <c r="A497"/>
  <c r="A474"/>
  <c r="A1254" i="5"/>
  <c r="A508"/>
  <c r="A926"/>
  <c r="A1673" i="6"/>
  <c r="A394" i="5"/>
  <c r="A1069" i="6"/>
  <c r="A66"/>
  <c r="A994" i="5"/>
  <c r="A1737"/>
  <c r="A1552" i="6"/>
  <c r="A170"/>
  <c r="A67"/>
  <c r="A914" i="5"/>
  <c r="A611" i="6"/>
  <c r="A542"/>
  <c r="A1043"/>
  <c r="A915"/>
  <c r="A402" i="5"/>
  <c r="A1370"/>
  <c r="A518"/>
  <c r="A1126" i="6"/>
  <c r="A1591" i="5"/>
  <c r="A669"/>
  <c r="A281"/>
  <c r="A404" i="6"/>
  <c r="A1112" i="5"/>
  <c r="A223"/>
  <c r="A954" i="6"/>
  <c r="A636" i="5"/>
  <c r="A395"/>
  <c r="A1653"/>
  <c r="A951"/>
  <c r="A208"/>
  <c r="A898" i="6"/>
  <c r="A1033" i="5"/>
  <c r="A1529"/>
  <c r="A1369" i="6"/>
  <c r="A100"/>
  <c r="A952" i="5"/>
  <c r="A338"/>
  <c r="A1504"/>
  <c r="A1566" i="6"/>
  <c r="A1332"/>
  <c r="A1324" i="5"/>
  <c r="A618" i="6"/>
  <c r="A642" i="5"/>
  <c r="A221" i="6"/>
  <c r="A309" i="5"/>
  <c r="A1507"/>
  <c r="A1660"/>
  <c r="A1791" i="6"/>
  <c r="A871" i="5"/>
  <c r="A728"/>
  <c r="A1223" i="6"/>
  <c r="A254"/>
  <c r="A673"/>
  <c r="A646"/>
  <c r="A1300"/>
  <c r="A312" i="5"/>
  <c r="A1799" i="6"/>
  <c r="A134" i="5"/>
  <c r="A1663"/>
  <c r="A191" i="6"/>
  <c r="A389"/>
  <c r="A743" i="5"/>
  <c r="A729" i="6"/>
  <c r="A1347" i="5"/>
  <c r="A907" i="6"/>
  <c r="A547"/>
  <c r="A1011" i="5"/>
  <c r="A765"/>
  <c r="A1444" i="6"/>
  <c r="A1190" i="5"/>
  <c r="A758"/>
  <c r="A86"/>
  <c r="A1380" i="6"/>
  <c r="A823"/>
  <c r="A226" i="5"/>
  <c r="A325" i="6"/>
  <c r="A668" i="5"/>
  <c r="A330" i="6"/>
  <c r="A1017" i="5"/>
  <c r="A585" i="6"/>
  <c r="A1502"/>
  <c r="A934" i="5"/>
  <c r="A1597" i="6"/>
  <c r="A1124"/>
  <c r="A1756"/>
  <c r="A289" i="5"/>
  <c r="A855"/>
  <c r="A1433" i="6"/>
  <c r="A1728"/>
  <c r="A449"/>
  <c r="A1132"/>
  <c r="A690"/>
  <c r="A1467"/>
  <c r="A485"/>
  <c r="A1176" i="5"/>
  <c r="A1479" i="6"/>
  <c r="A783" i="5"/>
  <c r="A745" i="6"/>
  <c r="A1595"/>
  <c r="A87" i="5"/>
  <c r="A216" i="6"/>
  <c r="A1259" i="5"/>
  <c r="A312" i="6"/>
  <c r="A1345" i="5"/>
  <c r="A501" i="6"/>
  <c r="A1619"/>
  <c r="A540" i="5"/>
  <c r="A1413" i="6"/>
  <c r="A1117" i="5"/>
  <c r="A523" i="6"/>
  <c r="A336" i="5"/>
  <c r="A613"/>
  <c r="A948"/>
  <c r="A500" i="6"/>
  <c r="A98" i="5"/>
  <c r="A335"/>
  <c r="A120"/>
  <c r="A821"/>
  <c r="A503" i="6"/>
  <c r="A1093" i="5"/>
  <c r="A450"/>
  <c r="A1144"/>
  <c r="A869" i="6"/>
  <c r="A182"/>
  <c r="A879" i="5"/>
  <c r="A646"/>
  <c r="A275" i="6"/>
  <c r="A1818"/>
  <c r="A146" i="5"/>
  <c r="A1272"/>
  <c r="A499" i="6"/>
  <c r="A550"/>
  <c r="A493" i="5"/>
  <c r="A858"/>
  <c r="A1613" i="6"/>
  <c r="A1295" i="5"/>
  <c r="A1542" i="6"/>
  <c r="A1062"/>
  <c r="A781" i="5"/>
  <c r="A1662"/>
  <c r="A287" i="6"/>
  <c r="A546" i="5"/>
  <c r="A1407" i="6"/>
  <c r="A1118" i="5"/>
  <c r="A397"/>
  <c r="A278"/>
  <c r="A1293"/>
  <c r="A1412" i="6"/>
  <c r="A1325" i="5"/>
  <c r="A261"/>
  <c r="A730" i="6"/>
  <c r="A1207" i="5"/>
  <c r="A994" i="6"/>
  <c r="A1640" i="5"/>
  <c r="A1500" i="6"/>
  <c r="A1041" i="5"/>
  <c r="A77"/>
  <c r="A347"/>
  <c r="A671"/>
  <c r="A691" i="6"/>
  <c r="A1450"/>
  <c r="A1470" i="5"/>
  <c r="A1158"/>
  <c r="A1238" i="6"/>
  <c r="A403" i="5"/>
  <c r="A358"/>
  <c r="A1551" i="6"/>
  <c r="A1209"/>
  <c r="A595" i="5"/>
  <c r="A1537" i="6"/>
  <c r="A1368" i="5"/>
  <c r="A1599" i="6"/>
  <c r="A1523" i="5"/>
  <c r="A423" i="6"/>
  <c r="A520" i="5"/>
  <c r="A251" i="6"/>
  <c r="A938"/>
  <c r="A1174" i="5"/>
  <c r="A1685" i="6"/>
  <c r="A923"/>
  <c r="A1395"/>
  <c r="A1279"/>
  <c r="A587" i="5"/>
  <c r="A738" i="6"/>
  <c r="A1532"/>
  <c r="A1543"/>
  <c r="A371"/>
  <c r="A1067" i="5"/>
  <c r="A702" i="6"/>
  <c r="A756"/>
  <c r="A420"/>
  <c r="A1148"/>
  <c r="A207" i="5"/>
  <c r="A320"/>
  <c r="A50" i="6"/>
  <c r="A84"/>
  <c r="A180" i="5"/>
  <c r="A279"/>
  <c r="A1686" i="6"/>
  <c r="A809" i="5"/>
  <c r="A836"/>
  <c r="A872"/>
  <c r="A1400"/>
  <c r="A1570" i="6"/>
  <c r="A1035"/>
  <c r="A537" i="5"/>
  <c r="A570" i="6"/>
  <c r="A886" i="5"/>
  <c r="A553"/>
  <c r="A1457"/>
  <c r="A1075" i="6"/>
  <c r="A908"/>
  <c r="A677" i="5"/>
  <c r="A828"/>
  <c r="A1641"/>
  <c r="A746"/>
  <c r="A881"/>
  <c r="A423"/>
  <c r="A262"/>
  <c r="A1004"/>
  <c r="A554" i="6"/>
  <c r="A1555" i="5"/>
  <c r="A527"/>
  <c r="A1479"/>
  <c r="A1042"/>
  <c r="A292"/>
  <c r="A1684" i="6"/>
  <c r="A1388"/>
  <c r="A684" i="5"/>
  <c r="A1480"/>
  <c r="A1633" i="6"/>
  <c r="A816"/>
  <c r="A1264"/>
  <c r="A1618"/>
  <c r="A1338" i="5"/>
  <c r="A1227" i="6"/>
  <c r="A164" i="5"/>
  <c r="A463" i="6"/>
  <c r="A62" i="5"/>
  <c r="A1741"/>
  <c r="A893"/>
  <c r="A583" i="6"/>
  <c r="A520"/>
  <c r="A589"/>
  <c r="A905" i="5"/>
  <c r="A384" i="6"/>
  <c r="A615" i="5"/>
  <c r="A187"/>
  <c r="A627" i="6"/>
  <c r="A258" i="5"/>
  <c r="A496" i="6"/>
  <c r="A91" i="5"/>
  <c r="A457"/>
  <c r="A1097" i="6"/>
  <c r="A1569"/>
  <c r="A707" i="5"/>
  <c r="A1262"/>
  <c r="A316" i="6"/>
  <c r="A400" i="5"/>
  <c r="A1139"/>
  <c r="A1749"/>
  <c r="A1222" i="6"/>
  <c r="A204"/>
  <c r="A99" i="5"/>
  <c r="A1632"/>
  <c r="A732"/>
  <c r="A264" i="6"/>
  <c r="A376"/>
  <c r="A1047"/>
  <c r="A666" i="5"/>
  <c r="A148"/>
  <c r="A1240"/>
  <c r="A388"/>
  <c r="A1521" i="6"/>
  <c r="A1745" i="5"/>
  <c r="A393"/>
  <c r="A963"/>
  <c r="A136"/>
  <c r="A731"/>
  <c r="A266"/>
  <c r="A317" i="6"/>
  <c r="A891"/>
  <c r="A502"/>
  <c r="A790" i="5"/>
  <c r="A325"/>
  <c r="A1342"/>
  <c r="A229" i="6"/>
  <c r="A641"/>
  <c r="A729" i="5"/>
  <c r="A1564"/>
  <c r="A1794" i="6"/>
  <c r="A44"/>
  <c r="A762"/>
  <c r="A1496"/>
  <c r="A1304"/>
  <c r="A1802"/>
  <c r="A679" i="5"/>
  <c r="A414"/>
  <c r="A307" i="6"/>
  <c r="A114" i="5"/>
  <c r="A1013" i="6"/>
  <c r="A668"/>
  <c r="A580"/>
  <c r="A502" i="5"/>
  <c r="A1474" i="6"/>
  <c r="A1050"/>
  <c r="A78" i="5"/>
  <c r="A315"/>
  <c r="A985" i="6"/>
  <c r="A294" i="5"/>
  <c r="A1107"/>
  <c r="A991"/>
  <c r="A1430" i="6"/>
  <c r="A1492"/>
  <c r="A756" i="5"/>
  <c r="A402" i="6"/>
  <c r="A1066" i="5"/>
  <c r="A83" i="6"/>
  <c r="A733"/>
  <c r="A42"/>
  <c r="A1581" i="5"/>
  <c r="A660" i="6"/>
  <c r="A1042"/>
  <c r="A317" i="5"/>
  <c r="A1159"/>
  <c r="A1245"/>
  <c r="A981"/>
  <c r="A1452" i="6"/>
  <c r="A866" i="5"/>
  <c r="A1139" i="6"/>
  <c r="A1298"/>
  <c r="A1370"/>
  <c r="A793"/>
  <c r="A565" i="5"/>
  <c r="A1389" i="6"/>
  <c r="A1435"/>
  <c r="A697"/>
  <c r="A192"/>
  <c r="A789"/>
  <c r="A490" i="5"/>
  <c r="A848"/>
  <c r="A1204"/>
  <c r="A1525"/>
  <c r="A1481" i="6"/>
  <c r="A1533"/>
  <c r="A838" i="5"/>
  <c r="A1739"/>
  <c r="A112" i="6"/>
  <c r="A311" i="5"/>
  <c r="A111" i="6"/>
  <c r="A1654" i="5"/>
  <c r="A204"/>
  <c r="A414" i="6"/>
  <c r="A1582" i="5"/>
  <c r="A282"/>
  <c r="A759"/>
  <c r="A783" i="6"/>
  <c r="A295" i="5"/>
  <c r="A1377"/>
  <c r="A124" i="6"/>
  <c r="A489" i="5"/>
  <c r="A1762" i="6"/>
  <c r="A1563"/>
  <c r="A1038"/>
  <c r="A90"/>
  <c r="A162" i="5"/>
  <c r="A276"/>
  <c r="A163"/>
  <c r="A1393" i="6"/>
  <c r="A1655" i="5"/>
  <c r="A1538" i="6"/>
  <c r="A354"/>
  <c r="A164"/>
  <c r="A885" i="5"/>
  <c r="A1109" i="6"/>
  <c r="A276"/>
  <c r="A507"/>
  <c r="A1269"/>
  <c r="A598" i="5"/>
  <c r="A1398"/>
  <c r="A606" i="6"/>
  <c r="A708"/>
  <c r="A1220"/>
  <c r="A754" i="5"/>
  <c r="A1786" i="6"/>
  <c r="A1374"/>
  <c r="A911" i="5"/>
  <c r="A1132"/>
  <c r="A267" i="6"/>
  <c r="A648" i="5"/>
  <c r="A1027"/>
  <c r="A1063" i="6"/>
  <c r="A746"/>
  <c r="A647"/>
  <c r="A1561" i="5"/>
  <c r="A65" i="6"/>
  <c r="A761"/>
  <c r="A359"/>
  <c r="A1725"/>
  <c r="A1114"/>
  <c r="A1821"/>
  <c r="A870"/>
  <c r="A144"/>
  <c r="A619" i="5"/>
  <c r="A1426" i="6"/>
  <c r="A1499"/>
  <c r="A688"/>
  <c r="A478"/>
  <c r="A1346"/>
  <c r="A124" i="5"/>
  <c r="A267"/>
  <c r="A18" i="6"/>
  <c r="A329"/>
  <c r="A69"/>
  <c r="A612"/>
  <c r="A29" i="5"/>
  <c r="A390" i="6"/>
  <c r="A359" i="5"/>
  <c r="A875"/>
  <c r="A367" i="6"/>
  <c r="A310"/>
  <c r="A172"/>
  <c r="A1281"/>
  <c r="A1230" i="5"/>
  <c r="A340" i="6"/>
  <c r="A530"/>
  <c r="A129" i="5"/>
  <c r="A1130"/>
  <c r="A91" i="6"/>
  <c r="A147" i="5"/>
  <c r="A132" i="6"/>
  <c r="A97" i="5"/>
  <c r="A107"/>
  <c r="A1371"/>
  <c r="A670" i="6"/>
  <c r="A141"/>
  <c r="A1092" i="5"/>
  <c r="A569"/>
  <c r="A24" i="6"/>
  <c r="A355"/>
  <c r="A687"/>
  <c r="A1631" i="5"/>
  <c r="A1218"/>
  <c r="A1359"/>
  <c r="A586" i="6"/>
  <c r="A105" i="5"/>
  <c r="A58" i="6"/>
  <c r="A1456" i="5"/>
  <c r="A1429" i="6"/>
  <c r="A462"/>
  <c r="A1730"/>
  <c r="A764" i="5"/>
  <c r="A1747"/>
  <c r="A149" i="6"/>
  <c r="A1536"/>
  <c r="A1136" i="5"/>
  <c r="A1285"/>
  <c r="A1428"/>
  <c r="A1242"/>
  <c r="A1613"/>
  <c r="A398"/>
  <c r="A722"/>
  <c r="A255"/>
  <c r="A363"/>
  <c r="A1201"/>
  <c r="A168"/>
  <c r="A498" i="6"/>
  <c r="A914"/>
  <c r="A934"/>
  <c r="A1240"/>
  <c r="A805" i="5"/>
  <c r="A1749" i="6"/>
  <c r="A1060"/>
  <c r="A153"/>
  <c r="A1560" i="5"/>
  <c r="A427" i="6"/>
  <c r="A824"/>
  <c r="A78"/>
  <c r="A278"/>
  <c r="A801" i="5"/>
  <c r="A1143"/>
  <c r="A194" i="6"/>
  <c r="A560" i="5"/>
  <c r="A1651"/>
  <c r="A1303" i="6"/>
  <c r="A123"/>
  <c r="A445" i="5"/>
  <c r="A1624" i="6"/>
  <c r="A1151"/>
  <c r="A75"/>
  <c r="A479" i="5"/>
  <c r="A200" i="6"/>
  <c r="A1637"/>
  <c r="A663"/>
  <c r="A1084"/>
  <c r="A1676"/>
  <c r="A46" i="5"/>
  <c r="A630" i="6"/>
  <c r="A1054" i="5"/>
  <c r="A791" i="6"/>
  <c r="A273"/>
  <c r="A601" i="5"/>
  <c r="A270"/>
  <c r="A890" i="6"/>
  <c r="A1175" i="5"/>
  <c r="A950" i="6"/>
  <c r="A742"/>
  <c r="A743"/>
  <c r="A616"/>
  <c r="A1504"/>
  <c r="A306"/>
  <c r="A333"/>
  <c r="A145"/>
  <c r="A670" i="5"/>
  <c r="A1148"/>
  <c r="A1065" i="6"/>
  <c r="A1413" i="5"/>
  <c r="A486" i="6"/>
  <c r="A665" i="5"/>
  <c r="A504"/>
  <c r="A970"/>
  <c r="A269" i="6"/>
  <c r="A1322" i="5"/>
  <c r="A798"/>
  <c r="A131"/>
  <c r="A1468" i="6"/>
  <c r="A683" i="5"/>
  <c r="A236"/>
  <c r="A1512"/>
  <c r="A1454"/>
  <c r="A425" i="6"/>
  <c r="A1015" i="5"/>
  <c r="A770"/>
  <c r="A341"/>
  <c r="A925" i="6"/>
  <c r="A1028" i="5"/>
  <c r="A682" i="6"/>
  <c r="A1267"/>
  <c r="A488"/>
  <c r="A403"/>
  <c r="A202"/>
  <c r="A1469" i="5"/>
  <c r="A809" i="6"/>
  <c r="A1651"/>
  <c r="A1334"/>
  <c r="A526" i="5"/>
  <c r="A1154"/>
  <c r="A717"/>
  <c r="A385"/>
  <c r="A524" i="6"/>
  <c r="A716" i="5"/>
  <c r="A1556"/>
  <c r="A1385" i="6"/>
  <c r="A299" i="5"/>
  <c r="A1311"/>
  <c r="A1147"/>
  <c r="A850" i="6"/>
  <c r="A1373"/>
  <c r="A199"/>
  <c r="A116" i="5"/>
  <c r="A1134"/>
  <c r="A1000" i="6"/>
  <c r="A306" i="5"/>
  <c r="A1038"/>
  <c r="A162" i="6"/>
  <c r="A754"/>
  <c r="A1495" i="5"/>
  <c r="A110" i="6"/>
  <c r="A652"/>
  <c r="A1040" i="5"/>
  <c r="A1438" i="6"/>
  <c r="A37" i="5"/>
  <c r="A429" i="6"/>
  <c r="A1583"/>
  <c r="A348"/>
  <c r="A993" i="5"/>
  <c r="A464"/>
  <c r="A1356" i="6"/>
  <c r="A472"/>
  <c r="A165"/>
  <c r="A171"/>
  <c r="A417"/>
  <c r="A388"/>
  <c r="A246" i="5"/>
  <c r="A1355"/>
  <c r="A474"/>
  <c r="A1187"/>
  <c r="A557"/>
  <c r="A620"/>
  <c r="A1153"/>
  <c r="A686" i="6"/>
  <c r="A667" i="5"/>
  <c r="A1585" i="6"/>
  <c r="A539" i="5"/>
  <c r="A976"/>
  <c r="A426" i="6"/>
  <c r="A74"/>
  <c r="A313"/>
  <c r="A252" i="5"/>
  <c r="A999"/>
  <c r="A1355" i="6"/>
  <c r="A1277"/>
  <c r="A666"/>
  <c r="A401" i="5"/>
  <c r="A988" i="6"/>
  <c r="A407" i="5"/>
  <c r="A1494"/>
  <c r="A972"/>
  <c r="A1349" i="6"/>
  <c r="A1282" i="5"/>
  <c r="A316"/>
  <c r="A795"/>
  <c r="A1418" i="6"/>
  <c r="A188"/>
  <c r="A1232" i="5"/>
  <c r="A1058"/>
  <c r="A877"/>
  <c r="A470"/>
  <c r="A222"/>
  <c r="A122"/>
  <c r="A88"/>
  <c r="A656"/>
  <c r="A1612" i="6"/>
  <c r="A869" i="5"/>
  <c r="A739" i="6"/>
  <c r="A1331"/>
  <c r="A749"/>
  <c r="A650"/>
  <c r="A1351" i="5"/>
  <c r="A540" i="6"/>
  <c r="A1497" i="5"/>
  <c r="A732" i="6"/>
  <c r="A1733"/>
  <c r="A799" i="5"/>
  <c r="A196"/>
  <c r="A1046" i="6"/>
  <c r="A179" i="5"/>
  <c r="A1140"/>
  <c r="A564" i="6"/>
  <c r="A270"/>
  <c r="A1462" i="5"/>
  <c r="A703"/>
  <c r="A63"/>
  <c r="A208" i="6"/>
  <c r="A1530" i="5"/>
  <c r="A1352"/>
  <c r="A96"/>
  <c r="A203"/>
  <c r="A1454" i="6"/>
  <c r="A366" i="5"/>
  <c r="A856"/>
  <c r="A986" i="6"/>
  <c r="A123" i="5"/>
  <c r="A101" i="6"/>
  <c r="A658"/>
  <c r="A487" i="5"/>
  <c r="A698" i="6"/>
  <c r="A903" i="5"/>
  <c r="A1439"/>
  <c r="A690"/>
  <c r="A568"/>
  <c r="A571" i="6"/>
  <c r="A189" i="5"/>
  <c r="A573" i="6"/>
  <c r="A548"/>
  <c r="A1386"/>
  <c r="A413"/>
  <c r="A44" i="5"/>
  <c r="A230"/>
  <c r="A1416" i="6"/>
  <c r="A143"/>
  <c r="A1434" i="5"/>
  <c r="A35" i="6"/>
  <c r="A307" i="5"/>
  <c r="A1642"/>
  <c r="A413"/>
  <c r="A672"/>
  <c r="A577" i="6"/>
  <c r="A1076" i="5"/>
  <c r="A1752" i="6"/>
  <c r="A1105" i="5"/>
  <c r="A1563"/>
  <c r="A398" i="6"/>
  <c r="A782" i="5"/>
  <c r="A1340"/>
  <c r="A1727"/>
  <c r="A1459"/>
  <c r="A1506"/>
  <c r="A619" i="6"/>
  <c r="A790"/>
  <c r="A820" i="5"/>
  <c r="A54" i="6"/>
  <c r="A1411" i="5"/>
  <c r="A961" i="6"/>
  <c r="A1485"/>
  <c r="A456" i="5"/>
  <c r="A687"/>
  <c r="A198" i="6"/>
  <c r="A553"/>
  <c r="A1461"/>
  <c r="A185" i="5"/>
  <c r="A1029" i="6"/>
  <c r="A1096" i="5"/>
  <c r="A1399"/>
  <c r="A188"/>
  <c r="A624" i="6"/>
  <c r="A1235"/>
  <c r="A655" i="5"/>
  <c r="A761"/>
  <c r="A1052"/>
  <c r="A657" i="6"/>
  <c r="A662" i="5"/>
  <c r="A323"/>
  <c r="A384"/>
  <c r="A1540" i="6"/>
  <c r="A433"/>
  <c r="A1071" i="5"/>
  <c r="A464" i="6"/>
  <c r="A514" i="5"/>
  <c r="A721" i="6"/>
  <c r="A723"/>
  <c r="A655"/>
  <c r="A1001"/>
  <c r="A268" i="5"/>
  <c r="A1655" i="6"/>
  <c r="A1429" i="5"/>
  <c r="A1031" i="6"/>
  <c r="A763" i="5"/>
  <c r="A451"/>
  <c r="A1623"/>
  <c r="A465" i="6"/>
  <c r="A1285"/>
  <c r="A685"/>
  <c r="A1458"/>
  <c r="A542" i="5"/>
  <c r="A644"/>
  <c r="A1270" i="6"/>
  <c r="A1396" i="5"/>
  <c r="A1226"/>
  <c r="A1525" i="6"/>
  <c r="A1723" i="5"/>
  <c r="A1012" i="6"/>
  <c r="A1494"/>
  <c r="A1362" i="5"/>
  <c r="A418" i="6"/>
  <c r="A1744" i="5"/>
  <c r="A718"/>
  <c r="A1787" i="6"/>
  <c r="A439"/>
  <c r="A775"/>
  <c r="A157" i="5"/>
  <c r="A509"/>
  <c r="A507"/>
  <c r="A549"/>
  <c r="A1275" i="6"/>
  <c r="A1021"/>
  <c r="A917" i="5"/>
  <c r="A1297" i="6"/>
  <c r="A1728" i="5"/>
  <c r="A1599"/>
  <c r="A1185"/>
  <c r="A470" i="6"/>
  <c r="A288"/>
  <c r="A532" i="5"/>
  <c r="A32"/>
  <c r="A1616"/>
  <c r="A476" i="6"/>
  <c r="A473" i="5"/>
  <c r="A1354"/>
  <c r="A860" i="6"/>
  <c r="A1490"/>
  <c r="A291"/>
  <c r="A370"/>
  <c r="A1432"/>
  <c r="A544" i="5"/>
  <c r="A105" i="6"/>
  <c r="A1115"/>
  <c r="A1142"/>
  <c r="A558" i="5"/>
  <c r="A1292" i="6"/>
  <c r="A95" i="5"/>
  <c r="A811" i="6"/>
  <c r="A1077"/>
  <c r="A1263" i="5"/>
  <c r="A771"/>
  <c r="A535" i="6"/>
  <c r="A190" i="5"/>
  <c r="A551" i="6"/>
  <c r="A1044" i="5"/>
  <c r="A343"/>
  <c r="A651" i="6"/>
  <c r="A771"/>
  <c r="A1234"/>
  <c r="A1816"/>
  <c r="A736"/>
  <c r="A432"/>
  <c r="A1600"/>
  <c r="A1045"/>
  <c r="A918" i="5"/>
  <c r="A297"/>
  <c r="A1530" i="6"/>
  <c r="A1734"/>
  <c r="A300" i="5"/>
  <c r="A992"/>
  <c r="A47"/>
  <c r="A1754" i="6"/>
  <c r="A852" i="5"/>
  <c r="A567"/>
  <c r="A556" i="6"/>
  <c r="A1468" i="5"/>
  <c r="A1151"/>
  <c r="A1478" i="6"/>
  <c r="A977"/>
  <c r="A302" i="5"/>
  <c r="A830"/>
  <c r="A114" i="6"/>
  <c r="A889" i="5"/>
  <c r="A506"/>
  <c r="A431" i="6"/>
  <c r="A1052"/>
  <c r="A227"/>
  <c r="A1558" i="5"/>
  <c r="A1282" i="6"/>
  <c r="A22" i="5"/>
  <c r="A1813" i="6"/>
  <c r="A538" i="5"/>
  <c r="A706"/>
  <c r="A337" i="6"/>
  <c r="A1238" i="5"/>
  <c r="A386"/>
  <c r="A481"/>
  <c r="A775"/>
  <c r="A40" i="6"/>
  <c r="A1095"/>
  <c r="A362" i="5"/>
  <c r="A704" i="6"/>
  <c r="A1547"/>
  <c r="A703"/>
  <c r="A1726" i="5"/>
  <c r="A471" i="6"/>
  <c r="A166"/>
  <c r="A648"/>
  <c r="A459"/>
  <c r="A108"/>
  <c r="A982"/>
  <c r="A241"/>
  <c r="A1466"/>
  <c r="A908" i="5"/>
  <c r="A913" i="6"/>
  <c r="A1157"/>
  <c r="A1039" i="5"/>
  <c r="A249" i="6"/>
  <c r="A492" i="5"/>
  <c r="A1088"/>
  <c r="A892"/>
  <c r="A652"/>
  <c r="A1562"/>
  <c r="A768" i="6"/>
  <c r="A485" i="5"/>
  <c r="A1128" i="6"/>
  <c r="A1590"/>
  <c r="A1800"/>
  <c r="A1377"/>
  <c r="A61"/>
  <c r="A874" i="5"/>
  <c r="A962"/>
  <c r="A447"/>
  <c r="A562"/>
  <c r="A1019" i="6"/>
  <c r="A780" i="5"/>
  <c r="A1751"/>
  <c r="A1076" i="6"/>
  <c r="A478" i="5"/>
  <c r="A1299" i="6"/>
  <c r="A1512"/>
  <c r="A1411"/>
  <c r="A377"/>
  <c r="A1744"/>
  <c r="A1094" i="5"/>
  <c r="A1129"/>
  <c r="A1453" i="6"/>
  <c r="A774" i="5"/>
  <c r="A1111"/>
  <c r="A49" i="6"/>
  <c r="A866"/>
  <c r="A1674"/>
  <c r="A1697" i="5"/>
  <c r="A808"/>
  <c r="A1224" i="6"/>
  <c r="A1207"/>
  <c r="A1700" i="5"/>
  <c r="A605" i="6"/>
  <c r="A1339"/>
  <c r="A1284"/>
  <c r="A1628" i="5"/>
  <c r="A219"/>
  <c r="A272" i="6"/>
  <c r="A41" i="5"/>
  <c r="A491"/>
  <c r="A339" i="6"/>
  <c r="A366"/>
  <c r="A1073"/>
  <c r="A1074" i="5"/>
  <c r="A174" i="6"/>
  <c r="A594" i="5"/>
  <c r="A932" i="6"/>
  <c r="A1204"/>
  <c r="A1027"/>
  <c r="A239"/>
  <c r="A77"/>
  <c r="A228"/>
  <c r="A1274" i="5"/>
  <c r="A1318"/>
  <c r="A364"/>
  <c r="A147" i="6"/>
  <c r="A638" i="5"/>
  <c r="A686"/>
  <c r="A1376"/>
  <c r="A1606" i="6"/>
  <c r="A247" i="5"/>
  <c r="A1075"/>
  <c r="A350"/>
  <c r="A752"/>
  <c r="A1391" i="6"/>
  <c r="A1149" i="5"/>
  <c r="A641"/>
  <c r="A674" i="6"/>
  <c r="A1150"/>
  <c r="A1701" i="5"/>
  <c r="A1243" i="6"/>
  <c r="A1496" i="5"/>
  <c r="A1200"/>
  <c r="A80" i="6"/>
  <c r="A1674" i="5"/>
  <c r="A1743"/>
  <c r="A48" i="6"/>
  <c r="A1489" i="5"/>
  <c r="A405"/>
  <c r="A315" i="6"/>
  <c r="A1748"/>
  <c r="A1058"/>
  <c r="A858"/>
  <c r="A841" i="5"/>
  <c r="A161"/>
  <c r="A35"/>
  <c r="A1430"/>
  <c r="A1406" i="6"/>
  <c r="A1280"/>
  <c r="A419" i="5"/>
  <c r="A390"/>
  <c r="A1483"/>
  <c r="A1502"/>
  <c r="A560" i="6"/>
  <c r="A1383"/>
  <c r="A898" i="5"/>
  <c r="A364" i="6"/>
  <c r="A323"/>
  <c r="A313" i="5"/>
  <c r="A545"/>
  <c r="A371"/>
  <c r="A1188"/>
  <c r="A1056"/>
  <c r="A1420"/>
  <c r="A1415" i="6"/>
  <c r="A1363" i="5"/>
  <c r="A643"/>
  <c r="A400" i="6"/>
  <c r="A581"/>
  <c r="A1030"/>
  <c r="A1100"/>
  <c r="A1336" i="5"/>
  <c r="A559"/>
  <c r="A949"/>
  <c r="A741" i="6"/>
  <c r="A64" i="5"/>
  <c r="A1586" i="6"/>
  <c r="A1632"/>
  <c r="A1484"/>
  <c r="A1584"/>
  <c r="A1249" i="5"/>
  <c r="A1576"/>
  <c r="A461" i="6"/>
  <c r="A1418" i="5"/>
  <c r="A251"/>
  <c r="A1604"/>
  <c r="A415"/>
  <c r="A1440" i="6"/>
  <c r="A1580"/>
  <c r="A979"/>
  <c r="A1778"/>
  <c r="A962"/>
  <c r="A1673" i="5"/>
  <c r="A24"/>
  <c r="A1014" i="6"/>
  <c r="A357" i="5"/>
  <c r="A1022" i="6"/>
  <c r="A1036"/>
  <c r="A785" i="5"/>
  <c r="A1220"/>
  <c r="A1644"/>
  <c r="A799" i="6"/>
  <c r="A1652" i="5"/>
  <c r="A822"/>
  <c r="A698"/>
  <c r="A1142"/>
  <c r="A1593" i="6"/>
  <c r="A230"/>
  <c r="A800" i="5"/>
  <c r="A1405" i="6"/>
  <c r="A1615" i="5"/>
  <c r="A1008" i="6"/>
  <c r="A181" i="5"/>
  <c r="A1368" i="6"/>
  <c r="A631"/>
  <c r="A175"/>
  <c r="A645" i="5"/>
  <c r="A133"/>
  <c r="A82"/>
  <c r="A149"/>
  <c r="A714" i="6"/>
  <c r="A1051"/>
  <c r="A552" i="5"/>
  <c r="A82" i="6"/>
  <c r="A745" i="5"/>
  <c r="A119"/>
  <c r="A81"/>
  <c r="A1271" i="6"/>
  <c r="A214" i="5"/>
  <c r="A158"/>
  <c r="A1500"/>
  <c r="A530"/>
  <c r="A632"/>
  <c r="A1630" i="6"/>
  <c r="A1177" i="5"/>
  <c r="A305"/>
  <c r="A971"/>
  <c r="A1361" i="6"/>
  <c r="A504"/>
  <c r="A491"/>
  <c r="A286"/>
  <c r="A34"/>
  <c r="A1011"/>
  <c r="A677"/>
  <c r="A39"/>
  <c r="A444" i="5"/>
</calcChain>
</file>

<file path=xl/sharedStrings.xml><?xml version="1.0" encoding="utf-8"?>
<sst xmlns="http://schemas.openxmlformats.org/spreadsheetml/2006/main" count="11113" uniqueCount="713">
  <si>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</si>
  <si>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</si>
  <si>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12 0 0002</t>
  </si>
  <si>
    <t>12 0 0003</t>
  </si>
  <si>
    <t>Развитие туристской, инженерной и транспортной инфраструктур</t>
  </si>
  <si>
    <t>13 0 0000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</si>
  <si>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</si>
  <si>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</si>
  <si>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</si>
  <si>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</si>
  <si>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</si>
  <si>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</si>
  <si>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13 0 9040</t>
  </si>
  <si>
    <t>13 0 9041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</si>
  <si>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</si>
  <si>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</si>
  <si>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</si>
  <si>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13 0 9060</t>
  </si>
  <si>
    <t>Выплата вознаграждений лицам, имеющим звание «Почетный гражданин города Череповца</t>
  </si>
  <si>
    <t>13 0 9061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</si>
  <si>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</si>
  <si>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</si>
  <si>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</si>
  <si>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</si>
  <si>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</si>
  <si>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</si>
  <si>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</si>
  <si>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</si>
  <si>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</si>
  <si>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</si>
  <si>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</si>
  <si>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</si>
  <si>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</si>
  <si>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</si>
  <si>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</si>
  <si>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</si>
  <si>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</si>
  <si>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</si>
  <si>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</si>
  <si>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16 0 0001</t>
  </si>
  <si>
    <t>Приобретение автобусов в муниципальную собственность</t>
  </si>
  <si>
    <t>17 0 0000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</si>
  <si>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</si>
  <si>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</si>
  <si>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</si>
  <si>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</si>
  <si>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</si>
  <si>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</si>
  <si>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</si>
  <si>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</si>
  <si>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</si>
  <si>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</si>
  <si>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</si>
  <si>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</si>
  <si>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</si>
  <si>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</si>
  <si>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</si>
  <si>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</si>
  <si>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</si>
  <si>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</si>
  <si>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</si>
  <si>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</si>
  <si>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</si>
  <si>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</si>
  <si>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</si>
  <si>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</si>
  <si>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</si>
  <si>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</si>
  <si>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</si>
  <si>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</si>
  <si>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</si>
  <si>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</si>
  <si>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</si>
  <si>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</si>
  <si>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</si>
  <si>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</si>
  <si>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</si>
  <si>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</si>
  <si>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</si>
  <si>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</si>
  <si>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</si>
  <si>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</si>
  <si>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</si>
  <si>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</si>
  <si>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</si>
  <si>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</si>
  <si>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</si>
  <si>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</si>
  <si>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</si>
  <si>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</si>
  <si>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</si>
  <si>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</si>
  <si>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</si>
  <si>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</si>
  <si>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</si>
  <si>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</si>
  <si>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</si>
  <si>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</si>
  <si>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</si>
  <si>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</si>
  <si>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</si>
  <si>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</si>
  <si>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</si>
  <si>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</si>
  <si>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</si>
  <si>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</si>
  <si>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</si>
  <si>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</si>
  <si>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</si>
  <si>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</si>
  <si>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</si>
  <si>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</si>
  <si>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</si>
  <si>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</si>
  <si>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</si>
  <si>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</si>
  <si>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Развитие музейного дела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</si>
  <si>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</si>
  <si>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</si>
  <si>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</si>
  <si>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</si>
  <si>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</si>
  <si>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</si>
  <si>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</si>
  <si>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</si>
  <si>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</si>
  <si>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</si>
  <si>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</si>
  <si>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</si>
  <si>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</si>
  <si>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</si>
  <si>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</si>
  <si>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</si>
  <si>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</si>
  <si>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</si>
  <si>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</si>
  <si>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</si>
  <si>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</si>
  <si>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</si>
  <si>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</si>
  <si>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t>23 0 0001</t>
  </si>
  <si>
    <t>23 0 0002</t>
  </si>
  <si>
    <t>23 0 0003</t>
  </si>
  <si>
    <t>23 0 0004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</si>
  <si>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</si>
  <si>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</si>
  <si>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</si>
  <si>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</si>
  <si>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</si>
  <si>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  <charset val="204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</si>
  <si>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</si>
  <si>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</si>
  <si>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</si>
  <si>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</si>
  <si>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</si>
  <si>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</si>
  <si>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</si>
  <si>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</si>
  <si>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</si>
  <si>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</si>
  <si>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</si>
  <si>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</si>
  <si>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</si>
  <si>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</si>
  <si>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</si>
  <si>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</si>
  <si>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</si>
  <si>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</si>
  <si>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</si>
  <si>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</si>
  <si>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</si>
  <si>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</si>
  <si>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</si>
  <si>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</si>
  <si>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</si>
  <si>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</si>
  <si>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</si>
  <si>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</si>
  <si>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</si>
  <si>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</si>
  <si>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</si>
  <si>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</si>
  <si>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</si>
  <si>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</si>
  <si>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</si>
  <si>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</si>
  <si>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</si>
  <si>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</si>
  <si>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</si>
  <si>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</si>
  <si>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</si>
  <si>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</si>
  <si>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</si>
  <si>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</si>
  <si>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</si>
  <si>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</si>
  <si>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</si>
  <si>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</si>
  <si>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</si>
  <si>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</si>
  <si>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</si>
  <si>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</si>
  <si>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</si>
  <si>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</si>
  <si>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</si>
  <si>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</si>
  <si>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</si>
  <si>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</si>
  <si>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</si>
  <si>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</si>
  <si>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</si>
  <si>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</si>
  <si>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</si>
  <si>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</si>
  <si>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</si>
  <si>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</si>
  <si>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</si>
  <si>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</si>
  <si>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</si>
  <si>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</si>
  <si>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</si>
  <si>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</si>
  <si>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</si>
  <si>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</si>
  <si>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</si>
  <si>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</si>
  <si>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</si>
  <si>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</si>
  <si>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</si>
  <si>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</si>
  <si>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</si>
  <si>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</si>
  <si>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</si>
  <si>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</si>
  <si>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</si>
  <si>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</si>
  <si>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</si>
  <si>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</si>
  <si>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</si>
  <si>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</si>
  <si>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</si>
  <si>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</si>
  <si>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</si>
  <si>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</si>
  <si>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</si>
  <si>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</si>
  <si>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</si>
  <si>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</si>
  <si>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</si>
  <si>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</si>
  <si>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</si>
  <si>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</si>
  <si>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</si>
  <si>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</si>
  <si>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</si>
  <si>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</si>
  <si>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</si>
  <si>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</si>
  <si>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</si>
  <si>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</si>
  <si>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</si>
  <si>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</si>
  <si>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</si>
  <si>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</si>
  <si>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</si>
  <si>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</si>
  <si>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</si>
  <si>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</si>
  <si>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</si>
  <si>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</si>
  <si>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</si>
  <si>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</si>
  <si>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</si>
  <si>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</si>
  <si>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</si>
  <si>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</si>
  <si>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</si>
  <si>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</si>
  <si>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</si>
  <si>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</si>
  <si>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</si>
  <si>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</si>
  <si>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</si>
  <si>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</si>
  <si>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</si>
  <si>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</si>
  <si>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</si>
  <si>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</si>
  <si>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</si>
  <si>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</si>
  <si>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</si>
  <si>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</si>
  <si>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</si>
  <si>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</si>
  <si>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</si>
  <si>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</si>
  <si>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</si>
  <si>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</si>
  <si>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</si>
  <si>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</si>
  <si>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</si>
  <si>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</si>
  <si>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</si>
  <si>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</si>
  <si>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</si>
  <si>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</si>
  <si>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</si>
  <si>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</si>
  <si>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</si>
  <si>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</si>
  <si>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</si>
  <si>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</si>
  <si>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</si>
  <si>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</si>
  <si>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</si>
  <si>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</si>
  <si>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</si>
  <si>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</si>
  <si>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</si>
  <si>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</si>
  <si>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</si>
  <si>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</si>
  <si>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</si>
  <si>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</si>
  <si>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</si>
  <si>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</si>
  <si>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</si>
  <si>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</si>
  <si>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</si>
  <si>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</si>
  <si>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</si>
  <si>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</si>
  <si>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</si>
  <si>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</si>
  <si>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</si>
  <si>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</si>
  <si>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</si>
  <si>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</si>
  <si>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</si>
  <si>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</si>
  <si>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</si>
  <si>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</si>
  <si>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</si>
  <si>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</si>
  <si>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</si>
  <si>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</si>
  <si>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</si>
  <si>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</si>
  <si>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</si>
  <si>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</si>
  <si>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</si>
  <si>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</si>
  <si>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</si>
  <si>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</si>
  <si>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</si>
  <si>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</si>
  <si>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</si>
  <si>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</si>
  <si>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</si>
  <si>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</si>
  <si>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</si>
  <si>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</si>
  <si>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</si>
  <si>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</si>
  <si>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</si>
  <si>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</si>
  <si>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</si>
  <si>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</si>
  <si>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  <charset val="204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</si>
  <si>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</si>
  <si>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</si>
  <si>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</si>
  <si>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</si>
  <si>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</si>
  <si>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</si>
  <si>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</si>
  <si>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</si>
  <si>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</si>
  <si>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</si>
  <si>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</si>
  <si>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</si>
  <si>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</si>
  <si>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</si>
  <si>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</si>
  <si>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</si>
  <si>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  <charset val="204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</si>
  <si>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</si>
  <si>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</si>
  <si>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</si>
  <si>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</si>
  <si>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</si>
  <si>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</si>
  <si>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</si>
  <si>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</si>
  <si>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</si>
  <si>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</si>
  <si>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</si>
  <si>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</si>
  <si>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</si>
  <si>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</si>
  <si>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</si>
  <si>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</si>
  <si>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</si>
  <si>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</si>
  <si>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</si>
  <si>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</si>
  <si>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</si>
  <si>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</si>
  <si>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</si>
  <si>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</si>
  <si>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</si>
  <si>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</si>
  <si>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</si>
  <si>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</si>
  <si>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</si>
  <si>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</si>
  <si>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</si>
  <si>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</si>
  <si>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</si>
  <si>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</si>
  <si>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</si>
  <si>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</si>
  <si>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</si>
  <si>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</si>
  <si>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</si>
  <si>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</si>
  <si>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</si>
  <si>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</si>
  <si>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</si>
  <si>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</si>
  <si>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</si>
  <si>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</si>
  <si>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</si>
  <si>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</si>
  <si>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</si>
  <si>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</si>
  <si>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</si>
  <si>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</si>
  <si>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</si>
  <si>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</si>
  <si>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</si>
  <si>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</si>
  <si>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</si>
  <si>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</si>
  <si>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</si>
  <si>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</si>
  <si>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</si>
  <si>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</si>
  <si>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</si>
  <si>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</si>
  <si>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</si>
  <si>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01 4 9022</t>
  </si>
  <si>
    <t>01 4 9023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</si>
  <si>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</si>
  <si>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</si>
  <si>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</si>
  <si>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</si>
  <si>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</si>
  <si>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</si>
  <si>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</si>
  <si>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</si>
  <si>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</si>
  <si>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</si>
  <si>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</si>
  <si>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</si>
  <si>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</si>
  <si>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</si>
  <si>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</si>
  <si>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</si>
  <si>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</si>
  <si>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</si>
  <si>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</si>
  <si>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</si>
  <si>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</si>
  <si>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</si>
  <si>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</si>
  <si>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</si>
  <si>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</si>
  <si>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</si>
  <si>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</si>
  <si>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</si>
  <si>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</si>
  <si>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</si>
  <si>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</si>
  <si>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</si>
  <si>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</si>
  <si>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</si>
  <si>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</si>
  <si>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</si>
  <si>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</si>
  <si>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</si>
  <si>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</si>
  <si>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</si>
  <si>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</si>
  <si>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</si>
  <si>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</si>
  <si>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</si>
  <si>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</si>
  <si>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</si>
  <si>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</si>
  <si>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</si>
  <si>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</si>
  <si>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</si>
  <si>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</si>
  <si>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</si>
  <si>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</si>
  <si>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</si>
  <si>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</si>
  <si>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</si>
  <si>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</si>
  <si>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</si>
  <si>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</si>
  <si>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</si>
  <si>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</si>
  <si>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</si>
  <si>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</si>
  <si>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</si>
  <si>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</si>
  <si>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</si>
  <si>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</si>
  <si>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</si>
  <si>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</si>
  <si>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</si>
  <si>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</si>
  <si>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</si>
  <si>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03 0 0003</t>
  </si>
  <si>
    <t>03 0 0004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</si>
  <si>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</si>
  <si>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</si>
  <si>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</si>
  <si>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</si>
  <si>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</si>
  <si>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</si>
  <si>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</si>
  <si>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</si>
  <si>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</si>
  <si>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</si>
  <si>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</si>
  <si>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</si>
  <si>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</si>
  <si>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</si>
  <si>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</si>
  <si>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</si>
  <si>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</si>
  <si>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</si>
  <si>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</si>
  <si>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</si>
  <si>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</si>
  <si>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</si>
  <si>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</si>
  <si>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</si>
  <si>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</si>
  <si>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</si>
  <si>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</si>
  <si>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</si>
  <si>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</si>
  <si>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</si>
  <si>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</si>
  <si>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</si>
  <si>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</si>
  <si>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</si>
  <si>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</si>
  <si>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</si>
  <si>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</si>
  <si>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</si>
  <si>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09 0 0003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</si>
  <si>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</si>
  <si>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</si>
  <si>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</si>
  <si>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</si>
  <si>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</si>
  <si>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</si>
  <si>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</si>
  <si>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</si>
  <si>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</si>
  <si>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</si>
  <si>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</si>
  <si>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</si>
  <si>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</si>
  <si>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</si>
  <si>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</si>
  <si>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</si>
  <si>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Изменения</t>
  </si>
  <si>
    <t>Решение Череповецкой городской Думы от 10.12.2013 № 234</t>
  </si>
  <si>
    <t>Решение ЧГД от 25.02.2014 № 19</t>
  </si>
  <si>
    <t>99 4 1005</t>
  </si>
  <si>
    <t xml:space="preserve">Руководитель контрольно-счетной палаты муниципального образования и его заместители
</t>
  </si>
  <si>
    <t>Приложение 5</t>
  </si>
  <si>
    <t>20 0 1005</t>
  </si>
  <si>
    <t>Строительство детского сада № 20 в 112 мкр.</t>
  </si>
  <si>
    <t>Проведение мероприятий управлением образования мэрии (августовское совещание, Учитель года, День учителя, прием молодых специалистов)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</si>
  <si>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</si>
  <si>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</si>
  <si>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</si>
  <si>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</si>
  <si>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</si>
  <si>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02 4 0006</t>
  </si>
  <si>
    <t>Содержание и благоустройство территории парка имени Ленинского комсомола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</si>
  <si>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t>
  </si>
  <si>
    <t>02 8 0002</t>
  </si>
  <si>
    <t>Ведомственная целевая программа «Отрасль «Культура города Череповца» (2012-2014 годы) (Укрепление материально-технической базы муниципальных учреждений)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</si>
  <si>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</si>
  <si>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t>
  </si>
  <si>
    <t>Муниципальная программа «Развитие внутреннего и въездного туризма в г. Череповце» на 2014-2022 годы</t>
  </si>
  <si>
    <t>Муниципальная программа «Социальная поддержка граждан» на 2014-2018 годы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</si>
  <si>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</si>
  <si>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</si>
  <si>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</si>
  <si>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</si>
  <si>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</si>
  <si>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t>
  </si>
  <si>
    <t>Муниципальная программа «Реализация градостроительной политики города Череповца» на 2014-2022 годы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</si>
  <si>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</si>
  <si>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</si>
  <si>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</si>
  <si>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 xml:space="preserve">КОНТРОЛЬНО-СЧЕТНАЯ ПАЛАТА ГОРОДА ЧЕРЕПОВЦА </t>
  </si>
  <si>
    <t>изменения</t>
  </si>
  <si>
    <t>Решение ЧГД от 25.03.2014 № 54</t>
  </si>
  <si>
    <t>20 0 1006</t>
  </si>
  <si>
    <t>Научно-исследовательские и опытно-конструкторские работы</t>
  </si>
  <si>
    <t>Приложение 4</t>
  </si>
  <si>
    <t>Решение ЧГД от 28.04.2014 № 78</t>
  </si>
  <si>
    <t>99 4 5083</t>
  </si>
  <si>
    <t>Реализация дополнительных мероприятий в сфере занятости населения за счет иных межбюджетных трансфертов из федерального бюджета</t>
  </si>
  <si>
    <t>99 4 2402</t>
  </si>
  <si>
    <t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t>
  </si>
  <si>
    <t>13 0 9120</t>
  </si>
  <si>
    <t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t>
  </si>
  <si>
    <t>13 0 9121</t>
  </si>
  <si>
    <t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t>
  </si>
  <si>
    <t>Решение ЧГД от 02.06.2014 № 112</t>
  </si>
  <si>
    <t>тыс.рублей</t>
  </si>
  <si>
    <t>16 0 0003</t>
  </si>
  <si>
    <t>Туристско-рекреационный кластер «Центральная городская набережная»</t>
  </si>
  <si>
    <t>Решение ЧГД от 30.06.2014 № 138</t>
  </si>
  <si>
    <t>14 1 5020</t>
  </si>
  <si>
    <t>20 0 5059</t>
  </si>
  <si>
    <t>Модернизация региональных систем дошкольного образования за счет субсидии из федерального бюджета</t>
  </si>
  <si>
    <t>13 0 5027</t>
  </si>
  <si>
    <t>07 0 5064</t>
  </si>
  <si>
    <t>02 9 5014</t>
  </si>
  <si>
    <t>Оснащение аварийно-спасательных подразделений МБУ «СпаС» современными аварийно-спасательными средствами и инструментом</t>
  </si>
  <si>
    <t xml:space="preserve">Обеспечение создания условий для реализации подпрограммы 2 </t>
  </si>
  <si>
    <t>Государственная поддержка малого и среднего предпринимательства, включая крестьянские (фермерские) хозяйства, за счет субсидий из федерального бюджета</t>
  </si>
  <si>
    <t>20 0 1007</t>
  </si>
  <si>
    <t>Строительство средней общеобразовательной школы № 24 в 112 мкр.</t>
  </si>
  <si>
    <t>20 0 1008</t>
  </si>
  <si>
    <t>Реконструкция Октябрьского проспекта на участке от Октябрьского моста до ул. Любецкой</t>
  </si>
  <si>
    <t>20 0 1009</t>
  </si>
  <si>
    <t>Реконструкция пр. Строителей</t>
  </si>
  <si>
    <t>20 0 1010</t>
  </si>
  <si>
    <t>Реконструкция ул. Мамлеева</t>
  </si>
  <si>
    <t>20 0 1011</t>
  </si>
  <si>
    <t>Реконструкция ул. Данилова</t>
  </si>
  <si>
    <t>18 2 0003</t>
  </si>
  <si>
    <t>13 0 0010</t>
  </si>
  <si>
    <t>13 0 9151</t>
  </si>
  <si>
    <t>13 0 9150</t>
  </si>
  <si>
    <t>13 0 9152</t>
  </si>
  <si>
    <t>Выплата единовременной социальной помощи в связи с рождением троих детей многодетным семьям</t>
  </si>
  <si>
    <t>Реализация  дополнительных общеобразовательных программ</t>
  </si>
  <si>
    <t>Организация и ведение бухгалтерского (бюджетного) учета и отчетности</t>
  </si>
  <si>
    <t>город</t>
  </si>
  <si>
    <t>область</t>
  </si>
  <si>
    <t>02 1 7125</t>
  </si>
  <si>
    <t>02 2 7125</t>
  </si>
  <si>
    <t>02 3 7125</t>
  </si>
  <si>
    <t>02 4 7125</t>
  </si>
  <si>
    <t>02 5 7125</t>
  </si>
  <si>
    <t>Частичное обеспечение расходов на повышение оплаты труда работников муниципальных учреждений культуры за счет субсидии из областного бюджета</t>
  </si>
  <si>
    <t>первон</t>
  </si>
  <si>
    <t>02 2 0006</t>
  </si>
  <si>
    <t>Субсидии на иные цели МБУК «Череповецкое музейное объединение» для погашения кредиторской задолженности</t>
  </si>
  <si>
    <t>Другие вопросы в области культуры, кинематографии</t>
  </si>
  <si>
    <t>Мероприятия подпрограммы «Обеспечение жильем молодых семей» федеральной целевой программы «Жилище» на 2011-2015 годы за счет субсидий из федерального бюджета</t>
  </si>
  <si>
    <t>Выплата единовременной социальной помощи Степановой К.Н. в связи с рождением троих детей в соответствии с решением Череповецкой городской Думы от 06.10.2014 № 154</t>
  </si>
  <si>
    <t>Выплата единовременной социальной помощи Бовыкиной Я.А. в связи с рождением троих детей в соответствии с решением Череповецкой городской Думы от 06.10.2014 № 154</t>
  </si>
  <si>
    <t>Мероприятия по подпрограмме «Безбарьерная среда» в рамках софинансирования с государственной программой «Социальная поддержка граждан в Вологодской области на 2014-2018 годы»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</si>
  <si>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</si>
  <si>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Реализация мероприятий федеральной целевой программы «Культура России» (2012-2018 годы) за счет субсидий из федерального бюджета</t>
  </si>
  <si>
    <t>22 4 5392</t>
  </si>
  <si>
    <t>20 0 7108</t>
  </si>
  <si>
    <t>Реализация перспективных проектов в сфере развития туризма за счет субсидии из областного бюджета</t>
  </si>
  <si>
    <t>20 0 5392</t>
  </si>
  <si>
    <t>Создание и развитие сети многофункциональных центров предоставления государственных и муниципальных услуг за счет иных межбюджетных трасфертов из федерального бюджета</t>
  </si>
  <si>
    <t>Осуществление полномочий собственника муниципального жилищного фонда городского округа в части внесения взносов в фонд капитального ремонта</t>
  </si>
  <si>
    <t>70 0 0000</t>
  </si>
  <si>
    <t>Резервные фонды Правительства области</t>
  </si>
  <si>
    <t>70 4 0000</t>
  </si>
  <si>
    <t>Резервные фонды исполнительных органов государственной власти субъектов Российской Федерации (на частичное финансирование непредвиденных расходов по созданию детских музейных центров)</t>
  </si>
  <si>
    <t>99 4 5224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</si>
  <si>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</si>
  <si>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 xml:space="preserve">Обеспечение создания условий для реализации муниципальной программы </t>
  </si>
  <si>
    <r>
      <t xml:space="preserve">Муниципальная программа </t>
    </r>
    <r>
      <rPr>
        <sz val="13"/>
        <rFont val="Times New Roman"/>
        <family val="1"/>
        <charset val="204"/>
      </rPr>
      <t>«Содействие развитию институтов гражданского общества и информационной открытости органов местного самоуправления в городе Череповце» на 2014-2018 годы</t>
    </r>
  </si>
  <si>
    <t>Формирование положительного имиджа Череповца, как социально ориентированного города, посредством изготовления и размещения социальной рекламы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</si>
  <si>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</si>
  <si>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</si>
  <si>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</si>
  <si>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за счет иных межбюджетных трансфертов из федерального бюджета</t>
  </si>
  <si>
    <t>99 4 7406</t>
  </si>
  <si>
    <t xml:space="preserve">Поддержка общеобразовательных организаций, работающих в сложных социальных условиях за счет иных межбюджетных трансфертов из областного бюджета </t>
  </si>
  <si>
    <t>Продвижение городского туристского продукта на российском рынке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</si>
  <si>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народа, организация и проведение конкурсов, фестивалей и смотров самодеятельного художественного творчества, выставок)</t>
  </si>
  <si>
    <t>Обеспечение равной доступности услуг общественного транспорта по перевозке пассажиров по социально-значимым маршрутам</t>
  </si>
  <si>
    <t>Приложение 6</t>
  </si>
  <si>
    <t>Решение ЧГД от 10.12.2013 № 234 
(с изменениями)</t>
  </si>
  <si>
    <t>скрыть</t>
  </si>
  <si>
    <t>Публичные нормативные выплаты гражданам несоциального характера</t>
  </si>
  <si>
    <t>Сумма</t>
  </si>
  <si>
    <t>Обеспечение участия в физкультурных мероприятиях и спортивных мероприятиях различного уровня (регионального, всероссийского, международного)</t>
  </si>
  <si>
    <t>Муниципальная программа «Развитие городского общественного транспорта» на 2014-2017 годы</t>
  </si>
  <si>
    <t>к решению Череповецкой городской Думы от 10.12.2013 № 234</t>
  </si>
  <si>
    <t>к решению Череповецкой городской Думы от 29.12.2014 № 260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</si>
</sst>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9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3"/>
      <name val="Times New Roman"/>
      <family val="1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11" fillId="0" borderId="0"/>
    <xf numFmtId="0" fontId="6" fillId="0" borderId="0"/>
    <xf numFmtId="0" fontId="3" fillId="0" borderId="0"/>
    <xf numFmtId="0" fontId="10" fillId="0" borderId="0"/>
    <xf numFmtId="0" fontId="16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NumberFormat="1" applyFill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1" fillId="0" borderId="1" xfId="0" applyNumberFormat="1" applyFont="1" applyFill="1" applyBorder="1" applyAlignment="1" applyProtection="1">
      <alignment vertical="center" wrapText="1"/>
    </xf>
    <xf numFmtId="164" fontId="12" fillId="0" borderId="0" xfId="19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1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7" applyNumberFormat="1" applyFont="1" applyFill="1" applyBorder="1" applyAlignment="1" applyProtection="1">
      <alignment horizontal="justify" vertical="center" wrapText="1"/>
      <protection hidden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24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7" applyNumberFormat="1" applyFont="1" applyFill="1" applyBorder="1" applyAlignment="1" applyProtection="1">
      <alignment horizontal="justify" vertical="center" wrapText="1"/>
      <protection hidden="1"/>
    </xf>
    <xf numFmtId="0" fontId="1" fillId="0" borderId="0" xfId="11" applyNumberFormat="1" applyFont="1" applyFill="1" applyBorder="1" applyAlignment="1" applyProtection="1">
      <alignment horizontal="justify" vertical="center" wrapText="1"/>
      <protection hidden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 applyProtection="1">
      <alignment horizontal="right"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8" fillId="0" borderId="1" xfId="25" applyFont="1" applyBorder="1" applyAlignment="1" applyProtection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165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 wrapText="1"/>
    </xf>
  </cellXfs>
  <cellStyles count="26">
    <cellStyle name="Excel Built-in Normal" xfId="1"/>
    <cellStyle name="Excel Built-in Normal 1" xfId="2"/>
    <cellStyle name="Excel Built-in Normal 2" xfId="3"/>
    <cellStyle name="Excel Built-in Normal 3" xfId="4"/>
    <cellStyle name="Гиперссылка" xfId="25" builtinId="8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  <cellStyle name="Обычный_tmp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25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26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27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28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29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30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31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32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33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34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35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36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37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38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39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40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41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42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43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44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45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46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47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48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49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50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51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52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53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54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802822</xdr:colOff>
      <xdr:row>0</xdr:row>
      <xdr:rowOff>0</xdr:rowOff>
    </xdr:to>
    <xdr:pic>
      <xdr:nvPicPr>
        <xdr:cNvPr id="1055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20</xdr:col>
      <xdr:colOff>821872</xdr:colOff>
      <xdr:row>0</xdr:row>
      <xdr:rowOff>0</xdr:rowOff>
    </xdr:to>
    <xdr:pic>
      <xdr:nvPicPr>
        <xdr:cNvPr id="1056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3" sqref="B13"/>
    </sheetView>
  </sheetViews>
  <sheetFormatPr defaultColWidth="9.140625" defaultRowHeight="12.75"/>
  <cols>
    <col min="1" max="1" width="9.140625" style="34"/>
    <col min="2" max="2" width="50.7109375" style="34" customWidth="1"/>
    <col min="3" max="16384" width="9.140625" style="34"/>
  </cols>
  <sheetData>
    <row r="1" spans="1:2" ht="16.5">
      <c r="A1" s="26" t="s">
        <v>312</v>
      </c>
      <c r="B1" s="33" t="s">
        <v>207</v>
      </c>
    </row>
    <row r="2" spans="1:2" ht="16.5">
      <c r="A2" s="6">
        <v>801</v>
      </c>
      <c r="B2" s="16" t="s">
        <v>237</v>
      </c>
    </row>
    <row r="3" spans="1:2" ht="16.5">
      <c r="A3" s="6">
        <v>802</v>
      </c>
      <c r="B3" s="11" t="s">
        <v>238</v>
      </c>
    </row>
    <row r="4" spans="1:2" ht="49.5">
      <c r="A4" s="6">
        <v>803</v>
      </c>
      <c r="B4" s="17" t="s">
        <v>239</v>
      </c>
    </row>
    <row r="5" spans="1:2" ht="33">
      <c r="A5" s="6">
        <v>804</v>
      </c>
      <c r="B5" s="17" t="s">
        <v>240</v>
      </c>
    </row>
    <row r="6" spans="1:2" ht="33">
      <c r="A6" s="6">
        <v>805</v>
      </c>
      <c r="B6" s="17" t="s">
        <v>241</v>
      </c>
    </row>
    <row r="7" spans="1:2" ht="33">
      <c r="A7" s="6">
        <v>807</v>
      </c>
      <c r="B7" s="17" t="s">
        <v>242</v>
      </c>
    </row>
    <row r="8" spans="1:2" ht="33">
      <c r="A8" s="6">
        <v>808</v>
      </c>
      <c r="B8" s="17" t="s">
        <v>180</v>
      </c>
    </row>
    <row r="9" spans="1:2" ht="33">
      <c r="A9" s="6">
        <v>809</v>
      </c>
      <c r="B9" s="17" t="s">
        <v>243</v>
      </c>
    </row>
    <row r="10" spans="1:2" ht="33">
      <c r="A10" s="6">
        <v>810</v>
      </c>
      <c r="B10" s="17" t="s">
        <v>244</v>
      </c>
    </row>
    <row r="11" spans="1:2" ht="33">
      <c r="A11" s="6">
        <v>811</v>
      </c>
      <c r="B11" s="17" t="s">
        <v>245</v>
      </c>
    </row>
    <row r="12" spans="1:2" ht="33">
      <c r="A12" s="66">
        <v>812</v>
      </c>
      <c r="B12" s="17" t="s">
        <v>615</v>
      </c>
    </row>
    <row r="13" spans="1:2" ht="49.5">
      <c r="A13" s="6">
        <v>840</v>
      </c>
      <c r="B13" s="17" t="s">
        <v>203</v>
      </c>
    </row>
    <row r="14" spans="1:2" ht="33">
      <c r="A14" s="6">
        <v>842</v>
      </c>
      <c r="B14" s="10" t="s">
        <v>200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:B13"/>
    </sheetView>
  </sheetViews>
  <sheetFormatPr defaultColWidth="9.140625" defaultRowHeight="12.75"/>
  <cols>
    <col min="1" max="1" width="13.140625" style="37" customWidth="1"/>
    <col min="2" max="2" width="55.5703125" style="34" customWidth="1"/>
    <col min="3" max="16384" width="9.140625" style="34"/>
  </cols>
  <sheetData>
    <row r="1" spans="1:2" ht="16.5">
      <c r="A1" s="40" t="s">
        <v>312</v>
      </c>
      <c r="B1" s="38" t="s">
        <v>207</v>
      </c>
    </row>
    <row r="2" spans="1:2" ht="16.5">
      <c r="A2" s="9" t="s">
        <v>211</v>
      </c>
      <c r="B2" s="39" t="s">
        <v>329</v>
      </c>
    </row>
    <row r="3" spans="1:2" ht="33">
      <c r="A3" s="9" t="s">
        <v>213</v>
      </c>
      <c r="B3" s="39" t="s">
        <v>330</v>
      </c>
    </row>
    <row r="4" spans="1:2" ht="16.5">
      <c r="A4" s="9" t="s">
        <v>214</v>
      </c>
      <c r="B4" s="39" t="s">
        <v>181</v>
      </c>
    </row>
    <row r="5" spans="1:2" ht="16.5">
      <c r="A5" s="9" t="s">
        <v>219</v>
      </c>
      <c r="B5" s="39" t="s">
        <v>174</v>
      </c>
    </row>
    <row r="6" spans="1:2" ht="16.5">
      <c r="A6" s="9" t="s">
        <v>215</v>
      </c>
      <c r="B6" s="39" t="s">
        <v>159</v>
      </c>
    </row>
    <row r="7" spans="1:2" ht="16.5">
      <c r="A7" s="9" t="s">
        <v>193</v>
      </c>
      <c r="B7" s="39" t="s">
        <v>175</v>
      </c>
    </row>
    <row r="8" spans="1:2" ht="16.5">
      <c r="A8" s="9" t="s">
        <v>220</v>
      </c>
      <c r="B8" s="39" t="s">
        <v>331</v>
      </c>
    </row>
    <row r="9" spans="1:2" ht="16.5">
      <c r="A9" s="9" t="s">
        <v>217</v>
      </c>
      <c r="B9" s="39" t="s">
        <v>261</v>
      </c>
    </row>
    <row r="10" spans="1:2" ht="16.5">
      <c r="A10" s="9" t="s">
        <v>186</v>
      </c>
      <c r="B10" s="39" t="s">
        <v>176</v>
      </c>
    </row>
    <row r="11" spans="1:2" ht="16.5">
      <c r="A11" s="9" t="s">
        <v>222</v>
      </c>
      <c r="B11" s="39" t="s">
        <v>173</v>
      </c>
    </row>
    <row r="12" spans="1:2" ht="16.5">
      <c r="A12" s="9" t="s">
        <v>194</v>
      </c>
      <c r="B12" s="39" t="s">
        <v>216</v>
      </c>
    </row>
    <row r="13" spans="1:2" ht="33">
      <c r="A13" s="9" t="s">
        <v>188</v>
      </c>
      <c r="B13" s="39" t="s">
        <v>179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1"/>
  <sheetViews>
    <sheetView topLeftCell="A154" zoomScale="80" zoomScaleNormal="80" workbookViewId="0">
      <selection activeCell="H162" sqref="H162"/>
    </sheetView>
  </sheetViews>
  <sheetFormatPr defaultColWidth="9.140625" defaultRowHeight="16.5"/>
  <cols>
    <col min="1" max="1" width="13.7109375" style="27" customWidth="1"/>
    <col min="2" max="2" width="89" style="4" customWidth="1"/>
    <col min="3" max="16384" width="9.140625" style="4"/>
  </cols>
  <sheetData>
    <row r="1" spans="1:2">
      <c r="A1" s="26" t="s">
        <v>312</v>
      </c>
      <c r="B1" s="24" t="s">
        <v>207</v>
      </c>
    </row>
    <row r="2" spans="1:2">
      <c r="A2" s="25" t="s">
        <v>267</v>
      </c>
      <c r="B2" s="24" t="s">
        <v>268</v>
      </c>
    </row>
    <row r="3" spans="1:2" ht="39.950000000000003" customHeight="1">
      <c r="A3" s="25" t="s">
        <v>269</v>
      </c>
      <c r="B3" s="24" t="s">
        <v>590</v>
      </c>
    </row>
    <row r="4" spans="1:2">
      <c r="A4" s="25" t="s">
        <v>270</v>
      </c>
      <c r="B4" s="24" t="s">
        <v>271</v>
      </c>
    </row>
    <row r="5" spans="1:2" ht="33">
      <c r="A5" s="25" t="s">
        <v>272</v>
      </c>
      <c r="B5" s="24" t="s">
        <v>273</v>
      </c>
    </row>
    <row r="6" spans="1:2" ht="33">
      <c r="A6" s="25" t="s">
        <v>421</v>
      </c>
      <c r="B6" s="24" t="s">
        <v>422</v>
      </c>
    </row>
    <row r="7" spans="1:2">
      <c r="A7" s="25" t="s">
        <v>274</v>
      </c>
      <c r="B7" s="24" t="s">
        <v>255</v>
      </c>
    </row>
    <row r="8" spans="1:2" ht="49.5">
      <c r="A8" s="25" t="s">
        <v>275</v>
      </c>
      <c r="B8" s="24" t="s">
        <v>444</v>
      </c>
    </row>
    <row r="9" spans="1:2" ht="49.5">
      <c r="A9" s="25" t="s">
        <v>423</v>
      </c>
      <c r="B9" s="24" t="s">
        <v>424</v>
      </c>
    </row>
    <row r="10" spans="1:2" ht="66">
      <c r="A10" s="25" t="s">
        <v>425</v>
      </c>
      <c r="B10" s="24" t="s">
        <v>426</v>
      </c>
    </row>
    <row r="11" spans="1:2">
      <c r="A11" s="25" t="s">
        <v>276</v>
      </c>
      <c r="B11" s="24" t="s">
        <v>248</v>
      </c>
    </row>
    <row r="12" spans="1:2" ht="53.25" customHeight="1">
      <c r="A12" s="25" t="s">
        <v>277</v>
      </c>
      <c r="B12" s="24" t="s">
        <v>445</v>
      </c>
    </row>
    <row r="13" spans="1:2" ht="75.95" customHeight="1">
      <c r="A13" s="25" t="s">
        <v>278</v>
      </c>
      <c r="B13" s="24" t="s">
        <v>446</v>
      </c>
    </row>
    <row r="14" spans="1:2" ht="33">
      <c r="A14" s="25" t="s">
        <v>279</v>
      </c>
      <c r="B14" s="24" t="s">
        <v>280</v>
      </c>
    </row>
    <row r="15" spans="1:2" ht="53.25" customHeight="1">
      <c r="A15" s="25" t="s">
        <v>434</v>
      </c>
      <c r="B15" s="24" t="s">
        <v>447</v>
      </c>
    </row>
    <row r="16" spans="1:2" ht="121.5" customHeight="1">
      <c r="A16" s="25" t="s">
        <v>431</v>
      </c>
      <c r="B16" s="24" t="s">
        <v>432</v>
      </c>
    </row>
    <row r="17" spans="1:2" ht="84.75" customHeight="1">
      <c r="A17" s="25" t="s">
        <v>433</v>
      </c>
      <c r="B17" s="24" t="s">
        <v>448</v>
      </c>
    </row>
    <row r="18" spans="1:2">
      <c r="A18" s="25" t="s">
        <v>281</v>
      </c>
      <c r="B18" s="24" t="s">
        <v>282</v>
      </c>
    </row>
    <row r="19" spans="1:2">
      <c r="A19" s="25" t="s">
        <v>283</v>
      </c>
      <c r="B19" s="24" t="s">
        <v>284</v>
      </c>
    </row>
    <row r="20" spans="1:2" ht="49.5">
      <c r="A20" s="25" t="s">
        <v>285</v>
      </c>
      <c r="B20" s="44" t="s">
        <v>286</v>
      </c>
    </row>
    <row r="21" spans="1:2" ht="66.75" customHeight="1">
      <c r="A21" s="25" t="s">
        <v>108</v>
      </c>
      <c r="B21" s="24" t="s">
        <v>109</v>
      </c>
    </row>
    <row r="22" spans="1:2">
      <c r="A22" s="25" t="s">
        <v>287</v>
      </c>
      <c r="B22" s="24" t="s">
        <v>288</v>
      </c>
    </row>
    <row r="23" spans="1:2" ht="33">
      <c r="A23" s="25" t="s">
        <v>289</v>
      </c>
      <c r="B23" s="24" t="s">
        <v>290</v>
      </c>
    </row>
    <row r="24" spans="1:2" ht="38.25" customHeight="1">
      <c r="A24" s="25" t="s">
        <v>291</v>
      </c>
      <c r="B24" s="11" t="s">
        <v>591</v>
      </c>
    </row>
    <row r="25" spans="1:2" ht="33">
      <c r="A25" s="25" t="s">
        <v>292</v>
      </c>
      <c r="B25" s="24" t="s">
        <v>293</v>
      </c>
    </row>
    <row r="26" spans="1:2" ht="76.5" customHeight="1">
      <c r="A26" s="25" t="s">
        <v>294</v>
      </c>
      <c r="B26" s="44" t="s">
        <v>592</v>
      </c>
    </row>
    <row r="27" spans="1:2" ht="61.5" customHeight="1">
      <c r="A27" s="25" t="s">
        <v>451</v>
      </c>
      <c r="B27" s="44" t="s">
        <v>593</v>
      </c>
    </row>
    <row r="28" spans="1:2" ht="78" customHeight="1">
      <c r="A28" s="25" t="s">
        <v>452</v>
      </c>
      <c r="B28" s="24" t="s">
        <v>594</v>
      </c>
    </row>
    <row r="29" spans="1:2" ht="33">
      <c r="A29" s="25" t="s">
        <v>453</v>
      </c>
      <c r="B29" s="24" t="s">
        <v>454</v>
      </c>
    </row>
    <row r="30" spans="1:2" ht="37.5" customHeight="1">
      <c r="A30" s="25" t="s">
        <v>455</v>
      </c>
      <c r="B30" s="24" t="s">
        <v>595</v>
      </c>
    </row>
    <row r="31" spans="1:2">
      <c r="A31" s="25" t="s">
        <v>456</v>
      </c>
      <c r="B31" s="24" t="s">
        <v>457</v>
      </c>
    </row>
    <row r="32" spans="1:2" ht="33">
      <c r="A32" s="25" t="s">
        <v>458</v>
      </c>
      <c r="B32" s="24" t="s">
        <v>459</v>
      </c>
    </row>
    <row r="33" spans="1:2" ht="33">
      <c r="A33" s="25" t="s">
        <v>408</v>
      </c>
      <c r="B33" s="24" t="s">
        <v>409</v>
      </c>
    </row>
    <row r="34" spans="1:2" ht="70.7" customHeight="1">
      <c r="A34" s="25" t="s">
        <v>410</v>
      </c>
      <c r="B34" s="24" t="s">
        <v>411</v>
      </c>
    </row>
    <row r="35" spans="1:2" ht="143.25" customHeight="1">
      <c r="A35" s="25" t="s">
        <v>429</v>
      </c>
      <c r="B35" s="24" t="s">
        <v>430</v>
      </c>
    </row>
    <row r="36" spans="1:2" ht="33">
      <c r="A36" s="25" t="s">
        <v>460</v>
      </c>
      <c r="B36" s="24" t="s">
        <v>461</v>
      </c>
    </row>
    <row r="37" spans="1:2" ht="33">
      <c r="A37" s="25" t="s">
        <v>462</v>
      </c>
      <c r="B37" s="24" t="s">
        <v>463</v>
      </c>
    </row>
    <row r="38" spans="1:2">
      <c r="A38" s="25" t="s">
        <v>464</v>
      </c>
      <c r="B38" s="24" t="s">
        <v>465</v>
      </c>
    </row>
    <row r="39" spans="1:2" ht="49.5">
      <c r="A39" s="25" t="s">
        <v>466</v>
      </c>
      <c r="B39" s="24" t="s">
        <v>111</v>
      </c>
    </row>
    <row r="40" spans="1:2" ht="39.75" customHeight="1">
      <c r="A40" s="25" t="s">
        <v>664</v>
      </c>
      <c r="B40" s="24" t="s">
        <v>669</v>
      </c>
    </row>
    <row r="41" spans="1:2">
      <c r="A41" s="25" t="s">
        <v>467</v>
      </c>
      <c r="B41" s="24" t="s">
        <v>116</v>
      </c>
    </row>
    <row r="42" spans="1:2" ht="66">
      <c r="A42" s="25" t="s">
        <v>468</v>
      </c>
      <c r="B42" s="24" t="s">
        <v>469</v>
      </c>
    </row>
    <row r="43" spans="1:2" ht="49.5">
      <c r="A43" s="25" t="s">
        <v>470</v>
      </c>
      <c r="B43" s="24" t="s">
        <v>471</v>
      </c>
    </row>
    <row r="44" spans="1:2">
      <c r="A44" s="25" t="s">
        <v>472</v>
      </c>
      <c r="B44" s="24" t="s">
        <v>473</v>
      </c>
    </row>
    <row r="45" spans="1:2">
      <c r="A45" s="25" t="s">
        <v>474</v>
      </c>
      <c r="B45" s="24" t="s">
        <v>475</v>
      </c>
    </row>
    <row r="46" spans="1:2">
      <c r="A46" s="25" t="s">
        <v>476</v>
      </c>
      <c r="B46" s="24" t="s">
        <v>477</v>
      </c>
    </row>
    <row r="47" spans="1:2" ht="33">
      <c r="A47" s="25" t="s">
        <v>671</v>
      </c>
      <c r="B47" s="24" t="s">
        <v>672</v>
      </c>
    </row>
    <row r="48" spans="1:2" ht="33">
      <c r="A48" s="25" t="s">
        <v>665</v>
      </c>
      <c r="B48" s="24" t="s">
        <v>669</v>
      </c>
    </row>
    <row r="49" spans="1:2">
      <c r="A49" s="25" t="s">
        <v>478</v>
      </c>
      <c r="B49" s="24" t="s">
        <v>112</v>
      </c>
    </row>
    <row r="50" spans="1:2" ht="33">
      <c r="A50" s="25" t="s">
        <v>479</v>
      </c>
      <c r="B50" s="24" t="s">
        <v>113</v>
      </c>
    </row>
    <row r="51" spans="1:2" ht="49.5">
      <c r="A51" s="25" t="s">
        <v>480</v>
      </c>
      <c r="B51" s="24" t="s">
        <v>614</v>
      </c>
    </row>
    <row r="52" spans="1:2">
      <c r="A52" s="25" t="s">
        <v>481</v>
      </c>
      <c r="B52" s="24" t="s">
        <v>482</v>
      </c>
    </row>
    <row r="53" spans="1:2">
      <c r="A53" s="25" t="s">
        <v>483</v>
      </c>
      <c r="B53" s="24" t="s">
        <v>484</v>
      </c>
    </row>
    <row r="54" spans="1:2">
      <c r="A54" s="25" t="s">
        <v>485</v>
      </c>
      <c r="B54" s="24" t="s">
        <v>486</v>
      </c>
    </row>
    <row r="55" spans="1:2">
      <c r="A55" s="25" t="s">
        <v>487</v>
      </c>
      <c r="B55" s="24" t="s">
        <v>488</v>
      </c>
    </row>
    <row r="56" spans="1:2" ht="39.75" customHeight="1">
      <c r="A56" s="25" t="s">
        <v>666</v>
      </c>
      <c r="B56" s="24" t="s">
        <v>669</v>
      </c>
    </row>
    <row r="57" spans="1:2">
      <c r="A57" s="25" t="s">
        <v>489</v>
      </c>
      <c r="B57" s="24" t="s">
        <v>490</v>
      </c>
    </row>
    <row r="58" spans="1:2" ht="49.5">
      <c r="A58" s="25" t="s">
        <v>491</v>
      </c>
      <c r="B58" s="24" t="s">
        <v>492</v>
      </c>
    </row>
    <row r="59" spans="1:2" ht="49.5">
      <c r="A59" s="25" t="s">
        <v>493</v>
      </c>
      <c r="B59" s="24" t="s">
        <v>494</v>
      </c>
    </row>
    <row r="60" spans="1:2" ht="76.5" customHeight="1">
      <c r="A60" s="25" t="s">
        <v>495</v>
      </c>
      <c r="B60" s="24" t="s">
        <v>702</v>
      </c>
    </row>
    <row r="61" spans="1:2">
      <c r="A61" s="25" t="s">
        <v>496</v>
      </c>
      <c r="B61" s="24" t="s">
        <v>482</v>
      </c>
    </row>
    <row r="62" spans="1:2" ht="33">
      <c r="A62" s="25" t="s">
        <v>497</v>
      </c>
      <c r="B62" s="24" t="s">
        <v>498</v>
      </c>
    </row>
    <row r="63" spans="1:2" ht="21" customHeight="1">
      <c r="A63" s="43" t="s">
        <v>596</v>
      </c>
      <c r="B63" s="33" t="s">
        <v>597</v>
      </c>
    </row>
    <row r="64" spans="1:2" ht="39.75" customHeight="1">
      <c r="A64" s="43" t="s">
        <v>667</v>
      </c>
      <c r="B64" s="24" t="s">
        <v>669</v>
      </c>
    </row>
    <row r="65" spans="1:2">
      <c r="A65" s="25" t="s">
        <v>499</v>
      </c>
      <c r="B65" s="24" t="s">
        <v>500</v>
      </c>
    </row>
    <row r="66" spans="1:2" ht="49.5">
      <c r="A66" s="25" t="s">
        <v>501</v>
      </c>
      <c r="B66" s="24" t="s">
        <v>114</v>
      </c>
    </row>
    <row r="67" spans="1:2" ht="49.5">
      <c r="A67" s="25" t="s">
        <v>502</v>
      </c>
      <c r="B67" s="24" t="s">
        <v>471</v>
      </c>
    </row>
    <row r="68" spans="1:2">
      <c r="A68" s="25" t="s">
        <v>503</v>
      </c>
      <c r="B68" s="24" t="s">
        <v>482</v>
      </c>
    </row>
    <row r="69" spans="1:2" ht="41.25" customHeight="1">
      <c r="A69" s="25" t="s">
        <v>668</v>
      </c>
      <c r="B69" s="24" t="s">
        <v>669</v>
      </c>
    </row>
    <row r="70" spans="1:2">
      <c r="A70" s="25" t="s">
        <v>504</v>
      </c>
      <c r="B70" s="24" t="s">
        <v>505</v>
      </c>
    </row>
    <row r="71" spans="1:2" ht="69.75" customHeight="1">
      <c r="A71" s="25" t="s">
        <v>506</v>
      </c>
      <c r="B71" s="24" t="s">
        <v>115</v>
      </c>
    </row>
    <row r="72" spans="1:2" ht="73.5" customHeight="1">
      <c r="A72" s="25" t="s">
        <v>507</v>
      </c>
      <c r="B72" s="24" t="s">
        <v>598</v>
      </c>
    </row>
    <row r="73" spans="1:2">
      <c r="A73" s="25" t="s">
        <v>508</v>
      </c>
      <c r="B73" s="24" t="s">
        <v>509</v>
      </c>
    </row>
    <row r="74" spans="1:2">
      <c r="A74" s="25" t="s">
        <v>510</v>
      </c>
      <c r="B74" s="24" t="s">
        <v>511</v>
      </c>
    </row>
    <row r="75" spans="1:2">
      <c r="A75" s="25" t="s">
        <v>512</v>
      </c>
      <c r="B75" s="24" t="s">
        <v>513</v>
      </c>
    </row>
    <row r="76" spans="1:2" ht="53.25" customHeight="1">
      <c r="A76" s="25" t="s">
        <v>599</v>
      </c>
      <c r="B76" s="24" t="s">
        <v>600</v>
      </c>
    </row>
    <row r="77" spans="1:2" ht="33">
      <c r="A77" s="25" t="s">
        <v>514</v>
      </c>
      <c r="B77" s="24" t="s">
        <v>515</v>
      </c>
    </row>
    <row r="78" spans="1:2" ht="49.5">
      <c r="A78" s="25" t="s">
        <v>516</v>
      </c>
      <c r="B78" s="24" t="s">
        <v>471</v>
      </c>
    </row>
    <row r="79" spans="1:2" ht="23.25" customHeight="1">
      <c r="A79" s="25" t="s">
        <v>517</v>
      </c>
      <c r="B79" s="24" t="s">
        <v>482</v>
      </c>
    </row>
    <row r="80" spans="1:2" ht="51" customHeight="1">
      <c r="A80" s="25" t="s">
        <v>640</v>
      </c>
      <c r="B80" s="24" t="s">
        <v>679</v>
      </c>
    </row>
    <row r="81" spans="1:2" ht="33">
      <c r="A81" s="25" t="s">
        <v>518</v>
      </c>
      <c r="B81" s="24" t="s">
        <v>519</v>
      </c>
    </row>
    <row r="82" spans="1:2" ht="33">
      <c r="A82" s="25" t="s">
        <v>520</v>
      </c>
      <c r="B82" s="24" t="s">
        <v>521</v>
      </c>
    </row>
    <row r="83" spans="1:2">
      <c r="A83" s="25" t="s">
        <v>522</v>
      </c>
      <c r="B83" s="24" t="s">
        <v>523</v>
      </c>
    </row>
    <row r="84" spans="1:2" ht="39.950000000000003" customHeight="1">
      <c r="A84" s="25" t="s">
        <v>524</v>
      </c>
      <c r="B84" s="24" t="s">
        <v>709</v>
      </c>
    </row>
    <row r="85" spans="1:2">
      <c r="A85" s="25" t="s">
        <v>525</v>
      </c>
      <c r="B85" s="24" t="s">
        <v>660</v>
      </c>
    </row>
    <row r="86" spans="1:2">
      <c r="A86" s="25" t="s">
        <v>526</v>
      </c>
      <c r="B86" s="24" t="s">
        <v>661</v>
      </c>
    </row>
    <row r="87" spans="1:2">
      <c r="A87" s="25" t="s">
        <v>527</v>
      </c>
      <c r="B87" s="24" t="s">
        <v>528</v>
      </c>
    </row>
    <row r="88" spans="1:2">
      <c r="A88" s="25" t="s">
        <v>529</v>
      </c>
      <c r="B88" s="24" t="s">
        <v>530</v>
      </c>
    </row>
    <row r="89" spans="1:2">
      <c r="A89" s="25" t="s">
        <v>531</v>
      </c>
      <c r="B89" s="24" t="s">
        <v>532</v>
      </c>
    </row>
    <row r="90" spans="1:2" ht="33">
      <c r="A90" s="25" t="s">
        <v>533</v>
      </c>
      <c r="B90" s="24" t="s">
        <v>534</v>
      </c>
    </row>
    <row r="91" spans="1:2" ht="83.45" customHeight="1">
      <c r="A91" s="25" t="s">
        <v>380</v>
      </c>
      <c r="B91" s="24" t="s">
        <v>381</v>
      </c>
    </row>
    <row r="92" spans="1:2">
      <c r="A92" s="42" t="s">
        <v>535</v>
      </c>
      <c r="B92" s="24" t="s">
        <v>536</v>
      </c>
    </row>
    <row r="93" spans="1:2" ht="33">
      <c r="A93" s="42" t="s">
        <v>537</v>
      </c>
      <c r="B93" s="44" t="s">
        <v>538</v>
      </c>
    </row>
    <row r="94" spans="1:2" ht="33">
      <c r="A94" s="42" t="s">
        <v>539</v>
      </c>
      <c r="B94" s="44" t="s">
        <v>540</v>
      </c>
    </row>
    <row r="95" spans="1:2">
      <c r="A95" s="42" t="s">
        <v>541</v>
      </c>
      <c r="B95" s="44" t="s">
        <v>110</v>
      </c>
    </row>
    <row r="96" spans="1:2" ht="103.5" customHeight="1">
      <c r="A96" s="42" t="s">
        <v>542</v>
      </c>
      <c r="B96" s="44" t="s">
        <v>601</v>
      </c>
    </row>
    <row r="97" spans="1:2" ht="33">
      <c r="A97" s="42" t="s">
        <v>543</v>
      </c>
      <c r="B97" s="24" t="s">
        <v>544</v>
      </c>
    </row>
    <row r="98" spans="1:2" ht="49.5">
      <c r="A98" s="42" t="s">
        <v>545</v>
      </c>
      <c r="B98" s="24" t="s">
        <v>691</v>
      </c>
    </row>
    <row r="99" spans="1:2" ht="33">
      <c r="A99" s="42" t="s">
        <v>546</v>
      </c>
      <c r="B99" s="44" t="s">
        <v>547</v>
      </c>
    </row>
    <row r="100" spans="1:2" ht="33">
      <c r="A100" s="42" t="s">
        <v>548</v>
      </c>
      <c r="B100" s="44" t="s">
        <v>549</v>
      </c>
    </row>
    <row r="101" spans="1:2" ht="33">
      <c r="A101" s="42" t="s">
        <v>550</v>
      </c>
      <c r="B101" s="44" t="s">
        <v>551</v>
      </c>
    </row>
    <row r="102" spans="1:2" ht="37.5" customHeight="1">
      <c r="A102" s="42" t="s">
        <v>639</v>
      </c>
      <c r="B102" s="44" t="s">
        <v>643</v>
      </c>
    </row>
    <row r="103" spans="1:2" ht="33">
      <c r="A103" s="42" t="s">
        <v>552</v>
      </c>
      <c r="B103" s="44" t="s">
        <v>553</v>
      </c>
    </row>
    <row r="104" spans="1:2">
      <c r="A104" s="42" t="s">
        <v>554</v>
      </c>
      <c r="B104" s="24" t="s">
        <v>555</v>
      </c>
    </row>
    <row r="105" spans="1:2" ht="33">
      <c r="A105" s="42" t="s">
        <v>556</v>
      </c>
      <c r="B105" s="24" t="s">
        <v>557</v>
      </c>
    </row>
    <row r="106" spans="1:2">
      <c r="A106" s="42" t="s">
        <v>558</v>
      </c>
      <c r="B106" s="24" t="s">
        <v>559</v>
      </c>
    </row>
    <row r="107" spans="1:2">
      <c r="A107" s="25" t="s">
        <v>560</v>
      </c>
      <c r="B107" s="24" t="s">
        <v>561</v>
      </c>
    </row>
    <row r="108" spans="1:2" ht="33">
      <c r="A108" s="25" t="s">
        <v>562</v>
      </c>
      <c r="B108" s="24" t="s">
        <v>563</v>
      </c>
    </row>
    <row r="109" spans="1:2" ht="49.5">
      <c r="A109" s="25" t="s">
        <v>564</v>
      </c>
      <c r="B109" s="24" t="s">
        <v>613</v>
      </c>
    </row>
    <row r="110" spans="1:2" ht="72" customHeight="1">
      <c r="A110" s="25" t="s">
        <v>565</v>
      </c>
      <c r="B110" s="24" t="s">
        <v>602</v>
      </c>
    </row>
    <row r="111" spans="1:2">
      <c r="A111" s="25" t="s">
        <v>566</v>
      </c>
      <c r="B111" s="24" t="s">
        <v>567</v>
      </c>
    </row>
    <row r="112" spans="1:2">
      <c r="A112" s="25" t="s">
        <v>568</v>
      </c>
      <c r="B112" s="58" t="s">
        <v>334</v>
      </c>
    </row>
    <row r="113" spans="1:2">
      <c r="A113" s="25" t="s">
        <v>569</v>
      </c>
      <c r="B113" s="44" t="s">
        <v>570</v>
      </c>
    </row>
    <row r="114" spans="1:2">
      <c r="A114" s="25" t="s">
        <v>571</v>
      </c>
      <c r="B114" s="44" t="s">
        <v>572</v>
      </c>
    </row>
    <row r="115" spans="1:2">
      <c r="A115" s="25" t="s">
        <v>573</v>
      </c>
      <c r="B115" s="44" t="s">
        <v>575</v>
      </c>
    </row>
    <row r="116" spans="1:2">
      <c r="A116" s="25" t="s">
        <v>574</v>
      </c>
      <c r="B116" s="44" t="s">
        <v>575</v>
      </c>
    </row>
    <row r="117" spans="1:2">
      <c r="A117" s="25" t="s">
        <v>576</v>
      </c>
      <c r="B117" s="44" t="s">
        <v>577</v>
      </c>
    </row>
    <row r="118" spans="1:2" ht="33">
      <c r="A118" s="25" t="s">
        <v>578</v>
      </c>
      <c r="B118" s="24" t="s">
        <v>579</v>
      </c>
    </row>
    <row r="119" spans="1:2" ht="33">
      <c r="A119" s="25" t="s">
        <v>580</v>
      </c>
      <c r="B119" s="24" t="s">
        <v>335</v>
      </c>
    </row>
    <row r="120" spans="1:2" ht="75.95" customHeight="1">
      <c r="A120" s="25" t="s">
        <v>581</v>
      </c>
      <c r="B120" s="24" t="s">
        <v>0</v>
      </c>
    </row>
    <row r="121" spans="1:2" ht="38.25" customHeight="1">
      <c r="A121" s="42" t="s">
        <v>1</v>
      </c>
      <c r="B121" s="24" t="s">
        <v>603</v>
      </c>
    </row>
    <row r="122" spans="1:2">
      <c r="A122" s="42" t="s">
        <v>2</v>
      </c>
      <c r="B122" s="24" t="s">
        <v>701</v>
      </c>
    </row>
    <row r="123" spans="1:2">
      <c r="A123" s="42" t="s">
        <v>3</v>
      </c>
      <c r="B123" s="24" t="s">
        <v>4</v>
      </c>
    </row>
    <row r="124" spans="1:2" ht="21.95" customHeight="1">
      <c r="A124" s="42" t="s">
        <v>5</v>
      </c>
      <c r="B124" s="24" t="s">
        <v>604</v>
      </c>
    </row>
    <row r="125" spans="1:2" ht="49.5">
      <c r="A125" s="42" t="s">
        <v>6</v>
      </c>
      <c r="B125" s="24" t="s">
        <v>7</v>
      </c>
    </row>
    <row r="126" spans="1:2" ht="56.25" customHeight="1">
      <c r="A126" s="42" t="s">
        <v>8</v>
      </c>
      <c r="B126" s="24" t="s">
        <v>449</v>
      </c>
    </row>
    <row r="127" spans="1:2" ht="33">
      <c r="A127" s="42" t="s">
        <v>9</v>
      </c>
      <c r="B127" s="24" t="s">
        <v>10</v>
      </c>
    </row>
    <row r="128" spans="1:2" ht="49.5">
      <c r="A128" s="42" t="s">
        <v>11</v>
      </c>
      <c r="B128" s="24" t="s">
        <v>605</v>
      </c>
    </row>
    <row r="129" spans="1:2" ht="33">
      <c r="A129" s="42" t="s">
        <v>12</v>
      </c>
      <c r="B129" s="24" t="s">
        <v>606</v>
      </c>
    </row>
    <row r="130" spans="1:2" ht="49.5">
      <c r="A130" s="42" t="s">
        <v>13</v>
      </c>
      <c r="B130" s="24" t="s">
        <v>607</v>
      </c>
    </row>
    <row r="131" spans="1:2" ht="33">
      <c r="A131" s="42" t="s">
        <v>14</v>
      </c>
      <c r="B131" s="24" t="s">
        <v>15</v>
      </c>
    </row>
    <row r="132" spans="1:2" ht="53.25" customHeight="1">
      <c r="A132" s="42" t="s">
        <v>16</v>
      </c>
      <c r="B132" s="24" t="s">
        <v>608</v>
      </c>
    </row>
    <row r="133" spans="1:2" ht="39" customHeight="1">
      <c r="A133" s="42" t="s">
        <v>17</v>
      </c>
      <c r="B133" s="24" t="s">
        <v>18</v>
      </c>
    </row>
    <row r="134" spans="1:2" ht="52.7" customHeight="1">
      <c r="A134" s="42" t="s">
        <v>19</v>
      </c>
      <c r="B134" s="24" t="s">
        <v>609</v>
      </c>
    </row>
    <row r="135" spans="1:2" ht="33">
      <c r="A135" s="42" t="s">
        <v>20</v>
      </c>
      <c r="B135" s="24" t="s">
        <v>332</v>
      </c>
    </row>
    <row r="136" spans="1:2">
      <c r="A136" s="42" t="s">
        <v>21</v>
      </c>
      <c r="B136" s="24" t="s">
        <v>22</v>
      </c>
    </row>
    <row r="137" spans="1:2" ht="56.25" customHeight="1">
      <c r="A137" s="42" t="s">
        <v>361</v>
      </c>
      <c r="B137" s="24" t="s">
        <v>362</v>
      </c>
    </row>
    <row r="138" spans="1:2" ht="61.5" customHeight="1">
      <c r="A138" s="42" t="s">
        <v>655</v>
      </c>
      <c r="B138" s="24" t="s">
        <v>677</v>
      </c>
    </row>
    <row r="139" spans="1:2" ht="39" customHeight="1">
      <c r="A139" s="42" t="s">
        <v>638</v>
      </c>
      <c r="B139" s="94" t="s">
        <v>678</v>
      </c>
    </row>
    <row r="140" spans="1:2" ht="33">
      <c r="A140" s="42" t="s">
        <v>419</v>
      </c>
      <c r="B140" s="24" t="s">
        <v>420</v>
      </c>
    </row>
    <row r="141" spans="1:2" ht="39.950000000000003" customHeight="1">
      <c r="A141" s="42" t="s">
        <v>407</v>
      </c>
      <c r="B141" s="24" t="s">
        <v>398</v>
      </c>
    </row>
    <row r="142" spans="1:2" ht="69" customHeight="1">
      <c r="A142" s="42" t="s">
        <v>405</v>
      </c>
      <c r="B142" s="24" t="s">
        <v>406</v>
      </c>
    </row>
    <row r="143" spans="1:2" ht="76.5" customHeight="1">
      <c r="A143" s="42" t="s">
        <v>402</v>
      </c>
      <c r="B143" s="24" t="s">
        <v>396</v>
      </c>
    </row>
    <row r="144" spans="1:2" ht="125.25" customHeight="1">
      <c r="A144" s="42" t="s">
        <v>401</v>
      </c>
      <c r="B144" s="24" t="s">
        <v>391</v>
      </c>
    </row>
    <row r="145" spans="1:2" ht="123" customHeight="1">
      <c r="A145" s="42" t="s">
        <v>626</v>
      </c>
      <c r="B145" s="24" t="s">
        <v>627</v>
      </c>
    </row>
    <row r="146" spans="1:2" ht="120" customHeight="1">
      <c r="A146" s="42" t="s">
        <v>628</v>
      </c>
      <c r="B146" s="24" t="s">
        <v>629</v>
      </c>
    </row>
    <row r="147" spans="1:2" ht="49.5" customHeight="1">
      <c r="A147" s="95" t="s">
        <v>657</v>
      </c>
      <c r="B147" s="24" t="s">
        <v>659</v>
      </c>
    </row>
    <row r="148" spans="1:2" ht="57" customHeight="1">
      <c r="A148" s="42" t="s">
        <v>656</v>
      </c>
      <c r="B148" s="24" t="s">
        <v>675</v>
      </c>
    </row>
    <row r="149" spans="1:2" ht="53.25" customHeight="1">
      <c r="A149" s="42" t="s">
        <v>658</v>
      </c>
      <c r="B149" s="24" t="s">
        <v>676</v>
      </c>
    </row>
    <row r="150" spans="1:2" ht="33">
      <c r="A150" s="42" t="s">
        <v>23</v>
      </c>
      <c r="B150" s="24" t="s">
        <v>24</v>
      </c>
    </row>
    <row r="151" spans="1:2" ht="73.5" customHeight="1">
      <c r="A151" s="42" t="s">
        <v>437</v>
      </c>
      <c r="B151" s="24" t="s">
        <v>414</v>
      </c>
    </row>
    <row r="152" spans="1:2">
      <c r="A152" s="42" t="s">
        <v>25</v>
      </c>
      <c r="B152" s="24" t="s">
        <v>26</v>
      </c>
    </row>
    <row r="153" spans="1:2" ht="33">
      <c r="A153" s="42" t="s">
        <v>27</v>
      </c>
      <c r="B153" s="24" t="s">
        <v>28</v>
      </c>
    </row>
    <row r="154" spans="1:2" ht="53.25" customHeight="1">
      <c r="A154" s="42" t="s">
        <v>635</v>
      </c>
      <c r="B154" s="24" t="s">
        <v>674</v>
      </c>
    </row>
    <row r="155" spans="1:2" ht="121.5" customHeight="1">
      <c r="A155" s="42" t="s">
        <v>415</v>
      </c>
      <c r="B155" s="24" t="s">
        <v>416</v>
      </c>
    </row>
    <row r="156" spans="1:2" ht="33">
      <c r="A156" s="47" t="s">
        <v>29</v>
      </c>
      <c r="B156" s="33" t="s">
        <v>30</v>
      </c>
    </row>
    <row r="157" spans="1:2" ht="33">
      <c r="A157" s="42" t="s">
        <v>31</v>
      </c>
      <c r="B157" s="24" t="s">
        <v>32</v>
      </c>
    </row>
    <row r="158" spans="1:2" ht="49.5">
      <c r="A158" s="42" t="s">
        <v>33</v>
      </c>
      <c r="B158" s="24" t="s">
        <v>610</v>
      </c>
    </row>
    <row r="159" spans="1:2" ht="33">
      <c r="A159" s="42" t="s">
        <v>34</v>
      </c>
      <c r="B159" s="24" t="s">
        <v>35</v>
      </c>
    </row>
    <row r="160" spans="1:2" ht="33">
      <c r="A160" s="42" t="s">
        <v>36</v>
      </c>
      <c r="B160" s="24" t="s">
        <v>37</v>
      </c>
    </row>
    <row r="161" spans="1:2" ht="33">
      <c r="A161" s="42" t="s">
        <v>38</v>
      </c>
      <c r="B161" s="44" t="s">
        <v>710</v>
      </c>
    </row>
    <row r="162" spans="1:2">
      <c r="A162" s="42" t="s">
        <v>39</v>
      </c>
      <c r="B162" s="44" t="s">
        <v>40</v>
      </c>
    </row>
    <row r="163" spans="1:2" ht="33">
      <c r="A163" s="42" t="s">
        <v>632</v>
      </c>
      <c r="B163" s="39" t="s">
        <v>703</v>
      </c>
    </row>
    <row r="164" spans="1:2" ht="37.5" customHeight="1">
      <c r="A164" s="42" t="s">
        <v>41</v>
      </c>
      <c r="B164" s="44" t="s">
        <v>611</v>
      </c>
    </row>
    <row r="165" spans="1:2" ht="33">
      <c r="A165" s="42" t="s">
        <v>42</v>
      </c>
      <c r="B165" s="44" t="s">
        <v>43</v>
      </c>
    </row>
    <row r="166" spans="1:2">
      <c r="A166" s="42" t="s">
        <v>44</v>
      </c>
      <c r="B166" s="44" t="s">
        <v>360</v>
      </c>
    </row>
    <row r="167" spans="1:2" ht="33">
      <c r="A167" s="42" t="s">
        <v>45</v>
      </c>
      <c r="B167" s="44" t="s">
        <v>336</v>
      </c>
    </row>
    <row r="168" spans="1:2">
      <c r="A168" s="42" t="s">
        <v>46</v>
      </c>
      <c r="B168" s="44" t="s">
        <v>47</v>
      </c>
    </row>
    <row r="169" spans="1:2" ht="33">
      <c r="A169" s="42" t="s">
        <v>48</v>
      </c>
      <c r="B169" s="44" t="s">
        <v>49</v>
      </c>
    </row>
    <row r="170" spans="1:2">
      <c r="A170" s="42" t="s">
        <v>50</v>
      </c>
      <c r="B170" s="44" t="s">
        <v>51</v>
      </c>
    </row>
    <row r="171" spans="1:2" ht="33">
      <c r="A171" s="42" t="s">
        <v>52</v>
      </c>
      <c r="B171" s="44" t="s">
        <v>53</v>
      </c>
    </row>
    <row r="172" spans="1:2" ht="42.75" customHeight="1">
      <c r="A172" s="42" t="s">
        <v>427</v>
      </c>
      <c r="B172" s="44" t="s">
        <v>428</v>
      </c>
    </row>
    <row r="173" spans="1:2" ht="87" customHeight="1">
      <c r="A173" s="42" t="s">
        <v>412</v>
      </c>
      <c r="B173" s="44" t="s">
        <v>413</v>
      </c>
    </row>
    <row r="174" spans="1:2">
      <c r="A174" s="42" t="s">
        <v>54</v>
      </c>
      <c r="B174" s="44" t="s">
        <v>55</v>
      </c>
    </row>
    <row r="175" spans="1:2">
      <c r="A175" s="42" t="s">
        <v>56</v>
      </c>
      <c r="B175" s="44" t="s">
        <v>57</v>
      </c>
    </row>
    <row r="176" spans="1:2" ht="33">
      <c r="A176" s="42" t="s">
        <v>58</v>
      </c>
      <c r="B176" s="44" t="s">
        <v>59</v>
      </c>
    </row>
    <row r="177" spans="1:2" ht="55.5" customHeight="1">
      <c r="A177" s="42" t="s">
        <v>654</v>
      </c>
      <c r="B177" s="44" t="s">
        <v>685</v>
      </c>
    </row>
    <row r="178" spans="1:2" ht="33">
      <c r="A178" s="42" t="s">
        <v>60</v>
      </c>
      <c r="B178" s="50" t="s">
        <v>61</v>
      </c>
    </row>
    <row r="179" spans="1:2" ht="33">
      <c r="A179" s="42" t="s">
        <v>62</v>
      </c>
      <c r="B179" s="50" t="s">
        <v>63</v>
      </c>
    </row>
    <row r="180" spans="1:2" ht="33">
      <c r="A180" s="42" t="s">
        <v>64</v>
      </c>
      <c r="B180" s="50" t="s">
        <v>65</v>
      </c>
    </row>
    <row r="181" spans="1:2" ht="33">
      <c r="A181" s="42" t="s">
        <v>66</v>
      </c>
      <c r="B181" s="50" t="s">
        <v>67</v>
      </c>
    </row>
    <row r="182" spans="1:2" ht="49.5">
      <c r="A182" s="49" t="s">
        <v>68</v>
      </c>
      <c r="B182" s="59" t="s">
        <v>69</v>
      </c>
    </row>
    <row r="183" spans="1:2" ht="33">
      <c r="A183" s="49" t="s">
        <v>70</v>
      </c>
      <c r="B183" s="59" t="s">
        <v>327</v>
      </c>
    </row>
    <row r="184" spans="1:2">
      <c r="A184" s="49" t="s">
        <v>71</v>
      </c>
      <c r="B184" s="59" t="s">
        <v>337</v>
      </c>
    </row>
    <row r="185" spans="1:2">
      <c r="A185" s="49" t="s">
        <v>73</v>
      </c>
      <c r="B185" s="59" t="s">
        <v>257</v>
      </c>
    </row>
    <row r="186" spans="1:2">
      <c r="A186" s="49" t="s">
        <v>74</v>
      </c>
      <c r="B186" s="59" t="s">
        <v>338</v>
      </c>
    </row>
    <row r="187" spans="1:2">
      <c r="A187" s="49" t="s">
        <v>75</v>
      </c>
      <c r="B187" s="59" t="s">
        <v>72</v>
      </c>
    </row>
    <row r="188" spans="1:2">
      <c r="A188" s="49" t="s">
        <v>588</v>
      </c>
      <c r="B188" s="59" t="s">
        <v>589</v>
      </c>
    </row>
    <row r="189" spans="1:2">
      <c r="A189" s="49" t="s">
        <v>618</v>
      </c>
      <c r="B189" s="59" t="s">
        <v>633</v>
      </c>
    </row>
    <row r="190" spans="1:2">
      <c r="A190" s="49" t="s">
        <v>644</v>
      </c>
      <c r="B190" s="59" t="s">
        <v>645</v>
      </c>
    </row>
    <row r="191" spans="1:2" ht="33">
      <c r="A191" s="49" t="s">
        <v>646</v>
      </c>
      <c r="B191" s="59" t="s">
        <v>647</v>
      </c>
    </row>
    <row r="192" spans="1:2">
      <c r="A192" s="49" t="s">
        <v>648</v>
      </c>
      <c r="B192" s="59" t="s">
        <v>649</v>
      </c>
    </row>
    <row r="193" spans="1:2">
      <c r="A193" s="49" t="s">
        <v>650</v>
      </c>
      <c r="B193" s="59" t="s">
        <v>651</v>
      </c>
    </row>
    <row r="194" spans="1:2">
      <c r="A194" s="49" t="s">
        <v>652</v>
      </c>
      <c r="B194" s="59" t="s">
        <v>653</v>
      </c>
    </row>
    <row r="195" spans="1:2">
      <c r="A195" s="49" t="s">
        <v>76</v>
      </c>
      <c r="B195" s="59" t="s">
        <v>328</v>
      </c>
    </row>
    <row r="196" spans="1:2">
      <c r="A196" s="42" t="s">
        <v>77</v>
      </c>
      <c r="B196" s="3" t="s">
        <v>692</v>
      </c>
    </row>
    <row r="197" spans="1:2" ht="43.5" customHeight="1">
      <c r="A197" s="42" t="s">
        <v>636</v>
      </c>
      <c r="B197" s="3" t="s">
        <v>637</v>
      </c>
    </row>
    <row r="198" spans="1:2" ht="62.25" customHeight="1">
      <c r="A198" s="42" t="s">
        <v>683</v>
      </c>
      <c r="B198" s="3" t="s">
        <v>684</v>
      </c>
    </row>
    <row r="199" spans="1:2" ht="39" customHeight="1">
      <c r="A199" s="42" t="s">
        <v>681</v>
      </c>
      <c r="B199" s="3" t="s">
        <v>682</v>
      </c>
    </row>
    <row r="200" spans="1:2" ht="33">
      <c r="A200" s="42" t="s">
        <v>78</v>
      </c>
      <c r="B200" s="50" t="s">
        <v>79</v>
      </c>
    </row>
    <row r="201" spans="1:2">
      <c r="A201" s="42" t="s">
        <v>80</v>
      </c>
      <c r="B201" s="50" t="s">
        <v>81</v>
      </c>
    </row>
    <row r="202" spans="1:2" ht="33">
      <c r="A202" s="42" t="s">
        <v>82</v>
      </c>
      <c r="B202" s="44" t="s">
        <v>83</v>
      </c>
    </row>
    <row r="203" spans="1:2">
      <c r="A203" s="42" t="s">
        <v>84</v>
      </c>
      <c r="B203" s="44" t="s">
        <v>85</v>
      </c>
    </row>
    <row r="204" spans="1:2">
      <c r="A204" s="42" t="s">
        <v>86</v>
      </c>
      <c r="B204" s="44" t="s">
        <v>87</v>
      </c>
    </row>
    <row r="205" spans="1:2">
      <c r="A205" s="42" t="s">
        <v>88</v>
      </c>
      <c r="B205" s="44" t="s">
        <v>89</v>
      </c>
    </row>
    <row r="206" spans="1:2">
      <c r="A206" s="42" t="s">
        <v>90</v>
      </c>
      <c r="B206" s="44" t="s">
        <v>91</v>
      </c>
    </row>
    <row r="207" spans="1:2" ht="33">
      <c r="A207" s="42" t="s">
        <v>92</v>
      </c>
      <c r="B207" s="44" t="s">
        <v>93</v>
      </c>
    </row>
    <row r="208" spans="1:2" ht="33">
      <c r="A208" s="42" t="s">
        <v>94</v>
      </c>
      <c r="B208" s="44" t="s">
        <v>95</v>
      </c>
    </row>
    <row r="209" spans="1:2">
      <c r="A209" s="42" t="s">
        <v>96</v>
      </c>
      <c r="B209" s="44" t="s">
        <v>97</v>
      </c>
    </row>
    <row r="210" spans="1:2">
      <c r="A210" s="42" t="s">
        <v>98</v>
      </c>
      <c r="B210" s="44" t="s">
        <v>99</v>
      </c>
    </row>
    <row r="211" spans="1:2">
      <c r="A211" s="42" t="s">
        <v>100</v>
      </c>
      <c r="B211" s="44" t="s">
        <v>101</v>
      </c>
    </row>
    <row r="212" spans="1:2">
      <c r="A212" s="42" t="s">
        <v>102</v>
      </c>
      <c r="B212" s="44" t="s">
        <v>103</v>
      </c>
    </row>
    <row r="213" spans="1:2" ht="33">
      <c r="A213" s="42" t="s">
        <v>104</v>
      </c>
      <c r="B213" s="44" t="s">
        <v>105</v>
      </c>
    </row>
    <row r="214" spans="1:2" ht="39" customHeight="1">
      <c r="A214" s="47" t="s">
        <v>106</v>
      </c>
      <c r="B214" s="56" t="s">
        <v>641</v>
      </c>
    </row>
    <row r="215" spans="1:2">
      <c r="A215" s="42" t="s">
        <v>107</v>
      </c>
      <c r="B215" s="44" t="s">
        <v>117</v>
      </c>
    </row>
    <row r="216" spans="1:2" ht="33">
      <c r="A216" s="42" t="s">
        <v>118</v>
      </c>
      <c r="B216" s="44" t="s">
        <v>119</v>
      </c>
    </row>
    <row r="217" spans="1:2">
      <c r="A217" s="42" t="s">
        <v>120</v>
      </c>
      <c r="B217" s="44" t="s">
        <v>642</v>
      </c>
    </row>
    <row r="218" spans="1:2" ht="33">
      <c r="A218" s="42" t="s">
        <v>121</v>
      </c>
      <c r="B218" s="44" t="s">
        <v>368</v>
      </c>
    </row>
    <row r="219" spans="1:2" ht="33">
      <c r="A219" s="42" t="s">
        <v>122</v>
      </c>
      <c r="B219" s="44" t="s">
        <v>123</v>
      </c>
    </row>
    <row r="220" spans="1:2">
      <c r="A220" s="42" t="s">
        <v>124</v>
      </c>
      <c r="B220" s="44" t="s">
        <v>125</v>
      </c>
    </row>
    <row r="221" spans="1:2" ht="33">
      <c r="A221" s="42" t="s">
        <v>126</v>
      </c>
      <c r="B221" s="44" t="s">
        <v>127</v>
      </c>
    </row>
    <row r="222" spans="1:2">
      <c r="A222" s="42" t="s">
        <v>128</v>
      </c>
      <c r="B222" s="44" t="s">
        <v>129</v>
      </c>
    </row>
    <row r="223" spans="1:2" ht="33">
      <c r="A223" s="42" t="s">
        <v>130</v>
      </c>
      <c r="B223" s="44" t="s">
        <v>612</v>
      </c>
    </row>
    <row r="224" spans="1:2">
      <c r="A224" s="42" t="s">
        <v>131</v>
      </c>
      <c r="B224" s="44" t="s">
        <v>132</v>
      </c>
    </row>
    <row r="225" spans="1:2" ht="49.5">
      <c r="A225" s="42" t="s">
        <v>133</v>
      </c>
      <c r="B225" s="44" t="s">
        <v>134</v>
      </c>
    </row>
    <row r="226" spans="1:2">
      <c r="A226" s="42" t="s">
        <v>135</v>
      </c>
      <c r="B226" s="44" t="s">
        <v>136</v>
      </c>
    </row>
    <row r="227" spans="1:2">
      <c r="A227" s="42" t="s">
        <v>137</v>
      </c>
      <c r="B227" s="44" t="s">
        <v>138</v>
      </c>
    </row>
    <row r="228" spans="1:2" ht="56.25" customHeight="1">
      <c r="A228" s="42" t="s">
        <v>680</v>
      </c>
      <c r="B228" s="44" t="s">
        <v>684</v>
      </c>
    </row>
    <row r="229" spans="1:2" ht="49.5">
      <c r="A229" s="42" t="s">
        <v>139</v>
      </c>
      <c r="B229" s="44" t="s">
        <v>693</v>
      </c>
    </row>
    <row r="230" spans="1:2" ht="49.5">
      <c r="A230" s="42" t="s">
        <v>140</v>
      </c>
      <c r="B230" s="44" t="s">
        <v>694</v>
      </c>
    </row>
    <row r="231" spans="1:2" ht="56.25" customHeight="1">
      <c r="A231" s="42" t="s">
        <v>141</v>
      </c>
      <c r="B231" s="44" t="s">
        <v>695</v>
      </c>
    </row>
    <row r="232" spans="1:2" ht="66">
      <c r="A232" s="42" t="s">
        <v>142</v>
      </c>
      <c r="B232" s="44" t="s">
        <v>697</v>
      </c>
    </row>
    <row r="233" spans="1:2" ht="33">
      <c r="A233" s="42" t="s">
        <v>143</v>
      </c>
      <c r="B233" s="44" t="s">
        <v>696</v>
      </c>
    </row>
    <row r="234" spans="1:2" ht="49.5">
      <c r="A234" s="42" t="s">
        <v>144</v>
      </c>
      <c r="B234" s="44" t="s">
        <v>145</v>
      </c>
    </row>
    <row r="235" spans="1:2" ht="49.5">
      <c r="A235" s="42" t="s">
        <v>146</v>
      </c>
      <c r="B235" s="44" t="s">
        <v>147</v>
      </c>
    </row>
    <row r="236" spans="1:2" ht="33">
      <c r="A236" s="42" t="s">
        <v>148</v>
      </c>
      <c r="B236" s="44" t="s">
        <v>149</v>
      </c>
    </row>
    <row r="237" spans="1:2">
      <c r="A237" s="42" t="s">
        <v>150</v>
      </c>
      <c r="B237" s="24" t="s">
        <v>151</v>
      </c>
    </row>
    <row r="238" spans="1:2" ht="33">
      <c r="A238" s="47" t="s">
        <v>382</v>
      </c>
      <c r="B238" s="33" t="s">
        <v>383</v>
      </c>
    </row>
    <row r="239" spans="1:2">
      <c r="A239" s="42" t="s">
        <v>152</v>
      </c>
      <c r="B239" s="24" t="s">
        <v>153</v>
      </c>
    </row>
    <row r="240" spans="1:2" ht="33">
      <c r="A240" s="25" t="s">
        <v>384</v>
      </c>
      <c r="B240" s="24" t="s">
        <v>385</v>
      </c>
    </row>
    <row r="241" spans="1:2">
      <c r="A241" s="25" t="s">
        <v>154</v>
      </c>
      <c r="B241" s="24" t="s">
        <v>155</v>
      </c>
    </row>
    <row r="242" spans="1:2" ht="49.5">
      <c r="A242" s="25" t="s">
        <v>156</v>
      </c>
      <c r="B242" s="24" t="s">
        <v>157</v>
      </c>
    </row>
    <row r="243" spans="1:2">
      <c r="A243" s="25" t="s">
        <v>686</v>
      </c>
      <c r="B243" s="24" t="s">
        <v>687</v>
      </c>
    </row>
    <row r="244" spans="1:2" ht="49.5">
      <c r="A244" s="25" t="s">
        <v>688</v>
      </c>
      <c r="B244" s="24" t="s">
        <v>689</v>
      </c>
    </row>
    <row r="245" spans="1:2">
      <c r="A245" s="25" t="s">
        <v>295</v>
      </c>
      <c r="B245" s="24" t="s">
        <v>296</v>
      </c>
    </row>
    <row r="246" spans="1:2">
      <c r="A246" s="25" t="s">
        <v>297</v>
      </c>
      <c r="B246" s="24" t="s">
        <v>298</v>
      </c>
    </row>
    <row r="247" spans="1:2" ht="33">
      <c r="A247" s="25" t="s">
        <v>299</v>
      </c>
      <c r="B247" s="24" t="s">
        <v>300</v>
      </c>
    </row>
    <row r="248" spans="1:2">
      <c r="A248" s="25" t="s">
        <v>301</v>
      </c>
      <c r="B248" s="24" t="s">
        <v>232</v>
      </c>
    </row>
    <row r="249" spans="1:2">
      <c r="A249" s="25" t="s">
        <v>302</v>
      </c>
      <c r="B249" s="24" t="s">
        <v>234</v>
      </c>
    </row>
    <row r="250" spans="1:2">
      <c r="A250" s="25" t="s">
        <v>303</v>
      </c>
      <c r="B250" s="24" t="s">
        <v>167</v>
      </c>
    </row>
    <row r="251" spans="1:2">
      <c r="A251" s="25" t="s">
        <v>304</v>
      </c>
      <c r="B251" s="24" t="s">
        <v>168</v>
      </c>
    </row>
    <row r="252" spans="1:2" ht="38.25" customHeight="1">
      <c r="A252" s="25" t="s">
        <v>585</v>
      </c>
      <c r="B252" s="24" t="s">
        <v>586</v>
      </c>
    </row>
    <row r="253" spans="1:2" ht="33">
      <c r="A253" s="25" t="s">
        <v>305</v>
      </c>
      <c r="B253" s="24" t="s">
        <v>306</v>
      </c>
    </row>
    <row r="254" spans="1:2">
      <c r="A254" s="25" t="s">
        <v>307</v>
      </c>
      <c r="B254" s="24" t="s">
        <v>308</v>
      </c>
    </row>
    <row r="255" spans="1:2">
      <c r="A255" s="25" t="s">
        <v>309</v>
      </c>
      <c r="B255" s="24" t="s">
        <v>236</v>
      </c>
    </row>
    <row r="256" spans="1:2">
      <c r="A256" s="22" t="s">
        <v>438</v>
      </c>
      <c r="B256" s="59" t="s">
        <v>198</v>
      </c>
    </row>
    <row r="257" spans="1:2">
      <c r="A257" s="22" t="s">
        <v>439</v>
      </c>
      <c r="B257" s="59" t="s">
        <v>199</v>
      </c>
    </row>
    <row r="258" spans="1:2">
      <c r="A258" s="22" t="s">
        <v>310</v>
      </c>
      <c r="B258" s="59" t="s">
        <v>204</v>
      </c>
    </row>
    <row r="259" spans="1:2">
      <c r="A259" s="22" t="s">
        <v>311</v>
      </c>
      <c r="B259" s="60" t="s">
        <v>205</v>
      </c>
    </row>
    <row r="260" spans="1:2">
      <c r="A260" s="22" t="s">
        <v>333</v>
      </c>
      <c r="B260" s="59" t="s">
        <v>363</v>
      </c>
    </row>
    <row r="261" spans="1:2">
      <c r="A261" s="22" t="s">
        <v>366</v>
      </c>
      <c r="B261" s="60" t="s">
        <v>364</v>
      </c>
    </row>
    <row r="262" spans="1:2">
      <c r="A262" s="22" t="s">
        <v>378</v>
      </c>
      <c r="B262" s="59" t="s">
        <v>365</v>
      </c>
    </row>
    <row r="263" spans="1:2" ht="66">
      <c r="A263" s="22" t="s">
        <v>690</v>
      </c>
      <c r="B263" s="59" t="s">
        <v>698</v>
      </c>
    </row>
    <row r="264" spans="1:2">
      <c r="A264" s="25" t="s">
        <v>367</v>
      </c>
      <c r="B264" s="59" t="s">
        <v>369</v>
      </c>
    </row>
    <row r="265" spans="1:2" ht="54" customHeight="1">
      <c r="A265" s="22" t="s">
        <v>624</v>
      </c>
      <c r="B265" s="59" t="s">
        <v>625</v>
      </c>
    </row>
    <row r="266" spans="1:2" ht="55.5" customHeight="1">
      <c r="A266" s="22" t="s">
        <v>379</v>
      </c>
      <c r="B266" s="59" t="s">
        <v>394</v>
      </c>
    </row>
    <row r="267" spans="1:2" ht="40.5" customHeight="1">
      <c r="A267" s="22" t="s">
        <v>397</v>
      </c>
      <c r="B267" s="59" t="s">
        <v>398</v>
      </c>
    </row>
    <row r="268" spans="1:2" ht="40.5" customHeight="1">
      <c r="A268" s="22" t="s">
        <v>622</v>
      </c>
      <c r="B268" s="59" t="s">
        <v>623</v>
      </c>
    </row>
    <row r="269" spans="1:2" ht="111" customHeight="1">
      <c r="A269" s="22" t="s">
        <v>386</v>
      </c>
      <c r="B269" s="59" t="s">
        <v>387</v>
      </c>
    </row>
    <row r="270" spans="1:2" ht="78" customHeight="1">
      <c r="A270" s="22" t="s">
        <v>395</v>
      </c>
      <c r="B270" s="59" t="s">
        <v>396</v>
      </c>
    </row>
    <row r="271" spans="1:2" ht="133.5" customHeight="1">
      <c r="A271" s="22" t="s">
        <v>390</v>
      </c>
      <c r="B271" s="59" t="s">
        <v>391</v>
      </c>
    </row>
    <row r="272" spans="1:2" ht="102.75" customHeight="1">
      <c r="A272" s="22" t="s">
        <v>372</v>
      </c>
      <c r="B272" s="59" t="s">
        <v>435</v>
      </c>
    </row>
    <row r="273" spans="1:2" ht="114.75" customHeight="1">
      <c r="A273" s="46" t="s">
        <v>373</v>
      </c>
      <c r="B273" s="61" t="s">
        <v>436</v>
      </c>
    </row>
    <row r="274" spans="1:2" ht="141.75" customHeight="1">
      <c r="A274" s="46" t="s">
        <v>374</v>
      </c>
      <c r="B274" s="61" t="s">
        <v>375</v>
      </c>
    </row>
    <row r="275" spans="1:2" ht="90" customHeight="1">
      <c r="A275" s="22" t="s">
        <v>399</v>
      </c>
      <c r="B275" s="59" t="s">
        <v>400</v>
      </c>
    </row>
    <row r="276" spans="1:2" ht="72" customHeight="1">
      <c r="A276" s="22" t="s">
        <v>403</v>
      </c>
      <c r="B276" s="59" t="s">
        <v>404</v>
      </c>
    </row>
    <row r="277" spans="1:2" ht="88.7" customHeight="1">
      <c r="A277" s="22" t="s">
        <v>376</v>
      </c>
      <c r="B277" s="59" t="s">
        <v>377</v>
      </c>
    </row>
    <row r="278" spans="1:2" ht="87" customHeight="1">
      <c r="A278" s="22" t="s">
        <v>388</v>
      </c>
      <c r="B278" s="59" t="s">
        <v>389</v>
      </c>
    </row>
    <row r="279" spans="1:2" ht="126.75" customHeight="1">
      <c r="A279" s="22" t="s">
        <v>417</v>
      </c>
      <c r="B279" s="59" t="s">
        <v>418</v>
      </c>
    </row>
    <row r="280" spans="1:2" ht="51.75" customHeight="1">
      <c r="A280" s="22" t="s">
        <v>699</v>
      </c>
      <c r="B280" s="59" t="s">
        <v>700</v>
      </c>
    </row>
    <row r="281" spans="1:2" ht="33">
      <c r="A281" s="22" t="s">
        <v>440</v>
      </c>
      <c r="B281" s="59" t="s">
        <v>441</v>
      </c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86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workbookViewId="0">
      <selection activeCell="F18" sqref="F18"/>
    </sheetView>
  </sheetViews>
  <sheetFormatPr defaultColWidth="9.140625" defaultRowHeight="16.5"/>
  <cols>
    <col min="1" max="1" width="9.7109375" style="48" customWidth="1"/>
    <col min="2" max="2" width="101.140625" style="48" customWidth="1"/>
    <col min="3" max="16384" width="9.140625" style="48"/>
  </cols>
  <sheetData>
    <row r="1" spans="1:2">
      <c r="A1" s="26" t="s">
        <v>312</v>
      </c>
      <c r="B1" s="22" t="s">
        <v>207</v>
      </c>
    </row>
    <row r="2" spans="1:2" ht="33">
      <c r="A2" s="49">
        <v>100</v>
      </c>
      <c r="B2" s="44" t="s">
        <v>339</v>
      </c>
    </row>
    <row r="3" spans="1:2">
      <c r="A3" s="49">
        <v>110</v>
      </c>
      <c r="B3" s="50" t="s">
        <v>326</v>
      </c>
    </row>
    <row r="4" spans="1:2">
      <c r="A4" s="49">
        <v>120</v>
      </c>
      <c r="B4" s="44" t="s">
        <v>340</v>
      </c>
    </row>
    <row r="5" spans="1:2">
      <c r="A5" s="49">
        <v>200</v>
      </c>
      <c r="B5" s="44" t="s">
        <v>341</v>
      </c>
    </row>
    <row r="6" spans="1:2">
      <c r="A6" s="49">
        <v>220</v>
      </c>
      <c r="B6" s="44"/>
    </row>
    <row r="7" spans="1:2">
      <c r="A7" s="49">
        <v>240</v>
      </c>
      <c r="B7" s="44" t="s">
        <v>313</v>
      </c>
    </row>
    <row r="8" spans="1:2">
      <c r="A8" s="49">
        <v>241</v>
      </c>
      <c r="B8" s="44" t="s">
        <v>619</v>
      </c>
    </row>
    <row r="9" spans="1:2">
      <c r="A9" s="49">
        <v>242</v>
      </c>
      <c r="B9" s="44" t="s">
        <v>314</v>
      </c>
    </row>
    <row r="10" spans="1:2">
      <c r="A10" s="49">
        <v>243</v>
      </c>
      <c r="B10" s="44" t="s">
        <v>315</v>
      </c>
    </row>
    <row r="11" spans="1:2">
      <c r="A11" s="49">
        <v>244</v>
      </c>
      <c r="B11" s="44" t="s">
        <v>342</v>
      </c>
    </row>
    <row r="12" spans="1:2">
      <c r="A12" s="49">
        <v>300</v>
      </c>
      <c r="B12" s="44" t="s">
        <v>343</v>
      </c>
    </row>
    <row r="13" spans="1:2">
      <c r="A13" s="49">
        <v>310</v>
      </c>
      <c r="B13" s="44" t="s">
        <v>344</v>
      </c>
    </row>
    <row r="14" spans="1:2" ht="33">
      <c r="A14" s="51">
        <v>313</v>
      </c>
      <c r="B14" s="44" t="s">
        <v>316</v>
      </c>
    </row>
    <row r="15" spans="1:2">
      <c r="A15" s="49">
        <v>320</v>
      </c>
      <c r="B15" s="44" t="s">
        <v>345</v>
      </c>
    </row>
    <row r="16" spans="1:2" ht="33">
      <c r="A16" s="49">
        <v>321</v>
      </c>
      <c r="B16" s="52" t="s">
        <v>317</v>
      </c>
    </row>
    <row r="17" spans="1:2">
      <c r="A17" s="49">
        <v>322</v>
      </c>
      <c r="B17" s="44" t="s">
        <v>318</v>
      </c>
    </row>
    <row r="18" spans="1:2">
      <c r="A18" s="49">
        <v>323</v>
      </c>
      <c r="B18" s="44" t="s">
        <v>319</v>
      </c>
    </row>
    <row r="19" spans="1:2">
      <c r="A19" s="49">
        <v>330</v>
      </c>
      <c r="B19" s="44" t="s">
        <v>707</v>
      </c>
    </row>
    <row r="20" spans="1:2">
      <c r="A20" s="53">
        <v>340</v>
      </c>
      <c r="B20" s="54" t="s">
        <v>320</v>
      </c>
    </row>
    <row r="21" spans="1:2">
      <c r="A21" s="53">
        <v>350</v>
      </c>
      <c r="B21" s="54" t="s">
        <v>321</v>
      </c>
    </row>
    <row r="22" spans="1:2">
      <c r="A22" s="49">
        <v>360</v>
      </c>
      <c r="B22" s="44" t="s">
        <v>346</v>
      </c>
    </row>
    <row r="23" spans="1:2">
      <c r="A23" s="49">
        <v>400</v>
      </c>
      <c r="B23" s="44" t="s">
        <v>347</v>
      </c>
    </row>
    <row r="24" spans="1:2">
      <c r="A24" s="49">
        <v>410</v>
      </c>
      <c r="B24" s="44" t="s">
        <v>348</v>
      </c>
    </row>
    <row r="25" spans="1:2">
      <c r="A25" s="49">
        <v>414</v>
      </c>
      <c r="B25" s="44" t="s">
        <v>322</v>
      </c>
    </row>
    <row r="26" spans="1:2" ht="33">
      <c r="A26" s="55">
        <v>600</v>
      </c>
      <c r="B26" s="56" t="s">
        <v>349</v>
      </c>
    </row>
    <row r="27" spans="1:2">
      <c r="A27" s="55">
        <v>610</v>
      </c>
      <c r="B27" s="33" t="s">
        <v>350</v>
      </c>
    </row>
    <row r="28" spans="1:2" ht="33">
      <c r="A28" s="49">
        <v>611</v>
      </c>
      <c r="B28" s="44" t="s">
        <v>230</v>
      </c>
    </row>
    <row r="29" spans="1:2">
      <c r="A29" s="49">
        <v>612</v>
      </c>
      <c r="B29" s="44" t="s">
        <v>229</v>
      </c>
    </row>
    <row r="30" spans="1:2">
      <c r="A30" s="49">
        <v>620</v>
      </c>
      <c r="B30" s="44" t="s">
        <v>351</v>
      </c>
    </row>
    <row r="31" spans="1:2" ht="33">
      <c r="A31" s="49">
        <v>621</v>
      </c>
      <c r="B31" s="44" t="s">
        <v>450</v>
      </c>
    </row>
    <row r="32" spans="1:2">
      <c r="A32" s="49">
        <v>622</v>
      </c>
      <c r="B32" s="44" t="s">
        <v>171</v>
      </c>
    </row>
    <row r="33" spans="1:2" ht="33">
      <c r="A33" s="49">
        <v>630</v>
      </c>
      <c r="B33" s="44" t="s">
        <v>352</v>
      </c>
    </row>
    <row r="34" spans="1:2">
      <c r="A34" s="49">
        <v>700</v>
      </c>
      <c r="B34" s="44" t="s">
        <v>359</v>
      </c>
    </row>
    <row r="35" spans="1:2">
      <c r="A35" s="49">
        <v>730</v>
      </c>
      <c r="B35" s="44" t="s">
        <v>323</v>
      </c>
    </row>
    <row r="36" spans="1:2">
      <c r="A36" s="49">
        <v>800</v>
      </c>
      <c r="B36" s="44" t="s">
        <v>353</v>
      </c>
    </row>
    <row r="37" spans="1:2" ht="33">
      <c r="A37" s="49">
        <v>810</v>
      </c>
      <c r="B37" s="44" t="s">
        <v>324</v>
      </c>
    </row>
    <row r="38" spans="1:2">
      <c r="A38" s="49">
        <v>830</v>
      </c>
      <c r="B38" s="44" t="s">
        <v>354</v>
      </c>
    </row>
    <row r="39" spans="1:2" ht="66">
      <c r="A39" s="49">
        <v>831</v>
      </c>
      <c r="B39" s="44" t="s">
        <v>370</v>
      </c>
    </row>
    <row r="40" spans="1:2">
      <c r="A40" s="49">
        <v>850</v>
      </c>
      <c r="B40" s="44" t="s">
        <v>355</v>
      </c>
    </row>
    <row r="41" spans="1:2">
      <c r="A41" s="22">
        <v>851</v>
      </c>
      <c r="B41" s="24" t="s">
        <v>356</v>
      </c>
    </row>
    <row r="42" spans="1:2">
      <c r="A42" s="53">
        <v>852</v>
      </c>
      <c r="B42" s="54" t="s">
        <v>325</v>
      </c>
    </row>
    <row r="43" spans="1:2" ht="33">
      <c r="A43" s="53">
        <v>860</v>
      </c>
      <c r="B43" s="39" t="s">
        <v>442</v>
      </c>
    </row>
    <row r="44" spans="1:2">
      <c r="A44" s="53">
        <v>862</v>
      </c>
      <c r="B44" s="39" t="s">
        <v>443</v>
      </c>
    </row>
    <row r="45" spans="1:2">
      <c r="A45" s="22">
        <v>870</v>
      </c>
      <c r="B45" s="24" t="s">
        <v>358</v>
      </c>
    </row>
  </sheetData>
  <phoneticPr fontId="8" type="noConversion"/>
  <dataValidations count="1">
    <dataValidation type="list" allowBlank="1" showInputMessage="1" showErrorMessage="1" sqref="B46:B65539">
      <formula1>$A$2:$A$42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70"/>
  <sheetViews>
    <sheetView showZeros="0" view="pageBreakPreview" topLeftCell="A48" zoomScale="80" zoomScaleNormal="75" zoomScaleSheetLayoutView="80" workbookViewId="0">
      <selection activeCell="A15" sqref="A15"/>
    </sheetView>
  </sheetViews>
  <sheetFormatPr defaultColWidth="9.140625" defaultRowHeight="16.5"/>
  <cols>
    <col min="1" max="1" width="81.85546875" style="78" customWidth="1"/>
    <col min="2" max="2" width="14.140625" style="121" customWidth="1"/>
    <col min="3" max="3" width="13.5703125" style="121" customWidth="1"/>
    <col min="4" max="4" width="22" style="121" hidden="1" customWidth="1"/>
    <col min="5" max="5" width="16" style="121" hidden="1" customWidth="1"/>
    <col min="6" max="6" width="18" style="121" hidden="1" customWidth="1"/>
    <col min="7" max="7" width="20.85546875" style="121" hidden="1" customWidth="1"/>
    <col min="8" max="8" width="21.7109375" style="121" hidden="1" customWidth="1"/>
    <col min="9" max="9" width="24.85546875" style="121" hidden="1" customWidth="1"/>
    <col min="10" max="10" width="19.5703125" style="121" hidden="1" customWidth="1"/>
    <col min="11" max="11" width="13.5703125" style="121" hidden="1" customWidth="1"/>
    <col min="12" max="12" width="22" style="121" hidden="1" customWidth="1"/>
    <col min="13" max="13" width="15.42578125" style="121" hidden="1" customWidth="1"/>
    <col min="14" max="14" width="22" style="121" hidden="1" customWidth="1"/>
    <col min="15" max="15" width="21.7109375" style="121" hidden="1" customWidth="1"/>
    <col min="16" max="16" width="29" style="121" hidden="1" customWidth="1"/>
    <col min="17" max="17" width="19.5703125" style="121" hidden="1" customWidth="1"/>
    <col min="18" max="18" width="29.140625" style="121" customWidth="1"/>
    <col min="19" max="16384" width="9.140625" style="121"/>
  </cols>
  <sheetData>
    <row r="1" spans="1:23">
      <c r="C1" s="120"/>
      <c r="D1" s="120"/>
      <c r="E1" s="120"/>
      <c r="F1" s="120"/>
      <c r="N1" s="120"/>
      <c r="O1" s="120"/>
      <c r="Q1" s="135"/>
      <c r="R1" s="162" t="s">
        <v>620</v>
      </c>
    </row>
    <row r="2" spans="1:23">
      <c r="Q2" s="137"/>
      <c r="R2" s="161" t="s">
        <v>712</v>
      </c>
    </row>
    <row r="3" spans="1:23" hidden="1">
      <c r="Q3" s="137"/>
      <c r="R3" s="137"/>
    </row>
    <row r="4" spans="1:23" hidden="1">
      <c r="B4" s="20"/>
      <c r="Q4" s="137"/>
      <c r="R4" s="137"/>
    </row>
    <row r="5" spans="1:23" hidden="1">
      <c r="B5" s="20"/>
      <c r="C5" s="65"/>
      <c r="D5" s="65"/>
      <c r="E5" s="65"/>
      <c r="F5" s="65"/>
      <c r="N5" s="65"/>
      <c r="O5" s="65"/>
      <c r="Q5" s="65"/>
      <c r="R5" s="137"/>
    </row>
    <row r="6" spans="1:23">
      <c r="B6" s="20"/>
      <c r="C6" s="65"/>
      <c r="D6" s="65"/>
      <c r="E6" s="65"/>
      <c r="F6" s="65"/>
      <c r="N6" s="65"/>
      <c r="O6" s="65"/>
      <c r="Q6" s="65"/>
      <c r="R6" s="137"/>
    </row>
    <row r="7" spans="1:23">
      <c r="B7" s="20"/>
      <c r="C7" s="120"/>
      <c r="D7" s="120"/>
      <c r="E7" s="120"/>
      <c r="F7" s="120"/>
      <c r="N7" s="120"/>
      <c r="O7" s="120"/>
      <c r="Q7" s="135"/>
      <c r="R7" s="161" t="s">
        <v>260</v>
      </c>
    </row>
    <row r="8" spans="1:23">
      <c r="B8" s="20"/>
      <c r="Q8" s="137"/>
      <c r="R8" s="161" t="s">
        <v>711</v>
      </c>
    </row>
    <row r="9" spans="1:23" hidden="1">
      <c r="B9" s="20"/>
      <c r="Q9" s="137"/>
      <c r="R9" s="137"/>
    </row>
    <row r="10" spans="1:23" hidden="1">
      <c r="B10" s="20"/>
      <c r="Q10" s="137"/>
      <c r="R10" s="137"/>
    </row>
    <row r="11" spans="1:23" hidden="1">
      <c r="C11" s="122"/>
      <c r="D11" s="122"/>
    </row>
    <row r="12" spans="1:23">
      <c r="C12" s="15"/>
    </row>
    <row r="13" spans="1:23">
      <c r="A13" s="150" t="s">
        <v>170</v>
      </c>
      <c r="B13" s="151"/>
      <c r="C13" s="151"/>
      <c r="D13" s="151"/>
    </row>
    <row r="14" spans="1:23">
      <c r="A14" s="154" t="s">
        <v>265</v>
      </c>
      <c r="B14" s="155"/>
      <c r="C14" s="155"/>
      <c r="D14" s="155"/>
    </row>
    <row r="15" spans="1:23">
      <c r="A15" s="14"/>
      <c r="B15" s="5"/>
      <c r="C15" s="5"/>
      <c r="S15" s="20"/>
      <c r="T15" s="20"/>
      <c r="U15" s="20"/>
      <c r="V15" s="20"/>
    </row>
    <row r="16" spans="1:23">
      <c r="A16" s="14"/>
      <c r="B16" s="5"/>
      <c r="C16" s="92"/>
      <c r="D16" s="92"/>
      <c r="E16" s="92"/>
      <c r="F16" s="92"/>
      <c r="G16" s="92"/>
      <c r="H16" s="92"/>
      <c r="I16" s="92"/>
      <c r="J16" s="92"/>
      <c r="K16" s="92"/>
      <c r="L16" s="123"/>
      <c r="N16" s="92"/>
      <c r="O16" s="92"/>
      <c r="Q16" s="92"/>
      <c r="R16" s="92" t="s">
        <v>266</v>
      </c>
      <c r="S16" s="123"/>
      <c r="T16" s="123"/>
      <c r="U16" s="123"/>
      <c r="V16" s="123"/>
      <c r="W16" s="123"/>
    </row>
    <row r="17" spans="1:22" ht="21" customHeight="1">
      <c r="A17" s="152" t="s">
        <v>207</v>
      </c>
      <c r="B17" s="152" t="s">
        <v>208</v>
      </c>
      <c r="C17" s="152" t="s">
        <v>209</v>
      </c>
      <c r="D17" s="153" t="s">
        <v>583</v>
      </c>
      <c r="E17" s="148" t="s">
        <v>582</v>
      </c>
      <c r="F17" s="148" t="s">
        <v>584</v>
      </c>
      <c r="G17" s="148" t="s">
        <v>582</v>
      </c>
      <c r="H17" s="144" t="s">
        <v>617</v>
      </c>
      <c r="I17" s="144" t="s">
        <v>582</v>
      </c>
      <c r="J17" s="144" t="s">
        <v>621</v>
      </c>
      <c r="K17" s="144" t="s">
        <v>582</v>
      </c>
      <c r="L17" s="144" t="s">
        <v>630</v>
      </c>
      <c r="M17" s="144" t="s">
        <v>582</v>
      </c>
      <c r="N17" s="144" t="s">
        <v>634</v>
      </c>
      <c r="O17" s="144" t="s">
        <v>582</v>
      </c>
      <c r="P17" s="148" t="s">
        <v>705</v>
      </c>
      <c r="Q17" s="144" t="s">
        <v>582</v>
      </c>
      <c r="R17" s="146" t="s">
        <v>708</v>
      </c>
      <c r="S17" s="20"/>
      <c r="T17" s="20"/>
      <c r="U17" s="20"/>
      <c r="V17" s="20"/>
    </row>
    <row r="18" spans="1:22" ht="33" customHeight="1">
      <c r="A18" s="148"/>
      <c r="B18" s="148"/>
      <c r="C18" s="152"/>
      <c r="D18" s="149"/>
      <c r="E18" s="149"/>
      <c r="F18" s="149"/>
      <c r="G18" s="149"/>
      <c r="H18" s="145"/>
      <c r="I18" s="145"/>
      <c r="J18" s="145"/>
      <c r="K18" s="145"/>
      <c r="L18" s="145"/>
      <c r="M18" s="145"/>
      <c r="N18" s="145"/>
      <c r="O18" s="145"/>
      <c r="P18" s="149"/>
      <c r="Q18" s="145"/>
      <c r="R18" s="147"/>
    </row>
    <row r="19" spans="1:22">
      <c r="A19" s="12" t="s">
        <v>210</v>
      </c>
      <c r="B19" s="1" t="s">
        <v>211</v>
      </c>
      <c r="C19" s="1"/>
      <c r="D19" s="2">
        <f>SUM(D20:D26)</f>
        <v>406688.20000000007</v>
      </c>
      <c r="E19" s="2">
        <f>SUM(E20:E26)</f>
        <v>-9691.9</v>
      </c>
      <c r="F19" s="35">
        <f>D19+E19</f>
        <v>396996.30000000005</v>
      </c>
      <c r="G19" s="2">
        <f>SUM(G20:G26)</f>
        <v>320.20000000000107</v>
      </c>
      <c r="H19" s="35">
        <f>F19+G19</f>
        <v>397316.50000000006</v>
      </c>
      <c r="I19" s="2">
        <f>SUM(I20:I26)</f>
        <v>-42730.6</v>
      </c>
      <c r="J19" s="35">
        <f>H19+I19</f>
        <v>354585.90000000008</v>
      </c>
      <c r="K19" s="2">
        <f>SUM(K20:K26)</f>
        <v>-4077.7999999999997</v>
      </c>
      <c r="L19" s="35">
        <f>J19+K19</f>
        <v>350508.10000000009</v>
      </c>
      <c r="M19" s="2">
        <f>SUM(M20:M26)</f>
        <v>0</v>
      </c>
      <c r="N19" s="35">
        <f>L19+M19</f>
        <v>350508.10000000009</v>
      </c>
      <c r="O19" s="2">
        <f>SUM(O20:O26)</f>
        <v>1370.6000000000004</v>
      </c>
      <c r="P19" s="35">
        <f>N19+O19</f>
        <v>351878.70000000007</v>
      </c>
      <c r="Q19" s="2">
        <f>SUM(Q20:Q26)</f>
        <v>16240.999999999998</v>
      </c>
      <c r="R19" s="35">
        <f>P19+Q19</f>
        <v>368119.70000000007</v>
      </c>
    </row>
    <row r="20" spans="1:22" ht="33">
      <c r="A20" s="74" t="s">
        <v>231</v>
      </c>
      <c r="B20" s="1" t="s">
        <v>211</v>
      </c>
      <c r="C20" s="1" t="s">
        <v>212</v>
      </c>
      <c r="D20" s="2">
        <f>прил.6!G23</f>
        <v>2998</v>
      </c>
      <c r="E20" s="2">
        <f>прил.6!H23</f>
        <v>0</v>
      </c>
      <c r="F20" s="35">
        <f t="shared" ref="F20:F67" si="0">D20+E20</f>
        <v>2998</v>
      </c>
      <c r="G20" s="2">
        <f>прил.6!J23</f>
        <v>0</v>
      </c>
      <c r="H20" s="35">
        <f t="shared" ref="H20:H67" si="1">F20+G20</f>
        <v>2998</v>
      </c>
      <c r="I20" s="2">
        <f>прил.6!L23</f>
        <v>0</v>
      </c>
      <c r="J20" s="35">
        <f t="shared" ref="J20:J67" si="2">H20+I20</f>
        <v>2998</v>
      </c>
      <c r="K20" s="2">
        <f>прил.6!N23</f>
        <v>0</v>
      </c>
      <c r="L20" s="35">
        <f t="shared" ref="L20:L67" si="3">J20+K20</f>
        <v>2998</v>
      </c>
      <c r="M20" s="2">
        <f>прил.6!P23</f>
        <v>0</v>
      </c>
      <c r="N20" s="35">
        <f t="shared" ref="N20:N67" si="4">L20+M20</f>
        <v>2998</v>
      </c>
      <c r="O20" s="2">
        <f>прил.6!R23</f>
        <v>0</v>
      </c>
      <c r="P20" s="35">
        <f t="shared" ref="P20:P67" si="5">N20+O20</f>
        <v>2998</v>
      </c>
      <c r="Q20" s="2">
        <f>прил.6!T23</f>
        <v>0</v>
      </c>
      <c r="R20" s="35">
        <f t="shared" ref="R20:R66" si="6">P20+Q20</f>
        <v>2998</v>
      </c>
    </row>
    <row r="21" spans="1:22" ht="49.5">
      <c r="A21" s="12" t="s">
        <v>166</v>
      </c>
      <c r="B21" s="1" t="s">
        <v>211</v>
      </c>
      <c r="C21" s="1" t="s">
        <v>213</v>
      </c>
      <c r="D21" s="35">
        <f>прил.6!G396</f>
        <v>28887.4</v>
      </c>
      <c r="E21" s="35">
        <f>прил.6!H396</f>
        <v>0</v>
      </c>
      <c r="F21" s="35">
        <f t="shared" si="0"/>
        <v>28887.4</v>
      </c>
      <c r="G21" s="35">
        <f>прил.6!J396</f>
        <v>-8530.4</v>
      </c>
      <c r="H21" s="35">
        <f t="shared" si="1"/>
        <v>20357</v>
      </c>
      <c r="I21" s="35">
        <f>прил.6!L396</f>
        <v>0</v>
      </c>
      <c r="J21" s="35">
        <f t="shared" si="2"/>
        <v>20357</v>
      </c>
      <c r="K21" s="35">
        <f>прил.6!N396</f>
        <v>0</v>
      </c>
      <c r="L21" s="35">
        <f t="shared" si="3"/>
        <v>20357</v>
      </c>
      <c r="M21" s="35">
        <f>прил.6!P396</f>
        <v>0</v>
      </c>
      <c r="N21" s="35">
        <f t="shared" si="4"/>
        <v>20357</v>
      </c>
      <c r="O21" s="35">
        <f>прил.6!R396</f>
        <v>-209.8</v>
      </c>
      <c r="P21" s="35">
        <f t="shared" si="5"/>
        <v>20147.2</v>
      </c>
      <c r="Q21" s="35">
        <f>прил.6!T396</f>
        <v>0</v>
      </c>
      <c r="R21" s="35">
        <f t="shared" si="6"/>
        <v>20147.2</v>
      </c>
    </row>
    <row r="22" spans="1:22" ht="49.5">
      <c r="A22" s="75" t="s">
        <v>233</v>
      </c>
      <c r="B22" s="1" t="s">
        <v>211</v>
      </c>
      <c r="C22" s="1" t="s">
        <v>214</v>
      </c>
      <c r="D22" s="2">
        <f>прил.6!G30</f>
        <v>126109.40000000001</v>
      </c>
      <c r="E22" s="2">
        <f>прил.6!H30</f>
        <v>0</v>
      </c>
      <c r="F22" s="35">
        <f t="shared" si="0"/>
        <v>126109.40000000001</v>
      </c>
      <c r="G22" s="2">
        <f>прил.6!J30</f>
        <v>0</v>
      </c>
      <c r="H22" s="35">
        <f t="shared" si="1"/>
        <v>126109.40000000001</v>
      </c>
      <c r="I22" s="2">
        <f>прил.6!L30</f>
        <v>0</v>
      </c>
      <c r="J22" s="35">
        <f t="shared" si="2"/>
        <v>126109.40000000001</v>
      </c>
      <c r="K22" s="2">
        <f>прил.6!N30</f>
        <v>222.5</v>
      </c>
      <c r="L22" s="35">
        <f t="shared" si="3"/>
        <v>126331.90000000001</v>
      </c>
      <c r="M22" s="2">
        <f>прил.6!P30</f>
        <v>0</v>
      </c>
      <c r="N22" s="35">
        <f t="shared" si="4"/>
        <v>126331.90000000001</v>
      </c>
      <c r="O22" s="2">
        <f>прил.6!R30</f>
        <v>1542.5</v>
      </c>
      <c r="P22" s="35">
        <f t="shared" si="5"/>
        <v>127874.40000000001</v>
      </c>
      <c r="Q22" s="2">
        <f>прил.6!T30</f>
        <v>0</v>
      </c>
      <c r="R22" s="35">
        <f t="shared" si="6"/>
        <v>127874.40000000001</v>
      </c>
    </row>
    <row r="23" spans="1:22">
      <c r="A23" s="75" t="s">
        <v>371</v>
      </c>
      <c r="B23" s="1" t="s">
        <v>211</v>
      </c>
      <c r="C23" s="1" t="s">
        <v>219</v>
      </c>
      <c r="D23" s="2">
        <f>прил.6!G65</f>
        <v>0</v>
      </c>
      <c r="E23" s="2">
        <f>прил.6!H65</f>
        <v>0</v>
      </c>
      <c r="F23" s="35">
        <f t="shared" si="0"/>
        <v>0</v>
      </c>
      <c r="G23" s="2">
        <f>прил.6!J65</f>
        <v>0</v>
      </c>
      <c r="H23" s="35">
        <f t="shared" si="1"/>
        <v>0</v>
      </c>
      <c r="I23" s="2">
        <f>прил.6!L65</f>
        <v>0</v>
      </c>
      <c r="J23" s="35">
        <f t="shared" si="2"/>
        <v>0</v>
      </c>
      <c r="K23" s="2">
        <f>прил.6!N65</f>
        <v>21.9</v>
      </c>
      <c r="L23" s="35">
        <f t="shared" si="3"/>
        <v>21.9</v>
      </c>
      <c r="M23" s="2">
        <f>прил.6!P65</f>
        <v>0</v>
      </c>
      <c r="N23" s="35">
        <f t="shared" si="4"/>
        <v>21.9</v>
      </c>
      <c r="O23" s="2">
        <f>прил.6!R65</f>
        <v>0</v>
      </c>
      <c r="P23" s="35">
        <f t="shared" si="5"/>
        <v>21.9</v>
      </c>
      <c r="Q23" s="2">
        <f>прил.6!T65</f>
        <v>0</v>
      </c>
      <c r="R23" s="35">
        <f t="shared" si="6"/>
        <v>21.9</v>
      </c>
    </row>
    <row r="24" spans="1:22" ht="33">
      <c r="A24" s="12" t="s">
        <v>163</v>
      </c>
      <c r="B24" s="1" t="s">
        <v>211</v>
      </c>
      <c r="C24" s="1" t="s">
        <v>215</v>
      </c>
      <c r="D24" s="2">
        <f>прил.6!G867</f>
        <v>34284.999999999993</v>
      </c>
      <c r="E24" s="2">
        <f>прил.6!H867</f>
        <v>0</v>
      </c>
      <c r="F24" s="35">
        <f t="shared" si="0"/>
        <v>34284.999999999993</v>
      </c>
      <c r="G24" s="2">
        <f>прил.6!J867+прил.6!J1710</f>
        <v>8199.9</v>
      </c>
      <c r="H24" s="35">
        <f t="shared" si="1"/>
        <v>42484.899999999994</v>
      </c>
      <c r="I24" s="2">
        <f>прил.6!L867+прил.6!L1710</f>
        <v>0</v>
      </c>
      <c r="J24" s="35">
        <f t="shared" si="2"/>
        <v>42484.899999999994</v>
      </c>
      <c r="K24" s="2">
        <f>прил.6!N867+прил.6!N1710</f>
        <v>0</v>
      </c>
      <c r="L24" s="35">
        <f t="shared" si="3"/>
        <v>42484.899999999994</v>
      </c>
      <c r="M24" s="2">
        <f>прил.6!P867+прил.6!P1710</f>
        <v>0</v>
      </c>
      <c r="N24" s="35">
        <f t="shared" si="4"/>
        <v>42484.899999999994</v>
      </c>
      <c r="O24" s="2">
        <f>прил.6!R867+прил.6!R1710</f>
        <v>55.7</v>
      </c>
      <c r="P24" s="35">
        <f t="shared" si="5"/>
        <v>42540.599999999991</v>
      </c>
      <c r="Q24" s="2">
        <f>прил.6!T867+прил.6!T1710</f>
        <v>0</v>
      </c>
      <c r="R24" s="35">
        <f t="shared" si="6"/>
        <v>42540.599999999991</v>
      </c>
    </row>
    <row r="25" spans="1:22">
      <c r="A25" s="12" t="s">
        <v>198</v>
      </c>
      <c r="B25" s="1" t="s">
        <v>211</v>
      </c>
      <c r="C25" s="1" t="s">
        <v>222</v>
      </c>
      <c r="D25" s="2">
        <f>прил.6!G883</f>
        <v>69251.3</v>
      </c>
      <c r="E25" s="2">
        <f>прил.6!H883</f>
        <v>-9691.9</v>
      </c>
      <c r="F25" s="35">
        <f t="shared" si="0"/>
        <v>59559.4</v>
      </c>
      <c r="G25" s="2">
        <f>прил.6!J883</f>
        <v>-630.1</v>
      </c>
      <c r="H25" s="35">
        <f t="shared" si="1"/>
        <v>58929.3</v>
      </c>
      <c r="I25" s="2">
        <f>прил.6!L883</f>
        <v>-42706.7</v>
      </c>
      <c r="J25" s="35">
        <f t="shared" si="2"/>
        <v>16222.600000000006</v>
      </c>
      <c r="K25" s="2">
        <f>прил.6!N883</f>
        <v>-4163</v>
      </c>
      <c r="L25" s="35">
        <f t="shared" si="3"/>
        <v>12059.600000000006</v>
      </c>
      <c r="M25" s="2">
        <f>прил.6!P883</f>
        <v>0</v>
      </c>
      <c r="N25" s="35">
        <f t="shared" si="4"/>
        <v>12059.600000000006</v>
      </c>
      <c r="O25" s="2">
        <f>прил.6!R883</f>
        <v>-310.09999999999991</v>
      </c>
      <c r="P25" s="35">
        <f t="shared" si="5"/>
        <v>11749.500000000005</v>
      </c>
      <c r="Q25" s="2">
        <f>прил.6!T883</f>
        <v>0</v>
      </c>
      <c r="R25" s="35">
        <f t="shared" si="6"/>
        <v>11749.500000000005</v>
      </c>
    </row>
    <row r="26" spans="1:22">
      <c r="A26" s="12" t="s">
        <v>235</v>
      </c>
      <c r="B26" s="1" t="s">
        <v>211</v>
      </c>
      <c r="C26" s="1" t="s">
        <v>188</v>
      </c>
      <c r="D26" s="2">
        <f>прил.6!G72+прил.6!G418+прил.6!G890+прил.6!G1493</f>
        <v>145157.1</v>
      </c>
      <c r="E26" s="2">
        <f>прил.6!H72+прил.6!H418+прил.6!H890+прил.6!H1493</f>
        <v>0</v>
      </c>
      <c r="F26" s="35">
        <f t="shared" si="0"/>
        <v>145157.1</v>
      </c>
      <c r="G26" s="2">
        <f>прил.6!J72+прил.6!J418+прил.6!J890+прил.6!J1493</f>
        <v>1280.8000000000011</v>
      </c>
      <c r="H26" s="35">
        <f t="shared" si="1"/>
        <v>146437.9</v>
      </c>
      <c r="I26" s="2">
        <f>прил.6!L72+прил.6!L418+прил.6!L890+прил.6!L1493</f>
        <v>-23.900000000000091</v>
      </c>
      <c r="J26" s="35">
        <f t="shared" si="2"/>
        <v>146414</v>
      </c>
      <c r="K26" s="2">
        <f>прил.6!N72+прил.6!N418+прил.6!N890+прил.6!N1493</f>
        <v>-159.20000000000002</v>
      </c>
      <c r="L26" s="35">
        <f t="shared" si="3"/>
        <v>146254.79999999999</v>
      </c>
      <c r="M26" s="2">
        <f>прил.6!P72+прил.6!P418+прил.6!P890+прил.6!P1493</f>
        <v>0</v>
      </c>
      <c r="N26" s="35">
        <f t="shared" si="4"/>
        <v>146254.79999999999</v>
      </c>
      <c r="O26" s="2">
        <f>прил.6!R72+прил.6!R418+прил.6!R890+прил.6!R1493</f>
        <v>292.30000000000018</v>
      </c>
      <c r="P26" s="35">
        <f t="shared" si="5"/>
        <v>146547.09999999998</v>
      </c>
      <c r="Q26" s="2">
        <f>прил.6!T72+прил.6!T418+прил.6!T890+прил.6!T1493+прил.6!T1298</f>
        <v>16240.999999999998</v>
      </c>
      <c r="R26" s="35">
        <f t="shared" si="6"/>
        <v>162788.09999999998</v>
      </c>
    </row>
    <row r="27" spans="1:22" ht="33">
      <c r="A27" s="12" t="s">
        <v>160</v>
      </c>
      <c r="B27" s="1" t="s">
        <v>213</v>
      </c>
      <c r="C27" s="1"/>
      <c r="D27" s="2">
        <f>SUM(D28)</f>
        <v>59148.7</v>
      </c>
      <c r="E27" s="2">
        <f>SUM(E28)</f>
        <v>0</v>
      </c>
      <c r="F27" s="35">
        <f t="shared" si="0"/>
        <v>59148.7</v>
      </c>
      <c r="G27" s="2">
        <f>SUM(G28)</f>
        <v>0</v>
      </c>
      <c r="H27" s="35">
        <f t="shared" si="1"/>
        <v>59148.7</v>
      </c>
      <c r="I27" s="2">
        <f>SUM(I28)</f>
        <v>-3441.5</v>
      </c>
      <c r="J27" s="35">
        <f t="shared" si="2"/>
        <v>55707.199999999997</v>
      </c>
      <c r="K27" s="2">
        <f>SUM(K28)</f>
        <v>0</v>
      </c>
      <c r="L27" s="35">
        <f t="shared" si="3"/>
        <v>55707.199999999997</v>
      </c>
      <c r="M27" s="2">
        <f>SUM(M28)</f>
        <v>0</v>
      </c>
      <c r="N27" s="35">
        <f t="shared" si="4"/>
        <v>55707.199999999997</v>
      </c>
      <c r="O27" s="2">
        <f>SUM(O28)</f>
        <v>80.099999999999994</v>
      </c>
      <c r="P27" s="35">
        <f t="shared" si="5"/>
        <v>55787.299999999996</v>
      </c>
      <c r="Q27" s="2">
        <f>SUM(Q28)</f>
        <v>0</v>
      </c>
      <c r="R27" s="35">
        <f t="shared" si="6"/>
        <v>55787.299999999996</v>
      </c>
    </row>
    <row r="28" spans="1:22" ht="33">
      <c r="A28" s="12" t="s">
        <v>259</v>
      </c>
      <c r="B28" s="1" t="s">
        <v>213</v>
      </c>
      <c r="C28" s="1" t="s">
        <v>217</v>
      </c>
      <c r="D28" s="2">
        <f>прил.6!G176</f>
        <v>59148.7</v>
      </c>
      <c r="E28" s="2">
        <f>прил.6!H176</f>
        <v>0</v>
      </c>
      <c r="F28" s="35">
        <f t="shared" si="0"/>
        <v>59148.7</v>
      </c>
      <c r="G28" s="2">
        <f>прил.6!J176</f>
        <v>0</v>
      </c>
      <c r="H28" s="35">
        <f t="shared" si="1"/>
        <v>59148.7</v>
      </c>
      <c r="I28" s="2">
        <f>прил.6!L176</f>
        <v>-3441.5</v>
      </c>
      <c r="J28" s="35">
        <f t="shared" si="2"/>
        <v>55707.199999999997</v>
      </c>
      <c r="K28" s="2">
        <f>прил.6!N176</f>
        <v>0</v>
      </c>
      <c r="L28" s="35">
        <f t="shared" si="3"/>
        <v>55707.199999999997</v>
      </c>
      <c r="M28" s="2">
        <f>прил.6!P176</f>
        <v>0</v>
      </c>
      <c r="N28" s="35">
        <f t="shared" si="4"/>
        <v>55707.199999999997</v>
      </c>
      <c r="O28" s="2">
        <f>прил.6!R176</f>
        <v>80.099999999999994</v>
      </c>
      <c r="P28" s="35">
        <f t="shared" si="5"/>
        <v>55787.299999999996</v>
      </c>
      <c r="Q28" s="2">
        <f>прил.6!T176</f>
        <v>0</v>
      </c>
      <c r="R28" s="35">
        <f t="shared" si="6"/>
        <v>55787.299999999996</v>
      </c>
    </row>
    <row r="29" spans="1:22">
      <c r="A29" s="12" t="s">
        <v>218</v>
      </c>
      <c r="B29" s="1" t="s">
        <v>214</v>
      </c>
      <c r="C29" s="1"/>
      <c r="D29" s="2">
        <f>SUM(D30:D34)</f>
        <v>1014715.5999999999</v>
      </c>
      <c r="E29" s="2">
        <f>SUM(E30:E34)</f>
        <v>-12616.400000000001</v>
      </c>
      <c r="F29" s="35">
        <f t="shared" si="0"/>
        <v>1002099.1999999998</v>
      </c>
      <c r="G29" s="2">
        <f>SUM(G30:G34)</f>
        <v>-48495.5</v>
      </c>
      <c r="H29" s="35">
        <f t="shared" si="1"/>
        <v>953603.69999999984</v>
      </c>
      <c r="I29" s="2">
        <f>SUM(I30:I34)</f>
        <v>-8338.7999999999993</v>
      </c>
      <c r="J29" s="35">
        <f t="shared" si="2"/>
        <v>945264.89999999979</v>
      </c>
      <c r="K29" s="2">
        <f>SUM(K30:K34)</f>
        <v>-2924.0999999999995</v>
      </c>
      <c r="L29" s="35">
        <f t="shared" si="3"/>
        <v>942340.79999999981</v>
      </c>
      <c r="M29" s="2">
        <f>SUM(M30:M34)</f>
        <v>12800</v>
      </c>
      <c r="N29" s="35">
        <f t="shared" si="4"/>
        <v>955140.79999999981</v>
      </c>
      <c r="O29" s="2">
        <f>SUM(O30:O34)</f>
        <v>-2038.4999999999995</v>
      </c>
      <c r="P29" s="35">
        <f t="shared" si="5"/>
        <v>953102.29999999981</v>
      </c>
      <c r="Q29" s="2">
        <f>SUM(Q30:Q34)</f>
        <v>-5008.0999999999985</v>
      </c>
      <c r="R29" s="35">
        <f t="shared" si="6"/>
        <v>948094.19999999984</v>
      </c>
    </row>
    <row r="30" spans="1:22">
      <c r="A30" s="75" t="s">
        <v>201</v>
      </c>
      <c r="B30" s="1" t="s">
        <v>214</v>
      </c>
      <c r="C30" s="1" t="s">
        <v>211</v>
      </c>
      <c r="D30" s="2">
        <f>прил.6!G234</f>
        <v>1338.9</v>
      </c>
      <c r="E30" s="2">
        <f>прил.6!H234</f>
        <v>0</v>
      </c>
      <c r="F30" s="35">
        <f t="shared" si="0"/>
        <v>1338.9</v>
      </c>
      <c r="G30" s="2">
        <f>прил.6!J234</f>
        <v>0</v>
      </c>
      <c r="H30" s="35">
        <f t="shared" si="1"/>
        <v>1338.9</v>
      </c>
      <c r="I30" s="2">
        <f>прил.6!L234</f>
        <v>0</v>
      </c>
      <c r="J30" s="35">
        <f t="shared" si="2"/>
        <v>1338.9</v>
      </c>
      <c r="K30" s="2">
        <f>прил.6!N576</f>
        <v>68.900000000000006</v>
      </c>
      <c r="L30" s="35">
        <f t="shared" si="3"/>
        <v>1407.8000000000002</v>
      </c>
      <c r="M30" s="2">
        <f>прил.6!P576</f>
        <v>0</v>
      </c>
      <c r="N30" s="35">
        <f t="shared" si="4"/>
        <v>1407.8000000000002</v>
      </c>
      <c r="O30" s="2">
        <f>прил.6!R576+прил.6!R234</f>
        <v>-17.399999999999999</v>
      </c>
      <c r="P30" s="35">
        <f t="shared" si="5"/>
        <v>1390.4</v>
      </c>
      <c r="Q30" s="2">
        <f>прил.6!T576+прил.6!T234</f>
        <v>0</v>
      </c>
      <c r="R30" s="35">
        <f t="shared" si="6"/>
        <v>1390.4</v>
      </c>
    </row>
    <row r="31" spans="1:22">
      <c r="A31" s="76" t="s">
        <v>357</v>
      </c>
      <c r="B31" s="1" t="s">
        <v>214</v>
      </c>
      <c r="C31" s="1" t="s">
        <v>220</v>
      </c>
      <c r="D31" s="2">
        <f>прил.6!G1513</f>
        <v>82953.899999999994</v>
      </c>
      <c r="E31" s="2">
        <f>прил.6!H1513+прил.6!H426</f>
        <v>0</v>
      </c>
      <c r="F31" s="35">
        <f t="shared" si="0"/>
        <v>82953.899999999994</v>
      </c>
      <c r="G31" s="2">
        <f>прил.6!J1513+прил.6!J426</f>
        <v>0</v>
      </c>
      <c r="H31" s="35">
        <f t="shared" si="1"/>
        <v>82953.899999999994</v>
      </c>
      <c r="I31" s="2">
        <f>прил.6!L1513+прил.6!L426</f>
        <v>0</v>
      </c>
      <c r="J31" s="35">
        <f t="shared" si="2"/>
        <v>82953.899999999994</v>
      </c>
      <c r="K31" s="2">
        <f>прил.6!N1513+прил.6!N426</f>
        <v>-2565.6999999999998</v>
      </c>
      <c r="L31" s="35">
        <f t="shared" si="3"/>
        <v>80388.2</v>
      </c>
      <c r="M31" s="2">
        <f>прил.6!P1513+прил.6!P426+прил.6!P240</f>
        <v>12800</v>
      </c>
      <c r="N31" s="35">
        <f t="shared" si="4"/>
        <v>93188.2</v>
      </c>
      <c r="O31" s="2">
        <f>прил.6!R1513+прил.6!R426+прил.6!R240</f>
        <v>-49.9</v>
      </c>
      <c r="P31" s="35">
        <f t="shared" si="5"/>
        <v>93138.3</v>
      </c>
      <c r="Q31" s="2">
        <f>прил.6!T1513+прил.6!T426+прил.6!T240</f>
        <v>0</v>
      </c>
      <c r="R31" s="35">
        <f t="shared" si="6"/>
        <v>93138.3</v>
      </c>
    </row>
    <row r="32" spans="1:22">
      <c r="A32" s="76" t="s">
        <v>178</v>
      </c>
      <c r="B32" s="1" t="s">
        <v>214</v>
      </c>
      <c r="C32" s="1" t="s">
        <v>217</v>
      </c>
      <c r="D32" s="2">
        <f>прил.6!G432+прил.6!G1524</f>
        <v>617007.6</v>
      </c>
      <c r="E32" s="2">
        <f>прил.6!H432+прил.6!H1524</f>
        <v>51383.6</v>
      </c>
      <c r="F32" s="35">
        <f t="shared" si="0"/>
        <v>668391.19999999995</v>
      </c>
      <c r="G32" s="2">
        <f>прил.6!J432+прил.6!J1524</f>
        <v>-594.6</v>
      </c>
      <c r="H32" s="35">
        <f t="shared" si="1"/>
        <v>667796.6</v>
      </c>
      <c r="I32" s="2">
        <f>прил.6!L432+прил.6!L1524</f>
        <v>-1754.1000000000004</v>
      </c>
      <c r="J32" s="35">
        <f t="shared" si="2"/>
        <v>666042.5</v>
      </c>
      <c r="K32" s="2">
        <f>прил.6!N432+прил.6!N1524</f>
        <v>-676.69999999999993</v>
      </c>
      <c r="L32" s="35">
        <f t="shared" si="3"/>
        <v>665365.80000000005</v>
      </c>
      <c r="M32" s="2">
        <f>прил.6!P432+прил.6!P1524</f>
        <v>0</v>
      </c>
      <c r="N32" s="35">
        <f t="shared" si="4"/>
        <v>665365.80000000005</v>
      </c>
      <c r="O32" s="2">
        <f>прил.6!R432+прил.6!R1524</f>
        <v>-1501.0999999999995</v>
      </c>
      <c r="P32" s="35">
        <f t="shared" si="5"/>
        <v>663864.70000000007</v>
      </c>
      <c r="Q32" s="2">
        <f>прил.6!T432+прил.6!T1524</f>
        <v>-8279.6999999999989</v>
      </c>
      <c r="R32" s="35">
        <f t="shared" si="6"/>
        <v>655585.00000000012</v>
      </c>
    </row>
    <row r="33" spans="1:18">
      <c r="A33" s="12" t="s">
        <v>228</v>
      </c>
      <c r="B33" s="1" t="s">
        <v>214</v>
      </c>
      <c r="C33" s="1" t="s">
        <v>186</v>
      </c>
      <c r="D33" s="2">
        <f>прил.6!G245</f>
        <v>53815.5</v>
      </c>
      <c r="E33" s="2">
        <f>прил.6!H245</f>
        <v>0</v>
      </c>
      <c r="F33" s="35">
        <f t="shared" si="0"/>
        <v>53815.5</v>
      </c>
      <c r="G33" s="2">
        <f>прил.6!J245</f>
        <v>1675.6999999999998</v>
      </c>
      <c r="H33" s="35">
        <f t="shared" si="1"/>
        <v>55491.199999999997</v>
      </c>
      <c r="I33" s="2">
        <f>прил.6!L245+прил.6!L1547</f>
        <v>507.5</v>
      </c>
      <c r="J33" s="35">
        <f t="shared" si="2"/>
        <v>55998.7</v>
      </c>
      <c r="K33" s="2">
        <f>прил.6!N245+прил.6!N1547</f>
        <v>41.6</v>
      </c>
      <c r="L33" s="35">
        <f t="shared" si="3"/>
        <v>56040.299999999996</v>
      </c>
      <c r="M33" s="2">
        <f>прил.6!P245+прил.6!P1547</f>
        <v>0</v>
      </c>
      <c r="N33" s="35">
        <f t="shared" si="4"/>
        <v>56040.299999999996</v>
      </c>
      <c r="O33" s="2">
        <f>прил.6!R245+прил.6!R1547</f>
        <v>-3513.3</v>
      </c>
      <c r="P33" s="35">
        <f t="shared" si="5"/>
        <v>52526.999999999993</v>
      </c>
      <c r="Q33" s="2">
        <f>прил.6!T245+прил.6!T1547</f>
        <v>-98.7</v>
      </c>
      <c r="R33" s="35">
        <f t="shared" si="6"/>
        <v>52428.299999999996</v>
      </c>
    </row>
    <row r="34" spans="1:18">
      <c r="A34" s="12" t="s">
        <v>221</v>
      </c>
      <c r="B34" s="1" t="s">
        <v>214</v>
      </c>
      <c r="C34" s="1" t="s">
        <v>194</v>
      </c>
      <c r="D34" s="2">
        <f>прил.6!G277+прил.6!G463+прил.6!G551+прил.6!G905+прил.6!G916+прил.6!G1554</f>
        <v>259599.69999999998</v>
      </c>
      <c r="E34" s="2">
        <f>прил.6!H277+прил.6!H463+прил.6!H551+прил.6!H905+прил.6!H916+прил.6!H1554</f>
        <v>-64000</v>
      </c>
      <c r="F34" s="35">
        <f t="shared" si="0"/>
        <v>195599.69999999998</v>
      </c>
      <c r="G34" s="2">
        <f>прил.6!J277+прил.6!J463+прил.6!J551+прил.6!J905+прил.6!J916+прил.6!J1554</f>
        <v>-49576.6</v>
      </c>
      <c r="H34" s="35">
        <f t="shared" si="1"/>
        <v>146023.09999999998</v>
      </c>
      <c r="I34" s="2">
        <f>прил.6!L277+прил.6!L463+прил.6!L551+прил.6!L905+прил.6!L916+прил.6!L1554</f>
        <v>-7092.2</v>
      </c>
      <c r="J34" s="35">
        <f t="shared" si="2"/>
        <v>138930.89999999997</v>
      </c>
      <c r="K34" s="2">
        <f>прил.6!N277+прил.6!N463+прил.6!N551+прил.6!N905+прил.6!N916+прил.6!N1554</f>
        <v>207.8</v>
      </c>
      <c r="L34" s="35">
        <f t="shared" si="3"/>
        <v>139138.69999999995</v>
      </c>
      <c r="M34" s="2">
        <f>прил.6!P277+прил.6!P463+прил.6!P551+прил.6!P905+прил.6!P916+прил.6!P1554</f>
        <v>0</v>
      </c>
      <c r="N34" s="35">
        <f t="shared" si="4"/>
        <v>139138.69999999995</v>
      </c>
      <c r="O34" s="2">
        <f>прил.6!R277+прил.6!R463+прил.6!R551+прил.6!R905+прил.6!R916+прил.6!R1554</f>
        <v>3043.2000000000003</v>
      </c>
      <c r="P34" s="35">
        <f t="shared" si="5"/>
        <v>142181.89999999997</v>
      </c>
      <c r="Q34" s="2">
        <f>прил.6!T277+прил.6!T463+прил.6!T551+прил.6!T905+прил.6!T916+прил.6!T1554</f>
        <v>3370.3000000000006</v>
      </c>
      <c r="R34" s="35">
        <f t="shared" si="6"/>
        <v>145552.19999999995</v>
      </c>
    </row>
    <row r="35" spans="1:18">
      <c r="A35" s="12" t="s">
        <v>223</v>
      </c>
      <c r="B35" s="1" t="s">
        <v>219</v>
      </c>
      <c r="C35" s="1"/>
      <c r="D35" s="2">
        <f>SUM(D36:D39)</f>
        <v>177342.5</v>
      </c>
      <c r="E35" s="2">
        <f>SUM(E36:E39)</f>
        <v>0</v>
      </c>
      <c r="F35" s="35">
        <f t="shared" si="0"/>
        <v>177342.5</v>
      </c>
      <c r="G35" s="2">
        <f>SUM(G36:G39)</f>
        <v>-898.90000000000009</v>
      </c>
      <c r="H35" s="35">
        <f t="shared" si="1"/>
        <v>176443.6</v>
      </c>
      <c r="I35" s="2">
        <f>SUM(I36:I39)</f>
        <v>-2268.8999999999996</v>
      </c>
      <c r="J35" s="35">
        <f t="shared" si="2"/>
        <v>174174.7</v>
      </c>
      <c r="K35" s="2">
        <f>SUM(K36:K39)</f>
        <v>3842.2</v>
      </c>
      <c r="L35" s="35">
        <f t="shared" si="3"/>
        <v>178016.90000000002</v>
      </c>
      <c r="M35" s="2">
        <f>SUM(M36:M39)</f>
        <v>-140.19999999999999</v>
      </c>
      <c r="N35" s="35">
        <f t="shared" si="4"/>
        <v>177876.7</v>
      </c>
      <c r="O35" s="2">
        <f>SUM(O36:O39)</f>
        <v>8039.6</v>
      </c>
      <c r="P35" s="35">
        <f t="shared" si="5"/>
        <v>185916.30000000002</v>
      </c>
      <c r="Q35" s="2">
        <f>SUM(Q36:Q39)</f>
        <v>4170.3999999999996</v>
      </c>
      <c r="R35" s="35">
        <f t="shared" si="6"/>
        <v>190086.7</v>
      </c>
    </row>
    <row r="36" spans="1:18">
      <c r="A36" s="12" t="s">
        <v>224</v>
      </c>
      <c r="B36" s="1" t="s">
        <v>219</v>
      </c>
      <c r="C36" s="1" t="s">
        <v>211</v>
      </c>
      <c r="D36" s="2">
        <f>прил.6!G480</f>
        <v>9180.7999999999993</v>
      </c>
      <c r="E36" s="2">
        <f>прил.6!H480</f>
        <v>0</v>
      </c>
      <c r="F36" s="35">
        <f t="shared" si="0"/>
        <v>9180.7999999999993</v>
      </c>
      <c r="G36" s="2">
        <f>прил.6!J480</f>
        <v>0</v>
      </c>
      <c r="H36" s="35">
        <f t="shared" si="1"/>
        <v>9180.7999999999993</v>
      </c>
      <c r="I36" s="2">
        <f>прил.6!L480</f>
        <v>-508.5</v>
      </c>
      <c r="J36" s="35">
        <f t="shared" si="2"/>
        <v>8672.2999999999993</v>
      </c>
      <c r="K36" s="2">
        <f>прил.6!N480</f>
        <v>0</v>
      </c>
      <c r="L36" s="35">
        <f t="shared" si="3"/>
        <v>8672.2999999999993</v>
      </c>
      <c r="M36" s="2">
        <f>прил.6!P480</f>
        <v>0</v>
      </c>
      <c r="N36" s="35">
        <f t="shared" si="4"/>
        <v>8672.2999999999993</v>
      </c>
      <c r="O36" s="2">
        <f>прил.6!R480+прил.6!R1605</f>
        <v>8188.5</v>
      </c>
      <c r="P36" s="35">
        <f t="shared" si="5"/>
        <v>16860.8</v>
      </c>
      <c r="Q36" s="2">
        <f>прил.6!T480+прил.6!T1605</f>
        <v>0</v>
      </c>
      <c r="R36" s="35">
        <f t="shared" si="6"/>
        <v>16860.8</v>
      </c>
    </row>
    <row r="37" spans="1:18">
      <c r="A37" s="12" t="s">
        <v>251</v>
      </c>
      <c r="B37" s="1" t="s">
        <v>219</v>
      </c>
      <c r="C37" s="1" t="s">
        <v>212</v>
      </c>
      <c r="D37" s="2">
        <f>прил.6!G1611</f>
        <v>4522</v>
      </c>
      <c r="E37" s="2">
        <f>прил.6!H1611</f>
        <v>0</v>
      </c>
      <c r="F37" s="35">
        <f t="shared" si="0"/>
        <v>4522</v>
      </c>
      <c r="G37" s="2">
        <f>прил.6!J1611</f>
        <v>0</v>
      </c>
      <c r="H37" s="35">
        <f t="shared" si="1"/>
        <v>4522</v>
      </c>
      <c r="I37" s="2">
        <f>прил.6!L1611</f>
        <v>412.80000000000018</v>
      </c>
      <c r="J37" s="35">
        <f t="shared" si="2"/>
        <v>4934.8</v>
      </c>
      <c r="K37" s="2">
        <f>прил.6!N1611</f>
        <v>0</v>
      </c>
      <c r="L37" s="35">
        <f t="shared" si="3"/>
        <v>4934.8</v>
      </c>
      <c r="M37" s="2">
        <f>прил.6!P1611</f>
        <v>0</v>
      </c>
      <c r="N37" s="35">
        <f t="shared" si="4"/>
        <v>4934.8</v>
      </c>
      <c r="O37" s="2">
        <f>прил.6!R1611</f>
        <v>1611</v>
      </c>
      <c r="P37" s="35">
        <f t="shared" si="5"/>
        <v>6545.8</v>
      </c>
      <c r="Q37" s="2">
        <f>прил.6!T1611</f>
        <v>-1622.9</v>
      </c>
      <c r="R37" s="35">
        <f t="shared" si="6"/>
        <v>4922.8999999999996</v>
      </c>
    </row>
    <row r="38" spans="1:18">
      <c r="A38" s="61" t="s">
        <v>250</v>
      </c>
      <c r="B38" s="1" t="s">
        <v>219</v>
      </c>
      <c r="C38" s="1" t="s">
        <v>213</v>
      </c>
      <c r="D38" s="2">
        <f>прил.6!G501+прил.6!G1622</f>
        <v>141710.40000000002</v>
      </c>
      <c r="E38" s="2">
        <f>прил.6!H501+прил.6!H1622</f>
        <v>0</v>
      </c>
      <c r="F38" s="35">
        <f t="shared" si="0"/>
        <v>141710.40000000002</v>
      </c>
      <c r="G38" s="2">
        <f>прил.6!J501+прил.6!J1622</f>
        <v>-898.90000000000009</v>
      </c>
      <c r="H38" s="35">
        <f t="shared" si="1"/>
        <v>140811.50000000003</v>
      </c>
      <c r="I38" s="2">
        <f>прил.6!L501+прил.6!L1622</f>
        <v>-2173.1999999999998</v>
      </c>
      <c r="J38" s="35">
        <f t="shared" si="2"/>
        <v>138638.30000000002</v>
      </c>
      <c r="K38" s="2">
        <f>прил.6!N501+прил.6!N1622</f>
        <v>3842.2</v>
      </c>
      <c r="L38" s="35">
        <f t="shared" si="3"/>
        <v>142480.50000000003</v>
      </c>
      <c r="M38" s="2">
        <f>прил.6!P501+прил.6!P1622</f>
        <v>-140.19999999999999</v>
      </c>
      <c r="N38" s="35">
        <f t="shared" si="4"/>
        <v>142340.30000000002</v>
      </c>
      <c r="O38" s="2">
        <f>прил.6!R501+прил.6!R1622</f>
        <v>-1759.9</v>
      </c>
      <c r="P38" s="35">
        <f t="shared" si="5"/>
        <v>140580.40000000002</v>
      </c>
      <c r="Q38" s="2">
        <f>прил.6!T501+прил.6!T1622</f>
        <v>5793.2999999999993</v>
      </c>
      <c r="R38" s="35">
        <f t="shared" si="6"/>
        <v>146373.70000000001</v>
      </c>
    </row>
    <row r="39" spans="1:18">
      <c r="A39" s="12" t="s">
        <v>162</v>
      </c>
      <c r="B39" s="1" t="s">
        <v>219</v>
      </c>
      <c r="C39" s="1" t="s">
        <v>219</v>
      </c>
      <c r="D39" s="2">
        <f>прил.6!G515</f>
        <v>21929.300000000003</v>
      </c>
      <c r="E39" s="2">
        <f>прил.6!H515</f>
        <v>0</v>
      </c>
      <c r="F39" s="35">
        <f t="shared" si="0"/>
        <v>21929.300000000003</v>
      </c>
      <c r="G39" s="2">
        <f>прил.6!J515</f>
        <v>0</v>
      </c>
      <c r="H39" s="35">
        <f t="shared" si="1"/>
        <v>21929.300000000003</v>
      </c>
      <c r="I39" s="2">
        <f>прил.6!L515</f>
        <v>0</v>
      </c>
      <c r="J39" s="35">
        <f t="shared" si="2"/>
        <v>21929.300000000003</v>
      </c>
      <c r="K39" s="2">
        <f>прил.6!N515</f>
        <v>0</v>
      </c>
      <c r="L39" s="35">
        <f t="shared" si="3"/>
        <v>21929.300000000003</v>
      </c>
      <c r="M39" s="2">
        <f>прил.6!P515</f>
        <v>0</v>
      </c>
      <c r="N39" s="35">
        <f t="shared" si="4"/>
        <v>21929.300000000003</v>
      </c>
      <c r="O39" s="2">
        <f>прил.6!R515</f>
        <v>0</v>
      </c>
      <c r="P39" s="35">
        <f t="shared" si="5"/>
        <v>21929.300000000003</v>
      </c>
      <c r="Q39" s="2">
        <f>прил.6!T515</f>
        <v>0</v>
      </c>
      <c r="R39" s="35">
        <f t="shared" si="6"/>
        <v>21929.300000000003</v>
      </c>
    </row>
    <row r="40" spans="1:18">
      <c r="A40" s="12" t="s">
        <v>252</v>
      </c>
      <c r="B40" s="1" t="s">
        <v>215</v>
      </c>
      <c r="C40" s="1"/>
      <c r="D40" s="2">
        <f>SUM(D41:D42)</f>
        <v>17871.599999999999</v>
      </c>
      <c r="E40" s="2">
        <f>SUM(E41:E42)</f>
        <v>0</v>
      </c>
      <c r="F40" s="35">
        <f t="shared" si="0"/>
        <v>17871.599999999999</v>
      </c>
      <c r="G40" s="2">
        <f>SUM(G41:G42)</f>
        <v>0</v>
      </c>
      <c r="H40" s="35">
        <f t="shared" si="1"/>
        <v>17871.599999999999</v>
      </c>
      <c r="I40" s="2">
        <f>SUM(I41:I42)</f>
        <v>-0.6</v>
      </c>
      <c r="J40" s="35">
        <f t="shared" si="2"/>
        <v>17871</v>
      </c>
      <c r="K40" s="2">
        <f>SUM(K41:K42)</f>
        <v>-164.3</v>
      </c>
      <c r="L40" s="35">
        <f t="shared" si="3"/>
        <v>17706.7</v>
      </c>
      <c r="M40" s="2">
        <f>SUM(M41:M42)</f>
        <v>0</v>
      </c>
      <c r="N40" s="35">
        <f t="shared" si="4"/>
        <v>17706.7</v>
      </c>
      <c r="O40" s="2">
        <f>SUM(O41:O42)</f>
        <v>0</v>
      </c>
      <c r="P40" s="35">
        <f t="shared" si="5"/>
        <v>17706.7</v>
      </c>
      <c r="Q40" s="2">
        <f>SUM(Q41:Q42)</f>
        <v>0</v>
      </c>
      <c r="R40" s="35">
        <f t="shared" si="6"/>
        <v>17706.7</v>
      </c>
    </row>
    <row r="41" spans="1:18">
      <c r="A41" s="77" t="s">
        <v>158</v>
      </c>
      <c r="B41" s="1" t="s">
        <v>215</v>
      </c>
      <c r="C41" s="1" t="s">
        <v>213</v>
      </c>
      <c r="D41" s="2">
        <f>прил.6!G1725</f>
        <v>1703.5</v>
      </c>
      <c r="E41" s="2">
        <f>прил.6!H1725</f>
        <v>0</v>
      </c>
      <c r="F41" s="35">
        <f t="shared" si="0"/>
        <v>1703.5</v>
      </c>
      <c r="G41" s="2">
        <f>прил.6!J1725</f>
        <v>0</v>
      </c>
      <c r="H41" s="35">
        <f t="shared" si="1"/>
        <v>1703.5</v>
      </c>
      <c r="I41" s="2">
        <f>прил.6!L1725</f>
        <v>0</v>
      </c>
      <c r="J41" s="35">
        <f t="shared" si="2"/>
        <v>1703.5</v>
      </c>
      <c r="K41" s="2">
        <f>прил.6!N1725</f>
        <v>0</v>
      </c>
      <c r="L41" s="35">
        <f t="shared" si="3"/>
        <v>1703.5</v>
      </c>
      <c r="M41" s="2">
        <f>прил.6!P1725</f>
        <v>0</v>
      </c>
      <c r="N41" s="35">
        <f t="shared" si="4"/>
        <v>1703.5</v>
      </c>
      <c r="O41" s="2">
        <f>прил.6!R1725</f>
        <v>0</v>
      </c>
      <c r="P41" s="35">
        <f t="shared" si="5"/>
        <v>1703.5</v>
      </c>
      <c r="Q41" s="2">
        <f>прил.6!T1725</f>
        <v>0</v>
      </c>
      <c r="R41" s="35">
        <f t="shared" si="6"/>
        <v>1703.5</v>
      </c>
    </row>
    <row r="42" spans="1:18">
      <c r="A42" s="12" t="s">
        <v>253</v>
      </c>
      <c r="B42" s="1" t="s">
        <v>215</v>
      </c>
      <c r="C42" s="1" t="s">
        <v>219</v>
      </c>
      <c r="D42" s="2">
        <f>прил.6!G529+прил.6!G1734</f>
        <v>16168.1</v>
      </c>
      <c r="E42" s="2">
        <f>прил.6!H529+прил.6!H1734</f>
        <v>0</v>
      </c>
      <c r="F42" s="35">
        <f t="shared" si="0"/>
        <v>16168.1</v>
      </c>
      <c r="G42" s="2">
        <f>прил.6!J529+прил.6!J1734</f>
        <v>0</v>
      </c>
      <c r="H42" s="35">
        <f t="shared" si="1"/>
        <v>16168.1</v>
      </c>
      <c r="I42" s="2">
        <f>прил.6!L529+прил.6!L1734</f>
        <v>-0.6</v>
      </c>
      <c r="J42" s="35">
        <f t="shared" si="2"/>
        <v>16167.5</v>
      </c>
      <c r="K42" s="2">
        <f>прил.6!N529+прил.6!N1734</f>
        <v>-164.3</v>
      </c>
      <c r="L42" s="35">
        <f t="shared" si="3"/>
        <v>16003.2</v>
      </c>
      <c r="M42" s="2">
        <f>прил.6!P529+прил.6!P1734</f>
        <v>0</v>
      </c>
      <c r="N42" s="35">
        <f t="shared" si="4"/>
        <v>16003.2</v>
      </c>
      <c r="O42" s="2">
        <f>прил.6!R529+прил.6!R1734</f>
        <v>0</v>
      </c>
      <c r="P42" s="35">
        <f t="shared" si="5"/>
        <v>16003.2</v>
      </c>
      <c r="Q42" s="2">
        <f>прил.6!T529+прил.6!T1734</f>
        <v>0</v>
      </c>
      <c r="R42" s="35">
        <f t="shared" si="6"/>
        <v>16003.2</v>
      </c>
    </row>
    <row r="43" spans="1:18">
      <c r="A43" s="12" t="s">
        <v>254</v>
      </c>
      <c r="B43" s="1" t="s">
        <v>193</v>
      </c>
      <c r="C43" s="1"/>
      <c r="D43" s="2">
        <f>SUM(D44:D47)</f>
        <v>3396213.5</v>
      </c>
      <c r="E43" s="2">
        <f>SUM(E44:E47)</f>
        <v>908.8</v>
      </c>
      <c r="F43" s="35">
        <f t="shared" si="0"/>
        <v>3397122.3</v>
      </c>
      <c r="G43" s="2">
        <f>SUM(G44:G47)</f>
        <v>45778.399999999994</v>
      </c>
      <c r="H43" s="35">
        <f t="shared" si="1"/>
        <v>3442900.6999999997</v>
      </c>
      <c r="I43" s="2">
        <f>SUM(I44:I47)</f>
        <v>-8859.4</v>
      </c>
      <c r="J43" s="35">
        <f t="shared" si="2"/>
        <v>3434041.3</v>
      </c>
      <c r="K43" s="2">
        <f>SUM(K44:K47)</f>
        <v>1917.5</v>
      </c>
      <c r="L43" s="35">
        <f t="shared" si="3"/>
        <v>3435958.8</v>
      </c>
      <c r="M43" s="2">
        <f>SUM(M44:M47)</f>
        <v>3969.5</v>
      </c>
      <c r="N43" s="35">
        <f t="shared" si="4"/>
        <v>3439928.3</v>
      </c>
      <c r="O43" s="2">
        <f>SUM(O44:O47)</f>
        <v>307526.40000000002</v>
      </c>
      <c r="P43" s="35">
        <f t="shared" si="5"/>
        <v>3747454.6999999997</v>
      </c>
      <c r="Q43" s="2">
        <f>SUM(Q44:Q47)</f>
        <v>25278.000000000004</v>
      </c>
      <c r="R43" s="35">
        <f t="shared" si="6"/>
        <v>3772732.6999999997</v>
      </c>
    </row>
    <row r="44" spans="1:18">
      <c r="A44" s="12" t="s">
        <v>255</v>
      </c>
      <c r="B44" s="1" t="s">
        <v>193</v>
      </c>
      <c r="C44" s="1" t="s">
        <v>211</v>
      </c>
      <c r="D44" s="2">
        <f>прил.6!G588</f>
        <v>1310375.8</v>
      </c>
      <c r="E44" s="2">
        <f>прил.6!H588</f>
        <v>0</v>
      </c>
      <c r="F44" s="35">
        <f t="shared" si="0"/>
        <v>1310375.8</v>
      </c>
      <c r="G44" s="2">
        <f>прил.6!J588</f>
        <v>44229.299999999996</v>
      </c>
      <c r="H44" s="35">
        <f t="shared" si="1"/>
        <v>1354605.1</v>
      </c>
      <c r="I44" s="2">
        <f>прил.6!L588</f>
        <v>-167.8</v>
      </c>
      <c r="J44" s="35">
        <f t="shared" si="2"/>
        <v>1354437.3</v>
      </c>
      <c r="K44" s="2">
        <f>прил.6!N588</f>
        <v>-2500</v>
      </c>
      <c r="L44" s="35">
        <f t="shared" si="3"/>
        <v>1351937.3</v>
      </c>
      <c r="M44" s="2">
        <f>прил.6!P588</f>
        <v>0</v>
      </c>
      <c r="N44" s="35">
        <f t="shared" si="4"/>
        <v>1351937.3</v>
      </c>
      <c r="O44" s="2">
        <f>прил.6!R588</f>
        <v>35857.700000000004</v>
      </c>
      <c r="P44" s="35">
        <f t="shared" si="5"/>
        <v>1387795</v>
      </c>
      <c r="Q44" s="2">
        <f>прил.6!T588</f>
        <v>12194.600000000004</v>
      </c>
      <c r="R44" s="35">
        <f t="shared" si="6"/>
        <v>1399989.6</v>
      </c>
    </row>
    <row r="45" spans="1:18">
      <c r="A45" s="12" t="s">
        <v>248</v>
      </c>
      <c r="B45" s="1" t="s">
        <v>193</v>
      </c>
      <c r="C45" s="1" t="s">
        <v>212</v>
      </c>
      <c r="D45" s="2">
        <f>прил.6!G630+прил.6!G925+прил.6!G1202+прил.6!G1630</f>
        <v>1757386.2</v>
      </c>
      <c r="E45" s="2">
        <f>прил.6!H630+прил.6!H925+прил.6!H1202+прил.6!H1630</f>
        <v>908.8</v>
      </c>
      <c r="F45" s="35">
        <f t="shared" si="0"/>
        <v>1758295</v>
      </c>
      <c r="G45" s="2">
        <f>прил.6!J630+прил.6!J925+прил.6!J1202+прил.6!J1630</f>
        <v>-7173</v>
      </c>
      <c r="H45" s="35">
        <f t="shared" si="1"/>
        <v>1751122</v>
      </c>
      <c r="I45" s="2">
        <f>прил.6!L630+прил.6!L925+прил.6!L1202+прил.6!L1630</f>
        <v>-208.60000000000002</v>
      </c>
      <c r="J45" s="35">
        <f t="shared" si="2"/>
        <v>1750913.4</v>
      </c>
      <c r="K45" s="2">
        <f>прил.6!N630+прил.6!N925+прил.6!N1202+прил.6!N1630</f>
        <v>-2877.3</v>
      </c>
      <c r="L45" s="35">
        <f t="shared" si="3"/>
        <v>1748036.0999999999</v>
      </c>
      <c r="M45" s="2">
        <f>прил.6!P630+прил.6!P925+прил.6!P1202+прил.6!P1630</f>
        <v>10</v>
      </c>
      <c r="N45" s="35">
        <f>L45+M45</f>
        <v>1748046.0999999999</v>
      </c>
      <c r="O45" s="2">
        <f>прил.6!R630+прил.6!R925+прил.6!R1202+прил.6!R1630</f>
        <v>952.60000000000082</v>
      </c>
      <c r="P45" s="35">
        <f t="shared" si="5"/>
        <v>1748998.7</v>
      </c>
      <c r="Q45" s="2">
        <f>прил.6!T630+прил.6!T925+прил.6!T1202+прил.6!T1630</f>
        <v>11246.100000000002</v>
      </c>
      <c r="R45" s="35">
        <f t="shared" si="6"/>
        <v>1760244.8</v>
      </c>
    </row>
    <row r="46" spans="1:18">
      <c r="A46" s="12" t="s">
        <v>197</v>
      </c>
      <c r="B46" s="1" t="s">
        <v>193</v>
      </c>
      <c r="C46" s="1" t="s">
        <v>193</v>
      </c>
      <c r="D46" s="2">
        <f>прил.6!G304+прил.6!G697+прил.6!G1305+прил.6!G1636</f>
        <v>86246.6</v>
      </c>
      <c r="E46" s="2">
        <f>прил.6!H304+прил.6!H697+прил.6!H1305+прил.6!H1636</f>
        <v>0</v>
      </c>
      <c r="F46" s="35">
        <f t="shared" si="0"/>
        <v>86246.6</v>
      </c>
      <c r="G46" s="2">
        <f>прил.6!J304+прил.6!J697+прил.6!J940+прил.6!J1210+прил.6!J1305+прил.6!J1636</f>
        <v>0.6999999999998181</v>
      </c>
      <c r="H46" s="35">
        <f t="shared" si="1"/>
        <v>86247.3</v>
      </c>
      <c r="I46" s="2">
        <f>прил.6!L304+прил.6!L697+прил.6!L940+прил.6!L1210+прил.6!L1305+прил.6!L1636</f>
        <v>-3065.7999999999997</v>
      </c>
      <c r="J46" s="35">
        <f t="shared" si="2"/>
        <v>83181.5</v>
      </c>
      <c r="K46" s="2">
        <f>прил.6!N304+прил.6!N697+прил.6!N940+прил.6!N1210+прил.6!N1305+прил.6!N1636</f>
        <v>377.3</v>
      </c>
      <c r="L46" s="35">
        <f t="shared" si="3"/>
        <v>83558.8</v>
      </c>
      <c r="M46" s="2">
        <f>прил.6!P304+прил.6!P697+прил.6!P940+прил.6!P1210+прил.6!P1305+прил.6!P1636</f>
        <v>0</v>
      </c>
      <c r="N46" s="35">
        <f t="shared" si="4"/>
        <v>83558.8</v>
      </c>
      <c r="O46" s="2">
        <f>прил.6!R304+прил.6!R697+прил.6!R940+прил.6!R1210+прил.6!R1305+прил.6!R1636</f>
        <v>0</v>
      </c>
      <c r="P46" s="35">
        <f t="shared" si="5"/>
        <v>83558.8</v>
      </c>
      <c r="Q46" s="2">
        <f>прил.6!T304+прил.6!T697+прил.6!T940+прил.6!T1210+прил.6!T1305+прил.6!T1636</f>
        <v>-734.7</v>
      </c>
      <c r="R46" s="35">
        <f t="shared" si="6"/>
        <v>82824.100000000006</v>
      </c>
    </row>
    <row r="47" spans="1:18">
      <c r="A47" s="12" t="s">
        <v>249</v>
      </c>
      <c r="B47" s="1" t="s">
        <v>193</v>
      </c>
      <c r="C47" s="1" t="s">
        <v>217</v>
      </c>
      <c r="D47" s="2">
        <f>прил.6!G713+прил.6!G946+прил.6!G1216+прил.6!G1649</f>
        <v>242204.90000000002</v>
      </c>
      <c r="E47" s="2">
        <f>прил.6!H713+прил.6!H946+прил.6!H1216+прил.6!H1649</f>
        <v>0</v>
      </c>
      <c r="F47" s="35">
        <f t="shared" si="0"/>
        <v>242204.90000000002</v>
      </c>
      <c r="G47" s="2">
        <f>прил.6!J713+прил.6!J946+прил.6!J1216+прил.6!J1649</f>
        <v>8721.4</v>
      </c>
      <c r="H47" s="35">
        <f t="shared" si="1"/>
        <v>250926.30000000002</v>
      </c>
      <c r="I47" s="2">
        <f>прил.6!L713+прил.6!L946+прил.6!L1216+прил.6!L1649</f>
        <v>-5417.2</v>
      </c>
      <c r="J47" s="35">
        <f t="shared" si="2"/>
        <v>245509.1</v>
      </c>
      <c r="K47" s="2">
        <f>прил.6!N713+прил.6!N946+прил.6!N1216+прил.6!N1649</f>
        <v>6917.5</v>
      </c>
      <c r="L47" s="35">
        <f t="shared" si="3"/>
        <v>252426.6</v>
      </c>
      <c r="M47" s="2">
        <f>прил.6!P713+прил.6!P946+прил.6!P1216+прил.6!P1649</f>
        <v>3959.5</v>
      </c>
      <c r="N47" s="35">
        <f t="shared" si="4"/>
        <v>256386.1</v>
      </c>
      <c r="O47" s="2">
        <f>прил.6!R713+прил.6!R946+прил.6!R1216+прил.6!R1649</f>
        <v>270716.10000000003</v>
      </c>
      <c r="P47" s="35">
        <f t="shared" si="5"/>
        <v>527102.20000000007</v>
      </c>
      <c r="Q47" s="2">
        <f>прил.6!T713+прил.6!T946+прил.6!T1216+прил.6!T1649</f>
        <v>2572</v>
      </c>
      <c r="R47" s="35">
        <f t="shared" si="6"/>
        <v>529674.20000000007</v>
      </c>
    </row>
    <row r="48" spans="1:18">
      <c r="A48" s="12" t="s">
        <v>165</v>
      </c>
      <c r="B48" s="1" t="s">
        <v>220</v>
      </c>
      <c r="C48" s="1"/>
      <c r="D48" s="2">
        <f>SUM(D49:D50)</f>
        <v>260483</v>
      </c>
      <c r="E48" s="2">
        <f>SUM(E49:E50)</f>
        <v>0</v>
      </c>
      <c r="F48" s="35">
        <f t="shared" si="0"/>
        <v>260483</v>
      </c>
      <c r="G48" s="2">
        <f>SUM(G49:G50)</f>
        <v>-443.79999999999995</v>
      </c>
      <c r="H48" s="35">
        <f t="shared" si="1"/>
        <v>260039.2</v>
      </c>
      <c r="I48" s="2">
        <f>SUM(I49:I50)</f>
        <v>1526.7</v>
      </c>
      <c r="J48" s="35">
        <f t="shared" si="2"/>
        <v>261565.90000000002</v>
      </c>
      <c r="K48" s="2">
        <f>SUM(K49:K50)</f>
        <v>0</v>
      </c>
      <c r="L48" s="35">
        <f t="shared" si="3"/>
        <v>261565.90000000002</v>
      </c>
      <c r="M48" s="2">
        <f>SUM(M49:M50)</f>
        <v>140.19999999999999</v>
      </c>
      <c r="N48" s="35">
        <f t="shared" si="4"/>
        <v>261706.10000000003</v>
      </c>
      <c r="O48" s="2">
        <f>SUM(O49:O50)</f>
        <v>29387.200000000004</v>
      </c>
      <c r="P48" s="35">
        <f t="shared" si="5"/>
        <v>291093.30000000005</v>
      </c>
      <c r="Q48" s="2">
        <f>SUM(Q49:Q50)</f>
        <v>-270.10000000000025</v>
      </c>
      <c r="R48" s="35">
        <f t="shared" si="6"/>
        <v>290823.20000000007</v>
      </c>
    </row>
    <row r="49" spans="1:18">
      <c r="A49" s="12" t="s">
        <v>182</v>
      </c>
      <c r="B49" s="1" t="s">
        <v>220</v>
      </c>
      <c r="C49" s="1" t="s">
        <v>211</v>
      </c>
      <c r="D49" s="2">
        <f>прил.6!G973</f>
        <v>233756</v>
      </c>
      <c r="E49" s="2">
        <f>прил.6!H973</f>
        <v>0</v>
      </c>
      <c r="F49" s="35">
        <f t="shared" si="0"/>
        <v>233756</v>
      </c>
      <c r="G49" s="2">
        <f>прил.6!J973</f>
        <v>-479.79999999999995</v>
      </c>
      <c r="H49" s="35">
        <f t="shared" si="1"/>
        <v>233276.2</v>
      </c>
      <c r="I49" s="2">
        <f>прил.6!L973+прил.6!L1681</f>
        <v>1528.5</v>
      </c>
      <c r="J49" s="35">
        <f t="shared" si="2"/>
        <v>234804.7</v>
      </c>
      <c r="K49" s="2">
        <f>прил.6!N973+прил.6!N1681</f>
        <v>0</v>
      </c>
      <c r="L49" s="35">
        <f t="shared" si="3"/>
        <v>234804.7</v>
      </c>
      <c r="M49" s="2">
        <f>прил.6!P973+прил.6!P1681</f>
        <v>140.19999999999999</v>
      </c>
      <c r="N49" s="35">
        <f t="shared" si="4"/>
        <v>234944.90000000002</v>
      </c>
      <c r="O49" s="2">
        <f>прил.6!R973+прил.6!R1681</f>
        <v>17658.800000000003</v>
      </c>
      <c r="P49" s="35">
        <f t="shared" si="5"/>
        <v>252603.7</v>
      </c>
      <c r="Q49" s="2">
        <f>прил.6!T973+прил.6!T1681</f>
        <v>-2.2737367544323206E-13</v>
      </c>
      <c r="R49" s="35">
        <f t="shared" si="6"/>
        <v>252603.7</v>
      </c>
    </row>
    <row r="50" spans="1:18" s="36" customFormat="1">
      <c r="A50" s="12" t="s">
        <v>161</v>
      </c>
      <c r="B50" s="1" t="s">
        <v>220</v>
      </c>
      <c r="C50" s="1" t="s">
        <v>214</v>
      </c>
      <c r="D50" s="2">
        <f>прил.6!G1065</f>
        <v>26727</v>
      </c>
      <c r="E50" s="2">
        <f>прил.6!H1065</f>
        <v>0</v>
      </c>
      <c r="F50" s="35">
        <f t="shared" si="0"/>
        <v>26727</v>
      </c>
      <c r="G50" s="2">
        <f>прил.6!J1065</f>
        <v>36</v>
      </c>
      <c r="H50" s="35">
        <f t="shared" si="1"/>
        <v>26763</v>
      </c>
      <c r="I50" s="2">
        <f>прил.6!L1065</f>
        <v>-1.8</v>
      </c>
      <c r="J50" s="35">
        <f t="shared" si="2"/>
        <v>26761.200000000001</v>
      </c>
      <c r="K50" s="2">
        <f>прил.6!N1065</f>
        <v>0</v>
      </c>
      <c r="L50" s="35">
        <f t="shared" si="3"/>
        <v>26761.200000000001</v>
      </c>
      <c r="M50" s="2">
        <f>прил.6!P1065</f>
        <v>0</v>
      </c>
      <c r="N50" s="35">
        <f>L50+M50</f>
        <v>26761.200000000001</v>
      </c>
      <c r="O50" s="2">
        <f>прил.6!R1065+прил.6!R1687</f>
        <v>11728.400000000001</v>
      </c>
      <c r="P50" s="35">
        <f t="shared" si="5"/>
        <v>38489.600000000006</v>
      </c>
      <c r="Q50" s="2">
        <f>прил.6!T1065+прил.6!T1687</f>
        <v>-270.10000000000002</v>
      </c>
      <c r="R50" s="35">
        <f t="shared" si="6"/>
        <v>38219.500000000007</v>
      </c>
    </row>
    <row r="51" spans="1:18" s="20" customFormat="1">
      <c r="A51" s="61" t="s">
        <v>263</v>
      </c>
      <c r="B51" s="1" t="s">
        <v>217</v>
      </c>
      <c r="C51" s="1"/>
      <c r="D51" s="2">
        <f>SUM(D52)</f>
        <v>1957.5</v>
      </c>
      <c r="E51" s="2">
        <f>SUM(E52)</f>
        <v>0</v>
      </c>
      <c r="F51" s="35">
        <f t="shared" si="0"/>
        <v>1957.5</v>
      </c>
      <c r="G51" s="2">
        <f>SUM(G52)</f>
        <v>0</v>
      </c>
      <c r="H51" s="35">
        <f t="shared" si="1"/>
        <v>1957.5</v>
      </c>
      <c r="I51" s="2">
        <f>SUM(I52)</f>
        <v>0</v>
      </c>
      <c r="J51" s="35">
        <f t="shared" si="2"/>
        <v>1957.5</v>
      </c>
      <c r="K51" s="2">
        <f>SUM(K52)</f>
        <v>0</v>
      </c>
      <c r="L51" s="35">
        <f t="shared" si="3"/>
        <v>1957.5</v>
      </c>
      <c r="M51" s="2">
        <f>SUM(M52)</f>
        <v>0</v>
      </c>
      <c r="N51" s="35">
        <f t="shared" si="4"/>
        <v>1957.5</v>
      </c>
      <c r="O51" s="2">
        <f>SUM(O52)</f>
        <v>0</v>
      </c>
      <c r="P51" s="35">
        <f t="shared" si="5"/>
        <v>1957.5</v>
      </c>
      <c r="Q51" s="2">
        <f>SUM(Q52)</f>
        <v>0</v>
      </c>
      <c r="R51" s="35">
        <f t="shared" si="6"/>
        <v>1957.5</v>
      </c>
    </row>
    <row r="52" spans="1:18" s="20" customFormat="1">
      <c r="A52" s="76" t="s">
        <v>262</v>
      </c>
      <c r="B52" s="1" t="s">
        <v>217</v>
      </c>
      <c r="C52" s="1" t="s">
        <v>193</v>
      </c>
      <c r="D52" s="2">
        <f>прил.6!G535</f>
        <v>1957.5</v>
      </c>
      <c r="E52" s="2">
        <f>прил.6!H535</f>
        <v>0</v>
      </c>
      <c r="F52" s="35">
        <f t="shared" si="0"/>
        <v>1957.5</v>
      </c>
      <c r="G52" s="2">
        <f>прил.6!J535</f>
        <v>0</v>
      </c>
      <c r="H52" s="35">
        <f t="shared" si="1"/>
        <v>1957.5</v>
      </c>
      <c r="I52" s="2">
        <f>прил.6!L535</f>
        <v>0</v>
      </c>
      <c r="J52" s="35">
        <f t="shared" si="2"/>
        <v>1957.5</v>
      </c>
      <c r="K52" s="2">
        <f>прил.6!N535</f>
        <v>0</v>
      </c>
      <c r="L52" s="35">
        <f t="shared" si="3"/>
        <v>1957.5</v>
      </c>
      <c r="M52" s="2">
        <f>прил.6!P535</f>
        <v>0</v>
      </c>
      <c r="N52" s="35">
        <f t="shared" si="4"/>
        <v>1957.5</v>
      </c>
      <c r="O52" s="2">
        <f>прил.6!R535</f>
        <v>0</v>
      </c>
      <c r="P52" s="35">
        <f t="shared" si="5"/>
        <v>1957.5</v>
      </c>
      <c r="Q52" s="2">
        <f>прил.6!T535</f>
        <v>0</v>
      </c>
      <c r="R52" s="35">
        <f t="shared" si="6"/>
        <v>1957.5</v>
      </c>
    </row>
    <row r="53" spans="1:18">
      <c r="A53" s="12" t="s">
        <v>185</v>
      </c>
      <c r="B53" s="1" t="s">
        <v>186</v>
      </c>
      <c r="C53" s="1"/>
      <c r="D53" s="2">
        <f>SUM(D54:D58)</f>
        <v>1019928.1000000001</v>
      </c>
      <c r="E53" s="2">
        <f>SUM(E54:E58)</f>
        <v>0</v>
      </c>
      <c r="F53" s="35">
        <f t="shared" si="0"/>
        <v>1019928.1000000001</v>
      </c>
      <c r="G53" s="2">
        <f>SUM(G54:G58)</f>
        <v>-718.2</v>
      </c>
      <c r="H53" s="35">
        <f t="shared" si="1"/>
        <v>1019209.9000000001</v>
      </c>
      <c r="I53" s="2">
        <f>SUM(I54:I58)</f>
        <v>-825</v>
      </c>
      <c r="J53" s="35">
        <f t="shared" si="2"/>
        <v>1018384.9000000001</v>
      </c>
      <c r="K53" s="2">
        <f>SUM(K54:K58)</f>
        <v>432</v>
      </c>
      <c r="L53" s="35">
        <f t="shared" si="3"/>
        <v>1018816.9000000001</v>
      </c>
      <c r="M53" s="2">
        <f>SUM(M54:M58)</f>
        <v>-10</v>
      </c>
      <c r="N53" s="35">
        <f t="shared" si="4"/>
        <v>1018806.9000000001</v>
      </c>
      <c r="O53" s="2">
        <f>SUM(O54:O58)</f>
        <v>54856.299999999996</v>
      </c>
      <c r="P53" s="35">
        <f t="shared" si="5"/>
        <v>1073663.2000000002</v>
      </c>
      <c r="Q53" s="2">
        <f>SUM(Q54:Q58)</f>
        <v>50630.400000000009</v>
      </c>
      <c r="R53" s="35">
        <f t="shared" si="6"/>
        <v>1124293.6000000001</v>
      </c>
    </row>
    <row r="54" spans="1:18">
      <c r="A54" s="12" t="s">
        <v>183</v>
      </c>
      <c r="B54" s="1" t="s">
        <v>186</v>
      </c>
      <c r="C54" s="1" t="s">
        <v>211</v>
      </c>
      <c r="D54" s="2">
        <f>прил.6!G334</f>
        <v>13440</v>
      </c>
      <c r="E54" s="2">
        <f>прил.6!H334</f>
        <v>0</v>
      </c>
      <c r="F54" s="35">
        <f t="shared" si="0"/>
        <v>13440</v>
      </c>
      <c r="G54" s="2">
        <f>прил.6!J334</f>
        <v>0</v>
      </c>
      <c r="H54" s="35">
        <f t="shared" si="1"/>
        <v>13440</v>
      </c>
      <c r="I54" s="2">
        <f>прил.6!L334</f>
        <v>0</v>
      </c>
      <c r="J54" s="35">
        <f t="shared" si="2"/>
        <v>13440</v>
      </c>
      <c r="K54" s="2">
        <f>прил.6!N334</f>
        <v>0</v>
      </c>
      <c r="L54" s="35">
        <f t="shared" si="3"/>
        <v>13440</v>
      </c>
      <c r="M54" s="2">
        <f>прил.6!P334</f>
        <v>0</v>
      </c>
      <c r="N54" s="35">
        <f t="shared" si="4"/>
        <v>13440</v>
      </c>
      <c r="O54" s="2">
        <f>прил.6!R334</f>
        <v>0</v>
      </c>
      <c r="P54" s="35">
        <f t="shared" si="5"/>
        <v>13440</v>
      </c>
      <c r="Q54" s="2">
        <f>прил.6!T334</f>
        <v>0</v>
      </c>
      <c r="R54" s="35">
        <f t="shared" si="6"/>
        <v>13440</v>
      </c>
    </row>
    <row r="55" spans="1:18">
      <c r="A55" s="12" t="s">
        <v>256</v>
      </c>
      <c r="B55" s="1" t="s">
        <v>186</v>
      </c>
      <c r="C55" s="1" t="s">
        <v>212</v>
      </c>
      <c r="D55" s="2">
        <f>прил.6!G1326</f>
        <v>114241.1</v>
      </c>
      <c r="E55" s="2">
        <f>прил.6!H1326</f>
        <v>0</v>
      </c>
      <c r="F55" s="35">
        <f t="shared" si="0"/>
        <v>114241.1</v>
      </c>
      <c r="G55" s="2">
        <f>прил.6!J1326</f>
        <v>0</v>
      </c>
      <c r="H55" s="35">
        <f t="shared" si="1"/>
        <v>114241.1</v>
      </c>
      <c r="I55" s="2">
        <f>прил.6!L1326</f>
        <v>0</v>
      </c>
      <c r="J55" s="35">
        <f t="shared" si="2"/>
        <v>114241.1</v>
      </c>
      <c r="K55" s="2">
        <f>прил.6!N1326</f>
        <v>0</v>
      </c>
      <c r="L55" s="35">
        <f t="shared" si="3"/>
        <v>114241.1</v>
      </c>
      <c r="M55" s="2">
        <f>прил.6!P1326</f>
        <v>365.3</v>
      </c>
      <c r="N55" s="35">
        <f t="shared" si="4"/>
        <v>114606.40000000001</v>
      </c>
      <c r="O55" s="2">
        <f>прил.6!R1326</f>
        <v>-22258.799999999999</v>
      </c>
      <c r="P55" s="35">
        <f t="shared" si="5"/>
        <v>92347.6</v>
      </c>
      <c r="Q55" s="2">
        <f>прил.6!T1326</f>
        <v>1426.2</v>
      </c>
      <c r="R55" s="35">
        <f t="shared" si="6"/>
        <v>93773.8</v>
      </c>
    </row>
    <row r="56" spans="1:18">
      <c r="A56" s="12" t="s">
        <v>177</v>
      </c>
      <c r="B56" s="1" t="s">
        <v>186</v>
      </c>
      <c r="C56" s="1" t="s">
        <v>213</v>
      </c>
      <c r="D56" s="2">
        <f>прил.6!G342+прил.6!G543+прил.6!G825+прил.6!G1337</f>
        <v>705038.20000000007</v>
      </c>
      <c r="E56" s="2">
        <f>прил.6!H342+прил.6!H543+прил.6!H825+прил.6!H1337</f>
        <v>0</v>
      </c>
      <c r="F56" s="35">
        <f t="shared" si="0"/>
        <v>705038.20000000007</v>
      </c>
      <c r="G56" s="2">
        <f>прил.6!J342+прил.6!J543+прил.6!J825+прил.6!J1337</f>
        <v>0</v>
      </c>
      <c r="H56" s="35">
        <f t="shared" si="1"/>
        <v>705038.20000000007</v>
      </c>
      <c r="I56" s="2">
        <f>прил.6!L342+прил.6!L543+прил.6!L825+прил.6!L1337</f>
        <v>-825</v>
      </c>
      <c r="J56" s="35">
        <f t="shared" si="2"/>
        <v>704213.20000000007</v>
      </c>
      <c r="K56" s="2">
        <f>прил.6!N342+прил.6!N543+прил.6!N825+прил.6!N1337</f>
        <v>432</v>
      </c>
      <c r="L56" s="35">
        <f t="shared" si="3"/>
        <v>704645.20000000007</v>
      </c>
      <c r="M56" s="2">
        <f>прил.6!P342+прил.6!P543+прил.6!P825+прил.6!P1337</f>
        <v>-375.3</v>
      </c>
      <c r="N56" s="35">
        <f t="shared" si="4"/>
        <v>704269.9</v>
      </c>
      <c r="O56" s="2">
        <f>прил.6!R342+прил.6!R543+прил.6!R825+прил.6!R1337</f>
        <v>83056.899999999994</v>
      </c>
      <c r="P56" s="35">
        <f t="shared" si="5"/>
        <v>787326.8</v>
      </c>
      <c r="Q56" s="2">
        <f>прил.6!T342+прил.6!T543+прил.6!T825+прил.6!T1337</f>
        <v>44370.200000000012</v>
      </c>
      <c r="R56" s="35">
        <f t="shared" si="6"/>
        <v>831697</v>
      </c>
    </row>
    <row r="57" spans="1:18">
      <c r="A57" s="75" t="s">
        <v>202</v>
      </c>
      <c r="B57" s="1" t="s">
        <v>186</v>
      </c>
      <c r="C57" s="1" t="s">
        <v>214</v>
      </c>
      <c r="D57" s="2">
        <f>прил.6!G844</f>
        <v>132317.90000000002</v>
      </c>
      <c r="E57" s="2">
        <f>прил.6!H844</f>
        <v>0</v>
      </c>
      <c r="F57" s="35">
        <f t="shared" si="0"/>
        <v>132317.90000000002</v>
      </c>
      <c r="G57" s="2">
        <f>прил.6!J844</f>
        <v>0</v>
      </c>
      <c r="H57" s="35">
        <f t="shared" si="1"/>
        <v>132317.90000000002</v>
      </c>
      <c r="I57" s="2">
        <f>прил.6!L844</f>
        <v>0</v>
      </c>
      <c r="J57" s="35">
        <f t="shared" si="2"/>
        <v>132317.90000000002</v>
      </c>
      <c r="K57" s="2">
        <f>прил.6!N844</f>
        <v>0</v>
      </c>
      <c r="L57" s="35">
        <f t="shared" si="3"/>
        <v>132317.90000000002</v>
      </c>
      <c r="M57" s="2">
        <f>прил.6!P844</f>
        <v>0</v>
      </c>
      <c r="N57" s="35">
        <f t="shared" si="4"/>
        <v>132317.90000000002</v>
      </c>
      <c r="O57" s="2">
        <f>прил.6!R844</f>
        <v>-9259.2000000000007</v>
      </c>
      <c r="P57" s="35">
        <f t="shared" si="5"/>
        <v>123058.70000000003</v>
      </c>
      <c r="Q57" s="2">
        <f>прил.6!T844</f>
        <v>5269.2</v>
      </c>
      <c r="R57" s="35">
        <f t="shared" si="6"/>
        <v>128327.90000000002</v>
      </c>
    </row>
    <row r="58" spans="1:18">
      <c r="A58" s="12" t="s">
        <v>187</v>
      </c>
      <c r="B58" s="1" t="s">
        <v>186</v>
      </c>
      <c r="C58" s="1" t="s">
        <v>215</v>
      </c>
      <c r="D58" s="2">
        <f>прил.6!G1415</f>
        <v>54890.900000000009</v>
      </c>
      <c r="E58" s="2">
        <f>прил.6!H1415</f>
        <v>0</v>
      </c>
      <c r="F58" s="35">
        <f t="shared" si="0"/>
        <v>54890.900000000009</v>
      </c>
      <c r="G58" s="2">
        <f>прил.6!J1415</f>
        <v>-718.2</v>
      </c>
      <c r="H58" s="35">
        <f t="shared" si="1"/>
        <v>54172.700000000012</v>
      </c>
      <c r="I58" s="2">
        <f>прил.6!L1415</f>
        <v>0</v>
      </c>
      <c r="J58" s="35">
        <f t="shared" si="2"/>
        <v>54172.700000000012</v>
      </c>
      <c r="K58" s="2">
        <f>прил.6!N1415</f>
        <v>0</v>
      </c>
      <c r="L58" s="35">
        <f t="shared" si="3"/>
        <v>54172.700000000012</v>
      </c>
      <c r="M58" s="2">
        <f>прил.6!P1415</f>
        <v>0</v>
      </c>
      <c r="N58" s="35">
        <f t="shared" si="4"/>
        <v>54172.700000000012</v>
      </c>
      <c r="O58" s="2">
        <f>прил.6!R1415</f>
        <v>3317.4</v>
      </c>
      <c r="P58" s="35">
        <f t="shared" si="5"/>
        <v>57490.100000000013</v>
      </c>
      <c r="Q58" s="2">
        <f>прил.6!T1415</f>
        <v>-435.20000000000016</v>
      </c>
      <c r="R58" s="35">
        <f t="shared" si="6"/>
        <v>57054.900000000016</v>
      </c>
    </row>
    <row r="59" spans="1:18">
      <c r="A59" s="12" t="s">
        <v>189</v>
      </c>
      <c r="B59" s="1" t="s">
        <v>222</v>
      </c>
      <c r="C59" s="1"/>
      <c r="D59" s="2">
        <f>SUM(D60:D62)</f>
        <v>225467.1</v>
      </c>
      <c r="E59" s="2">
        <f>SUM(E60:E62)</f>
        <v>-908.79999999999927</v>
      </c>
      <c r="F59" s="35">
        <f t="shared" si="0"/>
        <v>224558.30000000002</v>
      </c>
      <c r="G59" s="2">
        <f>SUM(G60:G62)</f>
        <v>4323.8</v>
      </c>
      <c r="H59" s="35">
        <f t="shared" si="1"/>
        <v>228882.1</v>
      </c>
      <c r="I59" s="2">
        <f>SUM(I60:I62)</f>
        <v>0</v>
      </c>
      <c r="J59" s="35">
        <f t="shared" si="2"/>
        <v>228882.1</v>
      </c>
      <c r="K59" s="2">
        <f>SUM(K60:K62)</f>
        <v>0</v>
      </c>
      <c r="L59" s="35">
        <f t="shared" si="3"/>
        <v>228882.1</v>
      </c>
      <c r="M59" s="2">
        <f>SUM(M60:M62)</f>
        <v>-3959.5</v>
      </c>
      <c r="N59" s="35">
        <f t="shared" si="4"/>
        <v>224922.6</v>
      </c>
      <c r="O59" s="2">
        <f>SUM(O60:O62)</f>
        <v>-9775</v>
      </c>
      <c r="P59" s="35">
        <f t="shared" si="5"/>
        <v>215147.6</v>
      </c>
      <c r="Q59" s="2">
        <f>SUM(Q60:Q62)</f>
        <v>0</v>
      </c>
      <c r="R59" s="35">
        <f t="shared" si="6"/>
        <v>215147.6</v>
      </c>
    </row>
    <row r="60" spans="1:18">
      <c r="A60" s="12" t="s">
        <v>184</v>
      </c>
      <c r="B60" s="1" t="s">
        <v>222</v>
      </c>
      <c r="C60" s="1" t="s">
        <v>211</v>
      </c>
      <c r="D60" s="2">
        <f>прил.6!G1239</f>
        <v>205283.9</v>
      </c>
      <c r="E60" s="2">
        <f>прил.6!H1239</f>
        <v>-908.79999999999927</v>
      </c>
      <c r="F60" s="35">
        <f t="shared" si="0"/>
        <v>204375.1</v>
      </c>
      <c r="G60" s="2">
        <f>прил.6!J1239</f>
        <v>-205</v>
      </c>
      <c r="H60" s="35">
        <f t="shared" si="1"/>
        <v>204170.1</v>
      </c>
      <c r="I60" s="2">
        <f>прил.6!L1239</f>
        <v>0</v>
      </c>
      <c r="J60" s="35">
        <f t="shared" si="2"/>
        <v>204170.1</v>
      </c>
      <c r="K60" s="2">
        <f>прил.6!N1239</f>
        <v>0</v>
      </c>
      <c r="L60" s="35">
        <f t="shared" si="3"/>
        <v>204170.1</v>
      </c>
      <c r="M60" s="2">
        <f>прил.6!P1239</f>
        <v>-3959.5</v>
      </c>
      <c r="N60" s="35">
        <f t="shared" si="4"/>
        <v>200210.6</v>
      </c>
      <c r="O60" s="2">
        <f>прил.6!R1239</f>
        <v>-9775</v>
      </c>
      <c r="P60" s="35">
        <f t="shared" si="5"/>
        <v>190435.6</v>
      </c>
      <c r="Q60" s="2">
        <f>прил.6!T1239</f>
        <v>0</v>
      </c>
      <c r="R60" s="35">
        <f t="shared" si="6"/>
        <v>190435.6</v>
      </c>
    </row>
    <row r="61" spans="1:18">
      <c r="A61" s="12" t="s">
        <v>264</v>
      </c>
      <c r="B61" s="1" t="s">
        <v>222</v>
      </c>
      <c r="C61" s="1" t="s">
        <v>212</v>
      </c>
      <c r="D61" s="2">
        <f>прил.6!G1270</f>
        <v>500</v>
      </c>
      <c r="E61" s="2">
        <f>прил.6!H1270</f>
        <v>0</v>
      </c>
      <c r="F61" s="35">
        <f t="shared" si="0"/>
        <v>500</v>
      </c>
      <c r="G61" s="2">
        <f>прил.6!J1270</f>
        <v>1714.9</v>
      </c>
      <c r="H61" s="35">
        <f t="shared" si="1"/>
        <v>2214.9</v>
      </c>
      <c r="I61" s="2">
        <f>прил.6!L1270</f>
        <v>0</v>
      </c>
      <c r="J61" s="35">
        <f t="shared" si="2"/>
        <v>2214.9</v>
      </c>
      <c r="K61" s="2">
        <f>прил.6!N1270</f>
        <v>0</v>
      </c>
      <c r="L61" s="35">
        <f t="shared" si="3"/>
        <v>2214.9</v>
      </c>
      <c r="M61" s="2">
        <f>прил.6!P1270</f>
        <v>0</v>
      </c>
      <c r="N61" s="35">
        <f t="shared" si="4"/>
        <v>2214.9</v>
      </c>
      <c r="O61" s="2">
        <f>прил.6!R1270</f>
        <v>0</v>
      </c>
      <c r="P61" s="35">
        <f t="shared" si="5"/>
        <v>2214.9</v>
      </c>
      <c r="Q61" s="2">
        <f>прил.6!T1270</f>
        <v>0</v>
      </c>
      <c r="R61" s="35">
        <f t="shared" si="6"/>
        <v>2214.9</v>
      </c>
    </row>
    <row r="62" spans="1:18">
      <c r="A62" s="12" t="s">
        <v>190</v>
      </c>
      <c r="B62" s="1" t="s">
        <v>222</v>
      </c>
      <c r="C62" s="1" t="s">
        <v>219</v>
      </c>
      <c r="D62" s="2">
        <f>прил.6!G1281+прил.6!G1695</f>
        <v>19683.2</v>
      </c>
      <c r="E62" s="2">
        <f>прил.6!H1281+прил.6!H1695</f>
        <v>0</v>
      </c>
      <c r="F62" s="35">
        <f t="shared" si="0"/>
        <v>19683.2</v>
      </c>
      <c r="G62" s="2">
        <f>прил.6!J1281+прил.6!J1695</f>
        <v>2813.9</v>
      </c>
      <c r="H62" s="35">
        <f t="shared" si="1"/>
        <v>22497.100000000002</v>
      </c>
      <c r="I62" s="2">
        <f>прил.6!L1281+прил.6!L1695</f>
        <v>0</v>
      </c>
      <c r="J62" s="35">
        <f t="shared" si="2"/>
        <v>22497.100000000002</v>
      </c>
      <c r="K62" s="2">
        <f>прил.6!N1281+прил.6!N1695</f>
        <v>0</v>
      </c>
      <c r="L62" s="35">
        <f t="shared" si="3"/>
        <v>22497.100000000002</v>
      </c>
      <c r="M62" s="2">
        <f>прил.6!P1281+прил.6!P1695</f>
        <v>0</v>
      </c>
      <c r="N62" s="35">
        <f t="shared" si="4"/>
        <v>22497.100000000002</v>
      </c>
      <c r="O62" s="2">
        <f>прил.6!R1281+прил.6!R1695</f>
        <v>0</v>
      </c>
      <c r="P62" s="35">
        <f t="shared" si="5"/>
        <v>22497.100000000002</v>
      </c>
      <c r="Q62" s="2">
        <f>прил.6!T1281+прил.6!T1695</f>
        <v>0</v>
      </c>
      <c r="R62" s="35">
        <f t="shared" si="6"/>
        <v>22497.100000000002</v>
      </c>
    </row>
    <row r="63" spans="1:18">
      <c r="A63" s="12" t="s">
        <v>191</v>
      </c>
      <c r="B63" s="1" t="s">
        <v>194</v>
      </c>
      <c r="C63" s="1"/>
      <c r="D63" s="2">
        <f>SUM(D64)</f>
        <v>44285.899999999994</v>
      </c>
      <c r="E63" s="2">
        <f>SUM(E64)</f>
        <v>0</v>
      </c>
      <c r="F63" s="35">
        <f t="shared" si="0"/>
        <v>44285.899999999994</v>
      </c>
      <c r="G63" s="2">
        <f>SUM(G64)</f>
        <v>134</v>
      </c>
      <c r="H63" s="35">
        <f t="shared" si="1"/>
        <v>44419.899999999994</v>
      </c>
      <c r="I63" s="2">
        <f>SUM(I64)</f>
        <v>-61.9</v>
      </c>
      <c r="J63" s="35">
        <f t="shared" si="2"/>
        <v>44357.999999999993</v>
      </c>
      <c r="K63" s="2">
        <f>SUM(K64)</f>
        <v>34.9</v>
      </c>
      <c r="L63" s="35">
        <f t="shared" si="3"/>
        <v>44392.899999999994</v>
      </c>
      <c r="M63" s="2">
        <f>SUM(M64)</f>
        <v>0</v>
      </c>
      <c r="N63" s="35">
        <f t="shared" si="4"/>
        <v>44392.899999999994</v>
      </c>
      <c r="O63" s="2">
        <f>SUM(O64)</f>
        <v>4108.8</v>
      </c>
      <c r="P63" s="35">
        <f t="shared" si="5"/>
        <v>48501.7</v>
      </c>
      <c r="Q63" s="2">
        <f>SUM(Q64)</f>
        <v>400</v>
      </c>
      <c r="R63" s="35">
        <f t="shared" si="6"/>
        <v>48901.7</v>
      </c>
    </row>
    <row r="64" spans="1:18">
      <c r="A64" s="12" t="s">
        <v>196</v>
      </c>
      <c r="B64" s="1" t="s">
        <v>194</v>
      </c>
      <c r="C64" s="1" t="s">
        <v>212</v>
      </c>
      <c r="D64" s="2">
        <f>прил.6!G372</f>
        <v>44285.899999999994</v>
      </c>
      <c r="E64" s="2">
        <f>прил.6!H372</f>
        <v>0</v>
      </c>
      <c r="F64" s="35">
        <f t="shared" si="0"/>
        <v>44285.899999999994</v>
      </c>
      <c r="G64" s="2">
        <f>прил.6!J372</f>
        <v>134</v>
      </c>
      <c r="H64" s="35">
        <f t="shared" si="1"/>
        <v>44419.899999999994</v>
      </c>
      <c r="I64" s="2">
        <f>прил.6!L372</f>
        <v>-61.9</v>
      </c>
      <c r="J64" s="35">
        <f t="shared" si="2"/>
        <v>44357.999999999993</v>
      </c>
      <c r="K64" s="2">
        <f>прил.6!N372</f>
        <v>34.9</v>
      </c>
      <c r="L64" s="35">
        <f t="shared" si="3"/>
        <v>44392.899999999994</v>
      </c>
      <c r="M64" s="2">
        <f>прил.6!P372</f>
        <v>0</v>
      </c>
      <c r="N64" s="35">
        <f t="shared" si="4"/>
        <v>44392.899999999994</v>
      </c>
      <c r="O64" s="2">
        <f>прил.6!R372</f>
        <v>4108.8</v>
      </c>
      <c r="P64" s="35">
        <f t="shared" si="5"/>
        <v>48501.7</v>
      </c>
      <c r="Q64" s="2">
        <f>прил.6!T372</f>
        <v>400</v>
      </c>
      <c r="R64" s="35">
        <f t="shared" si="6"/>
        <v>48901.7</v>
      </c>
    </row>
    <row r="65" spans="1:18" ht="33">
      <c r="A65" s="12" t="s">
        <v>192</v>
      </c>
      <c r="B65" s="1" t="s">
        <v>188</v>
      </c>
      <c r="C65" s="1"/>
      <c r="D65" s="2">
        <f>SUM(D66)</f>
        <v>46394.2</v>
      </c>
      <c r="E65" s="2">
        <f>SUM(E66)</f>
        <v>0</v>
      </c>
      <c r="F65" s="35">
        <f t="shared" si="0"/>
        <v>46394.2</v>
      </c>
      <c r="G65" s="2">
        <f>SUM(G66)</f>
        <v>0</v>
      </c>
      <c r="H65" s="35">
        <f t="shared" si="1"/>
        <v>46394.2</v>
      </c>
      <c r="I65" s="2">
        <f>SUM(I66)</f>
        <v>0</v>
      </c>
      <c r="J65" s="35">
        <f t="shared" si="2"/>
        <v>46394.2</v>
      </c>
      <c r="K65" s="2">
        <f>SUM(K66)</f>
        <v>0</v>
      </c>
      <c r="L65" s="35">
        <f t="shared" si="3"/>
        <v>46394.2</v>
      </c>
      <c r="M65" s="2">
        <f>SUM(M66)</f>
        <v>0</v>
      </c>
      <c r="N65" s="35">
        <f t="shared" si="4"/>
        <v>46394.2</v>
      </c>
      <c r="O65" s="2">
        <f>SUM(O66)</f>
        <v>0</v>
      </c>
      <c r="P65" s="35">
        <f t="shared" si="5"/>
        <v>46394.2</v>
      </c>
      <c r="Q65" s="2">
        <f>SUM(Q66)</f>
        <v>0</v>
      </c>
      <c r="R65" s="35">
        <f t="shared" si="6"/>
        <v>46394.2</v>
      </c>
    </row>
    <row r="66" spans="1:18">
      <c r="A66" s="12" t="s">
        <v>258</v>
      </c>
      <c r="B66" s="1" t="s">
        <v>188</v>
      </c>
      <c r="C66" s="1" t="s">
        <v>211</v>
      </c>
      <c r="D66" s="2">
        <f>прил.6!G907</f>
        <v>46394.2</v>
      </c>
      <c r="E66" s="2">
        <f>прил.6!H907</f>
        <v>0</v>
      </c>
      <c r="F66" s="35">
        <f t="shared" si="0"/>
        <v>46394.2</v>
      </c>
      <c r="G66" s="2">
        <f>прил.6!J907</f>
        <v>0</v>
      </c>
      <c r="H66" s="35">
        <f t="shared" si="1"/>
        <v>46394.2</v>
      </c>
      <c r="I66" s="2">
        <f>прил.6!L907</f>
        <v>0</v>
      </c>
      <c r="J66" s="35">
        <f t="shared" si="2"/>
        <v>46394.2</v>
      </c>
      <c r="K66" s="2">
        <f>прил.6!N907</f>
        <v>0</v>
      </c>
      <c r="L66" s="35">
        <f t="shared" si="3"/>
        <v>46394.2</v>
      </c>
      <c r="M66" s="2">
        <f>прил.6!P907</f>
        <v>0</v>
      </c>
      <c r="N66" s="35">
        <f t="shared" si="4"/>
        <v>46394.2</v>
      </c>
      <c r="O66" s="2">
        <f>прил.6!R907</f>
        <v>0</v>
      </c>
      <c r="P66" s="35">
        <f t="shared" si="5"/>
        <v>46394.2</v>
      </c>
      <c r="Q66" s="2">
        <f>прил.6!T907</f>
        <v>0</v>
      </c>
      <c r="R66" s="35">
        <f t="shared" si="6"/>
        <v>46394.2</v>
      </c>
    </row>
    <row r="67" spans="1:18">
      <c r="A67" s="61" t="s">
        <v>164</v>
      </c>
      <c r="B67" s="1"/>
      <c r="C67" s="1"/>
      <c r="D67" s="2">
        <f>D19+D27+D29+D35+D40+D43+D48+D51+D53+D59+D63+D65</f>
        <v>6670495.8999999994</v>
      </c>
      <c r="E67" s="2">
        <f>E19+E27+E29+E35+E40+E43+E48+E51+E53+E59+E63+E65</f>
        <v>-22308.300000000003</v>
      </c>
      <c r="F67" s="35">
        <f t="shared" si="0"/>
        <v>6648187.5999999996</v>
      </c>
      <c r="G67" s="2">
        <f>G19+G27+G29+G35+G40+G43+G48+G51+G53+G59+G63+G65</f>
        <v>-2.7284841053187847E-12</v>
      </c>
      <c r="H67" s="35">
        <f t="shared" si="1"/>
        <v>6648187.5999999996</v>
      </c>
      <c r="I67" s="2">
        <f>I19+I27+I29+I35+I40+I43+I48+I51+I53+I59+I63+I65</f>
        <v>-64999.999999999993</v>
      </c>
      <c r="J67" s="35">
        <f t="shared" si="2"/>
        <v>6583187.5999999996</v>
      </c>
      <c r="K67" s="2">
        <f>K19+K27+K29+K35+K40+K43+K48+K51+K53+K59+K63+K65</f>
        <v>-939.6</v>
      </c>
      <c r="L67" s="35">
        <f t="shared" si="3"/>
        <v>6582248</v>
      </c>
      <c r="M67" s="2">
        <f>M19+M27+M29+M35+M40+M43+M48+M51+M53+M59+M63+M65</f>
        <v>12800</v>
      </c>
      <c r="N67" s="35">
        <f t="shared" si="4"/>
        <v>6595048</v>
      </c>
      <c r="O67" s="2">
        <f>O19+O27+O29+O35+O40+O43+O48+O51+O53+O59+O63+O65</f>
        <v>393555.5</v>
      </c>
      <c r="P67" s="35">
        <f t="shared" si="5"/>
        <v>6988603.5</v>
      </c>
      <c r="Q67" s="2">
        <f>Q19+Q27+Q29+Q35+Q40+Q43+Q48+Q51+Q53+Q59+Q63+Q65</f>
        <v>91441.600000000006</v>
      </c>
      <c r="R67" s="2">
        <f>R19+R27+R29+R35+R40+R43+R48+R51+R53+R59+R63+R65</f>
        <v>7080045.0999999996</v>
      </c>
    </row>
    <row r="69" spans="1:18">
      <c r="D69" s="21"/>
      <c r="O69" s="21">
        <f>O67-'прил. 5'!Q1823</f>
        <v>0</v>
      </c>
      <c r="P69" s="21">
        <f>P67-'прил. 5'!R1823</f>
        <v>0</v>
      </c>
      <c r="Q69" s="21">
        <f>Q67-'прил. 5'!S1823</f>
        <v>0</v>
      </c>
    </row>
    <row r="70" spans="1:18">
      <c r="O70" s="21">
        <f>O67-'прил. 5'!Q1823</f>
        <v>0</v>
      </c>
      <c r="P70" s="21">
        <f>P67-'прил. 5'!R1823</f>
        <v>0</v>
      </c>
    </row>
  </sheetData>
  <mergeCells count="20">
    <mergeCell ref="E17:E18"/>
    <mergeCell ref="F17:F18"/>
    <mergeCell ref="G17:G18"/>
    <mergeCell ref="A13:D13"/>
    <mergeCell ref="B17:B18"/>
    <mergeCell ref="C17:C18"/>
    <mergeCell ref="D17:D18"/>
    <mergeCell ref="A17:A18"/>
    <mergeCell ref="A14:D14"/>
    <mergeCell ref="Q17:Q18"/>
    <mergeCell ref="R17:R18"/>
    <mergeCell ref="I17:I18"/>
    <mergeCell ref="J17:J18"/>
    <mergeCell ref="H17:H18"/>
    <mergeCell ref="O17:O18"/>
    <mergeCell ref="P17:P18"/>
    <mergeCell ref="M17:M18"/>
    <mergeCell ref="N17:N18"/>
    <mergeCell ref="K17:K18"/>
    <mergeCell ref="L17:L18"/>
  </mergeCells>
  <phoneticPr fontId="0" type="noConversion"/>
  <pageMargins left="1.1811023622047245" right="0.39370078740157483" top="0.78740157480314965" bottom="0.78740157480314965" header="0.39370078740157483" footer="0.15748031496062992"/>
  <pageSetup paperSize="9" scale="62" fitToHeight="2" orientation="portrait" r:id="rId1"/>
  <headerFooter alignWithMargins="0">
    <oddHeader>&amp;C&amp;P</oddHeader>
  </headerFooter>
  <rowBreaks count="1" manualBreakCount="1">
    <brk id="6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C1945"/>
  <sheetViews>
    <sheetView showZeros="0" view="pageBreakPreview" topLeftCell="A22" zoomScaleNormal="80" zoomScaleSheetLayoutView="100" workbookViewId="0">
      <selection activeCell="A9" sqref="A9:XFD12"/>
    </sheetView>
  </sheetViews>
  <sheetFormatPr defaultColWidth="9.140625" defaultRowHeight="16.5"/>
  <cols>
    <col min="1" max="1" width="72.28515625" style="79" customWidth="1"/>
    <col min="2" max="2" width="14.140625" style="20" customWidth="1"/>
    <col min="3" max="3" width="9.7109375" style="20" customWidth="1"/>
    <col min="4" max="4" width="8.85546875" style="20" customWidth="1"/>
    <col min="5" max="5" width="9.85546875" style="20" customWidth="1"/>
    <col min="6" max="6" width="22.140625" style="20" hidden="1" customWidth="1"/>
    <col min="7" max="7" width="17.5703125" style="20" hidden="1" customWidth="1"/>
    <col min="8" max="8" width="17.85546875" style="20" hidden="1" customWidth="1"/>
    <col min="9" max="9" width="19.85546875" style="20" hidden="1" customWidth="1"/>
    <col min="10" max="10" width="22.7109375" style="20" hidden="1" customWidth="1"/>
    <col min="11" max="11" width="17" style="20" hidden="1" customWidth="1"/>
    <col min="12" max="12" width="21.5703125" style="20" hidden="1" customWidth="1"/>
    <col min="13" max="13" width="15.5703125" style="20" hidden="1" customWidth="1"/>
    <col min="14" max="14" width="22" style="20" hidden="1" customWidth="1"/>
    <col min="15" max="15" width="14.7109375" style="20" hidden="1" customWidth="1"/>
    <col min="16" max="16" width="22.28515625" style="20" hidden="1" customWidth="1"/>
    <col min="17" max="17" width="14.7109375" style="20" hidden="1" customWidth="1"/>
    <col min="18" max="18" width="21.5703125" style="20" hidden="1" customWidth="1"/>
    <col min="19" max="19" width="16.85546875" style="20" hidden="1" customWidth="1"/>
    <col min="20" max="20" width="29.7109375" style="20" customWidth="1"/>
    <col min="21" max="16384" width="9.140625" style="20"/>
  </cols>
  <sheetData>
    <row r="1" spans="1:29"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R1" s="114"/>
      <c r="S1" s="138"/>
      <c r="T1" s="162" t="s">
        <v>587</v>
      </c>
      <c r="U1" s="114"/>
      <c r="V1" s="114"/>
      <c r="W1" s="114"/>
      <c r="X1" s="114"/>
      <c r="Y1" s="114"/>
      <c r="Z1" s="114"/>
      <c r="AA1" s="114"/>
      <c r="AB1" s="114"/>
      <c r="AC1" s="114"/>
    </row>
    <row r="2" spans="1:29">
      <c r="A2" s="164" t="s">
        <v>712</v>
      </c>
      <c r="B2" s="164"/>
      <c r="C2" s="164"/>
      <c r="D2" s="164"/>
      <c r="E2" s="164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idden="1"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R3" s="115"/>
      <c r="S3" s="139"/>
      <c r="T3" s="139"/>
      <c r="U3" s="115"/>
      <c r="V3" s="115"/>
      <c r="W3" s="115"/>
      <c r="X3" s="115"/>
      <c r="Y3" s="115"/>
      <c r="Z3" s="115"/>
      <c r="AA3" s="115"/>
      <c r="AB3" s="115"/>
      <c r="AC3" s="115"/>
    </row>
    <row r="4" spans="1:29" hidden="1"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8"/>
      <c r="P4" s="158"/>
      <c r="R4" s="115"/>
      <c r="S4" s="139"/>
      <c r="T4" s="139"/>
      <c r="U4" s="115"/>
      <c r="V4" s="115"/>
      <c r="W4" s="115"/>
      <c r="X4" s="115"/>
      <c r="Y4" s="115"/>
      <c r="Z4" s="115"/>
      <c r="AA4" s="115"/>
      <c r="AB4" s="119"/>
      <c r="AC4" s="119"/>
    </row>
    <row r="5" spans="1:29" hidden="1">
      <c r="E5" s="115"/>
      <c r="F5" s="72"/>
      <c r="G5" s="72"/>
      <c r="H5" s="72"/>
      <c r="I5" s="72"/>
      <c r="J5" s="72"/>
      <c r="K5" s="72"/>
      <c r="L5" s="72"/>
      <c r="M5" s="72"/>
      <c r="N5" s="72"/>
      <c r="R5" s="115"/>
      <c r="S5" s="139"/>
      <c r="T5" s="139"/>
      <c r="U5" s="115"/>
      <c r="V5" s="115"/>
      <c r="W5" s="115"/>
      <c r="X5" s="115"/>
      <c r="Y5" s="115"/>
      <c r="Z5" s="115"/>
      <c r="AA5" s="115"/>
    </row>
    <row r="6" spans="1:29">
      <c r="E6" s="115"/>
      <c r="F6" s="72"/>
      <c r="G6" s="72"/>
      <c r="H6" s="72"/>
      <c r="I6" s="72"/>
      <c r="J6" s="72"/>
      <c r="K6" s="72"/>
      <c r="L6" s="72"/>
      <c r="M6" s="72"/>
      <c r="N6" s="72"/>
      <c r="R6" s="115"/>
      <c r="S6" s="139"/>
      <c r="T6" s="139"/>
      <c r="U6" s="115"/>
      <c r="V6" s="115"/>
      <c r="W6" s="115"/>
      <c r="X6" s="115"/>
      <c r="Y6" s="115"/>
      <c r="Z6" s="115"/>
      <c r="AA6" s="115"/>
    </row>
    <row r="7" spans="1:29"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114"/>
      <c r="S7" s="138"/>
      <c r="T7" s="162" t="s">
        <v>246</v>
      </c>
      <c r="U7" s="114"/>
      <c r="V7" s="114"/>
      <c r="W7" s="114"/>
      <c r="X7" s="114"/>
      <c r="Y7" s="114"/>
      <c r="Z7" s="114"/>
      <c r="AA7" s="114"/>
      <c r="AB7" s="114"/>
      <c r="AC7" s="114"/>
    </row>
    <row r="8" spans="1:29">
      <c r="R8" s="143"/>
      <c r="S8" s="143"/>
      <c r="T8" s="93" t="s">
        <v>711</v>
      </c>
      <c r="U8" s="115"/>
      <c r="V8" s="115"/>
      <c r="W8" s="115"/>
      <c r="X8" s="115"/>
      <c r="Y8" s="115"/>
      <c r="Z8" s="115"/>
      <c r="AA8" s="115"/>
      <c r="AB8" s="115"/>
      <c r="AC8" s="115"/>
    </row>
    <row r="9" spans="1:29" hidden="1"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R9" s="115"/>
      <c r="S9" s="139"/>
      <c r="T9" s="139"/>
      <c r="U9" s="115"/>
      <c r="V9" s="115"/>
      <c r="W9" s="115"/>
      <c r="X9" s="115"/>
      <c r="Y9" s="115"/>
      <c r="Z9" s="115"/>
      <c r="AA9" s="115"/>
      <c r="AB9" s="115"/>
      <c r="AC9" s="115"/>
    </row>
    <row r="10" spans="1:29" hidden="1"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R10" s="115"/>
      <c r="S10" s="139"/>
      <c r="T10" s="139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hidden="1"/>
    <row r="12" spans="1:29" hidden="1"/>
    <row r="13" spans="1:29">
      <c r="E13" s="5"/>
    </row>
    <row r="14" spans="1:29">
      <c r="A14" s="150" t="s">
        <v>169</v>
      </c>
      <c r="B14" s="150"/>
      <c r="C14" s="150"/>
      <c r="D14" s="150"/>
      <c r="E14" s="150"/>
      <c r="F14" s="150"/>
    </row>
    <row r="15" spans="1:29" ht="57.95" customHeight="1">
      <c r="A15" s="150" t="s">
        <v>392</v>
      </c>
      <c r="B15" s="150"/>
      <c r="C15" s="150"/>
      <c r="D15" s="150"/>
      <c r="E15" s="150"/>
      <c r="F15" s="150"/>
    </row>
    <row r="16" spans="1:29" ht="16.7" customHeight="1">
      <c r="A16" s="14" t="s">
        <v>206</v>
      </c>
      <c r="B16" s="14"/>
      <c r="C16" s="14"/>
      <c r="D16" s="14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R16" s="93"/>
      <c r="T16" s="93" t="s">
        <v>631</v>
      </c>
    </row>
    <row r="17" spans="1:21" s="116" customFormat="1" ht="51.75" customHeight="1">
      <c r="A17" s="113" t="s">
        <v>207</v>
      </c>
      <c r="B17" s="113" t="s">
        <v>226</v>
      </c>
      <c r="C17" s="113" t="s">
        <v>208</v>
      </c>
      <c r="D17" s="113" t="s">
        <v>225</v>
      </c>
      <c r="E17" s="113" t="s">
        <v>227</v>
      </c>
      <c r="F17" s="91" t="s">
        <v>583</v>
      </c>
      <c r="G17" s="90" t="s">
        <v>582</v>
      </c>
      <c r="H17" s="90" t="s">
        <v>584</v>
      </c>
      <c r="I17" s="90" t="s">
        <v>582</v>
      </c>
      <c r="J17" s="90" t="s">
        <v>617</v>
      </c>
      <c r="K17" s="90" t="s">
        <v>616</v>
      </c>
      <c r="L17" s="90" t="s">
        <v>621</v>
      </c>
      <c r="M17" s="90" t="s">
        <v>582</v>
      </c>
      <c r="N17" s="90" t="s">
        <v>630</v>
      </c>
      <c r="O17" s="90" t="s">
        <v>582</v>
      </c>
      <c r="P17" s="90" t="s">
        <v>634</v>
      </c>
      <c r="Q17" s="90" t="s">
        <v>582</v>
      </c>
      <c r="R17" s="112" t="s">
        <v>705</v>
      </c>
      <c r="S17" s="112" t="s">
        <v>582</v>
      </c>
      <c r="T17" s="136" t="s">
        <v>708</v>
      </c>
    </row>
    <row r="18" spans="1:21" ht="33">
      <c r="A18" s="61" t="str">
        <f ca="1">IF(ISERROR(MATCH(B18,Код_КЦСР,0)),"",INDIRECT(ADDRESS(MATCH(B18,Код_КЦСР,0)+1,2,,,"КЦСР")))</f>
        <v>Муниципальная программа «Развитие образования» на 2013-2022 годы</v>
      </c>
      <c r="B18" s="43" t="s">
        <v>267</v>
      </c>
      <c r="C18" s="8"/>
      <c r="D18" s="8"/>
      <c r="E18" s="113"/>
      <c r="F18" s="7">
        <f>F19+F25+F39+F45+F53+F76+F131+F150+F191+F199+F210</f>
        <v>3137666.3000000003</v>
      </c>
      <c r="G18" s="7">
        <f>G19+G25+G39+G45+G53+G76+G131+G150+G191+G199+G210</f>
        <v>0</v>
      </c>
      <c r="H18" s="35">
        <f>F18+G18</f>
        <v>3137666.3000000003</v>
      </c>
      <c r="I18" s="7">
        <f>I19+I25+I39+I45+I53+I76+I131+I150+I191+I199+I210</f>
        <v>-10964.4</v>
      </c>
      <c r="J18" s="35">
        <f>H18+I18</f>
        <v>3126701.9000000004</v>
      </c>
      <c r="K18" s="7">
        <f>K19+K25+K39+K45+K53+K76+K131+K150+K191+K199+K210</f>
        <v>-505</v>
      </c>
      <c r="L18" s="35">
        <f>J18+K18</f>
        <v>3126196.9000000004</v>
      </c>
      <c r="M18" s="7">
        <f>M19+M25+M39+M45+M53+M76+M131+M150+M191+M199+M210</f>
        <v>1917.5</v>
      </c>
      <c r="N18" s="35">
        <f>L18+M18</f>
        <v>3128114.4000000004</v>
      </c>
      <c r="O18" s="7">
        <f>O19+O25+O39+O45+O53+O76+O131+O150+O191+O199+O210</f>
        <v>0</v>
      </c>
      <c r="P18" s="35">
        <f>N18+O18</f>
        <v>3128114.4000000004</v>
      </c>
      <c r="Q18" s="7">
        <f>Q19+Q25+Q39+Q45+Q53+Q76+Q131+Q150+Q191+Q199+Q210</f>
        <v>28126.9</v>
      </c>
      <c r="R18" s="35">
        <f>P18+Q18</f>
        <v>3156241.3000000003</v>
      </c>
      <c r="S18" s="7">
        <f>S19+S25+S39+S45+S53+S76+S131+S150+S191+S199+S210</f>
        <v>30958.000000000007</v>
      </c>
      <c r="T18" s="35">
        <f>R18+S18</f>
        <v>3187199.3000000003</v>
      </c>
    </row>
    <row r="19" spans="1:21" ht="60" customHeight="1">
      <c r="A19" s="61" t="str">
        <f ca="1">IF(ISERROR(MATCH(B19,Код_КЦСР,0)),"",INDIRECT(ADDRESS(MATCH(B19,Код_КЦСР,0)+1,2,,,"КЦСР")))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19" s="43" t="s">
        <v>269</v>
      </c>
      <c r="C19" s="8"/>
      <c r="D19" s="1"/>
      <c r="E19" s="113"/>
      <c r="F19" s="7">
        <f t="shared" ref="F19:S23" si="0">F20</f>
        <v>92.7</v>
      </c>
      <c r="G19" s="7">
        <f t="shared" si="0"/>
        <v>0</v>
      </c>
      <c r="H19" s="35">
        <f t="shared" ref="H19:H92" si="1">F19+G19</f>
        <v>92.7</v>
      </c>
      <c r="I19" s="7">
        <f t="shared" si="0"/>
        <v>0</v>
      </c>
      <c r="J19" s="35">
        <f t="shared" ref="J19:J90" si="2">H19+I19</f>
        <v>92.7</v>
      </c>
      <c r="K19" s="7">
        <f t="shared" si="0"/>
        <v>0</v>
      </c>
      <c r="L19" s="35">
        <f t="shared" ref="L19:L88" si="3">J19+K19</f>
        <v>92.7</v>
      </c>
      <c r="M19" s="7">
        <f t="shared" si="0"/>
        <v>0</v>
      </c>
      <c r="N19" s="35">
        <f t="shared" ref="N19:N88" si="4">L19+M19</f>
        <v>92.7</v>
      </c>
      <c r="O19" s="7">
        <f t="shared" si="0"/>
        <v>0</v>
      </c>
      <c r="P19" s="35">
        <f t="shared" ref="P19:P83" si="5">N19+O19</f>
        <v>92.7</v>
      </c>
      <c r="Q19" s="7">
        <f t="shared" si="0"/>
        <v>0</v>
      </c>
      <c r="R19" s="35">
        <f t="shared" ref="R19:R83" si="6">P19+Q19</f>
        <v>92.7</v>
      </c>
      <c r="S19" s="7">
        <f t="shared" si="0"/>
        <v>0</v>
      </c>
      <c r="T19" s="35">
        <f t="shared" ref="T19:T83" si="7">R19+S19</f>
        <v>92.7</v>
      </c>
    </row>
    <row r="20" spans="1:21" ht="21" customHeight="1">
      <c r="A20" s="61" t="str">
        <f ca="1">IF(ISERROR(MATCH(C20,Код_Раздел,0)),"",INDIRECT(ADDRESS(MATCH(C20,Код_Раздел,0)+1,2,,,"Раздел")))</f>
        <v>Образование</v>
      </c>
      <c r="B20" s="43" t="s">
        <v>269</v>
      </c>
      <c r="C20" s="8" t="s">
        <v>193</v>
      </c>
      <c r="D20" s="1"/>
      <c r="E20" s="113"/>
      <c r="F20" s="7">
        <f t="shared" si="0"/>
        <v>92.7</v>
      </c>
      <c r="G20" s="7">
        <f t="shared" si="0"/>
        <v>0</v>
      </c>
      <c r="H20" s="35">
        <f t="shared" si="1"/>
        <v>92.7</v>
      </c>
      <c r="I20" s="7">
        <f t="shared" si="0"/>
        <v>0</v>
      </c>
      <c r="J20" s="35">
        <f t="shared" si="2"/>
        <v>92.7</v>
      </c>
      <c r="K20" s="7">
        <f t="shared" si="0"/>
        <v>0</v>
      </c>
      <c r="L20" s="35">
        <f t="shared" si="3"/>
        <v>92.7</v>
      </c>
      <c r="M20" s="7">
        <f t="shared" si="0"/>
        <v>0</v>
      </c>
      <c r="N20" s="35">
        <f t="shared" si="4"/>
        <v>92.7</v>
      </c>
      <c r="O20" s="7">
        <f t="shared" si="0"/>
        <v>0</v>
      </c>
      <c r="P20" s="35">
        <f t="shared" si="5"/>
        <v>92.7</v>
      </c>
      <c r="Q20" s="7">
        <f t="shared" si="0"/>
        <v>0</v>
      </c>
      <c r="R20" s="35">
        <f t="shared" si="6"/>
        <v>92.7</v>
      </c>
      <c r="S20" s="7">
        <f t="shared" si="0"/>
        <v>0</v>
      </c>
      <c r="T20" s="35">
        <f t="shared" si="7"/>
        <v>92.7</v>
      </c>
    </row>
    <row r="21" spans="1:21">
      <c r="A21" s="12" t="s">
        <v>249</v>
      </c>
      <c r="B21" s="43" t="s">
        <v>269</v>
      </c>
      <c r="C21" s="8" t="s">
        <v>193</v>
      </c>
      <c r="D21" s="1" t="s">
        <v>217</v>
      </c>
      <c r="E21" s="113"/>
      <c r="F21" s="7">
        <f t="shared" si="0"/>
        <v>92.7</v>
      </c>
      <c r="G21" s="7">
        <f t="shared" si="0"/>
        <v>0</v>
      </c>
      <c r="H21" s="35">
        <f t="shared" si="1"/>
        <v>92.7</v>
      </c>
      <c r="I21" s="7">
        <f t="shared" si="0"/>
        <v>0</v>
      </c>
      <c r="J21" s="35">
        <f t="shared" si="2"/>
        <v>92.7</v>
      </c>
      <c r="K21" s="7">
        <f t="shared" si="0"/>
        <v>0</v>
      </c>
      <c r="L21" s="35">
        <f t="shared" si="3"/>
        <v>92.7</v>
      </c>
      <c r="M21" s="7">
        <f t="shared" si="0"/>
        <v>0</v>
      </c>
      <c r="N21" s="35">
        <f t="shared" si="4"/>
        <v>92.7</v>
      </c>
      <c r="O21" s="7">
        <f t="shared" si="0"/>
        <v>0</v>
      </c>
      <c r="P21" s="35">
        <f t="shared" si="5"/>
        <v>92.7</v>
      </c>
      <c r="Q21" s="7">
        <f t="shared" si="0"/>
        <v>0</v>
      </c>
      <c r="R21" s="35">
        <f t="shared" si="6"/>
        <v>92.7</v>
      </c>
      <c r="S21" s="7">
        <f t="shared" si="0"/>
        <v>0</v>
      </c>
      <c r="T21" s="35">
        <f t="shared" si="7"/>
        <v>92.7</v>
      </c>
    </row>
    <row r="22" spans="1:21">
      <c r="A22" s="61" t="str">
        <f ca="1">IF(ISERROR(MATCH(E22,Код_КВР,0)),"",INDIRECT(ADDRESS(MATCH(E22,Код_КВР,0)+1,2,,,"КВР")))</f>
        <v>Закупка товаров, работ и услуг для муниципальных нужд</v>
      </c>
      <c r="B22" s="43" t="s">
        <v>269</v>
      </c>
      <c r="C22" s="8" t="s">
        <v>193</v>
      </c>
      <c r="D22" s="1" t="s">
        <v>217</v>
      </c>
      <c r="E22" s="113">
        <v>200</v>
      </c>
      <c r="F22" s="7">
        <f t="shared" si="0"/>
        <v>92.7</v>
      </c>
      <c r="G22" s="7">
        <f t="shared" si="0"/>
        <v>0</v>
      </c>
      <c r="H22" s="35">
        <f t="shared" si="1"/>
        <v>92.7</v>
      </c>
      <c r="I22" s="7">
        <f t="shared" si="0"/>
        <v>0</v>
      </c>
      <c r="J22" s="35">
        <f t="shared" si="2"/>
        <v>92.7</v>
      </c>
      <c r="K22" s="7">
        <f t="shared" si="0"/>
        <v>0</v>
      </c>
      <c r="L22" s="35">
        <f t="shared" si="3"/>
        <v>92.7</v>
      </c>
      <c r="M22" s="7">
        <f t="shared" si="0"/>
        <v>0</v>
      </c>
      <c r="N22" s="35">
        <f t="shared" si="4"/>
        <v>92.7</v>
      </c>
      <c r="O22" s="7">
        <f t="shared" si="0"/>
        <v>0</v>
      </c>
      <c r="P22" s="35">
        <f t="shared" si="5"/>
        <v>92.7</v>
      </c>
      <c r="Q22" s="7">
        <f t="shared" si="0"/>
        <v>0</v>
      </c>
      <c r="R22" s="35">
        <f t="shared" si="6"/>
        <v>92.7</v>
      </c>
      <c r="S22" s="7">
        <f t="shared" si="0"/>
        <v>0</v>
      </c>
      <c r="T22" s="35">
        <f t="shared" si="7"/>
        <v>92.7</v>
      </c>
    </row>
    <row r="23" spans="1:21" ht="37.5" customHeight="1">
      <c r="A23" s="61" t="str">
        <f ca="1">IF(ISERROR(MATCH(E23,Код_КВР,0)),"",INDIRECT(ADDRESS(MATCH(E23,Код_КВР,0)+1,2,,,"КВР")))</f>
        <v>Иные закупки товаров, работ и услуг для обеспечения муниципальных нужд</v>
      </c>
      <c r="B23" s="43" t="s">
        <v>269</v>
      </c>
      <c r="C23" s="8" t="s">
        <v>193</v>
      </c>
      <c r="D23" s="1" t="s">
        <v>217</v>
      </c>
      <c r="E23" s="113">
        <v>240</v>
      </c>
      <c r="F23" s="7">
        <f t="shared" si="0"/>
        <v>92.7</v>
      </c>
      <c r="G23" s="7">
        <f t="shared" si="0"/>
        <v>0</v>
      </c>
      <c r="H23" s="35">
        <f t="shared" si="1"/>
        <v>92.7</v>
      </c>
      <c r="I23" s="7">
        <f t="shared" si="0"/>
        <v>0</v>
      </c>
      <c r="J23" s="35">
        <f t="shared" si="2"/>
        <v>92.7</v>
      </c>
      <c r="K23" s="7">
        <f t="shared" si="0"/>
        <v>0</v>
      </c>
      <c r="L23" s="35">
        <f t="shared" si="3"/>
        <v>92.7</v>
      </c>
      <c r="M23" s="7">
        <f t="shared" si="0"/>
        <v>0</v>
      </c>
      <c r="N23" s="35">
        <f t="shared" si="4"/>
        <v>92.7</v>
      </c>
      <c r="O23" s="7">
        <f t="shared" si="0"/>
        <v>0</v>
      </c>
      <c r="P23" s="35">
        <f t="shared" si="5"/>
        <v>92.7</v>
      </c>
      <c r="Q23" s="7">
        <f t="shared" si="0"/>
        <v>0</v>
      </c>
      <c r="R23" s="35">
        <f t="shared" si="6"/>
        <v>92.7</v>
      </c>
      <c r="S23" s="7">
        <f t="shared" si="0"/>
        <v>0</v>
      </c>
      <c r="T23" s="35">
        <f t="shared" si="7"/>
        <v>92.7</v>
      </c>
    </row>
    <row r="24" spans="1:21" ht="39" customHeight="1">
      <c r="A24" s="61" t="str">
        <f ca="1">IF(ISERROR(MATCH(E24,Код_КВР,0)),"",INDIRECT(ADDRESS(MATCH(E24,Код_КВР,0)+1,2,,,"КВР")))</f>
        <v xml:space="preserve">Прочая закупка товаров, работ и услуг для обеспечения муниципальных нужд         </v>
      </c>
      <c r="B24" s="43" t="s">
        <v>269</v>
      </c>
      <c r="C24" s="8" t="s">
        <v>193</v>
      </c>
      <c r="D24" s="1" t="s">
        <v>217</v>
      </c>
      <c r="E24" s="113">
        <v>244</v>
      </c>
      <c r="F24" s="7">
        <f>прил.6!G718</f>
        <v>92.7</v>
      </c>
      <c r="G24" s="7">
        <f>прил.6!H718</f>
        <v>0</v>
      </c>
      <c r="H24" s="35">
        <f t="shared" si="1"/>
        <v>92.7</v>
      </c>
      <c r="I24" s="7">
        <f>прил.6!J718</f>
        <v>0</v>
      </c>
      <c r="J24" s="35">
        <f t="shared" si="2"/>
        <v>92.7</v>
      </c>
      <c r="K24" s="7">
        <f>прил.6!L718</f>
        <v>0</v>
      </c>
      <c r="L24" s="35">
        <f t="shared" si="3"/>
        <v>92.7</v>
      </c>
      <c r="M24" s="7">
        <f>прил.6!N718</f>
        <v>0</v>
      </c>
      <c r="N24" s="35">
        <f t="shared" si="4"/>
        <v>92.7</v>
      </c>
      <c r="O24" s="7">
        <f>прил.6!P718</f>
        <v>0</v>
      </c>
      <c r="P24" s="35">
        <f t="shared" si="5"/>
        <v>92.7</v>
      </c>
      <c r="Q24" s="7">
        <f>прил.6!R718</f>
        <v>0</v>
      </c>
      <c r="R24" s="35">
        <f t="shared" si="6"/>
        <v>92.7</v>
      </c>
      <c r="S24" s="7">
        <f>прил.6!T718</f>
        <v>0</v>
      </c>
      <c r="T24" s="35">
        <f t="shared" si="7"/>
        <v>92.7</v>
      </c>
    </row>
    <row r="25" spans="1:21" ht="20.25" customHeight="1">
      <c r="A25" s="61" t="str">
        <f ca="1">IF(ISERROR(MATCH(B25,Код_КЦСР,0)),"",INDIRECT(ADDRESS(MATCH(B25,Код_КЦСР,0)+1,2,,,"КЦСР")))</f>
        <v>Обеспечение питанием обучающихся в МОУ</v>
      </c>
      <c r="B25" s="43" t="s">
        <v>270</v>
      </c>
      <c r="C25" s="8"/>
      <c r="D25" s="1"/>
      <c r="E25" s="113"/>
      <c r="F25" s="86">
        <f>F31+F26</f>
        <v>6132.1</v>
      </c>
      <c r="G25" s="86">
        <f>G31+G26</f>
        <v>0</v>
      </c>
      <c r="H25" s="87">
        <f t="shared" si="1"/>
        <v>6132.1</v>
      </c>
      <c r="I25" s="86">
        <f>I31+I26</f>
        <v>0</v>
      </c>
      <c r="J25" s="87">
        <f t="shared" si="2"/>
        <v>6132.1</v>
      </c>
      <c r="K25" s="86">
        <f>K31+K26</f>
        <v>-232.3</v>
      </c>
      <c r="L25" s="87">
        <f t="shared" si="3"/>
        <v>5899.8</v>
      </c>
      <c r="M25" s="86">
        <f>M26</f>
        <v>2294.8000000000002</v>
      </c>
      <c r="N25" s="87">
        <f t="shared" si="4"/>
        <v>8194.6</v>
      </c>
      <c r="O25" s="86">
        <f>O26</f>
        <v>0</v>
      </c>
      <c r="P25" s="35">
        <f t="shared" si="5"/>
        <v>8194.6</v>
      </c>
      <c r="Q25" s="86">
        <f>Q26</f>
        <v>0</v>
      </c>
      <c r="R25" s="35">
        <f t="shared" si="6"/>
        <v>8194.6</v>
      </c>
      <c r="S25" s="7">
        <f>S26</f>
        <v>-46.89999999999992</v>
      </c>
      <c r="T25" s="35">
        <f t="shared" si="7"/>
        <v>8147.7000000000007</v>
      </c>
    </row>
    <row r="26" spans="1:21" ht="20.25" customHeight="1">
      <c r="A26" s="61" t="str">
        <f ca="1">IF(ISERROR(MATCH(C26,Код_Раздел,0)),"",INDIRECT(ADDRESS(MATCH(C26,Код_Раздел,0)+1,2,,,"Раздел")))</f>
        <v>Образование</v>
      </c>
      <c r="B26" s="43" t="s">
        <v>270</v>
      </c>
      <c r="C26" s="8" t="s">
        <v>193</v>
      </c>
      <c r="D26" s="1"/>
      <c r="E26" s="113"/>
      <c r="F26" s="86">
        <f>F32</f>
        <v>6132.1</v>
      </c>
      <c r="G26" s="86"/>
      <c r="H26" s="87">
        <f t="shared" si="1"/>
        <v>6132.1</v>
      </c>
      <c r="I26" s="86"/>
      <c r="J26" s="87">
        <f t="shared" si="2"/>
        <v>6132.1</v>
      </c>
      <c r="K26" s="86">
        <f>K32</f>
        <v>-232.3</v>
      </c>
      <c r="L26" s="86">
        <f>L32</f>
        <v>5899.8</v>
      </c>
      <c r="M26" s="86">
        <f>M27+M32</f>
        <v>2294.8000000000002</v>
      </c>
      <c r="N26" s="87">
        <f>L26+M26</f>
        <v>8194.6</v>
      </c>
      <c r="O26" s="86">
        <f>O27+O32</f>
        <v>0</v>
      </c>
      <c r="P26" s="35">
        <f t="shared" si="5"/>
        <v>8194.6</v>
      </c>
      <c r="Q26" s="86">
        <f>Q27+Q32</f>
        <v>0</v>
      </c>
      <c r="R26" s="35">
        <f t="shared" si="6"/>
        <v>8194.6</v>
      </c>
      <c r="S26" s="7">
        <f>S27+S32</f>
        <v>-46.89999999999992</v>
      </c>
      <c r="T26" s="35">
        <f t="shared" si="7"/>
        <v>8147.7000000000007</v>
      </c>
    </row>
    <row r="27" spans="1:21" ht="20.25" customHeight="1">
      <c r="A27" s="12" t="s">
        <v>197</v>
      </c>
      <c r="B27" s="43" t="s">
        <v>270</v>
      </c>
      <c r="C27" s="8" t="s">
        <v>193</v>
      </c>
      <c r="D27" s="1" t="s">
        <v>193</v>
      </c>
      <c r="E27" s="113"/>
      <c r="F27" s="86"/>
      <c r="G27" s="86"/>
      <c r="H27" s="87"/>
      <c r="I27" s="86"/>
      <c r="J27" s="87"/>
      <c r="K27" s="86"/>
      <c r="L27" s="87"/>
      <c r="M27" s="86">
        <f>M28</f>
        <v>377.3</v>
      </c>
      <c r="N27" s="87">
        <f t="shared" si="4"/>
        <v>377.3</v>
      </c>
      <c r="O27" s="86">
        <f>O28</f>
        <v>0</v>
      </c>
      <c r="P27" s="35">
        <f t="shared" si="5"/>
        <v>377.3</v>
      </c>
      <c r="Q27" s="86">
        <f>Q28</f>
        <v>0</v>
      </c>
      <c r="R27" s="35">
        <f t="shared" si="6"/>
        <v>377.3</v>
      </c>
      <c r="S27" s="7">
        <f>S28</f>
        <v>0</v>
      </c>
      <c r="T27" s="35">
        <f t="shared" si="7"/>
        <v>377.3</v>
      </c>
    </row>
    <row r="28" spans="1:21" ht="33">
      <c r="A28" s="61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43" t="s">
        <v>270</v>
      </c>
      <c r="C28" s="8" t="s">
        <v>193</v>
      </c>
      <c r="D28" s="1" t="s">
        <v>193</v>
      </c>
      <c r="E28" s="113">
        <v>600</v>
      </c>
      <c r="F28" s="86"/>
      <c r="G28" s="86"/>
      <c r="H28" s="87"/>
      <c r="I28" s="86"/>
      <c r="J28" s="87"/>
      <c r="K28" s="86"/>
      <c r="L28" s="87"/>
      <c r="M28" s="86">
        <f>M30</f>
        <v>377.3</v>
      </c>
      <c r="N28" s="87">
        <f t="shared" si="4"/>
        <v>377.3</v>
      </c>
      <c r="O28" s="86">
        <f>O30</f>
        <v>0</v>
      </c>
      <c r="P28" s="35">
        <f t="shared" si="5"/>
        <v>377.3</v>
      </c>
      <c r="Q28" s="86">
        <f>Q30</f>
        <v>0</v>
      </c>
      <c r="R28" s="35">
        <f t="shared" si="6"/>
        <v>377.3</v>
      </c>
      <c r="S28" s="7">
        <f>S30</f>
        <v>0</v>
      </c>
      <c r="T28" s="35">
        <f t="shared" si="7"/>
        <v>377.3</v>
      </c>
    </row>
    <row r="29" spans="1:21">
      <c r="A29" s="61" t="str">
        <f t="shared" ref="A29" ca="1" si="8">IF(ISERROR(MATCH(E29,Код_КВР,0)),"",INDIRECT(ADDRESS(MATCH(E29,Код_КВР,0)+1,2,,,"КВР")))</f>
        <v>Субсидии автономным учреждениям</v>
      </c>
      <c r="B29" s="43" t="s">
        <v>270</v>
      </c>
      <c r="C29" s="8" t="s">
        <v>193</v>
      </c>
      <c r="D29" s="1" t="s">
        <v>193</v>
      </c>
      <c r="E29" s="118">
        <v>620</v>
      </c>
      <c r="F29" s="86"/>
      <c r="G29" s="86"/>
      <c r="H29" s="87"/>
      <c r="I29" s="86"/>
      <c r="J29" s="87"/>
      <c r="K29" s="86"/>
      <c r="L29" s="87"/>
      <c r="M29" s="86"/>
      <c r="N29" s="87"/>
      <c r="O29" s="86"/>
      <c r="P29" s="35"/>
      <c r="Q29" s="86"/>
      <c r="R29" s="35">
        <f>R30</f>
        <v>377.3</v>
      </c>
      <c r="S29" s="7"/>
      <c r="T29" s="35">
        <f t="shared" si="7"/>
        <v>377.3</v>
      </c>
    </row>
    <row r="30" spans="1:21">
      <c r="A30" s="61" t="str">
        <f ca="1">IF(ISERROR(MATCH(E30,Код_КВР,0)),"",INDIRECT(ADDRESS(MATCH(E30,Код_КВР,0)+1,2,,,"КВР")))</f>
        <v>Субсидии автономным учреждениям на иные цели</v>
      </c>
      <c r="B30" s="43" t="s">
        <v>270</v>
      </c>
      <c r="C30" s="8" t="s">
        <v>193</v>
      </c>
      <c r="D30" s="1" t="s">
        <v>193</v>
      </c>
      <c r="E30" s="113">
        <v>622</v>
      </c>
      <c r="F30" s="86"/>
      <c r="G30" s="86"/>
      <c r="H30" s="87"/>
      <c r="I30" s="86"/>
      <c r="J30" s="87"/>
      <c r="K30" s="86"/>
      <c r="L30" s="87"/>
      <c r="M30" s="86">
        <f>прил.6!N702</f>
        <v>377.3</v>
      </c>
      <c r="N30" s="87">
        <f t="shared" si="4"/>
        <v>377.3</v>
      </c>
      <c r="O30" s="86">
        <f>прил.6!P702</f>
        <v>0</v>
      </c>
      <c r="P30" s="35">
        <f t="shared" si="5"/>
        <v>377.3</v>
      </c>
      <c r="Q30" s="86">
        <f>прил.6!R702</f>
        <v>0</v>
      </c>
      <c r="R30" s="35">
        <f t="shared" si="6"/>
        <v>377.3</v>
      </c>
      <c r="S30" s="7">
        <f>прил.6!T702</f>
        <v>0</v>
      </c>
      <c r="T30" s="35">
        <f t="shared" si="7"/>
        <v>377.3</v>
      </c>
    </row>
    <row r="31" spans="1:21" hidden="1">
      <c r="A31" s="61" t="str">
        <f ca="1">IF(ISERROR(MATCH(C31,Код_Раздел,0)),"",INDIRECT(ADDRESS(MATCH(C31,Код_Раздел,0)+1,2,,,"Раздел")))</f>
        <v/>
      </c>
      <c r="B31" s="43" t="s">
        <v>270</v>
      </c>
      <c r="C31" s="8"/>
      <c r="D31" s="1"/>
      <c r="E31" s="89"/>
      <c r="F31" s="7"/>
      <c r="G31" s="7">
        <f t="shared" ref="F31:S34" si="9">G32</f>
        <v>0</v>
      </c>
      <c r="H31" s="35">
        <f t="shared" si="1"/>
        <v>0</v>
      </c>
      <c r="I31" s="7">
        <f>I32</f>
        <v>0</v>
      </c>
      <c r="J31" s="35">
        <f t="shared" si="2"/>
        <v>0</v>
      </c>
      <c r="K31" s="7"/>
      <c r="L31" s="35">
        <f t="shared" si="3"/>
        <v>0</v>
      </c>
      <c r="M31" s="7"/>
      <c r="N31" s="35">
        <f t="shared" si="4"/>
        <v>0</v>
      </c>
      <c r="O31" s="7">
        <f>O32</f>
        <v>0</v>
      </c>
      <c r="P31" s="35">
        <f t="shared" si="5"/>
        <v>0</v>
      </c>
      <c r="Q31" s="7"/>
      <c r="R31" s="35">
        <f t="shared" si="6"/>
        <v>0</v>
      </c>
      <c r="S31" s="7"/>
      <c r="T31" s="35">
        <f t="shared" si="7"/>
        <v>0</v>
      </c>
      <c r="U31" s="20" t="s">
        <v>706</v>
      </c>
    </row>
    <row r="32" spans="1:21">
      <c r="A32" s="12" t="s">
        <v>249</v>
      </c>
      <c r="B32" s="43" t="s">
        <v>270</v>
      </c>
      <c r="C32" s="8" t="s">
        <v>193</v>
      </c>
      <c r="D32" s="1" t="s">
        <v>217</v>
      </c>
      <c r="E32" s="113"/>
      <c r="F32" s="7">
        <f t="shared" si="9"/>
        <v>6132.1</v>
      </c>
      <c r="G32" s="7">
        <f t="shared" si="9"/>
        <v>0</v>
      </c>
      <c r="H32" s="35">
        <f t="shared" si="1"/>
        <v>6132.1</v>
      </c>
      <c r="I32" s="7">
        <f>I33</f>
        <v>0</v>
      </c>
      <c r="J32" s="35">
        <f t="shared" si="2"/>
        <v>6132.1</v>
      </c>
      <c r="K32" s="7">
        <f>K33</f>
        <v>-232.3</v>
      </c>
      <c r="L32" s="35">
        <f t="shared" si="3"/>
        <v>5899.8</v>
      </c>
      <c r="M32" s="7">
        <f>M33</f>
        <v>1917.5</v>
      </c>
      <c r="N32" s="35">
        <f t="shared" si="4"/>
        <v>7817.3</v>
      </c>
      <c r="O32" s="7">
        <f>O33</f>
        <v>0</v>
      </c>
      <c r="P32" s="35">
        <f t="shared" si="5"/>
        <v>7817.3</v>
      </c>
      <c r="Q32" s="7">
        <f>Q33</f>
        <v>0</v>
      </c>
      <c r="R32" s="35">
        <f t="shared" si="6"/>
        <v>7817.3</v>
      </c>
      <c r="S32" s="7">
        <f>S33</f>
        <v>-46.89999999999992</v>
      </c>
      <c r="T32" s="35">
        <f t="shared" si="7"/>
        <v>7770.4000000000005</v>
      </c>
    </row>
    <row r="33" spans="1:20" ht="33">
      <c r="A33" s="61" t="str">
        <f t="shared" ref="A33:A38" ca="1" si="10">IF(ISERROR(MATCH(E33,Код_КВР,0)),"",INDIRECT(ADDRESS(MATCH(E33,Код_КВР,0)+1,2,,,"КВР")))</f>
        <v>Предоставление субсидий бюджетным, автономным учреждениям и иным некоммерческим организациям</v>
      </c>
      <c r="B33" s="43" t="s">
        <v>270</v>
      </c>
      <c r="C33" s="8" t="s">
        <v>193</v>
      </c>
      <c r="D33" s="1" t="s">
        <v>217</v>
      </c>
      <c r="E33" s="113">
        <v>600</v>
      </c>
      <c r="F33" s="7">
        <f t="shared" si="9"/>
        <v>6132.1</v>
      </c>
      <c r="G33" s="7">
        <f t="shared" si="9"/>
        <v>0</v>
      </c>
      <c r="H33" s="35">
        <f t="shared" si="1"/>
        <v>6132.1</v>
      </c>
      <c r="I33" s="7">
        <f>I34+I36</f>
        <v>0</v>
      </c>
      <c r="J33" s="35">
        <f t="shared" si="2"/>
        <v>6132.1</v>
      </c>
      <c r="K33" s="7">
        <f>K34+K36</f>
        <v>-232.3</v>
      </c>
      <c r="L33" s="35">
        <f t="shared" si="3"/>
        <v>5899.8</v>
      </c>
      <c r="M33" s="7">
        <f>M34+M36</f>
        <v>1917.5</v>
      </c>
      <c r="N33" s="35">
        <f t="shared" si="4"/>
        <v>7817.3</v>
      </c>
      <c r="O33" s="7">
        <f>O34+O36</f>
        <v>0</v>
      </c>
      <c r="P33" s="35">
        <f t="shared" si="5"/>
        <v>7817.3</v>
      </c>
      <c r="Q33" s="7">
        <f>Q34+Q36</f>
        <v>0</v>
      </c>
      <c r="R33" s="35">
        <f t="shared" si="6"/>
        <v>7817.3</v>
      </c>
      <c r="S33" s="7">
        <f>S34+S36</f>
        <v>-46.89999999999992</v>
      </c>
      <c r="T33" s="35">
        <f t="shared" si="7"/>
        <v>7770.4000000000005</v>
      </c>
    </row>
    <row r="34" spans="1:20">
      <c r="A34" s="61" t="str">
        <f t="shared" ca="1" si="10"/>
        <v>Субсидии бюджетным учреждениям</v>
      </c>
      <c r="B34" s="43" t="s">
        <v>270</v>
      </c>
      <c r="C34" s="8" t="s">
        <v>193</v>
      </c>
      <c r="D34" s="1" t="s">
        <v>217</v>
      </c>
      <c r="E34" s="113">
        <v>610</v>
      </c>
      <c r="F34" s="7">
        <f t="shared" si="9"/>
        <v>6132.1</v>
      </c>
      <c r="G34" s="7">
        <f t="shared" si="9"/>
        <v>0</v>
      </c>
      <c r="H34" s="35">
        <f t="shared" si="1"/>
        <v>6132.1</v>
      </c>
      <c r="I34" s="7">
        <f t="shared" si="9"/>
        <v>-4281.5</v>
      </c>
      <c r="J34" s="35">
        <f t="shared" si="2"/>
        <v>1850.6000000000004</v>
      </c>
      <c r="K34" s="7">
        <f t="shared" si="9"/>
        <v>0</v>
      </c>
      <c r="L34" s="35">
        <f t="shared" si="3"/>
        <v>1850.6000000000004</v>
      </c>
      <c r="M34" s="7">
        <f t="shared" si="9"/>
        <v>0</v>
      </c>
      <c r="N34" s="35">
        <f t="shared" si="4"/>
        <v>1850.6000000000004</v>
      </c>
      <c r="O34" s="7">
        <f t="shared" si="9"/>
        <v>0</v>
      </c>
      <c r="P34" s="35">
        <f t="shared" si="5"/>
        <v>1850.6000000000004</v>
      </c>
      <c r="Q34" s="7">
        <f t="shared" si="9"/>
        <v>0</v>
      </c>
      <c r="R34" s="35">
        <f t="shared" si="6"/>
        <v>1850.6000000000004</v>
      </c>
      <c r="S34" s="7">
        <f t="shared" si="9"/>
        <v>-466.09999999999997</v>
      </c>
      <c r="T34" s="35">
        <f t="shared" si="7"/>
        <v>1384.5000000000005</v>
      </c>
    </row>
    <row r="35" spans="1:20" ht="49.5">
      <c r="A35" s="61" t="str">
        <f t="shared" ca="1" si="10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" s="43" t="s">
        <v>270</v>
      </c>
      <c r="C35" s="8" t="s">
        <v>193</v>
      </c>
      <c r="D35" s="1" t="s">
        <v>217</v>
      </c>
      <c r="E35" s="113">
        <v>611</v>
      </c>
      <c r="F35" s="7">
        <f>прил.6!G722</f>
        <v>6132.1</v>
      </c>
      <c r="G35" s="7">
        <f>прил.6!H722</f>
        <v>0</v>
      </c>
      <c r="H35" s="35">
        <f t="shared" si="1"/>
        <v>6132.1</v>
      </c>
      <c r="I35" s="7">
        <f>прил.6!J722</f>
        <v>-4281.5</v>
      </c>
      <c r="J35" s="35">
        <f t="shared" si="2"/>
        <v>1850.6000000000004</v>
      </c>
      <c r="K35" s="7">
        <f>прил.6!L722</f>
        <v>0</v>
      </c>
      <c r="L35" s="35">
        <f t="shared" si="3"/>
        <v>1850.6000000000004</v>
      </c>
      <c r="M35" s="7">
        <f>прил.6!N722</f>
        <v>0</v>
      </c>
      <c r="N35" s="35">
        <f t="shared" si="4"/>
        <v>1850.6000000000004</v>
      </c>
      <c r="O35" s="7">
        <f>прил.6!P722</f>
        <v>0</v>
      </c>
      <c r="P35" s="35">
        <f t="shared" si="5"/>
        <v>1850.6000000000004</v>
      </c>
      <c r="Q35" s="7">
        <f>прил.6!R722</f>
        <v>0</v>
      </c>
      <c r="R35" s="35">
        <f t="shared" si="6"/>
        <v>1850.6000000000004</v>
      </c>
      <c r="S35" s="7">
        <f>прил.6!T722</f>
        <v>-466.09999999999997</v>
      </c>
      <c r="T35" s="35">
        <f t="shared" si="7"/>
        <v>1384.5000000000005</v>
      </c>
    </row>
    <row r="36" spans="1:20">
      <c r="A36" s="61" t="str">
        <f t="shared" ca="1" si="10"/>
        <v>Субсидии автономным учреждениям</v>
      </c>
      <c r="B36" s="43" t="s">
        <v>270</v>
      </c>
      <c r="C36" s="8" t="s">
        <v>193</v>
      </c>
      <c r="D36" s="1" t="s">
        <v>217</v>
      </c>
      <c r="E36" s="113">
        <v>620</v>
      </c>
      <c r="F36" s="7"/>
      <c r="G36" s="7"/>
      <c r="H36" s="35"/>
      <c r="I36" s="7">
        <f>I37</f>
        <v>4281.5</v>
      </c>
      <c r="J36" s="35">
        <f t="shared" si="2"/>
        <v>4281.5</v>
      </c>
      <c r="K36" s="7">
        <f>K37</f>
        <v>-232.3</v>
      </c>
      <c r="L36" s="35">
        <f t="shared" si="3"/>
        <v>4049.2</v>
      </c>
      <c r="M36" s="7">
        <f>M37+M38</f>
        <v>1917.5</v>
      </c>
      <c r="N36" s="35">
        <f t="shared" si="4"/>
        <v>5966.7</v>
      </c>
      <c r="O36" s="7">
        <f>O37+O38</f>
        <v>0</v>
      </c>
      <c r="P36" s="35">
        <f t="shared" si="5"/>
        <v>5966.7</v>
      </c>
      <c r="Q36" s="7">
        <f>Q37+Q38</f>
        <v>0</v>
      </c>
      <c r="R36" s="35">
        <f t="shared" si="6"/>
        <v>5966.7</v>
      </c>
      <c r="S36" s="7">
        <f>S37+S38</f>
        <v>419.20000000000005</v>
      </c>
      <c r="T36" s="35">
        <f t="shared" si="7"/>
        <v>6385.9</v>
      </c>
    </row>
    <row r="37" spans="1:20" ht="49.5">
      <c r="A37" s="61" t="str">
        <f t="shared" ca="1" si="10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7" s="43" t="s">
        <v>270</v>
      </c>
      <c r="C37" s="8" t="s">
        <v>193</v>
      </c>
      <c r="D37" s="1" t="s">
        <v>217</v>
      </c>
      <c r="E37" s="113">
        <v>621</v>
      </c>
      <c r="F37" s="7"/>
      <c r="G37" s="7"/>
      <c r="H37" s="35"/>
      <c r="I37" s="7">
        <f>прил.6!J724</f>
        <v>4281.5</v>
      </c>
      <c r="J37" s="35">
        <f t="shared" si="2"/>
        <v>4281.5</v>
      </c>
      <c r="K37" s="7">
        <f>прил.6!L724</f>
        <v>-232.3</v>
      </c>
      <c r="L37" s="35">
        <f t="shared" si="3"/>
        <v>4049.2</v>
      </c>
      <c r="M37" s="7">
        <f>прил.6!N724</f>
        <v>0</v>
      </c>
      <c r="N37" s="35">
        <f t="shared" si="4"/>
        <v>4049.2</v>
      </c>
      <c r="O37" s="7">
        <f>прил.6!P724</f>
        <v>0</v>
      </c>
      <c r="P37" s="35">
        <f t="shared" si="5"/>
        <v>4049.2</v>
      </c>
      <c r="Q37" s="7">
        <f>прил.6!R724</f>
        <v>0</v>
      </c>
      <c r="R37" s="35">
        <f t="shared" si="6"/>
        <v>4049.2</v>
      </c>
      <c r="S37" s="7">
        <f>прил.6!T724</f>
        <v>619.20000000000005</v>
      </c>
      <c r="T37" s="35">
        <f t="shared" si="7"/>
        <v>4668.3999999999996</v>
      </c>
    </row>
    <row r="38" spans="1:20">
      <c r="A38" s="61" t="str">
        <f t="shared" ca="1" si="10"/>
        <v>Субсидии автономным учреждениям на иные цели</v>
      </c>
      <c r="B38" s="43" t="s">
        <v>270</v>
      </c>
      <c r="C38" s="8" t="s">
        <v>193</v>
      </c>
      <c r="D38" s="1" t="s">
        <v>217</v>
      </c>
      <c r="E38" s="113">
        <v>622</v>
      </c>
      <c r="F38" s="7"/>
      <c r="G38" s="7"/>
      <c r="H38" s="35"/>
      <c r="I38" s="7"/>
      <c r="J38" s="35"/>
      <c r="K38" s="7"/>
      <c r="L38" s="35"/>
      <c r="M38" s="7">
        <f>прил.6!N725</f>
        <v>1917.5</v>
      </c>
      <c r="N38" s="35">
        <f t="shared" si="4"/>
        <v>1917.5</v>
      </c>
      <c r="O38" s="7">
        <f>прил.6!P725</f>
        <v>0</v>
      </c>
      <c r="P38" s="35">
        <f t="shared" si="5"/>
        <v>1917.5</v>
      </c>
      <c r="Q38" s="7">
        <f>прил.6!R725</f>
        <v>0</v>
      </c>
      <c r="R38" s="35">
        <f t="shared" si="6"/>
        <v>1917.5</v>
      </c>
      <c r="S38" s="7">
        <f>прил.6!T725</f>
        <v>-200</v>
      </c>
      <c r="T38" s="35">
        <f t="shared" si="7"/>
        <v>1717.5</v>
      </c>
    </row>
    <row r="39" spans="1:20" ht="33">
      <c r="A39" s="61" t="str">
        <f ca="1">IF(ISERROR(MATCH(B39,Код_КЦСР,0)),"",INDIRECT(ADDRESS(MATCH(B39,Код_КЦСР,0)+1,2,,,"КЦСР")))</f>
        <v>Обеспечение работы по организации и ведению бухгалтерского (бюджетного) учета и отчетности</v>
      </c>
      <c r="B39" s="43" t="s">
        <v>272</v>
      </c>
      <c r="C39" s="8"/>
      <c r="D39" s="1"/>
      <c r="E39" s="113"/>
      <c r="F39" s="7">
        <f t="shared" ref="F39:S43" si="11">F40</f>
        <v>43113.9</v>
      </c>
      <c r="G39" s="7">
        <f t="shared" si="11"/>
        <v>0</v>
      </c>
      <c r="H39" s="35">
        <f t="shared" si="1"/>
        <v>43113.9</v>
      </c>
      <c r="I39" s="7">
        <f t="shared" si="11"/>
        <v>0</v>
      </c>
      <c r="J39" s="35">
        <f t="shared" si="2"/>
        <v>43113.9</v>
      </c>
      <c r="K39" s="7">
        <f t="shared" si="11"/>
        <v>-27.9</v>
      </c>
      <c r="L39" s="35">
        <f t="shared" si="3"/>
        <v>43086</v>
      </c>
      <c r="M39" s="7">
        <f t="shared" si="11"/>
        <v>0</v>
      </c>
      <c r="N39" s="35">
        <f t="shared" si="4"/>
        <v>43086</v>
      </c>
      <c r="O39" s="7">
        <f t="shared" si="11"/>
        <v>0</v>
      </c>
      <c r="P39" s="35">
        <f t="shared" si="5"/>
        <v>43086</v>
      </c>
      <c r="Q39" s="7">
        <f t="shared" si="11"/>
        <v>0</v>
      </c>
      <c r="R39" s="35">
        <f t="shared" si="6"/>
        <v>43086</v>
      </c>
      <c r="S39" s="7">
        <f t="shared" si="11"/>
        <v>0</v>
      </c>
      <c r="T39" s="35">
        <f t="shared" si="7"/>
        <v>43086</v>
      </c>
    </row>
    <row r="40" spans="1:20">
      <c r="A40" s="61" t="str">
        <f ca="1">IF(ISERROR(MATCH(C40,Код_Раздел,0)),"",INDIRECT(ADDRESS(MATCH(C40,Код_Раздел,0)+1,2,,,"Раздел")))</f>
        <v>Образование</v>
      </c>
      <c r="B40" s="43" t="s">
        <v>272</v>
      </c>
      <c r="C40" s="8" t="s">
        <v>193</v>
      </c>
      <c r="D40" s="1"/>
      <c r="E40" s="113"/>
      <c r="F40" s="7">
        <f t="shared" si="11"/>
        <v>43113.9</v>
      </c>
      <c r="G40" s="7">
        <f t="shared" si="11"/>
        <v>0</v>
      </c>
      <c r="H40" s="35">
        <f t="shared" si="1"/>
        <v>43113.9</v>
      </c>
      <c r="I40" s="7">
        <f t="shared" si="11"/>
        <v>0</v>
      </c>
      <c r="J40" s="35">
        <f t="shared" si="2"/>
        <v>43113.9</v>
      </c>
      <c r="K40" s="7">
        <f t="shared" si="11"/>
        <v>-27.9</v>
      </c>
      <c r="L40" s="35">
        <f t="shared" si="3"/>
        <v>43086</v>
      </c>
      <c r="M40" s="7">
        <f t="shared" si="11"/>
        <v>0</v>
      </c>
      <c r="N40" s="35">
        <f t="shared" si="4"/>
        <v>43086</v>
      </c>
      <c r="O40" s="7">
        <f t="shared" si="11"/>
        <v>0</v>
      </c>
      <c r="P40" s="35">
        <f t="shared" si="5"/>
        <v>43086</v>
      </c>
      <c r="Q40" s="7">
        <f t="shared" si="11"/>
        <v>0</v>
      </c>
      <c r="R40" s="35">
        <f t="shared" si="6"/>
        <v>43086</v>
      </c>
      <c r="S40" s="7">
        <f t="shared" si="11"/>
        <v>0</v>
      </c>
      <c r="T40" s="35">
        <f t="shared" si="7"/>
        <v>43086</v>
      </c>
    </row>
    <row r="41" spans="1:20">
      <c r="A41" s="12" t="s">
        <v>249</v>
      </c>
      <c r="B41" s="43" t="s">
        <v>272</v>
      </c>
      <c r="C41" s="8" t="s">
        <v>193</v>
      </c>
      <c r="D41" s="1" t="s">
        <v>217</v>
      </c>
      <c r="E41" s="113"/>
      <c r="F41" s="7">
        <f t="shared" si="11"/>
        <v>43113.9</v>
      </c>
      <c r="G41" s="7">
        <f t="shared" si="11"/>
        <v>0</v>
      </c>
      <c r="H41" s="35">
        <f t="shared" si="1"/>
        <v>43113.9</v>
      </c>
      <c r="I41" s="7">
        <f t="shared" si="11"/>
        <v>0</v>
      </c>
      <c r="J41" s="35">
        <f t="shared" si="2"/>
        <v>43113.9</v>
      </c>
      <c r="K41" s="7">
        <f t="shared" si="11"/>
        <v>-27.9</v>
      </c>
      <c r="L41" s="35">
        <f t="shared" si="3"/>
        <v>43086</v>
      </c>
      <c r="M41" s="7">
        <f t="shared" si="11"/>
        <v>0</v>
      </c>
      <c r="N41" s="35">
        <f t="shared" si="4"/>
        <v>43086</v>
      </c>
      <c r="O41" s="7">
        <f t="shared" si="11"/>
        <v>0</v>
      </c>
      <c r="P41" s="35">
        <f t="shared" si="5"/>
        <v>43086</v>
      </c>
      <c r="Q41" s="7">
        <f t="shared" si="11"/>
        <v>0</v>
      </c>
      <c r="R41" s="35">
        <f t="shared" si="6"/>
        <v>43086</v>
      </c>
      <c r="S41" s="7">
        <f t="shared" si="11"/>
        <v>0</v>
      </c>
      <c r="T41" s="35">
        <f t="shared" si="7"/>
        <v>43086</v>
      </c>
    </row>
    <row r="42" spans="1:20" ht="33">
      <c r="A42" s="61" t="str">
        <f ca="1">IF(ISERROR(MATCH(E42,Код_КВР,0)),"",INDIRECT(ADDRESS(MATCH(E42,Код_КВР,0)+1,2,,,"КВР")))</f>
        <v>Предоставление субсидий бюджетным, автономным учреждениям и иным некоммерческим организациям</v>
      </c>
      <c r="B42" s="43" t="s">
        <v>272</v>
      </c>
      <c r="C42" s="8" t="s">
        <v>193</v>
      </c>
      <c r="D42" s="1" t="s">
        <v>217</v>
      </c>
      <c r="E42" s="113">
        <v>600</v>
      </c>
      <c r="F42" s="7">
        <f t="shared" si="11"/>
        <v>43113.9</v>
      </c>
      <c r="G42" s="7">
        <f t="shared" si="11"/>
        <v>0</v>
      </c>
      <c r="H42" s="35">
        <f t="shared" si="1"/>
        <v>43113.9</v>
      </c>
      <c r="I42" s="7">
        <f t="shared" si="11"/>
        <v>0</v>
      </c>
      <c r="J42" s="35">
        <f t="shared" si="2"/>
        <v>43113.9</v>
      </c>
      <c r="K42" s="7">
        <f t="shared" si="11"/>
        <v>-27.9</v>
      </c>
      <c r="L42" s="35">
        <f t="shared" si="3"/>
        <v>43086</v>
      </c>
      <c r="M42" s="7">
        <f t="shared" si="11"/>
        <v>0</v>
      </c>
      <c r="N42" s="35">
        <f t="shared" si="4"/>
        <v>43086</v>
      </c>
      <c r="O42" s="7">
        <f t="shared" si="11"/>
        <v>0</v>
      </c>
      <c r="P42" s="35">
        <f t="shared" si="5"/>
        <v>43086</v>
      </c>
      <c r="Q42" s="7">
        <f t="shared" si="11"/>
        <v>0</v>
      </c>
      <c r="R42" s="35">
        <f t="shared" si="6"/>
        <v>43086</v>
      </c>
      <c r="S42" s="7">
        <f t="shared" si="11"/>
        <v>0</v>
      </c>
      <c r="T42" s="35">
        <f t="shared" si="7"/>
        <v>43086</v>
      </c>
    </row>
    <row r="43" spans="1:20">
      <c r="A43" s="61" t="str">
        <f ca="1">IF(ISERROR(MATCH(E43,Код_КВР,0)),"",INDIRECT(ADDRESS(MATCH(E43,Код_КВР,0)+1,2,,,"КВР")))</f>
        <v>Субсидии бюджетным учреждениям</v>
      </c>
      <c r="B43" s="43" t="s">
        <v>272</v>
      </c>
      <c r="C43" s="8" t="s">
        <v>193</v>
      </c>
      <c r="D43" s="1" t="s">
        <v>217</v>
      </c>
      <c r="E43" s="113">
        <v>610</v>
      </c>
      <c r="F43" s="7">
        <f t="shared" si="11"/>
        <v>43113.9</v>
      </c>
      <c r="G43" s="7">
        <f t="shared" si="11"/>
        <v>0</v>
      </c>
      <c r="H43" s="35">
        <f t="shared" si="1"/>
        <v>43113.9</v>
      </c>
      <c r="I43" s="7">
        <f t="shared" si="11"/>
        <v>0</v>
      </c>
      <c r="J43" s="35">
        <f t="shared" si="2"/>
        <v>43113.9</v>
      </c>
      <c r="K43" s="7">
        <f t="shared" si="11"/>
        <v>-27.9</v>
      </c>
      <c r="L43" s="35">
        <f t="shared" si="3"/>
        <v>43086</v>
      </c>
      <c r="M43" s="7">
        <f t="shared" si="11"/>
        <v>0</v>
      </c>
      <c r="N43" s="35">
        <f t="shared" si="4"/>
        <v>43086</v>
      </c>
      <c r="O43" s="7">
        <f t="shared" si="11"/>
        <v>0</v>
      </c>
      <c r="P43" s="35">
        <f t="shared" si="5"/>
        <v>43086</v>
      </c>
      <c r="Q43" s="7">
        <f t="shared" si="11"/>
        <v>0</v>
      </c>
      <c r="R43" s="35">
        <f t="shared" si="6"/>
        <v>43086</v>
      </c>
      <c r="S43" s="7">
        <f t="shared" si="11"/>
        <v>0</v>
      </c>
      <c r="T43" s="35">
        <f t="shared" si="7"/>
        <v>43086</v>
      </c>
    </row>
    <row r="44" spans="1:20" ht="49.5">
      <c r="A44" s="61" t="str">
        <f ca="1">IF(ISERROR(MATCH(E44,Код_КВР,0)),"",INDIRECT(ADDRESS(MATCH(E44,Код_КВР,0)+1,2,,,"КВР")))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4" s="43" t="s">
        <v>272</v>
      </c>
      <c r="C44" s="8" t="s">
        <v>193</v>
      </c>
      <c r="D44" s="1" t="s">
        <v>217</v>
      </c>
      <c r="E44" s="113">
        <v>611</v>
      </c>
      <c r="F44" s="7">
        <f>прил.6!G729</f>
        <v>43113.9</v>
      </c>
      <c r="G44" s="7">
        <f>прил.6!H729</f>
        <v>0</v>
      </c>
      <c r="H44" s="35">
        <f t="shared" si="1"/>
        <v>43113.9</v>
      </c>
      <c r="I44" s="7">
        <f>прил.6!J729</f>
        <v>0</v>
      </c>
      <c r="J44" s="35">
        <f t="shared" si="2"/>
        <v>43113.9</v>
      </c>
      <c r="K44" s="7">
        <f>прил.6!L729</f>
        <v>-27.9</v>
      </c>
      <c r="L44" s="35">
        <f t="shared" si="3"/>
        <v>43086</v>
      </c>
      <c r="M44" s="7">
        <f>прил.6!N729</f>
        <v>0</v>
      </c>
      <c r="N44" s="35">
        <f t="shared" si="4"/>
        <v>43086</v>
      </c>
      <c r="O44" s="7">
        <f>прил.6!P729</f>
        <v>0</v>
      </c>
      <c r="P44" s="35">
        <f t="shared" si="5"/>
        <v>43086</v>
      </c>
      <c r="Q44" s="7">
        <f>прил.6!R729</f>
        <v>0</v>
      </c>
      <c r="R44" s="35">
        <f t="shared" si="6"/>
        <v>43086</v>
      </c>
      <c r="S44" s="7">
        <f>прил.6!T729</f>
        <v>0</v>
      </c>
      <c r="T44" s="35">
        <f t="shared" si="7"/>
        <v>43086</v>
      </c>
    </row>
    <row r="45" spans="1:20" ht="33">
      <c r="A45" s="61" t="str">
        <f ca="1">IF(ISERROR(MATCH(B45,Код_КЦСР,0)),"",INDIRECT(ADDRESS(MATCH(B45,Код_КЦСР,0)+1,2,,,"КЦСР")))</f>
        <v>Обеспечение питанием обучающихся в МОУ за счет субвенций из областного бюджета</v>
      </c>
      <c r="B45" s="43" t="s">
        <v>421</v>
      </c>
      <c r="C45" s="8"/>
      <c r="D45" s="1"/>
      <c r="E45" s="113"/>
      <c r="F45" s="7">
        <f t="shared" ref="F45:S49" si="12">F46</f>
        <v>18137.8</v>
      </c>
      <c r="G45" s="7">
        <f t="shared" si="12"/>
        <v>0</v>
      </c>
      <c r="H45" s="35">
        <f t="shared" si="1"/>
        <v>18137.8</v>
      </c>
      <c r="I45" s="7">
        <f t="shared" si="12"/>
        <v>0</v>
      </c>
      <c r="J45" s="35">
        <f t="shared" si="2"/>
        <v>18137.8</v>
      </c>
      <c r="K45" s="7">
        <f t="shared" si="12"/>
        <v>0</v>
      </c>
      <c r="L45" s="35">
        <f t="shared" si="3"/>
        <v>18137.8</v>
      </c>
      <c r="M45" s="7">
        <f t="shared" si="12"/>
        <v>0</v>
      </c>
      <c r="N45" s="35">
        <f t="shared" si="4"/>
        <v>18137.8</v>
      </c>
      <c r="O45" s="7">
        <f t="shared" si="12"/>
        <v>0</v>
      </c>
      <c r="P45" s="35">
        <f t="shared" si="5"/>
        <v>18137.8</v>
      </c>
      <c r="Q45" s="7">
        <f t="shared" si="12"/>
        <v>-2188.1999999999998</v>
      </c>
      <c r="R45" s="35">
        <f t="shared" si="6"/>
        <v>15949.599999999999</v>
      </c>
      <c r="S45" s="7">
        <f t="shared" si="12"/>
        <v>-1399.9</v>
      </c>
      <c r="T45" s="35">
        <f t="shared" si="7"/>
        <v>14549.699999999999</v>
      </c>
    </row>
    <row r="46" spans="1:20">
      <c r="A46" s="61" t="str">
        <f ca="1">IF(ISERROR(MATCH(C46,Код_Раздел,0)),"",INDIRECT(ADDRESS(MATCH(C46,Код_Раздел,0)+1,2,,,"Раздел")))</f>
        <v>Образование</v>
      </c>
      <c r="B46" s="43" t="s">
        <v>421</v>
      </c>
      <c r="C46" s="8" t="s">
        <v>193</v>
      </c>
      <c r="D46" s="1"/>
      <c r="E46" s="113"/>
      <c r="F46" s="7">
        <f t="shared" si="12"/>
        <v>18137.8</v>
      </c>
      <c r="G46" s="7">
        <f t="shared" si="12"/>
        <v>0</v>
      </c>
      <c r="H46" s="35">
        <f t="shared" si="1"/>
        <v>18137.8</v>
      </c>
      <c r="I46" s="7">
        <f>I47</f>
        <v>0</v>
      </c>
      <c r="J46" s="35">
        <f t="shared" si="2"/>
        <v>18137.8</v>
      </c>
      <c r="K46" s="7">
        <f>K47</f>
        <v>0</v>
      </c>
      <c r="L46" s="35">
        <f t="shared" si="3"/>
        <v>18137.8</v>
      </c>
      <c r="M46" s="7">
        <f>M47</f>
        <v>0</v>
      </c>
      <c r="N46" s="35">
        <f t="shared" si="4"/>
        <v>18137.8</v>
      </c>
      <c r="O46" s="7">
        <f>O47</f>
        <v>0</v>
      </c>
      <c r="P46" s="35">
        <f t="shared" si="5"/>
        <v>18137.8</v>
      </c>
      <c r="Q46" s="7">
        <f>Q47</f>
        <v>-2188.1999999999998</v>
      </c>
      <c r="R46" s="35">
        <f t="shared" si="6"/>
        <v>15949.599999999999</v>
      </c>
      <c r="S46" s="7">
        <f>S47</f>
        <v>-1399.9</v>
      </c>
      <c r="T46" s="35">
        <f t="shared" si="7"/>
        <v>14549.699999999999</v>
      </c>
    </row>
    <row r="47" spans="1:20">
      <c r="A47" s="12" t="s">
        <v>249</v>
      </c>
      <c r="B47" s="43" t="s">
        <v>421</v>
      </c>
      <c r="C47" s="8" t="s">
        <v>193</v>
      </c>
      <c r="D47" s="1" t="s">
        <v>217</v>
      </c>
      <c r="E47" s="113"/>
      <c r="F47" s="7">
        <f t="shared" si="12"/>
        <v>18137.8</v>
      </c>
      <c r="G47" s="7">
        <f t="shared" si="12"/>
        <v>0</v>
      </c>
      <c r="H47" s="35">
        <f t="shared" si="1"/>
        <v>18137.8</v>
      </c>
      <c r="I47" s="7">
        <f>I48</f>
        <v>0</v>
      </c>
      <c r="J47" s="35">
        <f t="shared" si="2"/>
        <v>18137.8</v>
      </c>
      <c r="K47" s="7">
        <f>K48</f>
        <v>0</v>
      </c>
      <c r="L47" s="35">
        <f t="shared" si="3"/>
        <v>18137.8</v>
      </c>
      <c r="M47" s="7">
        <f>M48</f>
        <v>0</v>
      </c>
      <c r="N47" s="35">
        <f t="shared" si="4"/>
        <v>18137.8</v>
      </c>
      <c r="O47" s="7">
        <f>O48</f>
        <v>0</v>
      </c>
      <c r="P47" s="35">
        <f t="shared" si="5"/>
        <v>18137.8</v>
      </c>
      <c r="Q47" s="7">
        <f>Q48</f>
        <v>-2188.1999999999998</v>
      </c>
      <c r="R47" s="35">
        <f t="shared" si="6"/>
        <v>15949.599999999999</v>
      </c>
      <c r="S47" s="7">
        <f>S48</f>
        <v>-1399.9</v>
      </c>
      <c r="T47" s="35">
        <f t="shared" si="7"/>
        <v>14549.699999999999</v>
      </c>
    </row>
    <row r="48" spans="1:20" ht="33">
      <c r="A48" s="61" t="str">
        <f ca="1">IF(ISERROR(MATCH(E48,Код_КВР,0)),"",INDIRECT(ADDRESS(MATCH(E48,Код_КВР,0)+1,2,,,"КВР")))</f>
        <v>Предоставление субсидий бюджетным, автономным учреждениям и иным некоммерческим организациям</v>
      </c>
      <c r="B48" s="43" t="s">
        <v>421</v>
      </c>
      <c r="C48" s="8" t="s">
        <v>193</v>
      </c>
      <c r="D48" s="1" t="s">
        <v>217</v>
      </c>
      <c r="E48" s="113">
        <v>600</v>
      </c>
      <c r="F48" s="7">
        <f t="shared" si="12"/>
        <v>18137.8</v>
      </c>
      <c r="G48" s="7">
        <f t="shared" si="12"/>
        <v>0</v>
      </c>
      <c r="H48" s="35">
        <f t="shared" si="1"/>
        <v>18137.8</v>
      </c>
      <c r="I48" s="7">
        <f>I49+I51</f>
        <v>0</v>
      </c>
      <c r="J48" s="35">
        <f t="shared" si="2"/>
        <v>18137.8</v>
      </c>
      <c r="K48" s="7">
        <f>K49+K51</f>
        <v>0</v>
      </c>
      <c r="L48" s="35">
        <f t="shared" si="3"/>
        <v>18137.8</v>
      </c>
      <c r="M48" s="7">
        <f>M49+M51</f>
        <v>0</v>
      </c>
      <c r="N48" s="35">
        <f t="shared" si="4"/>
        <v>18137.8</v>
      </c>
      <c r="O48" s="7">
        <f>O49+O51</f>
        <v>0</v>
      </c>
      <c r="P48" s="35">
        <f t="shared" si="5"/>
        <v>18137.8</v>
      </c>
      <c r="Q48" s="7">
        <f>Q49+Q51</f>
        <v>-2188.1999999999998</v>
      </c>
      <c r="R48" s="35">
        <f t="shared" si="6"/>
        <v>15949.599999999999</v>
      </c>
      <c r="S48" s="7">
        <f>S49+S51</f>
        <v>-1399.9</v>
      </c>
      <c r="T48" s="35">
        <f t="shared" si="7"/>
        <v>14549.699999999999</v>
      </c>
    </row>
    <row r="49" spans="1:20">
      <c r="A49" s="61" t="str">
        <f ca="1">IF(ISERROR(MATCH(E49,Код_КВР,0)),"",INDIRECT(ADDRESS(MATCH(E49,Код_КВР,0)+1,2,,,"КВР")))</f>
        <v>Субсидии бюджетным учреждениям</v>
      </c>
      <c r="B49" s="43" t="s">
        <v>421</v>
      </c>
      <c r="C49" s="8" t="s">
        <v>193</v>
      </c>
      <c r="D49" s="1" t="s">
        <v>217</v>
      </c>
      <c r="E49" s="113">
        <v>610</v>
      </c>
      <c r="F49" s="7">
        <f t="shared" si="12"/>
        <v>18137.8</v>
      </c>
      <c r="G49" s="7">
        <f t="shared" si="12"/>
        <v>0</v>
      </c>
      <c r="H49" s="35">
        <f t="shared" si="1"/>
        <v>18137.8</v>
      </c>
      <c r="I49" s="7">
        <f t="shared" si="12"/>
        <v>-12299.8</v>
      </c>
      <c r="J49" s="35">
        <f t="shared" si="2"/>
        <v>5838</v>
      </c>
      <c r="K49" s="7">
        <f t="shared" si="12"/>
        <v>0</v>
      </c>
      <c r="L49" s="35">
        <f t="shared" si="3"/>
        <v>5838</v>
      </c>
      <c r="M49" s="7">
        <f t="shared" si="12"/>
        <v>0</v>
      </c>
      <c r="N49" s="35">
        <f t="shared" si="4"/>
        <v>5838</v>
      </c>
      <c r="O49" s="7">
        <f t="shared" si="12"/>
        <v>0</v>
      </c>
      <c r="P49" s="35">
        <f t="shared" si="5"/>
        <v>5838</v>
      </c>
      <c r="Q49" s="7">
        <f t="shared" si="12"/>
        <v>-614.20000000000005</v>
      </c>
      <c r="R49" s="35">
        <f t="shared" si="6"/>
        <v>5223.8</v>
      </c>
      <c r="S49" s="7">
        <f t="shared" si="12"/>
        <v>0</v>
      </c>
      <c r="T49" s="35">
        <f t="shared" si="7"/>
        <v>5223.8</v>
      </c>
    </row>
    <row r="50" spans="1:20" ht="49.5">
      <c r="A50" s="61" t="str">
        <f ca="1">IF(ISERROR(MATCH(E50,Код_КВР,0)),"",INDIRECT(ADDRESS(MATCH(E50,Код_КВР,0)+1,2,,,"КВР")))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" s="43" t="s">
        <v>421</v>
      </c>
      <c r="C50" s="8" t="s">
        <v>193</v>
      </c>
      <c r="D50" s="1" t="s">
        <v>217</v>
      </c>
      <c r="E50" s="113">
        <v>611</v>
      </c>
      <c r="F50" s="7">
        <f>прил.6!G733</f>
        <v>18137.8</v>
      </c>
      <c r="G50" s="7">
        <f>прил.6!H733</f>
        <v>0</v>
      </c>
      <c r="H50" s="35">
        <f t="shared" si="1"/>
        <v>18137.8</v>
      </c>
      <c r="I50" s="7">
        <f>прил.6!J733</f>
        <v>-12299.8</v>
      </c>
      <c r="J50" s="35">
        <f t="shared" si="2"/>
        <v>5838</v>
      </c>
      <c r="K50" s="7">
        <f>прил.6!L733</f>
        <v>0</v>
      </c>
      <c r="L50" s="35">
        <f t="shared" si="3"/>
        <v>5838</v>
      </c>
      <c r="M50" s="7">
        <f>прил.6!N733</f>
        <v>0</v>
      </c>
      <c r="N50" s="35">
        <f t="shared" si="4"/>
        <v>5838</v>
      </c>
      <c r="O50" s="7">
        <f>прил.6!P733</f>
        <v>0</v>
      </c>
      <c r="P50" s="35">
        <f t="shared" si="5"/>
        <v>5838</v>
      </c>
      <c r="Q50" s="7">
        <f>прил.6!R733</f>
        <v>-614.20000000000005</v>
      </c>
      <c r="R50" s="35">
        <f t="shared" si="6"/>
        <v>5223.8</v>
      </c>
      <c r="S50" s="7">
        <f>прил.6!T733</f>
        <v>0</v>
      </c>
      <c r="T50" s="35">
        <f t="shared" si="7"/>
        <v>5223.8</v>
      </c>
    </row>
    <row r="51" spans="1:20">
      <c r="A51" s="61" t="str">
        <f ca="1">IF(ISERROR(MATCH(E51,Код_КВР,0)),"",INDIRECT(ADDRESS(MATCH(E51,Код_КВР,0)+1,2,,,"КВР")))</f>
        <v>Субсидии автономным учреждениям</v>
      </c>
      <c r="B51" s="43" t="s">
        <v>421</v>
      </c>
      <c r="C51" s="8" t="s">
        <v>193</v>
      </c>
      <c r="D51" s="1" t="s">
        <v>217</v>
      </c>
      <c r="E51" s="113">
        <v>620</v>
      </c>
      <c r="F51" s="7"/>
      <c r="G51" s="7"/>
      <c r="H51" s="35"/>
      <c r="I51" s="7">
        <f>I52</f>
        <v>12299.8</v>
      </c>
      <c r="J51" s="35">
        <f t="shared" si="2"/>
        <v>12299.8</v>
      </c>
      <c r="K51" s="7">
        <f>K52</f>
        <v>0</v>
      </c>
      <c r="L51" s="35">
        <f t="shared" si="3"/>
        <v>12299.8</v>
      </c>
      <c r="M51" s="7">
        <f>M52</f>
        <v>0</v>
      </c>
      <c r="N51" s="35">
        <f t="shared" si="4"/>
        <v>12299.8</v>
      </c>
      <c r="O51" s="7">
        <f>O52</f>
        <v>0</v>
      </c>
      <c r="P51" s="35">
        <f t="shared" si="5"/>
        <v>12299.8</v>
      </c>
      <c r="Q51" s="7">
        <f>Q52</f>
        <v>-1573.9999999999998</v>
      </c>
      <c r="R51" s="35">
        <f t="shared" si="6"/>
        <v>10725.8</v>
      </c>
      <c r="S51" s="7">
        <f>S52</f>
        <v>-1399.9</v>
      </c>
      <c r="T51" s="35">
        <f t="shared" si="7"/>
        <v>9325.9</v>
      </c>
    </row>
    <row r="52" spans="1:20" ht="49.5">
      <c r="A52" s="61" t="str">
        <f ca="1">IF(ISERROR(MATCH(E52,Код_КВР,0)),"",INDIRECT(ADDRESS(MATCH(E52,Код_КВР,0)+1,2,,,"КВР")))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" s="43" t="s">
        <v>421</v>
      </c>
      <c r="C52" s="8" t="s">
        <v>193</v>
      </c>
      <c r="D52" s="1" t="s">
        <v>217</v>
      </c>
      <c r="E52" s="113">
        <v>621</v>
      </c>
      <c r="F52" s="7"/>
      <c r="G52" s="7"/>
      <c r="H52" s="35"/>
      <c r="I52" s="7">
        <f>прил.6!J735</f>
        <v>12299.8</v>
      </c>
      <c r="J52" s="35">
        <f t="shared" si="2"/>
        <v>12299.8</v>
      </c>
      <c r="K52" s="7">
        <f>прил.6!L735</f>
        <v>0</v>
      </c>
      <c r="L52" s="35">
        <f t="shared" si="3"/>
        <v>12299.8</v>
      </c>
      <c r="M52" s="7">
        <f>прил.6!N735</f>
        <v>0</v>
      </c>
      <c r="N52" s="35">
        <f t="shared" si="4"/>
        <v>12299.8</v>
      </c>
      <c r="O52" s="7">
        <f>прил.6!P735</f>
        <v>0</v>
      </c>
      <c r="P52" s="35">
        <f t="shared" si="5"/>
        <v>12299.8</v>
      </c>
      <c r="Q52" s="7">
        <f>прил.6!R735</f>
        <v>-1573.9999999999998</v>
      </c>
      <c r="R52" s="35">
        <f t="shared" si="6"/>
        <v>10725.8</v>
      </c>
      <c r="S52" s="7">
        <f>прил.6!T735</f>
        <v>-1399.9</v>
      </c>
      <c r="T52" s="35">
        <f t="shared" si="7"/>
        <v>9325.9</v>
      </c>
    </row>
    <row r="53" spans="1:20">
      <c r="A53" s="61" t="str">
        <f ca="1">IF(ISERROR(MATCH(B53,Код_КЦСР,0)),"",INDIRECT(ADDRESS(MATCH(B53,Код_КЦСР,0)+1,2,,,"КЦСР")))</f>
        <v>Дошкольное образование</v>
      </c>
      <c r="B53" s="43" t="s">
        <v>274</v>
      </c>
      <c r="C53" s="8"/>
      <c r="D53" s="1"/>
      <c r="E53" s="113"/>
      <c r="F53" s="7">
        <f>F54+F62+F70</f>
        <v>1368058.9000000001</v>
      </c>
      <c r="G53" s="7">
        <f>G54+G62+G70</f>
        <v>0</v>
      </c>
      <c r="H53" s="35">
        <f t="shared" si="1"/>
        <v>1368058.9000000001</v>
      </c>
      <c r="I53" s="7">
        <f>I54+I62+I70</f>
        <v>0</v>
      </c>
      <c r="J53" s="35">
        <f t="shared" si="2"/>
        <v>1368058.9000000001</v>
      </c>
      <c r="K53" s="7">
        <f>K54+K62+K70</f>
        <v>-167.8</v>
      </c>
      <c r="L53" s="35">
        <f t="shared" si="3"/>
        <v>1367891.1</v>
      </c>
      <c r="M53" s="7">
        <f>M54+M62+M70</f>
        <v>-2500</v>
      </c>
      <c r="N53" s="35">
        <f t="shared" si="4"/>
        <v>1365391.1</v>
      </c>
      <c r="O53" s="7">
        <f>O54+O62+O70</f>
        <v>0</v>
      </c>
      <c r="P53" s="35">
        <f t="shared" si="5"/>
        <v>1365391.1</v>
      </c>
      <c r="Q53" s="7">
        <f>Q54+Q62+Q70</f>
        <v>24246.100000000002</v>
      </c>
      <c r="R53" s="35">
        <f t="shared" si="6"/>
        <v>1389637.2000000002</v>
      </c>
      <c r="S53" s="7">
        <f>S54+S62+S70</f>
        <v>15175.100000000004</v>
      </c>
      <c r="T53" s="35">
        <f t="shared" si="7"/>
        <v>1404812.3000000003</v>
      </c>
    </row>
    <row r="54" spans="1:20" ht="66">
      <c r="A54" s="61" t="str">
        <f ca="1">IF(ISERROR(MATCH(B54,Код_КЦСР,0)),"",INDIRECT(ADDRESS(MATCH(B54,Код_КЦСР,0)+1,2,,,"КЦСР")))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4" s="43" t="s">
        <v>275</v>
      </c>
      <c r="C54" s="8"/>
      <c r="D54" s="1"/>
      <c r="E54" s="113"/>
      <c r="F54" s="7">
        <f t="shared" ref="F54:S56" si="13">F55</f>
        <v>242839.90000000002</v>
      </c>
      <c r="G54" s="7">
        <f t="shared" si="13"/>
        <v>0</v>
      </c>
      <c r="H54" s="35">
        <f t="shared" si="1"/>
        <v>242839.90000000002</v>
      </c>
      <c r="I54" s="7">
        <f t="shared" si="13"/>
        <v>0</v>
      </c>
      <c r="J54" s="35">
        <f t="shared" si="2"/>
        <v>242839.90000000002</v>
      </c>
      <c r="K54" s="7">
        <f t="shared" si="13"/>
        <v>-167.8</v>
      </c>
      <c r="L54" s="35">
        <f t="shared" si="3"/>
        <v>242672.10000000003</v>
      </c>
      <c r="M54" s="7">
        <f t="shared" si="13"/>
        <v>-2500</v>
      </c>
      <c r="N54" s="35">
        <f t="shared" si="4"/>
        <v>240172.10000000003</v>
      </c>
      <c r="O54" s="7">
        <f t="shared" si="13"/>
        <v>0</v>
      </c>
      <c r="P54" s="35">
        <f t="shared" si="5"/>
        <v>240172.10000000003</v>
      </c>
      <c r="Q54" s="7">
        <f t="shared" si="13"/>
        <v>0</v>
      </c>
      <c r="R54" s="35">
        <f t="shared" si="6"/>
        <v>240172.10000000003</v>
      </c>
      <c r="S54" s="7">
        <f t="shared" si="13"/>
        <v>0</v>
      </c>
      <c r="T54" s="35">
        <f t="shared" si="7"/>
        <v>240172.10000000003</v>
      </c>
    </row>
    <row r="55" spans="1:20">
      <c r="A55" s="61" t="str">
        <f ca="1">IF(ISERROR(MATCH(C55,Код_Раздел,0)),"",INDIRECT(ADDRESS(MATCH(C55,Код_Раздел,0)+1,2,,,"Раздел")))</f>
        <v>Образование</v>
      </c>
      <c r="B55" s="43" t="s">
        <v>275</v>
      </c>
      <c r="C55" s="8" t="s">
        <v>193</v>
      </c>
      <c r="D55" s="1"/>
      <c r="E55" s="113"/>
      <c r="F55" s="7">
        <f t="shared" si="13"/>
        <v>242839.90000000002</v>
      </c>
      <c r="G55" s="7">
        <f t="shared" si="13"/>
        <v>0</v>
      </c>
      <c r="H55" s="35">
        <f t="shared" si="1"/>
        <v>242839.90000000002</v>
      </c>
      <c r="I55" s="7">
        <f t="shared" si="13"/>
        <v>0</v>
      </c>
      <c r="J55" s="35">
        <f t="shared" si="2"/>
        <v>242839.90000000002</v>
      </c>
      <c r="K55" s="7">
        <f t="shared" si="13"/>
        <v>-167.8</v>
      </c>
      <c r="L55" s="35">
        <f t="shared" si="3"/>
        <v>242672.10000000003</v>
      </c>
      <c r="M55" s="7">
        <f t="shared" si="13"/>
        <v>-2500</v>
      </c>
      <c r="N55" s="35">
        <f t="shared" si="4"/>
        <v>240172.10000000003</v>
      </c>
      <c r="O55" s="7">
        <f t="shared" si="13"/>
        <v>0</v>
      </c>
      <c r="P55" s="35">
        <f t="shared" si="5"/>
        <v>240172.10000000003</v>
      </c>
      <c r="Q55" s="7">
        <f t="shared" si="13"/>
        <v>0</v>
      </c>
      <c r="R55" s="35">
        <f t="shared" si="6"/>
        <v>240172.10000000003</v>
      </c>
      <c r="S55" s="7">
        <f t="shared" si="13"/>
        <v>0</v>
      </c>
      <c r="T55" s="35">
        <f t="shared" si="7"/>
        <v>240172.10000000003</v>
      </c>
    </row>
    <row r="56" spans="1:20">
      <c r="A56" s="12" t="s">
        <v>255</v>
      </c>
      <c r="B56" s="43" t="s">
        <v>275</v>
      </c>
      <c r="C56" s="8" t="s">
        <v>193</v>
      </c>
      <c r="D56" s="1" t="s">
        <v>211</v>
      </c>
      <c r="E56" s="113"/>
      <c r="F56" s="7">
        <f t="shared" si="13"/>
        <v>242839.90000000002</v>
      </c>
      <c r="G56" s="7">
        <f t="shared" si="13"/>
        <v>0</v>
      </c>
      <c r="H56" s="35">
        <f t="shared" si="1"/>
        <v>242839.90000000002</v>
      </c>
      <c r="I56" s="7">
        <f t="shared" si="13"/>
        <v>0</v>
      </c>
      <c r="J56" s="35">
        <f t="shared" si="2"/>
        <v>242839.90000000002</v>
      </c>
      <c r="K56" s="7">
        <f t="shared" si="13"/>
        <v>-167.8</v>
      </c>
      <c r="L56" s="35">
        <f t="shared" si="3"/>
        <v>242672.10000000003</v>
      </c>
      <c r="M56" s="7">
        <f t="shared" si="13"/>
        <v>-2500</v>
      </c>
      <c r="N56" s="35">
        <f t="shared" si="4"/>
        <v>240172.10000000003</v>
      </c>
      <c r="O56" s="7">
        <f t="shared" si="13"/>
        <v>0</v>
      </c>
      <c r="P56" s="35">
        <f t="shared" si="5"/>
        <v>240172.10000000003</v>
      </c>
      <c r="Q56" s="7">
        <f t="shared" si="13"/>
        <v>0</v>
      </c>
      <c r="R56" s="35">
        <f t="shared" si="6"/>
        <v>240172.10000000003</v>
      </c>
      <c r="S56" s="7">
        <f t="shared" si="13"/>
        <v>0</v>
      </c>
      <c r="T56" s="35">
        <f t="shared" si="7"/>
        <v>240172.10000000003</v>
      </c>
    </row>
    <row r="57" spans="1:20" ht="33">
      <c r="A57" s="61" t="str">
        <f ca="1">IF(ISERROR(MATCH(E57,Код_КВР,0)),"",INDIRECT(ADDRESS(MATCH(E57,Код_КВР,0)+1,2,,,"КВР")))</f>
        <v>Предоставление субсидий бюджетным, автономным учреждениям и иным некоммерческим организациям</v>
      </c>
      <c r="B57" s="43" t="s">
        <v>275</v>
      </c>
      <c r="C57" s="8" t="s">
        <v>193</v>
      </c>
      <c r="D57" s="1" t="s">
        <v>211</v>
      </c>
      <c r="E57" s="113">
        <v>600</v>
      </c>
      <c r="F57" s="7">
        <f>F58+F60</f>
        <v>242839.90000000002</v>
      </c>
      <c r="G57" s="7">
        <f>G58+G60</f>
        <v>0</v>
      </c>
      <c r="H57" s="35">
        <f t="shared" si="1"/>
        <v>242839.90000000002</v>
      </c>
      <c r="I57" s="7">
        <f>I58+I60</f>
        <v>0</v>
      </c>
      <c r="J57" s="35">
        <f t="shared" si="2"/>
        <v>242839.90000000002</v>
      </c>
      <c r="K57" s="7">
        <f>K58+K60</f>
        <v>-167.8</v>
      </c>
      <c r="L57" s="35">
        <f t="shared" si="3"/>
        <v>242672.10000000003</v>
      </c>
      <c r="M57" s="7">
        <f>M58+M60</f>
        <v>-2500</v>
      </c>
      <c r="N57" s="35">
        <f t="shared" si="4"/>
        <v>240172.10000000003</v>
      </c>
      <c r="O57" s="7">
        <f>O58+O60</f>
        <v>0</v>
      </c>
      <c r="P57" s="35">
        <f t="shared" si="5"/>
        <v>240172.10000000003</v>
      </c>
      <c r="Q57" s="7">
        <f>Q58+Q60</f>
        <v>0</v>
      </c>
      <c r="R57" s="35">
        <f t="shared" si="6"/>
        <v>240172.10000000003</v>
      </c>
      <c r="S57" s="7">
        <f>S58+S60</f>
        <v>0</v>
      </c>
      <c r="T57" s="35">
        <f t="shared" si="7"/>
        <v>240172.10000000003</v>
      </c>
    </row>
    <row r="58" spans="1:20">
      <c r="A58" s="61" t="str">
        <f ca="1">IF(ISERROR(MATCH(E58,Код_КВР,0)),"",INDIRECT(ADDRESS(MATCH(E58,Код_КВР,0)+1,2,,,"КВР")))</f>
        <v>Субсидии бюджетным учреждениям</v>
      </c>
      <c r="B58" s="43" t="s">
        <v>275</v>
      </c>
      <c r="C58" s="8" t="s">
        <v>193</v>
      </c>
      <c r="D58" s="1" t="s">
        <v>211</v>
      </c>
      <c r="E58" s="113">
        <v>610</v>
      </c>
      <c r="F58" s="7">
        <f>F59</f>
        <v>221390.7</v>
      </c>
      <c r="G58" s="7">
        <f>G59</f>
        <v>0</v>
      </c>
      <c r="H58" s="35">
        <f t="shared" si="1"/>
        <v>221390.7</v>
      </c>
      <c r="I58" s="7">
        <f>I59</f>
        <v>0</v>
      </c>
      <c r="J58" s="35">
        <f t="shared" si="2"/>
        <v>221390.7</v>
      </c>
      <c r="K58" s="7">
        <f>K59</f>
        <v>0</v>
      </c>
      <c r="L58" s="35">
        <f t="shared" si="3"/>
        <v>221390.7</v>
      </c>
      <c r="M58" s="7">
        <f>M59</f>
        <v>-2500</v>
      </c>
      <c r="N58" s="35">
        <f t="shared" si="4"/>
        <v>218890.7</v>
      </c>
      <c r="O58" s="7">
        <f>O59</f>
        <v>0</v>
      </c>
      <c r="P58" s="35">
        <f t="shared" si="5"/>
        <v>218890.7</v>
      </c>
      <c r="Q58" s="7">
        <f>Q59</f>
        <v>0</v>
      </c>
      <c r="R58" s="35">
        <f t="shared" si="6"/>
        <v>218890.7</v>
      </c>
      <c r="S58" s="7">
        <f>S59</f>
        <v>0</v>
      </c>
      <c r="T58" s="35">
        <f t="shared" si="7"/>
        <v>218890.7</v>
      </c>
    </row>
    <row r="59" spans="1:20" ht="49.5">
      <c r="A59" s="61" t="str">
        <f ca="1">IF(ISERROR(MATCH(E59,Код_КВР,0)),"",INDIRECT(ADDRESS(MATCH(E59,Код_КВР,0)+1,2,,,"КВР")))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" s="43" t="s">
        <v>275</v>
      </c>
      <c r="C59" s="8" t="s">
        <v>193</v>
      </c>
      <c r="D59" s="1" t="s">
        <v>211</v>
      </c>
      <c r="E59" s="113">
        <v>611</v>
      </c>
      <c r="F59" s="7">
        <f>прил.6!G594</f>
        <v>221390.7</v>
      </c>
      <c r="G59" s="7">
        <f>прил.6!H594</f>
        <v>0</v>
      </c>
      <c r="H59" s="35">
        <f t="shared" si="1"/>
        <v>221390.7</v>
      </c>
      <c r="I59" s="7">
        <f>прил.6!J594</f>
        <v>0</v>
      </c>
      <c r="J59" s="35">
        <f t="shared" si="2"/>
        <v>221390.7</v>
      </c>
      <c r="K59" s="7">
        <f>прил.6!L594</f>
        <v>0</v>
      </c>
      <c r="L59" s="35">
        <f t="shared" si="3"/>
        <v>221390.7</v>
      </c>
      <c r="M59" s="7">
        <f>прил.6!N594</f>
        <v>-2500</v>
      </c>
      <c r="N59" s="35">
        <f t="shared" si="4"/>
        <v>218890.7</v>
      </c>
      <c r="O59" s="7">
        <f>прил.6!P594</f>
        <v>0</v>
      </c>
      <c r="P59" s="35">
        <f t="shared" si="5"/>
        <v>218890.7</v>
      </c>
      <c r="Q59" s="7">
        <f>прил.6!R594</f>
        <v>0</v>
      </c>
      <c r="R59" s="35">
        <f t="shared" si="6"/>
        <v>218890.7</v>
      </c>
      <c r="S59" s="7">
        <f>прил.6!T594</f>
        <v>0</v>
      </c>
      <c r="T59" s="35">
        <f t="shared" si="7"/>
        <v>218890.7</v>
      </c>
    </row>
    <row r="60" spans="1:20">
      <c r="A60" s="61" t="str">
        <f ca="1">IF(ISERROR(MATCH(E60,Код_КВР,0)),"",INDIRECT(ADDRESS(MATCH(E60,Код_КВР,0)+1,2,,,"КВР")))</f>
        <v>Субсидии автономным учреждениям</v>
      </c>
      <c r="B60" s="43" t="s">
        <v>275</v>
      </c>
      <c r="C60" s="8" t="s">
        <v>193</v>
      </c>
      <c r="D60" s="1" t="s">
        <v>211</v>
      </c>
      <c r="E60" s="113">
        <v>620</v>
      </c>
      <c r="F60" s="7">
        <f>F61</f>
        <v>21449.200000000001</v>
      </c>
      <c r="G60" s="7">
        <f>G61</f>
        <v>0</v>
      </c>
      <c r="H60" s="35">
        <f t="shared" si="1"/>
        <v>21449.200000000001</v>
      </c>
      <c r="I60" s="7">
        <f>I61</f>
        <v>0</v>
      </c>
      <c r="J60" s="35">
        <f t="shared" si="2"/>
        <v>21449.200000000001</v>
      </c>
      <c r="K60" s="7">
        <f>K61</f>
        <v>-167.8</v>
      </c>
      <c r="L60" s="35">
        <f t="shared" si="3"/>
        <v>21281.4</v>
      </c>
      <c r="M60" s="7">
        <f>M61</f>
        <v>0</v>
      </c>
      <c r="N60" s="35">
        <f t="shared" si="4"/>
        <v>21281.4</v>
      </c>
      <c r="O60" s="7">
        <f>O61</f>
        <v>0</v>
      </c>
      <c r="P60" s="35">
        <f t="shared" si="5"/>
        <v>21281.4</v>
      </c>
      <c r="Q60" s="7">
        <f>Q61</f>
        <v>0</v>
      </c>
      <c r="R60" s="35">
        <f t="shared" si="6"/>
        <v>21281.4</v>
      </c>
      <c r="S60" s="7">
        <f>S61</f>
        <v>0</v>
      </c>
      <c r="T60" s="35">
        <f t="shared" si="7"/>
        <v>21281.4</v>
      </c>
    </row>
    <row r="61" spans="1:20" ht="49.5">
      <c r="A61" s="61" t="str">
        <f ca="1">IF(ISERROR(MATCH(E61,Код_КВР,0)),"",INDIRECT(ADDRESS(MATCH(E61,Код_КВР,0)+1,2,,,"КВР")))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1" s="43" t="s">
        <v>275</v>
      </c>
      <c r="C61" s="8" t="s">
        <v>193</v>
      </c>
      <c r="D61" s="1" t="s">
        <v>211</v>
      </c>
      <c r="E61" s="113">
        <v>621</v>
      </c>
      <c r="F61" s="7">
        <f>прил.6!G596</f>
        <v>21449.200000000001</v>
      </c>
      <c r="G61" s="7">
        <f>прил.6!H596</f>
        <v>0</v>
      </c>
      <c r="H61" s="35">
        <f t="shared" si="1"/>
        <v>21449.200000000001</v>
      </c>
      <c r="I61" s="7">
        <f>прил.6!J596</f>
        <v>0</v>
      </c>
      <c r="J61" s="35">
        <f t="shared" si="2"/>
        <v>21449.200000000001</v>
      </c>
      <c r="K61" s="7">
        <f>прил.6!L596</f>
        <v>-167.8</v>
      </c>
      <c r="L61" s="35">
        <f t="shared" si="3"/>
        <v>21281.4</v>
      </c>
      <c r="M61" s="7">
        <f>прил.6!N596</f>
        <v>0</v>
      </c>
      <c r="N61" s="35">
        <f t="shared" si="4"/>
        <v>21281.4</v>
      </c>
      <c r="O61" s="7">
        <f>прил.6!P596</f>
        <v>0</v>
      </c>
      <c r="P61" s="35">
        <f t="shared" si="5"/>
        <v>21281.4</v>
      </c>
      <c r="Q61" s="7">
        <f>прил.6!R596</f>
        <v>0</v>
      </c>
      <c r="R61" s="35">
        <f t="shared" si="6"/>
        <v>21281.4</v>
      </c>
      <c r="S61" s="7">
        <f>прил.6!T596</f>
        <v>0</v>
      </c>
      <c r="T61" s="35">
        <f t="shared" si="7"/>
        <v>21281.4</v>
      </c>
    </row>
    <row r="62" spans="1:20" ht="66">
      <c r="A62" s="61" t="str">
        <f ca="1">IF(ISERROR(MATCH(B62,Код_КЦСР,0)),"",INDIRECT(ADDRESS(MATCH(B62,Код_КЦСР,0)+1,2,,,"КЦСР")))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62" s="43" t="s">
        <v>423</v>
      </c>
      <c r="C62" s="8"/>
      <c r="D62" s="1"/>
      <c r="E62" s="113"/>
      <c r="F62" s="7">
        <f t="shared" ref="F62:S64" si="14">F63</f>
        <v>1061249.7</v>
      </c>
      <c r="G62" s="7">
        <f t="shared" si="14"/>
        <v>0</v>
      </c>
      <c r="H62" s="35">
        <f t="shared" si="1"/>
        <v>1061249.7</v>
      </c>
      <c r="I62" s="7">
        <f t="shared" si="14"/>
        <v>0</v>
      </c>
      <c r="J62" s="35">
        <f t="shared" si="2"/>
        <v>1061249.7</v>
      </c>
      <c r="K62" s="7">
        <f t="shared" si="14"/>
        <v>0</v>
      </c>
      <c r="L62" s="35">
        <f t="shared" si="3"/>
        <v>1061249.7</v>
      </c>
      <c r="M62" s="7">
        <f t="shared" si="14"/>
        <v>0</v>
      </c>
      <c r="N62" s="35">
        <f t="shared" si="4"/>
        <v>1061249.7</v>
      </c>
      <c r="O62" s="7">
        <f t="shared" si="14"/>
        <v>0</v>
      </c>
      <c r="P62" s="35">
        <f t="shared" si="5"/>
        <v>1061249.7</v>
      </c>
      <c r="Q62" s="7">
        <f t="shared" si="14"/>
        <v>30649.800000000003</v>
      </c>
      <c r="R62" s="35">
        <f t="shared" si="6"/>
        <v>1091899.5</v>
      </c>
      <c r="S62" s="7">
        <f t="shared" si="14"/>
        <v>13306.000000000004</v>
      </c>
      <c r="T62" s="35">
        <f t="shared" si="7"/>
        <v>1105205.5</v>
      </c>
    </row>
    <row r="63" spans="1:20">
      <c r="A63" s="61" t="str">
        <f ca="1">IF(ISERROR(MATCH(C63,Код_Раздел,0)),"",INDIRECT(ADDRESS(MATCH(C63,Код_Раздел,0)+1,2,,,"Раздел")))</f>
        <v>Образование</v>
      </c>
      <c r="B63" s="43" t="s">
        <v>423</v>
      </c>
      <c r="C63" s="8" t="s">
        <v>193</v>
      </c>
      <c r="D63" s="1"/>
      <c r="E63" s="113"/>
      <c r="F63" s="7">
        <f t="shared" si="14"/>
        <v>1061249.7</v>
      </c>
      <c r="G63" s="7">
        <f t="shared" si="14"/>
        <v>0</v>
      </c>
      <c r="H63" s="35">
        <f t="shared" si="1"/>
        <v>1061249.7</v>
      </c>
      <c r="I63" s="7">
        <f t="shared" si="14"/>
        <v>0</v>
      </c>
      <c r="J63" s="35">
        <f t="shared" si="2"/>
        <v>1061249.7</v>
      </c>
      <c r="K63" s="7">
        <f t="shared" si="14"/>
        <v>0</v>
      </c>
      <c r="L63" s="35">
        <f t="shared" si="3"/>
        <v>1061249.7</v>
      </c>
      <c r="M63" s="7">
        <f t="shared" si="14"/>
        <v>0</v>
      </c>
      <c r="N63" s="35">
        <f t="shared" si="4"/>
        <v>1061249.7</v>
      </c>
      <c r="O63" s="7">
        <f t="shared" si="14"/>
        <v>0</v>
      </c>
      <c r="P63" s="35">
        <f t="shared" si="5"/>
        <v>1061249.7</v>
      </c>
      <c r="Q63" s="7">
        <f t="shared" si="14"/>
        <v>30649.800000000003</v>
      </c>
      <c r="R63" s="35">
        <f t="shared" si="6"/>
        <v>1091899.5</v>
      </c>
      <c r="S63" s="7">
        <f t="shared" si="14"/>
        <v>13306.000000000004</v>
      </c>
      <c r="T63" s="35">
        <f t="shared" si="7"/>
        <v>1105205.5</v>
      </c>
    </row>
    <row r="64" spans="1:20">
      <c r="A64" s="12" t="s">
        <v>255</v>
      </c>
      <c r="B64" s="43" t="s">
        <v>423</v>
      </c>
      <c r="C64" s="8" t="s">
        <v>193</v>
      </c>
      <c r="D64" s="1" t="s">
        <v>211</v>
      </c>
      <c r="E64" s="113"/>
      <c r="F64" s="7">
        <f t="shared" si="14"/>
        <v>1061249.7</v>
      </c>
      <c r="G64" s="7">
        <f t="shared" si="14"/>
        <v>0</v>
      </c>
      <c r="H64" s="35">
        <f t="shared" si="1"/>
        <v>1061249.7</v>
      </c>
      <c r="I64" s="7">
        <f t="shared" si="14"/>
        <v>0</v>
      </c>
      <c r="J64" s="35">
        <f t="shared" si="2"/>
        <v>1061249.7</v>
      </c>
      <c r="K64" s="7">
        <f t="shared" si="14"/>
        <v>0</v>
      </c>
      <c r="L64" s="35">
        <f t="shared" si="3"/>
        <v>1061249.7</v>
      </c>
      <c r="M64" s="7">
        <f t="shared" si="14"/>
        <v>0</v>
      </c>
      <c r="N64" s="35">
        <f t="shared" si="4"/>
        <v>1061249.7</v>
      </c>
      <c r="O64" s="7">
        <f t="shared" si="14"/>
        <v>0</v>
      </c>
      <c r="P64" s="35">
        <f t="shared" si="5"/>
        <v>1061249.7</v>
      </c>
      <c r="Q64" s="7">
        <f t="shared" si="14"/>
        <v>30649.800000000003</v>
      </c>
      <c r="R64" s="35">
        <f t="shared" si="6"/>
        <v>1091899.5</v>
      </c>
      <c r="S64" s="7">
        <f t="shared" si="14"/>
        <v>13306.000000000004</v>
      </c>
      <c r="T64" s="35">
        <f t="shared" si="7"/>
        <v>1105205.5</v>
      </c>
    </row>
    <row r="65" spans="1:20" ht="33">
      <c r="A65" s="61" t="str">
        <f ca="1">IF(ISERROR(MATCH(E65,Код_КВР,0)),"",INDIRECT(ADDRESS(MATCH(E65,Код_КВР,0)+1,2,,,"КВР")))</f>
        <v>Предоставление субсидий бюджетным, автономным учреждениям и иным некоммерческим организациям</v>
      </c>
      <c r="B65" s="43" t="s">
        <v>423</v>
      </c>
      <c r="C65" s="8" t="s">
        <v>193</v>
      </c>
      <c r="D65" s="1" t="s">
        <v>211</v>
      </c>
      <c r="E65" s="113">
        <v>600</v>
      </c>
      <c r="F65" s="7">
        <f>F66+F68</f>
        <v>1061249.7</v>
      </c>
      <c r="G65" s="7">
        <f>G66+G68</f>
        <v>0</v>
      </c>
      <c r="H65" s="35">
        <f t="shared" si="1"/>
        <v>1061249.7</v>
      </c>
      <c r="I65" s="7">
        <f>I66+I68</f>
        <v>0</v>
      </c>
      <c r="J65" s="35">
        <f t="shared" si="2"/>
        <v>1061249.7</v>
      </c>
      <c r="K65" s="7">
        <f>K66+K68</f>
        <v>0</v>
      </c>
      <c r="L65" s="35">
        <f t="shared" si="3"/>
        <v>1061249.7</v>
      </c>
      <c r="M65" s="7">
        <f>M66+M68</f>
        <v>0</v>
      </c>
      <c r="N65" s="35">
        <f t="shared" si="4"/>
        <v>1061249.7</v>
      </c>
      <c r="O65" s="7">
        <f>O66+O68</f>
        <v>0</v>
      </c>
      <c r="P65" s="35">
        <f t="shared" si="5"/>
        <v>1061249.7</v>
      </c>
      <c r="Q65" s="7">
        <f>Q66+Q68</f>
        <v>30649.800000000003</v>
      </c>
      <c r="R65" s="35">
        <f t="shared" si="6"/>
        <v>1091899.5</v>
      </c>
      <c r="S65" s="7">
        <f>S66+S68</f>
        <v>13306.000000000004</v>
      </c>
      <c r="T65" s="35">
        <f t="shared" si="7"/>
        <v>1105205.5</v>
      </c>
    </row>
    <row r="66" spans="1:20">
      <c r="A66" s="61" t="str">
        <f ca="1">IF(ISERROR(MATCH(E66,Код_КВР,0)),"",INDIRECT(ADDRESS(MATCH(E66,Код_КВР,0)+1,2,,,"КВР")))</f>
        <v>Субсидии бюджетным учреждениям</v>
      </c>
      <c r="B66" s="43" t="s">
        <v>423</v>
      </c>
      <c r="C66" s="8" t="s">
        <v>193</v>
      </c>
      <c r="D66" s="1" t="s">
        <v>211</v>
      </c>
      <c r="E66" s="113">
        <v>610</v>
      </c>
      <c r="F66" s="7">
        <f>F67</f>
        <v>997794.8</v>
      </c>
      <c r="G66" s="7">
        <f>G67</f>
        <v>0</v>
      </c>
      <c r="H66" s="35">
        <f t="shared" si="1"/>
        <v>997794.8</v>
      </c>
      <c r="I66" s="7">
        <f>I67</f>
        <v>0</v>
      </c>
      <c r="J66" s="35">
        <f t="shared" si="2"/>
        <v>997794.8</v>
      </c>
      <c r="K66" s="7">
        <f>K67</f>
        <v>0</v>
      </c>
      <c r="L66" s="35">
        <f t="shared" si="3"/>
        <v>997794.8</v>
      </c>
      <c r="M66" s="7">
        <f>M67</f>
        <v>0</v>
      </c>
      <c r="N66" s="35">
        <f t="shared" si="4"/>
        <v>997794.8</v>
      </c>
      <c r="O66" s="7">
        <f>O67</f>
        <v>0</v>
      </c>
      <c r="P66" s="35">
        <f t="shared" si="5"/>
        <v>997794.8</v>
      </c>
      <c r="Q66" s="7">
        <f>Q67</f>
        <v>28969.300000000003</v>
      </c>
      <c r="R66" s="35">
        <f t="shared" si="6"/>
        <v>1026764.1000000001</v>
      </c>
      <c r="S66" s="7">
        <f>S67</f>
        <v>16536.800000000003</v>
      </c>
      <c r="T66" s="35">
        <f t="shared" si="7"/>
        <v>1043300.9000000001</v>
      </c>
    </row>
    <row r="67" spans="1:20" ht="49.5">
      <c r="A67" s="61" t="str">
        <f ca="1">IF(ISERROR(MATCH(E67,Код_КВР,0)),"",INDIRECT(ADDRESS(MATCH(E67,Код_КВР,0)+1,2,,,"КВР")))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7" s="43" t="s">
        <v>423</v>
      </c>
      <c r="C67" s="8" t="s">
        <v>193</v>
      </c>
      <c r="D67" s="1" t="s">
        <v>211</v>
      </c>
      <c r="E67" s="113">
        <v>611</v>
      </c>
      <c r="F67" s="7">
        <f>прил.6!G600</f>
        <v>997794.8</v>
      </c>
      <c r="G67" s="7">
        <f>прил.6!H600</f>
        <v>0</v>
      </c>
      <c r="H67" s="35">
        <f t="shared" si="1"/>
        <v>997794.8</v>
      </c>
      <c r="I67" s="7">
        <f>прил.6!J600</f>
        <v>0</v>
      </c>
      <c r="J67" s="35">
        <f t="shared" si="2"/>
        <v>997794.8</v>
      </c>
      <c r="K67" s="7">
        <f>прил.6!L600</f>
        <v>0</v>
      </c>
      <c r="L67" s="35">
        <f t="shared" si="3"/>
        <v>997794.8</v>
      </c>
      <c r="M67" s="7">
        <f>прил.6!N600</f>
        <v>0</v>
      </c>
      <c r="N67" s="35">
        <f t="shared" si="4"/>
        <v>997794.8</v>
      </c>
      <c r="O67" s="7">
        <f>прил.6!P600</f>
        <v>0</v>
      </c>
      <c r="P67" s="35">
        <f t="shared" si="5"/>
        <v>997794.8</v>
      </c>
      <c r="Q67" s="7">
        <f>прил.6!R600</f>
        <v>28969.300000000003</v>
      </c>
      <c r="R67" s="35">
        <f t="shared" si="6"/>
        <v>1026764.1000000001</v>
      </c>
      <c r="S67" s="7">
        <f>прил.6!T600</f>
        <v>16536.800000000003</v>
      </c>
      <c r="T67" s="35">
        <f t="shared" si="7"/>
        <v>1043300.9000000001</v>
      </c>
    </row>
    <row r="68" spans="1:20">
      <c r="A68" s="61" t="str">
        <f ca="1">IF(ISERROR(MATCH(E68,Код_КВР,0)),"",INDIRECT(ADDRESS(MATCH(E68,Код_КВР,0)+1,2,,,"КВР")))</f>
        <v>Субсидии автономным учреждениям</v>
      </c>
      <c r="B68" s="43" t="s">
        <v>423</v>
      </c>
      <c r="C68" s="8" t="s">
        <v>193</v>
      </c>
      <c r="D68" s="1" t="s">
        <v>211</v>
      </c>
      <c r="E68" s="113">
        <v>620</v>
      </c>
      <c r="F68" s="7">
        <f>F69</f>
        <v>63454.9</v>
      </c>
      <c r="G68" s="7">
        <f>G69</f>
        <v>0</v>
      </c>
      <c r="H68" s="35">
        <f t="shared" si="1"/>
        <v>63454.9</v>
      </c>
      <c r="I68" s="7">
        <f>I69</f>
        <v>0</v>
      </c>
      <c r="J68" s="35">
        <f t="shared" si="2"/>
        <v>63454.9</v>
      </c>
      <c r="K68" s="7">
        <f>K69</f>
        <v>0</v>
      </c>
      <c r="L68" s="35">
        <f t="shared" si="3"/>
        <v>63454.9</v>
      </c>
      <c r="M68" s="7">
        <f>M69</f>
        <v>0</v>
      </c>
      <c r="N68" s="35">
        <f t="shared" si="4"/>
        <v>63454.9</v>
      </c>
      <c r="O68" s="7">
        <f>O69</f>
        <v>0</v>
      </c>
      <c r="P68" s="35">
        <f t="shared" si="5"/>
        <v>63454.9</v>
      </c>
      <c r="Q68" s="7">
        <f>Q69</f>
        <v>1680.5</v>
      </c>
      <c r="R68" s="35">
        <f t="shared" si="6"/>
        <v>65135.4</v>
      </c>
      <c r="S68" s="7">
        <f>S69</f>
        <v>-3230.8</v>
      </c>
      <c r="T68" s="35">
        <f t="shared" si="7"/>
        <v>61904.6</v>
      </c>
    </row>
    <row r="69" spans="1:20" ht="49.5">
      <c r="A69" s="61" t="str">
        <f ca="1">IF(ISERROR(MATCH(E69,Код_КВР,0)),"",INDIRECT(ADDRESS(MATCH(E69,Код_КВР,0)+1,2,,,"КВР")))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9" s="43" t="s">
        <v>423</v>
      </c>
      <c r="C69" s="8" t="s">
        <v>193</v>
      </c>
      <c r="D69" s="1" t="s">
        <v>211</v>
      </c>
      <c r="E69" s="113">
        <v>621</v>
      </c>
      <c r="F69" s="7">
        <f>прил.6!G602</f>
        <v>63454.9</v>
      </c>
      <c r="G69" s="7">
        <f>прил.6!H602</f>
        <v>0</v>
      </c>
      <c r="H69" s="35">
        <f t="shared" si="1"/>
        <v>63454.9</v>
      </c>
      <c r="I69" s="7">
        <f>прил.6!J602</f>
        <v>0</v>
      </c>
      <c r="J69" s="35">
        <f t="shared" si="2"/>
        <v>63454.9</v>
      </c>
      <c r="K69" s="7">
        <f>прил.6!L602</f>
        <v>0</v>
      </c>
      <c r="L69" s="35">
        <f t="shared" si="3"/>
        <v>63454.9</v>
      </c>
      <c r="M69" s="7">
        <f>прил.6!N602</f>
        <v>0</v>
      </c>
      <c r="N69" s="35">
        <f t="shared" si="4"/>
        <v>63454.9</v>
      </c>
      <c r="O69" s="7">
        <f>прил.6!P602</f>
        <v>0</v>
      </c>
      <c r="P69" s="35">
        <f t="shared" si="5"/>
        <v>63454.9</v>
      </c>
      <c r="Q69" s="7">
        <f>прил.6!R602</f>
        <v>1680.5</v>
      </c>
      <c r="R69" s="35">
        <f t="shared" si="6"/>
        <v>65135.4</v>
      </c>
      <c r="S69" s="7">
        <f>прил.6!T602</f>
        <v>-3230.8</v>
      </c>
      <c r="T69" s="35">
        <f t="shared" si="7"/>
        <v>61904.6</v>
      </c>
    </row>
    <row r="70" spans="1:20" ht="66">
      <c r="A70" s="61" t="str">
        <f ca="1">IF(ISERROR(MATCH(B70,Код_КЦСР,0)),"",INDIRECT(ADDRESS(MATCH(B70,Код_КЦСР,0)+1,2,,,"КЦСР")))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70" s="43" t="s">
        <v>425</v>
      </c>
      <c r="C70" s="8"/>
      <c r="D70" s="1"/>
      <c r="E70" s="113"/>
      <c r="F70" s="7">
        <f t="shared" ref="F70:S74" si="15">F71</f>
        <v>63969.3</v>
      </c>
      <c r="G70" s="7">
        <f t="shared" si="15"/>
        <v>0</v>
      </c>
      <c r="H70" s="35">
        <f t="shared" si="1"/>
        <v>63969.3</v>
      </c>
      <c r="I70" s="7">
        <f t="shared" si="15"/>
        <v>0</v>
      </c>
      <c r="J70" s="35">
        <f t="shared" si="2"/>
        <v>63969.3</v>
      </c>
      <c r="K70" s="7">
        <f t="shared" si="15"/>
        <v>0</v>
      </c>
      <c r="L70" s="35">
        <f t="shared" si="3"/>
        <v>63969.3</v>
      </c>
      <c r="M70" s="7">
        <f t="shared" si="15"/>
        <v>0</v>
      </c>
      <c r="N70" s="35">
        <f t="shared" si="4"/>
        <v>63969.3</v>
      </c>
      <c r="O70" s="7">
        <f t="shared" si="15"/>
        <v>0</v>
      </c>
      <c r="P70" s="35">
        <f t="shared" si="5"/>
        <v>63969.3</v>
      </c>
      <c r="Q70" s="7">
        <f t="shared" si="15"/>
        <v>-6403.7</v>
      </c>
      <c r="R70" s="35">
        <f t="shared" si="6"/>
        <v>57565.600000000006</v>
      </c>
      <c r="S70" s="7">
        <f t="shared" si="15"/>
        <v>1869.1000000000001</v>
      </c>
      <c r="T70" s="35">
        <f t="shared" si="7"/>
        <v>59434.700000000004</v>
      </c>
    </row>
    <row r="71" spans="1:20">
      <c r="A71" s="61" t="str">
        <f ca="1">IF(ISERROR(MATCH(C71,Код_Раздел,0)),"",INDIRECT(ADDRESS(MATCH(C71,Код_Раздел,0)+1,2,,,"Раздел")))</f>
        <v>Социальная политика</v>
      </c>
      <c r="B71" s="43" t="s">
        <v>425</v>
      </c>
      <c r="C71" s="8" t="s">
        <v>186</v>
      </c>
      <c r="D71" s="1"/>
      <c r="E71" s="113"/>
      <c r="F71" s="7">
        <f t="shared" si="15"/>
        <v>63969.3</v>
      </c>
      <c r="G71" s="7">
        <f t="shared" si="15"/>
        <v>0</v>
      </c>
      <c r="H71" s="35">
        <f t="shared" si="1"/>
        <v>63969.3</v>
      </c>
      <c r="I71" s="7">
        <f t="shared" si="15"/>
        <v>0</v>
      </c>
      <c r="J71" s="35">
        <f t="shared" si="2"/>
        <v>63969.3</v>
      </c>
      <c r="K71" s="7">
        <f t="shared" si="15"/>
        <v>0</v>
      </c>
      <c r="L71" s="35">
        <f t="shared" si="3"/>
        <v>63969.3</v>
      </c>
      <c r="M71" s="7">
        <f t="shared" si="15"/>
        <v>0</v>
      </c>
      <c r="N71" s="35">
        <f t="shared" si="4"/>
        <v>63969.3</v>
      </c>
      <c r="O71" s="7">
        <f t="shared" si="15"/>
        <v>0</v>
      </c>
      <c r="P71" s="35">
        <f t="shared" si="5"/>
        <v>63969.3</v>
      </c>
      <c r="Q71" s="7">
        <f t="shared" si="15"/>
        <v>-6403.7</v>
      </c>
      <c r="R71" s="35">
        <f t="shared" si="6"/>
        <v>57565.600000000006</v>
      </c>
      <c r="S71" s="7">
        <f t="shared" si="15"/>
        <v>1869.1000000000001</v>
      </c>
      <c r="T71" s="35">
        <f t="shared" si="7"/>
        <v>59434.700000000004</v>
      </c>
    </row>
    <row r="72" spans="1:20">
      <c r="A72" s="75" t="s">
        <v>202</v>
      </c>
      <c r="B72" s="43" t="s">
        <v>425</v>
      </c>
      <c r="C72" s="8" t="s">
        <v>186</v>
      </c>
      <c r="D72" s="1" t="s">
        <v>214</v>
      </c>
      <c r="E72" s="113"/>
      <c r="F72" s="7">
        <f t="shared" si="15"/>
        <v>63969.3</v>
      </c>
      <c r="G72" s="7">
        <f t="shared" si="15"/>
        <v>0</v>
      </c>
      <c r="H72" s="35">
        <f t="shared" si="1"/>
        <v>63969.3</v>
      </c>
      <c r="I72" s="7">
        <f t="shared" si="15"/>
        <v>0</v>
      </c>
      <c r="J72" s="35">
        <f t="shared" si="2"/>
        <v>63969.3</v>
      </c>
      <c r="K72" s="7">
        <f t="shared" si="15"/>
        <v>0</v>
      </c>
      <c r="L72" s="35">
        <f t="shared" si="3"/>
        <v>63969.3</v>
      </c>
      <c r="M72" s="7">
        <f t="shared" si="15"/>
        <v>0</v>
      </c>
      <c r="N72" s="35">
        <f t="shared" si="4"/>
        <v>63969.3</v>
      </c>
      <c r="O72" s="7">
        <f t="shared" si="15"/>
        <v>0</v>
      </c>
      <c r="P72" s="35">
        <f t="shared" si="5"/>
        <v>63969.3</v>
      </c>
      <c r="Q72" s="7">
        <f t="shared" si="15"/>
        <v>-6403.7</v>
      </c>
      <c r="R72" s="35">
        <f t="shared" si="6"/>
        <v>57565.600000000006</v>
      </c>
      <c r="S72" s="7">
        <f t="shared" si="15"/>
        <v>1869.1000000000001</v>
      </c>
      <c r="T72" s="35">
        <f t="shared" si="7"/>
        <v>59434.700000000004</v>
      </c>
    </row>
    <row r="73" spans="1:20">
      <c r="A73" s="61" t="str">
        <f ca="1">IF(ISERROR(MATCH(E73,Код_КВР,0)),"",INDIRECT(ADDRESS(MATCH(E73,Код_КВР,0)+1,2,,,"КВР")))</f>
        <v>Социальное обеспечение и иные выплаты населению</v>
      </c>
      <c r="B73" s="43" t="s">
        <v>425</v>
      </c>
      <c r="C73" s="8" t="s">
        <v>186</v>
      </c>
      <c r="D73" s="1" t="s">
        <v>214</v>
      </c>
      <c r="E73" s="113">
        <v>300</v>
      </c>
      <c r="F73" s="7">
        <f t="shared" si="15"/>
        <v>63969.3</v>
      </c>
      <c r="G73" s="7">
        <f t="shared" si="15"/>
        <v>0</v>
      </c>
      <c r="H73" s="35">
        <f t="shared" si="1"/>
        <v>63969.3</v>
      </c>
      <c r="I73" s="7">
        <f t="shared" si="15"/>
        <v>0</v>
      </c>
      <c r="J73" s="35">
        <f t="shared" si="2"/>
        <v>63969.3</v>
      </c>
      <c r="K73" s="7">
        <f t="shared" si="15"/>
        <v>0</v>
      </c>
      <c r="L73" s="35">
        <f t="shared" si="3"/>
        <v>63969.3</v>
      </c>
      <c r="M73" s="7">
        <f t="shared" si="15"/>
        <v>0</v>
      </c>
      <c r="N73" s="35">
        <f t="shared" si="4"/>
        <v>63969.3</v>
      </c>
      <c r="O73" s="7">
        <f t="shared" si="15"/>
        <v>0</v>
      </c>
      <c r="P73" s="35">
        <f t="shared" si="5"/>
        <v>63969.3</v>
      </c>
      <c r="Q73" s="7">
        <f t="shared" si="15"/>
        <v>-6403.7</v>
      </c>
      <c r="R73" s="35">
        <f t="shared" si="6"/>
        <v>57565.600000000006</v>
      </c>
      <c r="S73" s="7">
        <f t="shared" si="15"/>
        <v>1869.1000000000001</v>
      </c>
      <c r="T73" s="35">
        <f t="shared" si="7"/>
        <v>59434.700000000004</v>
      </c>
    </row>
    <row r="74" spans="1:20" ht="33">
      <c r="A74" s="61" t="str">
        <f ca="1">IF(ISERROR(MATCH(E74,Код_КВР,0)),"",INDIRECT(ADDRESS(MATCH(E74,Код_КВР,0)+1,2,,,"КВР")))</f>
        <v>Социальные выплаты гражданам, кроме публичных нормативных социальных выплат</v>
      </c>
      <c r="B74" s="43" t="s">
        <v>425</v>
      </c>
      <c r="C74" s="8" t="s">
        <v>186</v>
      </c>
      <c r="D74" s="1" t="s">
        <v>214</v>
      </c>
      <c r="E74" s="113">
        <v>320</v>
      </c>
      <c r="F74" s="7">
        <f t="shared" si="15"/>
        <v>63969.3</v>
      </c>
      <c r="G74" s="7">
        <f t="shared" si="15"/>
        <v>0</v>
      </c>
      <c r="H74" s="35">
        <f t="shared" si="1"/>
        <v>63969.3</v>
      </c>
      <c r="I74" s="7">
        <f t="shared" si="15"/>
        <v>0</v>
      </c>
      <c r="J74" s="35">
        <f t="shared" si="2"/>
        <v>63969.3</v>
      </c>
      <c r="K74" s="7">
        <f t="shared" si="15"/>
        <v>0</v>
      </c>
      <c r="L74" s="35">
        <f t="shared" si="3"/>
        <v>63969.3</v>
      </c>
      <c r="M74" s="7">
        <f t="shared" si="15"/>
        <v>0</v>
      </c>
      <c r="N74" s="35">
        <f t="shared" si="4"/>
        <v>63969.3</v>
      </c>
      <c r="O74" s="7">
        <f t="shared" si="15"/>
        <v>0</v>
      </c>
      <c r="P74" s="35">
        <f t="shared" si="5"/>
        <v>63969.3</v>
      </c>
      <c r="Q74" s="7">
        <f t="shared" si="15"/>
        <v>-6403.7</v>
      </c>
      <c r="R74" s="35">
        <f t="shared" si="6"/>
        <v>57565.600000000006</v>
      </c>
      <c r="S74" s="7">
        <f t="shared" si="15"/>
        <v>1869.1000000000001</v>
      </c>
      <c r="T74" s="35">
        <f t="shared" si="7"/>
        <v>59434.700000000004</v>
      </c>
    </row>
    <row r="75" spans="1:20" ht="33">
      <c r="A75" s="61" t="str">
        <f ca="1">IF(ISERROR(MATCH(E75,Код_КВР,0)),"",INDIRECT(ADDRESS(MATCH(E75,Код_КВР,0)+1,2,,,"КВР")))</f>
        <v>Пособия, компенсации и иные социальные выплаты гражданам, кроме публичных нормативных обязательств</v>
      </c>
      <c r="B75" s="43" t="s">
        <v>425</v>
      </c>
      <c r="C75" s="8" t="s">
        <v>186</v>
      </c>
      <c r="D75" s="1" t="s">
        <v>214</v>
      </c>
      <c r="E75" s="113">
        <v>321</v>
      </c>
      <c r="F75" s="7">
        <f>прил.6!G850</f>
        <v>63969.3</v>
      </c>
      <c r="G75" s="7">
        <f>прил.6!H850</f>
        <v>0</v>
      </c>
      <c r="H75" s="35">
        <f t="shared" si="1"/>
        <v>63969.3</v>
      </c>
      <c r="I75" s="7">
        <f>прил.6!J850</f>
        <v>0</v>
      </c>
      <c r="J75" s="35">
        <f t="shared" si="2"/>
        <v>63969.3</v>
      </c>
      <c r="K75" s="7">
        <f>прил.6!L850</f>
        <v>0</v>
      </c>
      <c r="L75" s="35">
        <f t="shared" si="3"/>
        <v>63969.3</v>
      </c>
      <c r="M75" s="7">
        <f>прил.6!N850</f>
        <v>0</v>
      </c>
      <c r="N75" s="35">
        <f t="shared" si="4"/>
        <v>63969.3</v>
      </c>
      <c r="O75" s="7">
        <f>прил.6!P850</f>
        <v>0</v>
      </c>
      <c r="P75" s="35">
        <f t="shared" si="5"/>
        <v>63969.3</v>
      </c>
      <c r="Q75" s="7">
        <f>прил.6!R850</f>
        <v>-6403.7</v>
      </c>
      <c r="R75" s="35">
        <f t="shared" si="6"/>
        <v>57565.600000000006</v>
      </c>
      <c r="S75" s="7">
        <f>прил.6!T850</f>
        <v>1869.1000000000001</v>
      </c>
      <c r="T75" s="35">
        <f t="shared" si="7"/>
        <v>59434.700000000004</v>
      </c>
    </row>
    <row r="76" spans="1:20">
      <c r="A76" s="61" t="str">
        <f ca="1">IF(ISERROR(MATCH(B76,Код_КЦСР,0)),"",INDIRECT(ADDRESS(MATCH(B76,Код_КЦСР,0)+1,2,,,"КЦСР")))</f>
        <v>Общее образование</v>
      </c>
      <c r="B76" s="43" t="s">
        <v>276</v>
      </c>
      <c r="C76" s="8"/>
      <c r="D76" s="1"/>
      <c r="E76" s="113"/>
      <c r="F76" s="7">
        <f>F77+F85+F91+F97+F107+F113</f>
        <v>1347878.2</v>
      </c>
      <c r="G76" s="7">
        <f>G77+G85+G91+G97+G107+G113</f>
        <v>0</v>
      </c>
      <c r="H76" s="35">
        <f t="shared" si="1"/>
        <v>1347878.2</v>
      </c>
      <c r="I76" s="7">
        <f>I77+I85+I91+I97+I107+I113</f>
        <v>0</v>
      </c>
      <c r="J76" s="35">
        <f t="shared" si="2"/>
        <v>1347878.2</v>
      </c>
      <c r="K76" s="7">
        <f>K77+K85+K91+K97+K107+K113</f>
        <v>0</v>
      </c>
      <c r="L76" s="35">
        <f t="shared" si="3"/>
        <v>1347878.2</v>
      </c>
      <c r="M76" s="7">
        <f>M77+M85+M91+M97+M107+M113</f>
        <v>-2877.3</v>
      </c>
      <c r="N76" s="35">
        <f t="shared" si="4"/>
        <v>1345000.9</v>
      </c>
      <c r="O76" s="7">
        <f>O77+O85+O91+O97+O107+O113</f>
        <v>10</v>
      </c>
      <c r="P76" s="35">
        <f t="shared" si="5"/>
        <v>1345010.9</v>
      </c>
      <c r="Q76" s="7">
        <f>Q77+Q85+Q91+Q97+Q107+Q113</f>
        <v>6660.5</v>
      </c>
      <c r="R76" s="35">
        <f t="shared" si="6"/>
        <v>1351671.4</v>
      </c>
      <c r="S76" s="7">
        <f>S77+S85+S91+S97+S107+S113</f>
        <v>6172.5</v>
      </c>
      <c r="T76" s="35">
        <f t="shared" si="7"/>
        <v>1357843.9</v>
      </c>
    </row>
    <row r="77" spans="1:20" ht="57" customHeight="1">
      <c r="A77" s="61" t="str">
        <f ca="1">IF(ISERROR(MATCH(B77,Код_КЦСР,0)),"",INDIRECT(ADDRESS(MATCH(B77,Код_КЦСР,0)+1,2,,,"КЦСР")))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77" s="43" t="s">
        <v>277</v>
      </c>
      <c r="C77" s="8"/>
      <c r="D77" s="1"/>
      <c r="E77" s="113"/>
      <c r="F77" s="7">
        <f t="shared" ref="F77:S79" si="16">F78</f>
        <v>159038.20000000001</v>
      </c>
      <c r="G77" s="7">
        <f t="shared" si="16"/>
        <v>0</v>
      </c>
      <c r="H77" s="35">
        <f t="shared" si="1"/>
        <v>159038.20000000001</v>
      </c>
      <c r="I77" s="7">
        <f t="shared" si="16"/>
        <v>0</v>
      </c>
      <c r="J77" s="35">
        <f t="shared" si="2"/>
        <v>159038.20000000001</v>
      </c>
      <c r="K77" s="7">
        <f t="shared" si="16"/>
        <v>0</v>
      </c>
      <c r="L77" s="35">
        <f t="shared" si="3"/>
        <v>159038.20000000001</v>
      </c>
      <c r="M77" s="7">
        <f t="shared" si="16"/>
        <v>-2877.3</v>
      </c>
      <c r="N77" s="35">
        <f t="shared" si="4"/>
        <v>156160.90000000002</v>
      </c>
      <c r="O77" s="7">
        <f t="shared" si="16"/>
        <v>0</v>
      </c>
      <c r="P77" s="35">
        <f t="shared" si="5"/>
        <v>156160.90000000002</v>
      </c>
      <c r="Q77" s="7">
        <f t="shared" si="16"/>
        <v>0</v>
      </c>
      <c r="R77" s="35">
        <f t="shared" si="6"/>
        <v>156160.90000000002</v>
      </c>
      <c r="S77" s="7">
        <f t="shared" si="16"/>
        <v>0</v>
      </c>
      <c r="T77" s="35">
        <f t="shared" si="7"/>
        <v>156160.90000000002</v>
      </c>
    </row>
    <row r="78" spans="1:20">
      <c r="A78" s="61" t="str">
        <f ca="1">IF(ISERROR(MATCH(C78,Код_Раздел,0)),"",INDIRECT(ADDRESS(MATCH(C78,Код_Раздел,0)+1,2,,,"Раздел")))</f>
        <v>Образование</v>
      </c>
      <c r="B78" s="43" t="s">
        <v>277</v>
      </c>
      <c r="C78" s="8" t="s">
        <v>193</v>
      </c>
      <c r="D78" s="1"/>
      <c r="E78" s="113"/>
      <c r="F78" s="7">
        <f t="shared" si="16"/>
        <v>159038.20000000001</v>
      </c>
      <c r="G78" s="7">
        <f t="shared" si="16"/>
        <v>0</v>
      </c>
      <c r="H78" s="35">
        <f t="shared" si="1"/>
        <v>159038.20000000001</v>
      </c>
      <c r="I78" s="7">
        <f t="shared" si="16"/>
        <v>0</v>
      </c>
      <c r="J78" s="35">
        <f t="shared" si="2"/>
        <v>159038.20000000001</v>
      </c>
      <c r="K78" s="7">
        <f t="shared" si="16"/>
        <v>0</v>
      </c>
      <c r="L78" s="35">
        <f t="shared" si="3"/>
        <v>159038.20000000001</v>
      </c>
      <c r="M78" s="7">
        <f t="shared" si="16"/>
        <v>-2877.3</v>
      </c>
      <c r="N78" s="35">
        <f t="shared" si="4"/>
        <v>156160.90000000002</v>
      </c>
      <c r="O78" s="7">
        <f t="shared" si="16"/>
        <v>0</v>
      </c>
      <c r="P78" s="35">
        <f t="shared" si="5"/>
        <v>156160.90000000002</v>
      </c>
      <c r="Q78" s="7">
        <f t="shared" si="16"/>
        <v>0</v>
      </c>
      <c r="R78" s="35">
        <f t="shared" si="6"/>
        <v>156160.90000000002</v>
      </c>
      <c r="S78" s="7">
        <f t="shared" si="16"/>
        <v>0</v>
      </c>
      <c r="T78" s="35">
        <f t="shared" si="7"/>
        <v>156160.90000000002</v>
      </c>
    </row>
    <row r="79" spans="1:20">
      <c r="A79" s="12" t="s">
        <v>248</v>
      </c>
      <c r="B79" s="43" t="s">
        <v>277</v>
      </c>
      <c r="C79" s="8" t="s">
        <v>193</v>
      </c>
      <c r="D79" s="1" t="s">
        <v>212</v>
      </c>
      <c r="E79" s="113"/>
      <c r="F79" s="7">
        <f t="shared" si="16"/>
        <v>159038.20000000001</v>
      </c>
      <c r="G79" s="7">
        <f t="shared" si="16"/>
        <v>0</v>
      </c>
      <c r="H79" s="35">
        <f t="shared" si="1"/>
        <v>159038.20000000001</v>
      </c>
      <c r="I79" s="7">
        <f t="shared" si="16"/>
        <v>0</v>
      </c>
      <c r="J79" s="35">
        <f t="shared" si="2"/>
        <v>159038.20000000001</v>
      </c>
      <c r="K79" s="7">
        <f t="shared" si="16"/>
        <v>0</v>
      </c>
      <c r="L79" s="35">
        <f t="shared" si="3"/>
        <v>159038.20000000001</v>
      </c>
      <c r="M79" s="7">
        <f t="shared" si="16"/>
        <v>-2877.3</v>
      </c>
      <c r="N79" s="35">
        <f t="shared" si="4"/>
        <v>156160.90000000002</v>
      </c>
      <c r="O79" s="7">
        <f t="shared" si="16"/>
        <v>0</v>
      </c>
      <c r="P79" s="35">
        <f t="shared" si="5"/>
        <v>156160.90000000002</v>
      </c>
      <c r="Q79" s="7">
        <f t="shared" si="16"/>
        <v>0</v>
      </c>
      <c r="R79" s="35">
        <f t="shared" si="6"/>
        <v>156160.90000000002</v>
      </c>
      <c r="S79" s="7">
        <f t="shared" si="16"/>
        <v>0</v>
      </c>
      <c r="T79" s="35">
        <f t="shared" si="7"/>
        <v>156160.90000000002</v>
      </c>
    </row>
    <row r="80" spans="1:20" ht="35.25" customHeight="1">
      <c r="A80" s="61" t="str">
        <f ca="1">IF(ISERROR(MATCH(E80,Код_КВР,0)),"",INDIRECT(ADDRESS(MATCH(E80,Код_КВР,0)+1,2,,,"КВР")))</f>
        <v>Предоставление субсидий бюджетным, автономным учреждениям и иным некоммерческим организациям</v>
      </c>
      <c r="B80" s="43" t="s">
        <v>277</v>
      </c>
      <c r="C80" s="8" t="s">
        <v>193</v>
      </c>
      <c r="D80" s="1" t="s">
        <v>212</v>
      </c>
      <c r="E80" s="113">
        <v>600</v>
      </c>
      <c r="F80" s="7">
        <f>F81+F83</f>
        <v>159038.20000000001</v>
      </c>
      <c r="G80" s="7">
        <f>G81+G83</f>
        <v>0</v>
      </c>
      <c r="H80" s="35">
        <f t="shared" si="1"/>
        <v>159038.20000000001</v>
      </c>
      <c r="I80" s="7">
        <f>I81+I83</f>
        <v>0</v>
      </c>
      <c r="J80" s="35">
        <f t="shared" si="2"/>
        <v>159038.20000000001</v>
      </c>
      <c r="K80" s="7">
        <f>K81+K83</f>
        <v>0</v>
      </c>
      <c r="L80" s="35">
        <f t="shared" si="3"/>
        <v>159038.20000000001</v>
      </c>
      <c r="M80" s="7">
        <f>M81+M83</f>
        <v>-2877.3</v>
      </c>
      <c r="N80" s="35">
        <f t="shared" si="4"/>
        <v>156160.90000000002</v>
      </c>
      <c r="O80" s="7">
        <f>O81+O83</f>
        <v>0</v>
      </c>
      <c r="P80" s="35">
        <f t="shared" si="5"/>
        <v>156160.90000000002</v>
      </c>
      <c r="Q80" s="7">
        <f>Q81+Q83</f>
        <v>0</v>
      </c>
      <c r="R80" s="35">
        <f t="shared" si="6"/>
        <v>156160.90000000002</v>
      </c>
      <c r="S80" s="7">
        <f>S81+S83</f>
        <v>0</v>
      </c>
      <c r="T80" s="35">
        <f t="shared" si="7"/>
        <v>156160.90000000002</v>
      </c>
    </row>
    <row r="81" spans="1:20">
      <c r="A81" s="61" t="str">
        <f ca="1">IF(ISERROR(MATCH(E81,Код_КВР,0)),"",INDIRECT(ADDRESS(MATCH(E81,Код_КВР,0)+1,2,,,"КВР")))</f>
        <v>Субсидии бюджетным учреждениям</v>
      </c>
      <c r="B81" s="43" t="s">
        <v>277</v>
      </c>
      <c r="C81" s="8" t="s">
        <v>193</v>
      </c>
      <c r="D81" s="1" t="s">
        <v>212</v>
      </c>
      <c r="E81" s="113">
        <v>610</v>
      </c>
      <c r="F81" s="7">
        <f>F82</f>
        <v>155778.5</v>
      </c>
      <c r="G81" s="7">
        <f>G82</f>
        <v>0</v>
      </c>
      <c r="H81" s="35">
        <f t="shared" si="1"/>
        <v>155778.5</v>
      </c>
      <c r="I81" s="7">
        <f>I82</f>
        <v>0</v>
      </c>
      <c r="J81" s="35">
        <f t="shared" si="2"/>
        <v>155778.5</v>
      </c>
      <c r="K81" s="7">
        <f>K82</f>
        <v>0</v>
      </c>
      <c r="L81" s="35">
        <f t="shared" si="3"/>
        <v>155778.5</v>
      </c>
      <c r="M81" s="7">
        <f>M82</f>
        <v>-2877.3</v>
      </c>
      <c r="N81" s="35">
        <f t="shared" si="4"/>
        <v>152901.20000000001</v>
      </c>
      <c r="O81" s="7">
        <f>O82</f>
        <v>0</v>
      </c>
      <c r="P81" s="35">
        <f t="shared" si="5"/>
        <v>152901.20000000001</v>
      </c>
      <c r="Q81" s="7">
        <f>Q82</f>
        <v>0</v>
      </c>
      <c r="R81" s="35">
        <f t="shared" si="6"/>
        <v>152901.20000000001</v>
      </c>
      <c r="S81" s="7">
        <f>S82</f>
        <v>0</v>
      </c>
      <c r="T81" s="35">
        <f t="shared" si="7"/>
        <v>152901.20000000001</v>
      </c>
    </row>
    <row r="82" spans="1:20" ht="51.75" customHeight="1">
      <c r="A82" s="61" t="str">
        <f ca="1">IF(ISERROR(MATCH(E82,Код_КВР,0)),"",INDIRECT(ADDRESS(MATCH(E82,Код_КВР,0)+1,2,,,"КВР")))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" s="43" t="s">
        <v>277</v>
      </c>
      <c r="C82" s="8" t="s">
        <v>193</v>
      </c>
      <c r="D82" s="1" t="s">
        <v>212</v>
      </c>
      <c r="E82" s="113">
        <v>611</v>
      </c>
      <c r="F82" s="7">
        <f>прил.6!G636</f>
        <v>155778.5</v>
      </c>
      <c r="G82" s="7">
        <f>прил.6!H636</f>
        <v>0</v>
      </c>
      <c r="H82" s="35">
        <f t="shared" si="1"/>
        <v>155778.5</v>
      </c>
      <c r="I82" s="7">
        <f>прил.6!J636</f>
        <v>0</v>
      </c>
      <c r="J82" s="35">
        <f t="shared" si="2"/>
        <v>155778.5</v>
      </c>
      <c r="K82" s="7">
        <f>прил.6!L636</f>
        <v>0</v>
      </c>
      <c r="L82" s="35">
        <f t="shared" si="3"/>
        <v>155778.5</v>
      </c>
      <c r="M82" s="7">
        <f>прил.6!N636</f>
        <v>-2877.3</v>
      </c>
      <c r="N82" s="35">
        <f t="shared" si="4"/>
        <v>152901.20000000001</v>
      </c>
      <c r="O82" s="7">
        <f>прил.6!P636</f>
        <v>0</v>
      </c>
      <c r="P82" s="35">
        <f t="shared" si="5"/>
        <v>152901.20000000001</v>
      </c>
      <c r="Q82" s="7">
        <f>прил.6!R636</f>
        <v>0</v>
      </c>
      <c r="R82" s="35">
        <f t="shared" si="6"/>
        <v>152901.20000000001</v>
      </c>
      <c r="S82" s="7">
        <f>прил.6!T636</f>
        <v>0</v>
      </c>
      <c r="T82" s="35">
        <f t="shared" si="7"/>
        <v>152901.20000000001</v>
      </c>
    </row>
    <row r="83" spans="1:20">
      <c r="A83" s="61" t="str">
        <f ca="1">IF(ISERROR(MATCH(E83,Код_КВР,0)),"",INDIRECT(ADDRESS(MATCH(E83,Код_КВР,0)+1,2,,,"КВР")))</f>
        <v>Субсидии автономным учреждениям</v>
      </c>
      <c r="B83" s="43" t="s">
        <v>277</v>
      </c>
      <c r="C83" s="8" t="s">
        <v>193</v>
      </c>
      <c r="D83" s="1" t="s">
        <v>212</v>
      </c>
      <c r="E83" s="113">
        <v>620</v>
      </c>
      <c r="F83" s="7">
        <f>F84</f>
        <v>3259.7</v>
      </c>
      <c r="G83" s="7">
        <f>G84</f>
        <v>0</v>
      </c>
      <c r="H83" s="35">
        <f t="shared" si="1"/>
        <v>3259.7</v>
      </c>
      <c r="I83" s="7">
        <f>I84</f>
        <v>0</v>
      </c>
      <c r="J83" s="35">
        <f t="shared" si="2"/>
        <v>3259.7</v>
      </c>
      <c r="K83" s="7">
        <f>K84</f>
        <v>0</v>
      </c>
      <c r="L83" s="35">
        <f t="shared" si="3"/>
        <v>3259.7</v>
      </c>
      <c r="M83" s="7">
        <f>M84</f>
        <v>0</v>
      </c>
      <c r="N83" s="35">
        <f t="shared" si="4"/>
        <v>3259.7</v>
      </c>
      <c r="O83" s="7">
        <f>O84</f>
        <v>0</v>
      </c>
      <c r="P83" s="35">
        <f t="shared" si="5"/>
        <v>3259.7</v>
      </c>
      <c r="Q83" s="7">
        <f>Q84</f>
        <v>0</v>
      </c>
      <c r="R83" s="35">
        <f t="shared" si="6"/>
        <v>3259.7</v>
      </c>
      <c r="S83" s="7">
        <f>S84</f>
        <v>0</v>
      </c>
      <c r="T83" s="35">
        <f t="shared" si="7"/>
        <v>3259.7</v>
      </c>
    </row>
    <row r="84" spans="1:20" ht="53.25" customHeight="1">
      <c r="A84" s="61" t="str">
        <f ca="1">IF(ISERROR(MATCH(E84,Код_КВР,0)),"",INDIRECT(ADDRESS(MATCH(E84,Код_КВР,0)+1,2,,,"КВР")))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4" s="43" t="s">
        <v>277</v>
      </c>
      <c r="C84" s="8" t="s">
        <v>193</v>
      </c>
      <c r="D84" s="1" t="s">
        <v>212</v>
      </c>
      <c r="E84" s="113">
        <v>621</v>
      </c>
      <c r="F84" s="7">
        <f>прил.6!G638</f>
        <v>3259.7</v>
      </c>
      <c r="G84" s="7">
        <f>прил.6!H638</f>
        <v>0</v>
      </c>
      <c r="H84" s="35">
        <f t="shared" si="1"/>
        <v>3259.7</v>
      </c>
      <c r="I84" s="7">
        <f>прил.6!J638</f>
        <v>0</v>
      </c>
      <c r="J84" s="35">
        <f t="shared" si="2"/>
        <v>3259.7</v>
      </c>
      <c r="K84" s="7">
        <f>прил.6!L638</f>
        <v>0</v>
      </c>
      <c r="L84" s="35">
        <f t="shared" si="3"/>
        <v>3259.7</v>
      </c>
      <c r="M84" s="7">
        <f>прил.6!N638</f>
        <v>0</v>
      </c>
      <c r="N84" s="35">
        <f t="shared" si="4"/>
        <v>3259.7</v>
      </c>
      <c r="O84" s="7">
        <f>прил.6!P638</f>
        <v>0</v>
      </c>
      <c r="P84" s="35">
        <f t="shared" ref="P84:P155" si="17">N84+O84</f>
        <v>3259.7</v>
      </c>
      <c r="Q84" s="7">
        <f>прил.6!R638</f>
        <v>0</v>
      </c>
      <c r="R84" s="35">
        <f t="shared" ref="R84:R155" si="18">P84+Q84</f>
        <v>3259.7</v>
      </c>
      <c r="S84" s="7">
        <f>прил.6!T638</f>
        <v>0</v>
      </c>
      <c r="T84" s="35">
        <f t="shared" ref="T84:T147" si="19">R84+S84</f>
        <v>3259.7</v>
      </c>
    </row>
    <row r="85" spans="1:20" ht="86.25" customHeight="1">
      <c r="A85" s="61" t="str">
        <f ca="1">IF(ISERROR(MATCH(B85,Код_КЦСР,0)),"",INDIRECT(ADDRESS(MATCH(B85,Код_КЦСР,0)+1,2,,,"КЦСР")))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85" s="43" t="s">
        <v>278</v>
      </c>
      <c r="C85" s="8"/>
      <c r="D85" s="1"/>
      <c r="E85" s="113"/>
      <c r="F85" s="7">
        <f t="shared" ref="F85:S89" si="20">F86</f>
        <v>8367.7000000000007</v>
      </c>
      <c r="G85" s="7">
        <f t="shared" si="20"/>
        <v>0</v>
      </c>
      <c r="H85" s="35">
        <f t="shared" si="1"/>
        <v>8367.7000000000007</v>
      </c>
      <c r="I85" s="7">
        <f t="shared" si="20"/>
        <v>0</v>
      </c>
      <c r="J85" s="35">
        <f t="shared" si="2"/>
        <v>8367.7000000000007</v>
      </c>
      <c r="K85" s="7">
        <f t="shared" si="20"/>
        <v>0</v>
      </c>
      <c r="L85" s="35">
        <f t="shared" si="3"/>
        <v>8367.7000000000007</v>
      </c>
      <c r="M85" s="7">
        <f t="shared" si="20"/>
        <v>0</v>
      </c>
      <c r="N85" s="35">
        <f t="shared" si="4"/>
        <v>8367.7000000000007</v>
      </c>
      <c r="O85" s="7">
        <f t="shared" si="20"/>
        <v>0</v>
      </c>
      <c r="P85" s="35">
        <f t="shared" si="17"/>
        <v>8367.7000000000007</v>
      </c>
      <c r="Q85" s="7">
        <f t="shared" si="20"/>
        <v>0</v>
      </c>
      <c r="R85" s="35">
        <f t="shared" si="18"/>
        <v>8367.7000000000007</v>
      </c>
      <c r="S85" s="7">
        <f t="shared" si="20"/>
        <v>-373.2</v>
      </c>
      <c r="T85" s="35">
        <f t="shared" si="19"/>
        <v>7994.5000000000009</v>
      </c>
    </row>
    <row r="86" spans="1:20">
      <c r="A86" s="61" t="str">
        <f ca="1">IF(ISERROR(MATCH(C86,Код_Раздел,0)),"",INDIRECT(ADDRESS(MATCH(C86,Код_Раздел,0)+1,2,,,"Раздел")))</f>
        <v>Образование</v>
      </c>
      <c r="B86" s="43" t="s">
        <v>278</v>
      </c>
      <c r="C86" s="8" t="s">
        <v>193</v>
      </c>
      <c r="D86" s="1"/>
      <c r="E86" s="113"/>
      <c r="F86" s="7">
        <f t="shared" si="20"/>
        <v>8367.7000000000007</v>
      </c>
      <c r="G86" s="7">
        <f t="shared" si="20"/>
        <v>0</v>
      </c>
      <c r="H86" s="35">
        <f t="shared" si="1"/>
        <v>8367.7000000000007</v>
      </c>
      <c r="I86" s="7">
        <f t="shared" si="20"/>
        <v>0</v>
      </c>
      <c r="J86" s="35">
        <f t="shared" si="2"/>
        <v>8367.7000000000007</v>
      </c>
      <c r="K86" s="7">
        <f t="shared" si="20"/>
        <v>0</v>
      </c>
      <c r="L86" s="35">
        <f t="shared" si="3"/>
        <v>8367.7000000000007</v>
      </c>
      <c r="M86" s="7">
        <f t="shared" si="20"/>
        <v>0</v>
      </c>
      <c r="N86" s="35">
        <f t="shared" si="4"/>
        <v>8367.7000000000007</v>
      </c>
      <c r="O86" s="7">
        <f t="shared" si="20"/>
        <v>0</v>
      </c>
      <c r="P86" s="35">
        <f t="shared" si="17"/>
        <v>8367.7000000000007</v>
      </c>
      <c r="Q86" s="7">
        <f t="shared" si="20"/>
        <v>0</v>
      </c>
      <c r="R86" s="35">
        <f t="shared" si="18"/>
        <v>8367.7000000000007</v>
      </c>
      <c r="S86" s="7">
        <f t="shared" si="20"/>
        <v>-373.2</v>
      </c>
      <c r="T86" s="35">
        <f t="shared" si="19"/>
        <v>7994.5000000000009</v>
      </c>
    </row>
    <row r="87" spans="1:20">
      <c r="A87" s="12" t="s">
        <v>248</v>
      </c>
      <c r="B87" s="43" t="s">
        <v>278</v>
      </c>
      <c r="C87" s="8" t="s">
        <v>193</v>
      </c>
      <c r="D87" s="1" t="s">
        <v>212</v>
      </c>
      <c r="E87" s="113"/>
      <c r="F87" s="7">
        <f t="shared" si="20"/>
        <v>8367.7000000000007</v>
      </c>
      <c r="G87" s="7">
        <f t="shared" si="20"/>
        <v>0</v>
      </c>
      <c r="H87" s="35">
        <f t="shared" si="1"/>
        <v>8367.7000000000007</v>
      </c>
      <c r="I87" s="7">
        <f t="shared" si="20"/>
        <v>0</v>
      </c>
      <c r="J87" s="35">
        <f t="shared" si="2"/>
        <v>8367.7000000000007</v>
      </c>
      <c r="K87" s="7">
        <f t="shared" si="20"/>
        <v>0</v>
      </c>
      <c r="L87" s="35">
        <f t="shared" si="3"/>
        <v>8367.7000000000007</v>
      </c>
      <c r="M87" s="7">
        <f t="shared" si="20"/>
        <v>0</v>
      </c>
      <c r="N87" s="35">
        <f t="shared" si="4"/>
        <v>8367.7000000000007</v>
      </c>
      <c r="O87" s="7">
        <f t="shared" si="20"/>
        <v>0</v>
      </c>
      <c r="P87" s="35">
        <f t="shared" si="17"/>
        <v>8367.7000000000007</v>
      </c>
      <c r="Q87" s="7">
        <f t="shared" si="20"/>
        <v>0</v>
      </c>
      <c r="R87" s="35">
        <f t="shared" si="18"/>
        <v>8367.7000000000007</v>
      </c>
      <c r="S87" s="7">
        <f t="shared" si="20"/>
        <v>-373.2</v>
      </c>
      <c r="T87" s="35">
        <f t="shared" si="19"/>
        <v>7994.5000000000009</v>
      </c>
    </row>
    <row r="88" spans="1:20" ht="33">
      <c r="A88" s="61" t="str">
        <f ca="1">IF(ISERROR(MATCH(E88,Код_КВР,0)),"",INDIRECT(ADDRESS(MATCH(E88,Код_КВР,0)+1,2,,,"КВР")))</f>
        <v>Предоставление субсидий бюджетным, автономным учреждениям и иным некоммерческим организациям</v>
      </c>
      <c r="B88" s="43" t="s">
        <v>278</v>
      </c>
      <c r="C88" s="8" t="s">
        <v>193</v>
      </c>
      <c r="D88" s="1" t="s">
        <v>212</v>
      </c>
      <c r="E88" s="113">
        <v>600</v>
      </c>
      <c r="F88" s="7">
        <f t="shared" si="20"/>
        <v>8367.7000000000007</v>
      </c>
      <c r="G88" s="7">
        <f t="shared" si="20"/>
        <v>0</v>
      </c>
      <c r="H88" s="35">
        <f t="shared" si="1"/>
        <v>8367.7000000000007</v>
      </c>
      <c r="I88" s="7">
        <f t="shared" si="20"/>
        <v>0</v>
      </c>
      <c r="J88" s="35">
        <f t="shared" si="2"/>
        <v>8367.7000000000007</v>
      </c>
      <c r="K88" s="7">
        <f t="shared" si="20"/>
        <v>0</v>
      </c>
      <c r="L88" s="35">
        <f t="shared" si="3"/>
        <v>8367.7000000000007</v>
      </c>
      <c r="M88" s="7">
        <f t="shared" si="20"/>
        <v>0</v>
      </c>
      <c r="N88" s="35">
        <f t="shared" si="4"/>
        <v>8367.7000000000007</v>
      </c>
      <c r="O88" s="7">
        <f t="shared" si="20"/>
        <v>0</v>
      </c>
      <c r="P88" s="35">
        <f t="shared" si="17"/>
        <v>8367.7000000000007</v>
      </c>
      <c r="Q88" s="7">
        <f t="shared" si="20"/>
        <v>0</v>
      </c>
      <c r="R88" s="35">
        <f t="shared" si="18"/>
        <v>8367.7000000000007</v>
      </c>
      <c r="S88" s="7">
        <f t="shared" si="20"/>
        <v>-373.2</v>
      </c>
      <c r="T88" s="35">
        <f t="shared" si="19"/>
        <v>7994.5000000000009</v>
      </c>
    </row>
    <row r="89" spans="1:20">
      <c r="A89" s="61" t="str">
        <f ca="1">IF(ISERROR(MATCH(E89,Код_КВР,0)),"",INDIRECT(ADDRESS(MATCH(E89,Код_КВР,0)+1,2,,,"КВР")))</f>
        <v>Субсидии бюджетным учреждениям</v>
      </c>
      <c r="B89" s="43" t="s">
        <v>278</v>
      </c>
      <c r="C89" s="8" t="s">
        <v>193</v>
      </c>
      <c r="D89" s="1" t="s">
        <v>212</v>
      </c>
      <c r="E89" s="113">
        <v>610</v>
      </c>
      <c r="F89" s="7">
        <f t="shared" si="20"/>
        <v>8367.7000000000007</v>
      </c>
      <c r="G89" s="7">
        <f t="shared" si="20"/>
        <v>0</v>
      </c>
      <c r="H89" s="35">
        <f t="shared" si="1"/>
        <v>8367.7000000000007</v>
      </c>
      <c r="I89" s="7">
        <f t="shared" si="20"/>
        <v>0</v>
      </c>
      <c r="J89" s="35">
        <f t="shared" si="2"/>
        <v>8367.7000000000007</v>
      </c>
      <c r="K89" s="7">
        <f t="shared" si="20"/>
        <v>0</v>
      </c>
      <c r="L89" s="35">
        <f t="shared" ref="L89:L161" si="21">J89+K89</f>
        <v>8367.7000000000007</v>
      </c>
      <c r="M89" s="7">
        <f t="shared" si="20"/>
        <v>0</v>
      </c>
      <c r="N89" s="35">
        <f t="shared" ref="N89:N161" si="22">L89+M89</f>
        <v>8367.7000000000007</v>
      </c>
      <c r="O89" s="7">
        <f t="shared" si="20"/>
        <v>0</v>
      </c>
      <c r="P89" s="35">
        <f t="shared" si="17"/>
        <v>8367.7000000000007</v>
      </c>
      <c r="Q89" s="7">
        <f t="shared" si="20"/>
        <v>0</v>
      </c>
      <c r="R89" s="35">
        <f t="shared" si="18"/>
        <v>8367.7000000000007</v>
      </c>
      <c r="S89" s="7">
        <f t="shared" si="20"/>
        <v>-373.2</v>
      </c>
      <c r="T89" s="35">
        <f t="shared" si="19"/>
        <v>7994.5000000000009</v>
      </c>
    </row>
    <row r="90" spans="1:20" ht="51.75" customHeight="1">
      <c r="A90" s="61" t="str">
        <f ca="1">IF(ISERROR(MATCH(E90,Код_КВР,0)),"",INDIRECT(ADDRESS(MATCH(E90,Код_КВР,0)+1,2,,,"КВР")))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0" s="43" t="s">
        <v>278</v>
      </c>
      <c r="C90" s="8" t="s">
        <v>193</v>
      </c>
      <c r="D90" s="1" t="s">
        <v>212</v>
      </c>
      <c r="E90" s="113">
        <v>611</v>
      </c>
      <c r="F90" s="7">
        <f>прил.6!G642</f>
        <v>8367.7000000000007</v>
      </c>
      <c r="G90" s="7">
        <f>прил.6!H642</f>
        <v>0</v>
      </c>
      <c r="H90" s="35">
        <f t="shared" si="1"/>
        <v>8367.7000000000007</v>
      </c>
      <c r="I90" s="7">
        <f>прил.6!J642</f>
        <v>0</v>
      </c>
      <c r="J90" s="35">
        <f t="shared" si="2"/>
        <v>8367.7000000000007</v>
      </c>
      <c r="K90" s="7">
        <f>прил.6!L642</f>
        <v>0</v>
      </c>
      <c r="L90" s="35">
        <f t="shared" si="21"/>
        <v>8367.7000000000007</v>
      </c>
      <c r="M90" s="7">
        <f>прил.6!N642</f>
        <v>0</v>
      </c>
      <c r="N90" s="35">
        <f t="shared" si="22"/>
        <v>8367.7000000000007</v>
      </c>
      <c r="O90" s="7">
        <f>прил.6!P642</f>
        <v>0</v>
      </c>
      <c r="P90" s="35">
        <f t="shared" si="17"/>
        <v>8367.7000000000007</v>
      </c>
      <c r="Q90" s="7">
        <f>прил.6!R642</f>
        <v>0</v>
      </c>
      <c r="R90" s="35">
        <f t="shared" si="18"/>
        <v>8367.7000000000007</v>
      </c>
      <c r="S90" s="7">
        <f>прил.6!T642</f>
        <v>-373.2</v>
      </c>
      <c r="T90" s="35">
        <f t="shared" si="19"/>
        <v>7994.5000000000009</v>
      </c>
    </row>
    <row r="91" spans="1:20" ht="35.25" customHeight="1">
      <c r="A91" s="61" t="str">
        <f ca="1">IF(ISERROR(MATCH(B91,Код_КЦСР,0)),"",INDIRECT(ADDRESS(MATCH(B91,Код_КЦСР,0)+1,2,,,"КЦСР")))</f>
        <v>Формирование комплексной системы выявления, развития и поддержки одаренных детей и молодых талантов</v>
      </c>
      <c r="B91" s="43" t="s">
        <v>279</v>
      </c>
      <c r="C91" s="8"/>
      <c r="D91" s="1"/>
      <c r="E91" s="113"/>
      <c r="F91" s="7">
        <f t="shared" ref="F91:S93" si="23">F92</f>
        <v>458</v>
      </c>
      <c r="G91" s="7">
        <f t="shared" si="23"/>
        <v>0</v>
      </c>
      <c r="H91" s="35">
        <f t="shared" si="1"/>
        <v>458</v>
      </c>
      <c r="I91" s="7">
        <f t="shared" si="23"/>
        <v>0</v>
      </c>
      <c r="J91" s="35">
        <f t="shared" ref="J91:J164" si="24">H91+I91</f>
        <v>458</v>
      </c>
      <c r="K91" s="7">
        <f t="shared" si="23"/>
        <v>0</v>
      </c>
      <c r="L91" s="35">
        <f t="shared" si="21"/>
        <v>458</v>
      </c>
      <c r="M91" s="7">
        <f t="shared" si="23"/>
        <v>0</v>
      </c>
      <c r="N91" s="35">
        <f t="shared" si="22"/>
        <v>458</v>
      </c>
      <c r="O91" s="7">
        <f t="shared" si="23"/>
        <v>10</v>
      </c>
      <c r="P91" s="35">
        <f t="shared" si="17"/>
        <v>468</v>
      </c>
      <c r="Q91" s="7">
        <f t="shared" si="23"/>
        <v>0</v>
      </c>
      <c r="R91" s="35">
        <f t="shared" si="18"/>
        <v>468</v>
      </c>
      <c r="S91" s="7">
        <f t="shared" si="23"/>
        <v>0</v>
      </c>
      <c r="T91" s="35">
        <f t="shared" si="19"/>
        <v>468</v>
      </c>
    </row>
    <row r="92" spans="1:20">
      <c r="A92" s="61" t="str">
        <f ca="1">IF(ISERROR(MATCH(C92,Код_Раздел,0)),"",INDIRECT(ADDRESS(MATCH(C92,Код_Раздел,0)+1,2,,,"Раздел")))</f>
        <v>Образование</v>
      </c>
      <c r="B92" s="43" t="s">
        <v>279</v>
      </c>
      <c r="C92" s="8" t="s">
        <v>193</v>
      </c>
      <c r="D92" s="1"/>
      <c r="E92" s="113"/>
      <c r="F92" s="7">
        <f t="shared" si="23"/>
        <v>458</v>
      </c>
      <c r="G92" s="7">
        <f t="shared" si="23"/>
        <v>0</v>
      </c>
      <c r="H92" s="35">
        <f t="shared" si="1"/>
        <v>458</v>
      </c>
      <c r="I92" s="7">
        <f t="shared" si="23"/>
        <v>0</v>
      </c>
      <c r="J92" s="35">
        <f t="shared" si="24"/>
        <v>458</v>
      </c>
      <c r="K92" s="7">
        <f t="shared" si="23"/>
        <v>0</v>
      </c>
      <c r="L92" s="35">
        <f t="shared" si="21"/>
        <v>458</v>
      </c>
      <c r="M92" s="7">
        <f t="shared" si="23"/>
        <v>0</v>
      </c>
      <c r="N92" s="35">
        <f t="shared" si="22"/>
        <v>458</v>
      </c>
      <c r="O92" s="7">
        <f t="shared" si="23"/>
        <v>10</v>
      </c>
      <c r="P92" s="35">
        <f t="shared" si="17"/>
        <v>468</v>
      </c>
      <c r="Q92" s="7">
        <f t="shared" si="23"/>
        <v>0</v>
      </c>
      <c r="R92" s="35">
        <f t="shared" si="18"/>
        <v>468</v>
      </c>
      <c r="S92" s="7">
        <f t="shared" si="23"/>
        <v>0</v>
      </c>
      <c r="T92" s="35">
        <f t="shared" si="19"/>
        <v>468</v>
      </c>
    </row>
    <row r="93" spans="1:20">
      <c r="A93" s="12" t="s">
        <v>248</v>
      </c>
      <c r="B93" s="43" t="s">
        <v>279</v>
      </c>
      <c r="C93" s="8" t="s">
        <v>193</v>
      </c>
      <c r="D93" s="1" t="s">
        <v>212</v>
      </c>
      <c r="E93" s="113"/>
      <c r="F93" s="7">
        <f t="shared" si="23"/>
        <v>458</v>
      </c>
      <c r="G93" s="7">
        <f t="shared" si="23"/>
        <v>0</v>
      </c>
      <c r="H93" s="35">
        <f t="shared" ref="H93:H172" si="25">F93+G93</f>
        <v>458</v>
      </c>
      <c r="I93" s="7">
        <f t="shared" si="23"/>
        <v>0</v>
      </c>
      <c r="J93" s="35">
        <f t="shared" si="24"/>
        <v>458</v>
      </c>
      <c r="K93" s="7">
        <f t="shared" si="23"/>
        <v>0</v>
      </c>
      <c r="L93" s="35">
        <f t="shared" si="21"/>
        <v>458</v>
      </c>
      <c r="M93" s="7">
        <f t="shared" si="23"/>
        <v>0</v>
      </c>
      <c r="N93" s="35">
        <f t="shared" si="22"/>
        <v>458</v>
      </c>
      <c r="O93" s="7">
        <f t="shared" si="23"/>
        <v>10</v>
      </c>
      <c r="P93" s="35">
        <f t="shared" si="17"/>
        <v>468</v>
      </c>
      <c r="Q93" s="7">
        <f t="shared" si="23"/>
        <v>0</v>
      </c>
      <c r="R93" s="35">
        <f t="shared" si="18"/>
        <v>468</v>
      </c>
      <c r="S93" s="7">
        <f t="shared" si="23"/>
        <v>0</v>
      </c>
      <c r="T93" s="35">
        <f t="shared" si="19"/>
        <v>468</v>
      </c>
    </row>
    <row r="94" spans="1:20">
      <c r="A94" s="61" t="str">
        <f ca="1">IF(ISERROR(MATCH(E94,Код_КВР,0)),"",INDIRECT(ADDRESS(MATCH(E94,Код_КВР,0)+1,2,,,"КВР")))</f>
        <v>Социальное обеспечение и иные выплаты населению</v>
      </c>
      <c r="B94" s="43" t="s">
        <v>279</v>
      </c>
      <c r="C94" s="8" t="s">
        <v>193</v>
      </c>
      <c r="D94" s="1" t="s">
        <v>212</v>
      </c>
      <c r="E94" s="113">
        <v>300</v>
      </c>
      <c r="F94" s="7">
        <f>SUM(F95:F96)</f>
        <v>458</v>
      </c>
      <c r="G94" s="7">
        <f>SUM(G95:G96)</f>
        <v>0</v>
      </c>
      <c r="H94" s="35">
        <f t="shared" si="25"/>
        <v>458</v>
      </c>
      <c r="I94" s="7">
        <f>SUM(I95:I96)</f>
        <v>0</v>
      </c>
      <c r="J94" s="35">
        <f t="shared" si="24"/>
        <v>458</v>
      </c>
      <c r="K94" s="7">
        <f>SUM(K95:K96)</f>
        <v>0</v>
      </c>
      <c r="L94" s="35">
        <f t="shared" si="21"/>
        <v>458</v>
      </c>
      <c r="M94" s="7">
        <f>SUM(M95:M96)</f>
        <v>0</v>
      </c>
      <c r="N94" s="35">
        <f t="shared" si="22"/>
        <v>458</v>
      </c>
      <c r="O94" s="7">
        <f>SUM(O95:O96)</f>
        <v>10</v>
      </c>
      <c r="P94" s="35">
        <f t="shared" si="17"/>
        <v>468</v>
      </c>
      <c r="Q94" s="7">
        <f>SUM(Q95:Q96)</f>
        <v>0</v>
      </c>
      <c r="R94" s="35">
        <f t="shared" si="18"/>
        <v>468</v>
      </c>
      <c r="S94" s="7">
        <f>SUM(S95:S96)</f>
        <v>0</v>
      </c>
      <c r="T94" s="35">
        <f t="shared" si="19"/>
        <v>468</v>
      </c>
    </row>
    <row r="95" spans="1:20">
      <c r="A95" s="61" t="str">
        <f ca="1">IF(ISERROR(MATCH(E95,Код_КВР,0)),"",INDIRECT(ADDRESS(MATCH(E95,Код_КВР,0)+1,2,,,"КВР")))</f>
        <v>Стипендии</v>
      </c>
      <c r="B95" s="43" t="s">
        <v>279</v>
      </c>
      <c r="C95" s="8" t="s">
        <v>193</v>
      </c>
      <c r="D95" s="1" t="s">
        <v>212</v>
      </c>
      <c r="E95" s="113">
        <v>340</v>
      </c>
      <c r="F95" s="7">
        <f>прил.6!G645</f>
        <v>200</v>
      </c>
      <c r="G95" s="7">
        <f>прил.6!H645</f>
        <v>0</v>
      </c>
      <c r="H95" s="35">
        <f t="shared" si="25"/>
        <v>200</v>
      </c>
      <c r="I95" s="7">
        <f>прил.6!J645</f>
        <v>0</v>
      </c>
      <c r="J95" s="35">
        <f t="shared" si="24"/>
        <v>200</v>
      </c>
      <c r="K95" s="7">
        <f>прил.6!L645</f>
        <v>0</v>
      </c>
      <c r="L95" s="35">
        <f t="shared" si="21"/>
        <v>200</v>
      </c>
      <c r="M95" s="7">
        <f>прил.6!N645</f>
        <v>0</v>
      </c>
      <c r="N95" s="35">
        <f t="shared" si="22"/>
        <v>200</v>
      </c>
      <c r="O95" s="7">
        <f>прил.6!P645</f>
        <v>0</v>
      </c>
      <c r="P95" s="35">
        <f t="shared" si="17"/>
        <v>200</v>
      </c>
      <c r="Q95" s="7">
        <f>прил.6!R645</f>
        <v>0</v>
      </c>
      <c r="R95" s="35">
        <f t="shared" si="18"/>
        <v>200</v>
      </c>
      <c r="S95" s="7">
        <f>прил.6!T645</f>
        <v>0</v>
      </c>
      <c r="T95" s="35">
        <f t="shared" si="19"/>
        <v>200</v>
      </c>
    </row>
    <row r="96" spans="1:20">
      <c r="A96" s="61" t="str">
        <f ca="1">IF(ISERROR(MATCH(E96,Код_КВР,0)),"",INDIRECT(ADDRESS(MATCH(E96,Код_КВР,0)+1,2,,,"КВР")))</f>
        <v>Премии и гранты</v>
      </c>
      <c r="B96" s="43" t="s">
        <v>279</v>
      </c>
      <c r="C96" s="8" t="s">
        <v>193</v>
      </c>
      <c r="D96" s="1" t="s">
        <v>212</v>
      </c>
      <c r="E96" s="113">
        <v>350</v>
      </c>
      <c r="F96" s="7">
        <f>прил.6!G646</f>
        <v>258</v>
      </c>
      <c r="G96" s="7">
        <f>прил.6!H646</f>
        <v>0</v>
      </c>
      <c r="H96" s="35">
        <f t="shared" si="25"/>
        <v>258</v>
      </c>
      <c r="I96" s="7">
        <f>прил.6!J646</f>
        <v>0</v>
      </c>
      <c r="J96" s="35">
        <f t="shared" si="24"/>
        <v>258</v>
      </c>
      <c r="K96" s="7">
        <f>прил.6!L646</f>
        <v>0</v>
      </c>
      <c r="L96" s="35">
        <f t="shared" si="21"/>
        <v>258</v>
      </c>
      <c r="M96" s="7">
        <f>прил.6!N646</f>
        <v>0</v>
      </c>
      <c r="N96" s="35">
        <f t="shared" si="22"/>
        <v>258</v>
      </c>
      <c r="O96" s="7">
        <f>прил.6!P646</f>
        <v>10</v>
      </c>
      <c r="P96" s="35">
        <f t="shared" si="17"/>
        <v>268</v>
      </c>
      <c r="Q96" s="7">
        <f>прил.6!R646</f>
        <v>0</v>
      </c>
      <c r="R96" s="35">
        <f t="shared" si="18"/>
        <v>268</v>
      </c>
      <c r="S96" s="7">
        <f>прил.6!T646</f>
        <v>0</v>
      </c>
      <c r="T96" s="35">
        <f t="shared" si="19"/>
        <v>268</v>
      </c>
    </row>
    <row r="97" spans="1:20" ht="70.5" customHeight="1">
      <c r="A97" s="61" t="str">
        <f ca="1">IF(ISERROR(MATCH(B97,Код_КЦСР,0)),"",INDIRECT(ADDRESS(MATCH(B97,Код_КЦСР,0)+1,2,,,"КЦСР")))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7" s="43" t="s">
        <v>434</v>
      </c>
      <c r="C97" s="8"/>
      <c r="D97" s="1"/>
      <c r="E97" s="113"/>
      <c r="F97" s="7">
        <f t="shared" ref="F97:S99" si="26">F98</f>
        <v>1155626.6000000001</v>
      </c>
      <c r="G97" s="7">
        <f t="shared" si="26"/>
        <v>0</v>
      </c>
      <c r="H97" s="35">
        <f t="shared" si="25"/>
        <v>1155626.6000000001</v>
      </c>
      <c r="I97" s="7">
        <f t="shared" si="26"/>
        <v>0</v>
      </c>
      <c r="J97" s="35">
        <f t="shared" si="24"/>
        <v>1155626.6000000001</v>
      </c>
      <c r="K97" s="7">
        <f t="shared" si="26"/>
        <v>0</v>
      </c>
      <c r="L97" s="35">
        <f t="shared" si="21"/>
        <v>1155626.6000000001</v>
      </c>
      <c r="M97" s="7">
        <f t="shared" si="26"/>
        <v>0</v>
      </c>
      <c r="N97" s="35">
        <f t="shared" si="22"/>
        <v>1155626.6000000001</v>
      </c>
      <c r="O97" s="7">
        <f t="shared" si="26"/>
        <v>0</v>
      </c>
      <c r="P97" s="35">
        <f t="shared" si="17"/>
        <v>1155626.6000000001</v>
      </c>
      <c r="Q97" s="7">
        <f t="shared" si="26"/>
        <v>4006.7000000000007</v>
      </c>
      <c r="R97" s="35">
        <f t="shared" si="18"/>
        <v>1159633.3</v>
      </c>
      <c r="S97" s="7">
        <f t="shared" si="26"/>
        <v>7434.9000000000005</v>
      </c>
      <c r="T97" s="35">
        <f t="shared" si="19"/>
        <v>1167068.2</v>
      </c>
    </row>
    <row r="98" spans="1:20">
      <c r="A98" s="61" t="str">
        <f ca="1">IF(ISERROR(MATCH(C98,Код_Раздел,0)),"",INDIRECT(ADDRESS(MATCH(C98,Код_Раздел,0)+1,2,,,"Раздел")))</f>
        <v>Образование</v>
      </c>
      <c r="B98" s="43" t="s">
        <v>434</v>
      </c>
      <c r="C98" s="8" t="s">
        <v>193</v>
      </c>
      <c r="D98" s="1"/>
      <c r="E98" s="113"/>
      <c r="F98" s="7">
        <f t="shared" si="26"/>
        <v>1155626.6000000001</v>
      </c>
      <c r="G98" s="7">
        <f t="shared" si="26"/>
        <v>0</v>
      </c>
      <c r="H98" s="35">
        <f t="shared" si="25"/>
        <v>1155626.6000000001</v>
      </c>
      <c r="I98" s="7">
        <f t="shared" si="26"/>
        <v>0</v>
      </c>
      <c r="J98" s="35">
        <f t="shared" si="24"/>
        <v>1155626.6000000001</v>
      </c>
      <c r="K98" s="7">
        <f t="shared" si="26"/>
        <v>0</v>
      </c>
      <c r="L98" s="35">
        <f t="shared" si="21"/>
        <v>1155626.6000000001</v>
      </c>
      <c r="M98" s="7">
        <f t="shared" si="26"/>
        <v>0</v>
      </c>
      <c r="N98" s="35">
        <f t="shared" si="22"/>
        <v>1155626.6000000001</v>
      </c>
      <c r="O98" s="7">
        <f t="shared" si="26"/>
        <v>0</v>
      </c>
      <c r="P98" s="35">
        <f t="shared" si="17"/>
        <v>1155626.6000000001</v>
      </c>
      <c r="Q98" s="7">
        <f t="shared" si="26"/>
        <v>4006.7000000000007</v>
      </c>
      <c r="R98" s="35">
        <f t="shared" si="18"/>
        <v>1159633.3</v>
      </c>
      <c r="S98" s="7">
        <f t="shared" si="26"/>
        <v>7434.9000000000005</v>
      </c>
      <c r="T98" s="35">
        <f t="shared" si="19"/>
        <v>1167068.2</v>
      </c>
    </row>
    <row r="99" spans="1:20">
      <c r="A99" s="12" t="s">
        <v>248</v>
      </c>
      <c r="B99" s="43" t="s">
        <v>434</v>
      </c>
      <c r="C99" s="8" t="s">
        <v>193</v>
      </c>
      <c r="D99" s="1" t="s">
        <v>212</v>
      </c>
      <c r="E99" s="113"/>
      <c r="F99" s="7">
        <f t="shared" si="26"/>
        <v>1155626.6000000001</v>
      </c>
      <c r="G99" s="7">
        <f t="shared" si="26"/>
        <v>0</v>
      </c>
      <c r="H99" s="35">
        <f t="shared" si="25"/>
        <v>1155626.6000000001</v>
      </c>
      <c r="I99" s="7">
        <f t="shared" si="26"/>
        <v>0</v>
      </c>
      <c r="J99" s="35">
        <f t="shared" si="24"/>
        <v>1155626.6000000001</v>
      </c>
      <c r="K99" s="7">
        <f t="shared" si="26"/>
        <v>0</v>
      </c>
      <c r="L99" s="35">
        <f t="shared" si="21"/>
        <v>1155626.6000000001</v>
      </c>
      <c r="M99" s="7">
        <f t="shared" si="26"/>
        <v>0</v>
      </c>
      <c r="N99" s="35">
        <f t="shared" si="22"/>
        <v>1155626.6000000001</v>
      </c>
      <c r="O99" s="7">
        <f t="shared" si="26"/>
        <v>0</v>
      </c>
      <c r="P99" s="35">
        <f t="shared" si="17"/>
        <v>1155626.6000000001</v>
      </c>
      <c r="Q99" s="7">
        <f t="shared" si="26"/>
        <v>4006.7000000000007</v>
      </c>
      <c r="R99" s="35">
        <f t="shared" si="18"/>
        <v>1159633.3</v>
      </c>
      <c r="S99" s="7">
        <f t="shared" si="26"/>
        <v>7434.9000000000005</v>
      </c>
      <c r="T99" s="35">
        <f t="shared" si="19"/>
        <v>1167068.2</v>
      </c>
    </row>
    <row r="100" spans="1:20" ht="33">
      <c r="A100" s="61" t="str">
        <f t="shared" ref="A100:A106" ca="1" si="27">IF(ISERROR(MATCH(E100,Код_КВР,0)),"",INDIRECT(ADDRESS(MATCH(E100,Код_КВР,0)+1,2,,,"КВР")))</f>
        <v>Предоставление субсидий бюджетным, автономным учреждениям и иным некоммерческим организациям</v>
      </c>
      <c r="B100" s="43" t="s">
        <v>434</v>
      </c>
      <c r="C100" s="8" t="s">
        <v>193</v>
      </c>
      <c r="D100" s="1" t="s">
        <v>212</v>
      </c>
      <c r="E100" s="113">
        <v>600</v>
      </c>
      <c r="F100" s="7">
        <f>F101+F104</f>
        <v>1155626.6000000001</v>
      </c>
      <c r="G100" s="7">
        <f>G101+G104</f>
        <v>0</v>
      </c>
      <c r="H100" s="35">
        <f t="shared" si="25"/>
        <v>1155626.6000000001</v>
      </c>
      <c r="I100" s="7">
        <f>I101+I104</f>
        <v>0</v>
      </c>
      <c r="J100" s="35">
        <f t="shared" si="24"/>
        <v>1155626.6000000001</v>
      </c>
      <c r="K100" s="7">
        <f>K101+K104</f>
        <v>0</v>
      </c>
      <c r="L100" s="35">
        <f t="shared" si="21"/>
        <v>1155626.6000000001</v>
      </c>
      <c r="M100" s="7">
        <f>M101+M104</f>
        <v>0</v>
      </c>
      <c r="N100" s="35">
        <f t="shared" si="22"/>
        <v>1155626.6000000001</v>
      </c>
      <c r="O100" s="7">
        <f>O101+O104</f>
        <v>0</v>
      </c>
      <c r="P100" s="35">
        <f t="shared" si="17"/>
        <v>1155626.6000000001</v>
      </c>
      <c r="Q100" s="7">
        <f>Q101+Q104</f>
        <v>4006.7000000000007</v>
      </c>
      <c r="R100" s="35">
        <f t="shared" si="18"/>
        <v>1159633.3</v>
      </c>
      <c r="S100" s="7">
        <f>S101+S104</f>
        <v>7434.9000000000005</v>
      </c>
      <c r="T100" s="35">
        <f t="shared" si="19"/>
        <v>1167068.2</v>
      </c>
    </row>
    <row r="101" spans="1:20">
      <c r="A101" s="61" t="str">
        <f t="shared" ca="1" si="27"/>
        <v>Субсидии бюджетным учреждениям</v>
      </c>
      <c r="B101" s="43" t="s">
        <v>434</v>
      </c>
      <c r="C101" s="8" t="s">
        <v>193</v>
      </c>
      <c r="D101" s="1" t="s">
        <v>212</v>
      </c>
      <c r="E101" s="113">
        <v>610</v>
      </c>
      <c r="F101" s="7">
        <f>F102</f>
        <v>1133628.3</v>
      </c>
      <c r="G101" s="7">
        <f>G102</f>
        <v>0</v>
      </c>
      <c r="H101" s="35">
        <f t="shared" si="25"/>
        <v>1133628.3</v>
      </c>
      <c r="I101" s="7">
        <f>I102</f>
        <v>0</v>
      </c>
      <c r="J101" s="35">
        <f t="shared" si="24"/>
        <v>1133628.3</v>
      </c>
      <c r="K101" s="7">
        <f>K102</f>
        <v>0</v>
      </c>
      <c r="L101" s="35">
        <f t="shared" si="21"/>
        <v>1133628.3</v>
      </c>
      <c r="M101" s="7">
        <f>M102</f>
        <v>0</v>
      </c>
      <c r="N101" s="35">
        <f t="shared" si="22"/>
        <v>1133628.3</v>
      </c>
      <c r="O101" s="7">
        <f>O102</f>
        <v>0</v>
      </c>
      <c r="P101" s="35">
        <f t="shared" si="17"/>
        <v>1133628.3</v>
      </c>
      <c r="Q101" s="7">
        <f>Q102+Q103</f>
        <v>4006.7000000000007</v>
      </c>
      <c r="R101" s="35">
        <f t="shared" si="18"/>
        <v>1137635</v>
      </c>
      <c r="S101" s="7">
        <f>S102+S103</f>
        <v>7434.9000000000005</v>
      </c>
      <c r="T101" s="35">
        <f t="shared" si="19"/>
        <v>1145069.8999999999</v>
      </c>
    </row>
    <row r="102" spans="1:20" ht="49.5">
      <c r="A102" s="61" t="str">
        <f t="shared" ca="1" si="2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2" s="43" t="s">
        <v>434</v>
      </c>
      <c r="C102" s="8" t="s">
        <v>193</v>
      </c>
      <c r="D102" s="1" t="s">
        <v>212</v>
      </c>
      <c r="E102" s="113">
        <v>611</v>
      </c>
      <c r="F102" s="7">
        <f>прил.6!G650</f>
        <v>1133628.3</v>
      </c>
      <c r="G102" s="7">
        <f>прил.6!H650</f>
        <v>0</v>
      </c>
      <c r="H102" s="35">
        <f t="shared" si="25"/>
        <v>1133628.3</v>
      </c>
      <c r="I102" s="7">
        <f>прил.6!J650</f>
        <v>0</v>
      </c>
      <c r="J102" s="35">
        <f t="shared" si="24"/>
        <v>1133628.3</v>
      </c>
      <c r="K102" s="7">
        <f>прил.6!L650</f>
        <v>0</v>
      </c>
      <c r="L102" s="35">
        <f t="shared" si="21"/>
        <v>1133628.3</v>
      </c>
      <c r="M102" s="7">
        <f>прил.6!N650</f>
        <v>0</v>
      </c>
      <c r="N102" s="35">
        <f t="shared" si="22"/>
        <v>1133628.3</v>
      </c>
      <c r="O102" s="7">
        <f>прил.6!P650</f>
        <v>0</v>
      </c>
      <c r="P102" s="35">
        <f t="shared" si="17"/>
        <v>1133628.3</v>
      </c>
      <c r="Q102" s="7">
        <f>прил.6!R650</f>
        <v>-12904.099999999999</v>
      </c>
      <c r="R102" s="35">
        <f t="shared" si="18"/>
        <v>1120724.2</v>
      </c>
      <c r="S102" s="7">
        <f>прил.6!T650</f>
        <v>7434.9000000000005</v>
      </c>
      <c r="T102" s="35">
        <f t="shared" si="19"/>
        <v>1128159.0999999999</v>
      </c>
    </row>
    <row r="103" spans="1:20">
      <c r="A103" s="61" t="str">
        <f t="shared" ca="1" si="27"/>
        <v>Субсидии бюджетным учреждениям на иные цели</v>
      </c>
      <c r="B103" s="43" t="s">
        <v>434</v>
      </c>
      <c r="C103" s="8" t="s">
        <v>193</v>
      </c>
      <c r="D103" s="1" t="s">
        <v>212</v>
      </c>
      <c r="E103" s="113">
        <v>612</v>
      </c>
      <c r="F103" s="7"/>
      <c r="G103" s="7"/>
      <c r="H103" s="35"/>
      <c r="I103" s="7"/>
      <c r="J103" s="35"/>
      <c r="K103" s="7"/>
      <c r="L103" s="35"/>
      <c r="M103" s="7"/>
      <c r="N103" s="35"/>
      <c r="O103" s="7"/>
      <c r="P103" s="35">
        <f t="shared" si="17"/>
        <v>0</v>
      </c>
      <c r="Q103" s="7">
        <f>прил.6!R651</f>
        <v>16910.8</v>
      </c>
      <c r="R103" s="35">
        <f t="shared" si="18"/>
        <v>16910.8</v>
      </c>
      <c r="S103" s="7">
        <f>прил.6!T651</f>
        <v>0</v>
      </c>
      <c r="T103" s="35">
        <f t="shared" si="19"/>
        <v>16910.8</v>
      </c>
    </row>
    <row r="104" spans="1:20">
      <c r="A104" s="61" t="str">
        <f t="shared" ca="1" si="27"/>
        <v>Субсидии автономным учреждениям</v>
      </c>
      <c r="B104" s="43" t="s">
        <v>434</v>
      </c>
      <c r="C104" s="8" t="s">
        <v>193</v>
      </c>
      <c r="D104" s="1" t="s">
        <v>212</v>
      </c>
      <c r="E104" s="113">
        <v>620</v>
      </c>
      <c r="F104" s="7">
        <f>F105</f>
        <v>21998.3</v>
      </c>
      <c r="G104" s="7">
        <f>G105</f>
        <v>0</v>
      </c>
      <c r="H104" s="35">
        <f t="shared" si="25"/>
        <v>21998.3</v>
      </c>
      <c r="I104" s="7">
        <f>I105</f>
        <v>0</v>
      </c>
      <c r="J104" s="35">
        <f t="shared" si="24"/>
        <v>21998.3</v>
      </c>
      <c r="K104" s="7">
        <f>K105</f>
        <v>0</v>
      </c>
      <c r="L104" s="35">
        <f t="shared" si="21"/>
        <v>21998.3</v>
      </c>
      <c r="M104" s="7">
        <f>M105</f>
        <v>0</v>
      </c>
      <c r="N104" s="35">
        <f t="shared" si="22"/>
        <v>21998.3</v>
      </c>
      <c r="O104" s="7">
        <f>O105</f>
        <v>0</v>
      </c>
      <c r="P104" s="35">
        <f t="shared" si="17"/>
        <v>21998.3</v>
      </c>
      <c r="Q104" s="7">
        <f>Q105+Q106</f>
        <v>0</v>
      </c>
      <c r="R104" s="35">
        <f t="shared" si="18"/>
        <v>21998.3</v>
      </c>
      <c r="S104" s="7">
        <f>S105+S106</f>
        <v>0</v>
      </c>
      <c r="T104" s="35">
        <f t="shared" si="19"/>
        <v>21998.3</v>
      </c>
    </row>
    <row r="105" spans="1:20" ht="55.5" customHeight="1">
      <c r="A105" s="61" t="str">
        <f t="shared" ca="1" si="27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5" s="43" t="s">
        <v>434</v>
      </c>
      <c r="C105" s="8" t="s">
        <v>193</v>
      </c>
      <c r="D105" s="1" t="s">
        <v>212</v>
      </c>
      <c r="E105" s="113">
        <v>621</v>
      </c>
      <c r="F105" s="7">
        <f>прил.6!G653</f>
        <v>21998.3</v>
      </c>
      <c r="G105" s="7">
        <f>прил.6!H653</f>
        <v>0</v>
      </c>
      <c r="H105" s="35">
        <f t="shared" si="25"/>
        <v>21998.3</v>
      </c>
      <c r="I105" s="7">
        <f>прил.6!J653</f>
        <v>0</v>
      </c>
      <c r="J105" s="35">
        <f t="shared" si="24"/>
        <v>21998.3</v>
      </c>
      <c r="K105" s="7">
        <f>прил.6!L653</f>
        <v>0</v>
      </c>
      <c r="L105" s="35">
        <f t="shared" si="21"/>
        <v>21998.3</v>
      </c>
      <c r="M105" s="7">
        <f>прил.6!N653</f>
        <v>0</v>
      </c>
      <c r="N105" s="35">
        <f t="shared" si="22"/>
        <v>21998.3</v>
      </c>
      <c r="O105" s="7">
        <f>прил.6!P653</f>
        <v>0</v>
      </c>
      <c r="P105" s="35">
        <f t="shared" si="17"/>
        <v>21998.3</v>
      </c>
      <c r="Q105" s="7">
        <f>прил.6!R653</f>
        <v>-400.8</v>
      </c>
      <c r="R105" s="35">
        <f t="shared" si="18"/>
        <v>21597.5</v>
      </c>
      <c r="S105" s="7">
        <f>прил.6!T653</f>
        <v>0</v>
      </c>
      <c r="T105" s="35">
        <f t="shared" si="19"/>
        <v>21597.5</v>
      </c>
    </row>
    <row r="106" spans="1:20">
      <c r="A106" s="61" t="str">
        <f t="shared" ca="1" si="27"/>
        <v>Субсидии автономным учреждениям на иные цели</v>
      </c>
      <c r="B106" s="43" t="s">
        <v>434</v>
      </c>
      <c r="C106" s="8" t="s">
        <v>193</v>
      </c>
      <c r="D106" s="1" t="s">
        <v>212</v>
      </c>
      <c r="E106" s="113">
        <v>622</v>
      </c>
      <c r="F106" s="7"/>
      <c r="G106" s="7"/>
      <c r="H106" s="35"/>
      <c r="I106" s="7"/>
      <c r="J106" s="35"/>
      <c r="K106" s="7"/>
      <c r="L106" s="35"/>
      <c r="M106" s="7"/>
      <c r="N106" s="35"/>
      <c r="O106" s="7"/>
      <c r="P106" s="35">
        <f t="shared" si="17"/>
        <v>0</v>
      </c>
      <c r="Q106" s="7">
        <f>прил.6!R654</f>
        <v>400.8</v>
      </c>
      <c r="R106" s="35">
        <f t="shared" si="18"/>
        <v>400.8</v>
      </c>
      <c r="S106" s="7">
        <f>прил.6!T654</f>
        <v>0</v>
      </c>
      <c r="T106" s="35">
        <f t="shared" si="19"/>
        <v>400.8</v>
      </c>
    </row>
    <row r="107" spans="1:20" ht="126.75" customHeight="1">
      <c r="A107" s="61" t="str">
        <f ca="1">IF(ISERROR(MATCH(B107,Код_КЦСР,0)),"",INDIRECT(ADDRESS(MATCH(B107,Код_КЦСР,0)+1,2,,,"КЦСР")))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107" s="43" t="s">
        <v>431</v>
      </c>
      <c r="C107" s="8"/>
      <c r="D107" s="1"/>
      <c r="E107" s="113"/>
      <c r="F107" s="7">
        <f t="shared" ref="F107:S111" si="28">F108</f>
        <v>6276.3</v>
      </c>
      <c r="G107" s="7">
        <f t="shared" si="28"/>
        <v>0</v>
      </c>
      <c r="H107" s="35">
        <f t="shared" si="25"/>
        <v>6276.3</v>
      </c>
      <c r="I107" s="7">
        <f t="shared" si="28"/>
        <v>0</v>
      </c>
      <c r="J107" s="35">
        <f t="shared" si="24"/>
        <v>6276.3</v>
      </c>
      <c r="K107" s="7">
        <f t="shared" si="28"/>
        <v>0</v>
      </c>
      <c r="L107" s="35">
        <f t="shared" si="21"/>
        <v>6276.3</v>
      </c>
      <c r="M107" s="7">
        <f t="shared" si="28"/>
        <v>0</v>
      </c>
      <c r="N107" s="35">
        <f t="shared" si="22"/>
        <v>6276.3</v>
      </c>
      <c r="O107" s="7">
        <f t="shared" si="28"/>
        <v>0</v>
      </c>
      <c r="P107" s="35">
        <f t="shared" si="17"/>
        <v>6276.3</v>
      </c>
      <c r="Q107" s="7">
        <f t="shared" si="28"/>
        <v>-290.10000000000002</v>
      </c>
      <c r="R107" s="35">
        <f t="shared" si="18"/>
        <v>5986.2</v>
      </c>
      <c r="S107" s="7">
        <f t="shared" si="28"/>
        <v>76.900000000000006</v>
      </c>
      <c r="T107" s="35">
        <f t="shared" si="19"/>
        <v>6063.0999999999995</v>
      </c>
    </row>
    <row r="108" spans="1:20">
      <c r="A108" s="61" t="str">
        <f ca="1">IF(ISERROR(MATCH(C108,Код_Раздел,0)),"",INDIRECT(ADDRESS(MATCH(C108,Код_Раздел,0)+1,2,,,"Раздел")))</f>
        <v>Социальная политика</v>
      </c>
      <c r="B108" s="43" t="s">
        <v>431</v>
      </c>
      <c r="C108" s="8" t="s">
        <v>186</v>
      </c>
      <c r="D108" s="1"/>
      <c r="E108" s="113"/>
      <c r="F108" s="7">
        <f t="shared" si="28"/>
        <v>6276.3</v>
      </c>
      <c r="G108" s="7">
        <f t="shared" si="28"/>
        <v>0</v>
      </c>
      <c r="H108" s="35">
        <f t="shared" si="25"/>
        <v>6276.3</v>
      </c>
      <c r="I108" s="7">
        <f t="shared" si="28"/>
        <v>0</v>
      </c>
      <c r="J108" s="35">
        <f t="shared" si="24"/>
        <v>6276.3</v>
      </c>
      <c r="K108" s="7">
        <f t="shared" si="28"/>
        <v>0</v>
      </c>
      <c r="L108" s="35">
        <f t="shared" si="21"/>
        <v>6276.3</v>
      </c>
      <c r="M108" s="7">
        <f t="shared" si="28"/>
        <v>0</v>
      </c>
      <c r="N108" s="35">
        <f t="shared" si="22"/>
        <v>6276.3</v>
      </c>
      <c r="O108" s="7">
        <f t="shared" si="28"/>
        <v>0</v>
      </c>
      <c r="P108" s="35">
        <f t="shared" si="17"/>
        <v>6276.3</v>
      </c>
      <c r="Q108" s="7">
        <f t="shared" si="28"/>
        <v>-290.10000000000002</v>
      </c>
      <c r="R108" s="35">
        <f t="shared" si="18"/>
        <v>5986.2</v>
      </c>
      <c r="S108" s="7">
        <f t="shared" si="28"/>
        <v>76.900000000000006</v>
      </c>
      <c r="T108" s="35">
        <f t="shared" si="19"/>
        <v>6063.0999999999995</v>
      </c>
    </row>
    <row r="109" spans="1:20">
      <c r="A109" s="12" t="s">
        <v>177</v>
      </c>
      <c r="B109" s="43" t="s">
        <v>431</v>
      </c>
      <c r="C109" s="8" t="s">
        <v>186</v>
      </c>
      <c r="D109" s="8" t="s">
        <v>213</v>
      </c>
      <c r="E109" s="113"/>
      <c r="F109" s="7">
        <f t="shared" si="28"/>
        <v>6276.3</v>
      </c>
      <c r="G109" s="7">
        <f t="shared" si="28"/>
        <v>0</v>
      </c>
      <c r="H109" s="35">
        <f t="shared" si="25"/>
        <v>6276.3</v>
      </c>
      <c r="I109" s="7">
        <f t="shared" si="28"/>
        <v>0</v>
      </c>
      <c r="J109" s="35">
        <f t="shared" si="24"/>
        <v>6276.3</v>
      </c>
      <c r="K109" s="7">
        <f t="shared" si="28"/>
        <v>0</v>
      </c>
      <c r="L109" s="35">
        <f t="shared" si="21"/>
        <v>6276.3</v>
      </c>
      <c r="M109" s="7">
        <f t="shared" si="28"/>
        <v>0</v>
      </c>
      <c r="N109" s="35">
        <f t="shared" si="22"/>
        <v>6276.3</v>
      </c>
      <c r="O109" s="7">
        <f t="shared" si="28"/>
        <v>0</v>
      </c>
      <c r="P109" s="35">
        <f t="shared" si="17"/>
        <v>6276.3</v>
      </c>
      <c r="Q109" s="7">
        <f t="shared" si="28"/>
        <v>-290.10000000000002</v>
      </c>
      <c r="R109" s="35">
        <f t="shared" si="18"/>
        <v>5986.2</v>
      </c>
      <c r="S109" s="7">
        <f t="shared" si="28"/>
        <v>76.900000000000006</v>
      </c>
      <c r="T109" s="35">
        <f t="shared" si="19"/>
        <v>6063.0999999999995</v>
      </c>
    </row>
    <row r="110" spans="1:20">
      <c r="A110" s="61" t="str">
        <f ca="1">IF(ISERROR(MATCH(E110,Код_КВР,0)),"",INDIRECT(ADDRESS(MATCH(E110,Код_КВР,0)+1,2,,,"КВР")))</f>
        <v>Социальное обеспечение и иные выплаты населению</v>
      </c>
      <c r="B110" s="43" t="s">
        <v>431</v>
      </c>
      <c r="C110" s="8" t="s">
        <v>186</v>
      </c>
      <c r="D110" s="8" t="s">
        <v>213</v>
      </c>
      <c r="E110" s="113">
        <v>300</v>
      </c>
      <c r="F110" s="7">
        <f t="shared" si="28"/>
        <v>6276.3</v>
      </c>
      <c r="G110" s="7">
        <f t="shared" si="28"/>
        <v>0</v>
      </c>
      <c r="H110" s="35">
        <f t="shared" si="25"/>
        <v>6276.3</v>
      </c>
      <c r="I110" s="7">
        <f t="shared" si="28"/>
        <v>0</v>
      </c>
      <c r="J110" s="35">
        <f t="shared" si="24"/>
        <v>6276.3</v>
      </c>
      <c r="K110" s="7">
        <f t="shared" si="28"/>
        <v>0</v>
      </c>
      <c r="L110" s="35">
        <f t="shared" si="21"/>
        <v>6276.3</v>
      </c>
      <c r="M110" s="7">
        <f t="shared" si="28"/>
        <v>0</v>
      </c>
      <c r="N110" s="35">
        <f t="shared" si="22"/>
        <v>6276.3</v>
      </c>
      <c r="O110" s="7">
        <f t="shared" si="28"/>
        <v>0</v>
      </c>
      <c r="P110" s="35">
        <f t="shared" si="17"/>
        <v>6276.3</v>
      </c>
      <c r="Q110" s="7">
        <f t="shared" si="28"/>
        <v>-290.10000000000002</v>
      </c>
      <c r="R110" s="35">
        <f t="shared" si="18"/>
        <v>5986.2</v>
      </c>
      <c r="S110" s="7">
        <f t="shared" si="28"/>
        <v>76.900000000000006</v>
      </c>
      <c r="T110" s="35">
        <f t="shared" si="19"/>
        <v>6063.0999999999995</v>
      </c>
    </row>
    <row r="111" spans="1:20" ht="33">
      <c r="A111" s="61" t="str">
        <f ca="1">IF(ISERROR(MATCH(E111,Код_КВР,0)),"",INDIRECT(ADDRESS(MATCH(E111,Код_КВР,0)+1,2,,,"КВР")))</f>
        <v>Социальные выплаты гражданам, кроме публичных нормативных социальных выплат</v>
      </c>
      <c r="B111" s="43" t="s">
        <v>431</v>
      </c>
      <c r="C111" s="8" t="s">
        <v>186</v>
      </c>
      <c r="D111" s="8" t="s">
        <v>213</v>
      </c>
      <c r="E111" s="113">
        <v>320</v>
      </c>
      <c r="F111" s="7">
        <f t="shared" si="28"/>
        <v>6276.3</v>
      </c>
      <c r="G111" s="7">
        <f t="shared" si="28"/>
        <v>0</v>
      </c>
      <c r="H111" s="35">
        <f t="shared" si="25"/>
        <v>6276.3</v>
      </c>
      <c r="I111" s="7">
        <f t="shared" si="28"/>
        <v>0</v>
      </c>
      <c r="J111" s="35">
        <f t="shared" si="24"/>
        <v>6276.3</v>
      </c>
      <c r="K111" s="7">
        <f t="shared" si="28"/>
        <v>0</v>
      </c>
      <c r="L111" s="35">
        <f t="shared" si="21"/>
        <v>6276.3</v>
      </c>
      <c r="M111" s="7">
        <f t="shared" si="28"/>
        <v>0</v>
      </c>
      <c r="N111" s="35">
        <f t="shared" si="22"/>
        <v>6276.3</v>
      </c>
      <c r="O111" s="7">
        <f t="shared" si="28"/>
        <v>0</v>
      </c>
      <c r="P111" s="35">
        <f t="shared" si="17"/>
        <v>6276.3</v>
      </c>
      <c r="Q111" s="7">
        <f t="shared" si="28"/>
        <v>-290.10000000000002</v>
      </c>
      <c r="R111" s="35">
        <f t="shared" si="18"/>
        <v>5986.2</v>
      </c>
      <c r="S111" s="7">
        <f t="shared" si="28"/>
        <v>76.900000000000006</v>
      </c>
      <c r="T111" s="35">
        <f t="shared" si="19"/>
        <v>6063.0999999999995</v>
      </c>
    </row>
    <row r="112" spans="1:20" ht="33">
      <c r="A112" s="61" t="str">
        <f ca="1">IF(ISERROR(MATCH(E112,Код_КВР,0)),"",INDIRECT(ADDRESS(MATCH(E112,Код_КВР,0)+1,2,,,"КВР")))</f>
        <v>Пособия, компенсации и иные социальные выплаты гражданам, кроме публичных нормативных обязательств</v>
      </c>
      <c r="B112" s="43" t="s">
        <v>431</v>
      </c>
      <c r="C112" s="8" t="s">
        <v>186</v>
      </c>
      <c r="D112" s="8" t="s">
        <v>213</v>
      </c>
      <c r="E112" s="113">
        <v>321</v>
      </c>
      <c r="F112" s="7">
        <f>прил.6!G831</f>
        <v>6276.3</v>
      </c>
      <c r="G112" s="7">
        <f>прил.6!H831</f>
        <v>0</v>
      </c>
      <c r="H112" s="35">
        <f t="shared" si="25"/>
        <v>6276.3</v>
      </c>
      <c r="I112" s="7">
        <f>прил.6!J831</f>
        <v>0</v>
      </c>
      <c r="J112" s="35">
        <f t="shared" si="24"/>
        <v>6276.3</v>
      </c>
      <c r="K112" s="7">
        <f>прил.6!L831</f>
        <v>0</v>
      </c>
      <c r="L112" s="35">
        <f t="shared" si="21"/>
        <v>6276.3</v>
      </c>
      <c r="M112" s="7">
        <f>прил.6!N831</f>
        <v>0</v>
      </c>
      <c r="N112" s="35">
        <f t="shared" si="22"/>
        <v>6276.3</v>
      </c>
      <c r="O112" s="7">
        <f>прил.6!P831</f>
        <v>0</v>
      </c>
      <c r="P112" s="35">
        <f t="shared" si="17"/>
        <v>6276.3</v>
      </c>
      <c r="Q112" s="7">
        <f>прил.6!R831</f>
        <v>-290.10000000000002</v>
      </c>
      <c r="R112" s="35">
        <f t="shared" si="18"/>
        <v>5986.2</v>
      </c>
      <c r="S112" s="7">
        <f>прил.6!T831</f>
        <v>76.900000000000006</v>
      </c>
      <c r="T112" s="35">
        <f t="shared" si="19"/>
        <v>6063.0999999999995</v>
      </c>
    </row>
    <row r="113" spans="1:20" ht="102" customHeight="1">
      <c r="A113" s="61" t="str">
        <f ca="1">IF(ISERROR(MATCH(B113,Код_КЦСР,0)),"",INDIRECT(ADDRESS(MATCH(B113,Код_КЦСР,0)+1,2,,,"КЦСР")))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113" s="43" t="s">
        <v>433</v>
      </c>
      <c r="C113" s="8"/>
      <c r="D113" s="1"/>
      <c r="E113" s="113"/>
      <c r="F113" s="7">
        <f t="shared" ref="F113:S123" si="29">F114</f>
        <v>18111.400000000001</v>
      </c>
      <c r="G113" s="7">
        <f t="shared" si="29"/>
        <v>0</v>
      </c>
      <c r="H113" s="35">
        <f t="shared" si="25"/>
        <v>18111.400000000001</v>
      </c>
      <c r="I113" s="7">
        <f t="shared" si="29"/>
        <v>0</v>
      </c>
      <c r="J113" s="35">
        <f t="shared" si="24"/>
        <v>18111.400000000001</v>
      </c>
      <c r="K113" s="7">
        <f t="shared" si="29"/>
        <v>0</v>
      </c>
      <c r="L113" s="35">
        <f t="shared" si="21"/>
        <v>18111.400000000001</v>
      </c>
      <c r="M113" s="7">
        <f t="shared" si="29"/>
        <v>0</v>
      </c>
      <c r="N113" s="35">
        <f t="shared" si="22"/>
        <v>18111.400000000001</v>
      </c>
      <c r="O113" s="7">
        <f t="shared" si="29"/>
        <v>0</v>
      </c>
      <c r="P113" s="35">
        <f t="shared" si="17"/>
        <v>18111.400000000001</v>
      </c>
      <c r="Q113" s="7">
        <f t="shared" si="29"/>
        <v>2943.8999999999996</v>
      </c>
      <c r="R113" s="35">
        <f t="shared" si="18"/>
        <v>21055.300000000003</v>
      </c>
      <c r="S113" s="7">
        <f t="shared" si="29"/>
        <v>-966.09999999999991</v>
      </c>
      <c r="T113" s="35">
        <f t="shared" si="19"/>
        <v>20089.200000000004</v>
      </c>
    </row>
    <row r="114" spans="1:20">
      <c r="A114" s="61" t="str">
        <f ca="1">IF(ISERROR(MATCH(C114,Код_Раздел,0)),"",INDIRECT(ADDRESS(MATCH(C114,Код_Раздел,0)+1,2,,,"Раздел")))</f>
        <v>Образование</v>
      </c>
      <c r="B114" s="43" t="s">
        <v>433</v>
      </c>
      <c r="C114" s="8" t="s">
        <v>193</v>
      </c>
      <c r="D114" s="1"/>
      <c r="E114" s="113"/>
      <c r="F114" s="7">
        <f>F121+F125</f>
        <v>18111.400000000001</v>
      </c>
      <c r="G114" s="7">
        <f t="shared" ref="G114:I114" si="30">G121+G125</f>
        <v>0</v>
      </c>
      <c r="H114" s="7">
        <f t="shared" si="30"/>
        <v>18111.400000000001</v>
      </c>
      <c r="I114" s="7">
        <f t="shared" si="30"/>
        <v>0</v>
      </c>
      <c r="J114" s="35">
        <f t="shared" si="24"/>
        <v>18111.400000000001</v>
      </c>
      <c r="K114" s="7">
        <f t="shared" ref="K114:M114" si="31">K121+K125</f>
        <v>0</v>
      </c>
      <c r="L114" s="35">
        <f t="shared" si="21"/>
        <v>18111.400000000001</v>
      </c>
      <c r="M114" s="7">
        <f t="shared" si="31"/>
        <v>0</v>
      </c>
      <c r="N114" s="35">
        <f t="shared" si="22"/>
        <v>18111.400000000001</v>
      </c>
      <c r="O114" s="7">
        <f>O121+O125</f>
        <v>0</v>
      </c>
      <c r="P114" s="35">
        <f t="shared" si="17"/>
        <v>18111.400000000001</v>
      </c>
      <c r="Q114" s="7">
        <f>Q121+Q125+Q115</f>
        <v>2943.8999999999996</v>
      </c>
      <c r="R114" s="35">
        <f>P114+Q114</f>
        <v>21055.300000000003</v>
      </c>
      <c r="S114" s="7">
        <f>S121+S125+S115</f>
        <v>-966.09999999999991</v>
      </c>
      <c r="T114" s="35">
        <f t="shared" si="19"/>
        <v>20089.200000000004</v>
      </c>
    </row>
    <row r="115" spans="1:20">
      <c r="A115" s="12" t="s">
        <v>255</v>
      </c>
      <c r="B115" s="43" t="s">
        <v>433</v>
      </c>
      <c r="C115" s="8" t="s">
        <v>193</v>
      </c>
      <c r="D115" s="1" t="s">
        <v>211</v>
      </c>
      <c r="E115" s="113"/>
      <c r="F115" s="7"/>
      <c r="G115" s="7"/>
      <c r="H115" s="7"/>
      <c r="I115" s="7"/>
      <c r="J115" s="35"/>
      <c r="K115" s="7"/>
      <c r="L115" s="35"/>
      <c r="M115" s="7"/>
      <c r="N115" s="35"/>
      <c r="O115" s="7"/>
      <c r="P115" s="35"/>
      <c r="Q115" s="7">
        <f>Q116</f>
        <v>2943.8999999999996</v>
      </c>
      <c r="R115" s="35">
        <f t="shared" si="18"/>
        <v>2943.8999999999996</v>
      </c>
      <c r="S115" s="7">
        <f>S116</f>
        <v>-1111.4000000000001</v>
      </c>
      <c r="T115" s="35">
        <f t="shared" si="19"/>
        <v>1832.4999999999995</v>
      </c>
    </row>
    <row r="116" spans="1:20" ht="33">
      <c r="A116" s="61" t="str">
        <f t="shared" ref="A116:A120" ca="1" si="32">IF(ISERROR(MATCH(E116,Код_КВР,0)),"",INDIRECT(ADDRESS(MATCH(E116,Код_КВР,0)+1,2,,,"КВР")))</f>
        <v>Предоставление субсидий бюджетным, автономным учреждениям и иным некоммерческим организациям</v>
      </c>
      <c r="B116" s="43" t="s">
        <v>433</v>
      </c>
      <c r="C116" s="8" t="s">
        <v>193</v>
      </c>
      <c r="D116" s="1" t="s">
        <v>211</v>
      </c>
      <c r="E116" s="113">
        <v>600</v>
      </c>
      <c r="F116" s="7"/>
      <c r="G116" s="7"/>
      <c r="H116" s="7"/>
      <c r="I116" s="7"/>
      <c r="J116" s="35"/>
      <c r="K116" s="7"/>
      <c r="L116" s="35"/>
      <c r="M116" s="7"/>
      <c r="N116" s="35"/>
      <c r="O116" s="7"/>
      <c r="P116" s="35"/>
      <c r="Q116" s="7">
        <f>Q117+Q119</f>
        <v>2943.8999999999996</v>
      </c>
      <c r="R116" s="35">
        <f t="shared" si="18"/>
        <v>2943.8999999999996</v>
      </c>
      <c r="S116" s="7">
        <f>S117+S119</f>
        <v>-1111.4000000000001</v>
      </c>
      <c r="T116" s="35">
        <f t="shared" si="19"/>
        <v>1832.4999999999995</v>
      </c>
    </row>
    <row r="117" spans="1:20">
      <c r="A117" s="61" t="str">
        <f t="shared" ca="1" si="32"/>
        <v>Субсидии бюджетным учреждениям</v>
      </c>
      <c r="B117" s="43" t="s">
        <v>433</v>
      </c>
      <c r="C117" s="8" t="s">
        <v>193</v>
      </c>
      <c r="D117" s="1" t="s">
        <v>211</v>
      </c>
      <c r="E117" s="113">
        <v>610</v>
      </c>
      <c r="F117" s="7"/>
      <c r="G117" s="7"/>
      <c r="H117" s="7"/>
      <c r="I117" s="7"/>
      <c r="J117" s="35"/>
      <c r="K117" s="7"/>
      <c r="L117" s="35"/>
      <c r="M117" s="7"/>
      <c r="N117" s="35"/>
      <c r="O117" s="7"/>
      <c r="P117" s="35"/>
      <c r="Q117" s="7">
        <f>Q118</f>
        <v>2843.8999999999996</v>
      </c>
      <c r="R117" s="35">
        <f t="shared" si="18"/>
        <v>2843.8999999999996</v>
      </c>
      <c r="S117" s="7">
        <f>S118</f>
        <v>-1016</v>
      </c>
      <c r="T117" s="35">
        <f t="shared" si="19"/>
        <v>1827.8999999999996</v>
      </c>
    </row>
    <row r="118" spans="1:20" ht="55.5" customHeight="1">
      <c r="A118" s="61" t="str">
        <f t="shared" ca="1" si="3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8" s="43" t="s">
        <v>433</v>
      </c>
      <c r="C118" s="8" t="s">
        <v>193</v>
      </c>
      <c r="D118" s="1" t="s">
        <v>211</v>
      </c>
      <c r="E118" s="113">
        <v>611</v>
      </c>
      <c r="F118" s="7"/>
      <c r="G118" s="7"/>
      <c r="H118" s="7"/>
      <c r="I118" s="7"/>
      <c r="J118" s="35"/>
      <c r="K118" s="7"/>
      <c r="L118" s="35"/>
      <c r="M118" s="7"/>
      <c r="N118" s="35"/>
      <c r="O118" s="7"/>
      <c r="P118" s="35"/>
      <c r="Q118" s="7">
        <f>прил.6!R607</f>
        <v>2843.8999999999996</v>
      </c>
      <c r="R118" s="35">
        <f t="shared" si="18"/>
        <v>2843.8999999999996</v>
      </c>
      <c r="S118" s="7">
        <f>прил.6!T607</f>
        <v>-1016</v>
      </c>
      <c r="T118" s="35">
        <f t="shared" si="19"/>
        <v>1827.8999999999996</v>
      </c>
    </row>
    <row r="119" spans="1:20">
      <c r="A119" s="61" t="str">
        <f t="shared" ca="1" si="32"/>
        <v>Субсидии автономным учреждениям</v>
      </c>
      <c r="B119" s="43" t="s">
        <v>433</v>
      </c>
      <c r="C119" s="8" t="s">
        <v>193</v>
      </c>
      <c r="D119" s="1" t="s">
        <v>211</v>
      </c>
      <c r="E119" s="113">
        <v>620</v>
      </c>
      <c r="F119" s="7"/>
      <c r="G119" s="7"/>
      <c r="H119" s="7"/>
      <c r="I119" s="7"/>
      <c r="J119" s="35"/>
      <c r="K119" s="7"/>
      <c r="L119" s="35"/>
      <c r="M119" s="7"/>
      <c r="N119" s="35"/>
      <c r="O119" s="7"/>
      <c r="P119" s="35"/>
      <c r="Q119" s="7">
        <f>Q120</f>
        <v>100</v>
      </c>
      <c r="R119" s="35">
        <f t="shared" si="18"/>
        <v>100</v>
      </c>
      <c r="S119" s="7">
        <f>S120</f>
        <v>-95.4</v>
      </c>
      <c r="T119" s="35">
        <f t="shared" si="19"/>
        <v>4.5999999999999943</v>
      </c>
    </row>
    <row r="120" spans="1:20" ht="49.5">
      <c r="A120" s="61" t="str">
        <f t="shared" ca="1" si="32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20" s="43" t="s">
        <v>433</v>
      </c>
      <c r="C120" s="8" t="s">
        <v>193</v>
      </c>
      <c r="D120" s="1" t="s">
        <v>211</v>
      </c>
      <c r="E120" s="113">
        <v>621</v>
      </c>
      <c r="F120" s="7"/>
      <c r="G120" s="7"/>
      <c r="H120" s="7"/>
      <c r="I120" s="7"/>
      <c r="J120" s="35"/>
      <c r="K120" s="7"/>
      <c r="L120" s="35"/>
      <c r="M120" s="7"/>
      <c r="N120" s="35"/>
      <c r="O120" s="7"/>
      <c r="P120" s="35"/>
      <c r="Q120" s="7">
        <f>прил.6!R609</f>
        <v>100</v>
      </c>
      <c r="R120" s="35">
        <f>P120+Q120</f>
        <v>100</v>
      </c>
      <c r="S120" s="7">
        <f>прил.6!T609</f>
        <v>-95.4</v>
      </c>
      <c r="T120" s="35">
        <f t="shared" si="19"/>
        <v>4.5999999999999943</v>
      </c>
    </row>
    <row r="121" spans="1:20">
      <c r="A121" s="12" t="s">
        <v>248</v>
      </c>
      <c r="B121" s="43" t="s">
        <v>433</v>
      </c>
      <c r="C121" s="8" t="s">
        <v>193</v>
      </c>
      <c r="D121" s="1" t="s">
        <v>212</v>
      </c>
      <c r="E121" s="113"/>
      <c r="F121" s="7">
        <f t="shared" si="29"/>
        <v>18111.400000000001</v>
      </c>
      <c r="G121" s="7">
        <f t="shared" si="29"/>
        <v>0</v>
      </c>
      <c r="H121" s="35">
        <f t="shared" si="25"/>
        <v>18111.400000000001</v>
      </c>
      <c r="I121" s="7">
        <f t="shared" si="29"/>
        <v>-7173</v>
      </c>
      <c r="J121" s="35">
        <f t="shared" si="24"/>
        <v>10938.400000000001</v>
      </c>
      <c r="K121" s="7">
        <f t="shared" si="29"/>
        <v>0</v>
      </c>
      <c r="L121" s="35">
        <f t="shared" si="21"/>
        <v>10938.400000000001</v>
      </c>
      <c r="M121" s="7">
        <f t="shared" si="29"/>
        <v>0</v>
      </c>
      <c r="N121" s="35">
        <f t="shared" si="22"/>
        <v>10938.400000000001</v>
      </c>
      <c r="O121" s="7">
        <f t="shared" si="29"/>
        <v>0</v>
      </c>
      <c r="P121" s="35">
        <f t="shared" si="17"/>
        <v>10938.400000000001</v>
      </c>
      <c r="Q121" s="7">
        <f t="shared" si="29"/>
        <v>0</v>
      </c>
      <c r="R121" s="35">
        <f t="shared" si="18"/>
        <v>10938.400000000001</v>
      </c>
      <c r="S121" s="7">
        <f t="shared" si="29"/>
        <v>-4553.5</v>
      </c>
      <c r="T121" s="35">
        <f t="shared" si="19"/>
        <v>6384.9000000000015</v>
      </c>
    </row>
    <row r="122" spans="1:20" ht="37.5" customHeight="1">
      <c r="A122" s="61" t="str">
        <f ca="1">IF(ISERROR(MATCH(E122,Код_КВР,0)),"",INDIRECT(ADDRESS(MATCH(E122,Код_КВР,0)+1,2,,,"КВР")))</f>
        <v>Предоставление субсидий бюджетным, автономным учреждениям и иным некоммерческим организациям</v>
      </c>
      <c r="B122" s="43" t="s">
        <v>433</v>
      </c>
      <c r="C122" s="8" t="s">
        <v>193</v>
      </c>
      <c r="D122" s="1" t="s">
        <v>212</v>
      </c>
      <c r="E122" s="113">
        <v>600</v>
      </c>
      <c r="F122" s="7">
        <f t="shared" si="29"/>
        <v>18111.400000000001</v>
      </c>
      <c r="G122" s="7">
        <f t="shared" si="29"/>
        <v>0</v>
      </c>
      <c r="H122" s="35">
        <f t="shared" si="25"/>
        <v>18111.400000000001</v>
      </c>
      <c r="I122" s="7">
        <f t="shared" si="29"/>
        <v>-7173</v>
      </c>
      <c r="J122" s="35">
        <f t="shared" si="24"/>
        <v>10938.400000000001</v>
      </c>
      <c r="K122" s="7">
        <f t="shared" si="29"/>
        <v>0</v>
      </c>
      <c r="L122" s="35">
        <f t="shared" si="21"/>
        <v>10938.400000000001</v>
      </c>
      <c r="M122" s="7">
        <f t="shared" si="29"/>
        <v>0</v>
      </c>
      <c r="N122" s="35">
        <f t="shared" si="22"/>
        <v>10938.400000000001</v>
      </c>
      <c r="O122" s="7">
        <f t="shared" si="29"/>
        <v>0</v>
      </c>
      <c r="P122" s="35">
        <f t="shared" si="17"/>
        <v>10938.400000000001</v>
      </c>
      <c r="Q122" s="7">
        <f t="shared" si="29"/>
        <v>0</v>
      </c>
      <c r="R122" s="35">
        <f t="shared" si="18"/>
        <v>10938.400000000001</v>
      </c>
      <c r="S122" s="7">
        <f t="shared" si="29"/>
        <v>-4553.5</v>
      </c>
      <c r="T122" s="35">
        <f t="shared" si="19"/>
        <v>6384.9000000000015</v>
      </c>
    </row>
    <row r="123" spans="1:20">
      <c r="A123" s="61" t="str">
        <f ca="1">IF(ISERROR(MATCH(E123,Код_КВР,0)),"",INDIRECT(ADDRESS(MATCH(E123,Код_КВР,0)+1,2,,,"КВР")))</f>
        <v>Субсидии бюджетным учреждениям</v>
      </c>
      <c r="B123" s="43" t="s">
        <v>433</v>
      </c>
      <c r="C123" s="8" t="s">
        <v>193</v>
      </c>
      <c r="D123" s="1" t="s">
        <v>212</v>
      </c>
      <c r="E123" s="113">
        <v>610</v>
      </c>
      <c r="F123" s="7">
        <f t="shared" si="29"/>
        <v>18111.400000000001</v>
      </c>
      <c r="G123" s="7">
        <f t="shared" si="29"/>
        <v>0</v>
      </c>
      <c r="H123" s="35">
        <f t="shared" si="25"/>
        <v>18111.400000000001</v>
      </c>
      <c r="I123" s="7">
        <f t="shared" si="29"/>
        <v>-7173</v>
      </c>
      <c r="J123" s="35">
        <f t="shared" si="24"/>
        <v>10938.400000000001</v>
      </c>
      <c r="K123" s="7">
        <f t="shared" si="29"/>
        <v>0</v>
      </c>
      <c r="L123" s="35">
        <f t="shared" si="21"/>
        <v>10938.400000000001</v>
      </c>
      <c r="M123" s="7">
        <f t="shared" si="29"/>
        <v>0</v>
      </c>
      <c r="N123" s="35">
        <f t="shared" si="22"/>
        <v>10938.400000000001</v>
      </c>
      <c r="O123" s="7">
        <f t="shared" si="29"/>
        <v>0</v>
      </c>
      <c r="P123" s="35">
        <f t="shared" si="17"/>
        <v>10938.400000000001</v>
      </c>
      <c r="Q123" s="7">
        <f t="shared" si="29"/>
        <v>0</v>
      </c>
      <c r="R123" s="35">
        <f t="shared" si="18"/>
        <v>10938.400000000001</v>
      </c>
      <c r="S123" s="7">
        <f t="shared" si="29"/>
        <v>-4553.5</v>
      </c>
      <c r="T123" s="35">
        <f t="shared" si="19"/>
        <v>6384.9000000000015</v>
      </c>
    </row>
    <row r="124" spans="1:20" ht="51.75" customHeight="1">
      <c r="A124" s="61" t="str">
        <f ca="1">IF(ISERROR(MATCH(E124,Код_КВР,0)),"",INDIRECT(ADDRESS(MATCH(E124,Код_КВР,0)+1,2,,,"КВР")))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4" s="43" t="s">
        <v>433</v>
      </c>
      <c r="C124" s="8" t="s">
        <v>193</v>
      </c>
      <c r="D124" s="1" t="s">
        <v>212</v>
      </c>
      <c r="E124" s="113">
        <v>611</v>
      </c>
      <c r="F124" s="7">
        <f>прил.6!G658</f>
        <v>18111.400000000001</v>
      </c>
      <c r="G124" s="7">
        <f>прил.6!H658</f>
        <v>0</v>
      </c>
      <c r="H124" s="35">
        <f t="shared" si="25"/>
        <v>18111.400000000001</v>
      </c>
      <c r="I124" s="7">
        <f>прил.6!J658</f>
        <v>-7173</v>
      </c>
      <c r="J124" s="35">
        <f t="shared" si="24"/>
        <v>10938.400000000001</v>
      </c>
      <c r="K124" s="7">
        <f>прил.6!L658</f>
        <v>0</v>
      </c>
      <c r="L124" s="35">
        <f t="shared" si="21"/>
        <v>10938.400000000001</v>
      </c>
      <c r="M124" s="7">
        <f>прил.6!N658</f>
        <v>0</v>
      </c>
      <c r="N124" s="35">
        <f t="shared" si="22"/>
        <v>10938.400000000001</v>
      </c>
      <c r="O124" s="7">
        <f>прил.6!P658</f>
        <v>0</v>
      </c>
      <c r="P124" s="35">
        <f t="shared" si="17"/>
        <v>10938.400000000001</v>
      </c>
      <c r="Q124" s="7">
        <f>прил.6!R658</f>
        <v>0</v>
      </c>
      <c r="R124" s="35">
        <f t="shared" si="18"/>
        <v>10938.400000000001</v>
      </c>
      <c r="S124" s="7">
        <f>прил.6!T658</f>
        <v>-4553.5</v>
      </c>
      <c r="T124" s="35">
        <f t="shared" si="19"/>
        <v>6384.9000000000015</v>
      </c>
    </row>
    <row r="125" spans="1:20">
      <c r="A125" s="12" t="s">
        <v>248</v>
      </c>
      <c r="B125" s="43" t="s">
        <v>433</v>
      </c>
      <c r="C125" s="8" t="s">
        <v>193</v>
      </c>
      <c r="D125" s="1" t="s">
        <v>217</v>
      </c>
      <c r="E125" s="113"/>
      <c r="F125" s="7">
        <f>F126</f>
        <v>0</v>
      </c>
      <c r="G125" s="7">
        <f t="shared" ref="G125:S127" si="33">G126</f>
        <v>0</v>
      </c>
      <c r="H125" s="7">
        <f t="shared" si="33"/>
        <v>0</v>
      </c>
      <c r="I125" s="7">
        <f t="shared" si="33"/>
        <v>7173</v>
      </c>
      <c r="J125" s="35">
        <f t="shared" si="24"/>
        <v>7173</v>
      </c>
      <c r="K125" s="7">
        <f t="shared" si="33"/>
        <v>0</v>
      </c>
      <c r="L125" s="35">
        <f t="shared" si="21"/>
        <v>7173</v>
      </c>
      <c r="M125" s="7">
        <f t="shared" si="33"/>
        <v>0</v>
      </c>
      <c r="N125" s="35">
        <f t="shared" si="22"/>
        <v>7173</v>
      </c>
      <c r="O125" s="7">
        <f t="shared" si="33"/>
        <v>0</v>
      </c>
      <c r="P125" s="35">
        <f t="shared" si="17"/>
        <v>7173</v>
      </c>
      <c r="Q125" s="7">
        <f t="shared" si="33"/>
        <v>0</v>
      </c>
      <c r="R125" s="35">
        <f t="shared" si="18"/>
        <v>7173</v>
      </c>
      <c r="S125" s="7">
        <f t="shared" si="33"/>
        <v>4698.8</v>
      </c>
      <c r="T125" s="35">
        <f t="shared" si="19"/>
        <v>11871.8</v>
      </c>
    </row>
    <row r="126" spans="1:20" ht="33">
      <c r="A126" s="61" t="str">
        <f ca="1">IF(ISERROR(MATCH(E126,Код_КВР,0)),"",INDIRECT(ADDRESS(MATCH(E126,Код_КВР,0)+1,2,,,"КВР")))</f>
        <v>Предоставление субсидий бюджетным, автономным учреждениям и иным некоммерческим организациям</v>
      </c>
      <c r="B126" s="43" t="s">
        <v>433</v>
      </c>
      <c r="C126" s="8" t="s">
        <v>193</v>
      </c>
      <c r="D126" s="1" t="s">
        <v>217</v>
      </c>
      <c r="E126" s="113">
        <v>600</v>
      </c>
      <c r="F126" s="7">
        <f>F127</f>
        <v>0</v>
      </c>
      <c r="G126" s="7">
        <f t="shared" si="33"/>
        <v>0</v>
      </c>
      <c r="H126" s="7">
        <f t="shared" si="33"/>
        <v>0</v>
      </c>
      <c r="I126" s="7">
        <f>I127+I129</f>
        <v>7173</v>
      </c>
      <c r="J126" s="35">
        <f t="shared" si="24"/>
        <v>7173</v>
      </c>
      <c r="K126" s="7">
        <f>K127+K129</f>
        <v>0</v>
      </c>
      <c r="L126" s="35">
        <f t="shared" si="21"/>
        <v>7173</v>
      </c>
      <c r="M126" s="7">
        <f>M127+M129</f>
        <v>0</v>
      </c>
      <c r="N126" s="35">
        <f t="shared" si="22"/>
        <v>7173</v>
      </c>
      <c r="O126" s="7">
        <f>O127+O129</f>
        <v>0</v>
      </c>
      <c r="P126" s="35">
        <f t="shared" si="17"/>
        <v>7173</v>
      </c>
      <c r="Q126" s="7">
        <f>Q127+Q129</f>
        <v>0</v>
      </c>
      <c r="R126" s="35">
        <f t="shared" si="18"/>
        <v>7173</v>
      </c>
      <c r="S126" s="7">
        <f>S127+S129</f>
        <v>4698.8</v>
      </c>
      <c r="T126" s="35">
        <f t="shared" si="19"/>
        <v>11871.8</v>
      </c>
    </row>
    <row r="127" spans="1:20">
      <c r="A127" s="61" t="str">
        <f ca="1">IF(ISERROR(MATCH(E127,Код_КВР,0)),"",INDIRECT(ADDRESS(MATCH(E127,Код_КВР,0)+1,2,,,"КВР")))</f>
        <v>Субсидии бюджетным учреждениям</v>
      </c>
      <c r="B127" s="43" t="s">
        <v>433</v>
      </c>
      <c r="C127" s="8" t="s">
        <v>193</v>
      </c>
      <c r="D127" s="1" t="s">
        <v>217</v>
      </c>
      <c r="E127" s="113">
        <v>610</v>
      </c>
      <c r="F127" s="7">
        <f>F128</f>
        <v>0</v>
      </c>
      <c r="G127" s="7">
        <f t="shared" si="33"/>
        <v>0</v>
      </c>
      <c r="H127" s="7">
        <f t="shared" si="33"/>
        <v>0</v>
      </c>
      <c r="I127" s="7">
        <f t="shared" si="33"/>
        <v>1874.9</v>
      </c>
      <c r="J127" s="35">
        <f t="shared" si="24"/>
        <v>1874.9</v>
      </c>
      <c r="K127" s="7">
        <f t="shared" si="33"/>
        <v>0</v>
      </c>
      <c r="L127" s="35">
        <f t="shared" si="21"/>
        <v>1874.9</v>
      </c>
      <c r="M127" s="7">
        <f t="shared" si="33"/>
        <v>0</v>
      </c>
      <c r="N127" s="35">
        <f t="shared" si="22"/>
        <v>1874.9</v>
      </c>
      <c r="O127" s="7">
        <f t="shared" si="33"/>
        <v>0</v>
      </c>
      <c r="P127" s="35">
        <f t="shared" si="17"/>
        <v>1874.9</v>
      </c>
      <c r="Q127" s="7">
        <f t="shared" si="33"/>
        <v>0</v>
      </c>
      <c r="R127" s="35">
        <f t="shared" si="18"/>
        <v>1874.9</v>
      </c>
      <c r="S127" s="7">
        <f t="shared" si="33"/>
        <v>0</v>
      </c>
      <c r="T127" s="35">
        <f t="shared" si="19"/>
        <v>1874.9</v>
      </c>
    </row>
    <row r="128" spans="1:20" ht="49.5">
      <c r="A128" s="61" t="str">
        <f ca="1">IF(ISERROR(MATCH(E128,Код_КВР,0)),"",INDIRECT(ADDRESS(MATCH(E128,Код_КВР,0)+1,2,,,"КВР")))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8" s="43" t="s">
        <v>433</v>
      </c>
      <c r="C128" s="8" t="s">
        <v>193</v>
      </c>
      <c r="D128" s="1" t="s">
        <v>217</v>
      </c>
      <c r="E128" s="113">
        <v>611</v>
      </c>
      <c r="F128" s="7">
        <f>прил.6!G740</f>
        <v>0</v>
      </c>
      <c r="G128" s="7">
        <f>прил.6!H740</f>
        <v>0</v>
      </c>
      <c r="H128" s="7">
        <f>прил.6!I740</f>
        <v>0</v>
      </c>
      <c r="I128" s="7">
        <f>прил.6!J740</f>
        <v>1874.9</v>
      </c>
      <c r="J128" s="35">
        <f t="shared" si="24"/>
        <v>1874.9</v>
      </c>
      <c r="K128" s="7">
        <f>прил.6!L740</f>
        <v>0</v>
      </c>
      <c r="L128" s="35">
        <f t="shared" si="21"/>
        <v>1874.9</v>
      </c>
      <c r="M128" s="7">
        <f>прил.6!N740</f>
        <v>0</v>
      </c>
      <c r="N128" s="35">
        <f t="shared" si="22"/>
        <v>1874.9</v>
      </c>
      <c r="O128" s="7">
        <f>прил.6!P740</f>
        <v>0</v>
      </c>
      <c r="P128" s="35">
        <f t="shared" si="17"/>
        <v>1874.9</v>
      </c>
      <c r="Q128" s="7">
        <f>прил.6!R740</f>
        <v>0</v>
      </c>
      <c r="R128" s="35">
        <f t="shared" si="18"/>
        <v>1874.9</v>
      </c>
      <c r="S128" s="7">
        <f>прил.6!T740</f>
        <v>0</v>
      </c>
      <c r="T128" s="35">
        <f t="shared" si="19"/>
        <v>1874.9</v>
      </c>
    </row>
    <row r="129" spans="1:20">
      <c r="A129" s="61" t="str">
        <f ca="1">IF(ISERROR(MATCH(E129,Код_КВР,0)),"",INDIRECT(ADDRESS(MATCH(E129,Код_КВР,0)+1,2,,,"КВР")))</f>
        <v>Субсидии автономным учреждениям</v>
      </c>
      <c r="B129" s="43" t="s">
        <v>433</v>
      </c>
      <c r="C129" s="8" t="s">
        <v>193</v>
      </c>
      <c r="D129" s="1" t="s">
        <v>217</v>
      </c>
      <c r="E129" s="113">
        <v>620</v>
      </c>
      <c r="F129" s="7"/>
      <c r="G129" s="7"/>
      <c r="H129" s="7"/>
      <c r="I129" s="7">
        <f>I130</f>
        <v>5298.1</v>
      </c>
      <c r="J129" s="35">
        <f t="shared" si="24"/>
        <v>5298.1</v>
      </c>
      <c r="K129" s="7">
        <f>K130</f>
        <v>0</v>
      </c>
      <c r="L129" s="35">
        <f t="shared" si="21"/>
        <v>5298.1</v>
      </c>
      <c r="M129" s="7">
        <f>M130</f>
        <v>0</v>
      </c>
      <c r="N129" s="35">
        <f t="shared" si="22"/>
        <v>5298.1</v>
      </c>
      <c r="O129" s="7">
        <f>O130</f>
        <v>0</v>
      </c>
      <c r="P129" s="35">
        <f t="shared" si="17"/>
        <v>5298.1</v>
      </c>
      <c r="Q129" s="7">
        <f>Q130</f>
        <v>0</v>
      </c>
      <c r="R129" s="35">
        <f t="shared" si="18"/>
        <v>5298.1</v>
      </c>
      <c r="S129" s="7">
        <f>S130</f>
        <v>4698.8</v>
      </c>
      <c r="T129" s="35">
        <f t="shared" si="19"/>
        <v>9996.9000000000015</v>
      </c>
    </row>
    <row r="130" spans="1:20" ht="49.5">
      <c r="A130" s="61" t="str">
        <f ca="1">IF(ISERROR(MATCH(E130,Код_КВР,0)),"",INDIRECT(ADDRESS(MATCH(E130,Код_КВР,0)+1,2,,,"КВР")))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30" s="43" t="s">
        <v>433</v>
      </c>
      <c r="C130" s="8" t="s">
        <v>193</v>
      </c>
      <c r="D130" s="1" t="s">
        <v>217</v>
      </c>
      <c r="E130" s="113">
        <v>621</v>
      </c>
      <c r="F130" s="7"/>
      <c r="G130" s="7"/>
      <c r="H130" s="7"/>
      <c r="I130" s="7">
        <f>прил.6!J742</f>
        <v>5298.1</v>
      </c>
      <c r="J130" s="35">
        <f t="shared" si="24"/>
        <v>5298.1</v>
      </c>
      <c r="K130" s="7">
        <f>прил.6!L742</f>
        <v>0</v>
      </c>
      <c r="L130" s="35">
        <f t="shared" si="21"/>
        <v>5298.1</v>
      </c>
      <c r="M130" s="7">
        <f>прил.6!N742</f>
        <v>0</v>
      </c>
      <c r="N130" s="35">
        <f t="shared" si="22"/>
        <v>5298.1</v>
      </c>
      <c r="O130" s="7">
        <f>прил.6!P742</f>
        <v>0</v>
      </c>
      <c r="P130" s="35">
        <f t="shared" si="17"/>
        <v>5298.1</v>
      </c>
      <c r="Q130" s="7">
        <f>прил.6!R742</f>
        <v>0</v>
      </c>
      <c r="R130" s="35">
        <f t="shared" si="18"/>
        <v>5298.1</v>
      </c>
      <c r="S130" s="7">
        <f>прил.6!T742</f>
        <v>4698.8</v>
      </c>
      <c r="T130" s="35">
        <f t="shared" si="19"/>
        <v>9996.9000000000015</v>
      </c>
    </row>
    <row r="131" spans="1:20">
      <c r="A131" s="61" t="str">
        <f ca="1">IF(ISERROR(MATCH(B131,Код_КЦСР,0)),"",INDIRECT(ADDRESS(MATCH(B131,Код_КЦСР,0)+1,2,,,"КЦСР")))</f>
        <v>Дополнительное образование</v>
      </c>
      <c r="B131" s="43" t="s">
        <v>281</v>
      </c>
      <c r="C131" s="8"/>
      <c r="D131" s="1"/>
      <c r="E131" s="113"/>
      <c r="F131" s="7">
        <f>F132+F138+F144</f>
        <v>90338.2</v>
      </c>
      <c r="G131" s="7">
        <f>G132+G138+G144</f>
        <v>0</v>
      </c>
      <c r="H131" s="35">
        <f t="shared" si="25"/>
        <v>90338.2</v>
      </c>
      <c r="I131" s="7">
        <f>I132+I138+I144</f>
        <v>0</v>
      </c>
      <c r="J131" s="35">
        <f t="shared" si="24"/>
        <v>90338.2</v>
      </c>
      <c r="K131" s="7">
        <f>K132+K138+K144</f>
        <v>-77</v>
      </c>
      <c r="L131" s="35">
        <f t="shared" si="21"/>
        <v>90261.2</v>
      </c>
      <c r="M131" s="7">
        <f>M132+M138+M144</f>
        <v>0</v>
      </c>
      <c r="N131" s="35">
        <f t="shared" si="22"/>
        <v>90261.2</v>
      </c>
      <c r="O131" s="7">
        <f>O132+O138+O144</f>
        <v>0</v>
      </c>
      <c r="P131" s="35">
        <f t="shared" si="17"/>
        <v>90261.2</v>
      </c>
      <c r="Q131" s="7">
        <f>Q132+Q138+Q144</f>
        <v>0</v>
      </c>
      <c r="R131" s="35">
        <f t="shared" si="18"/>
        <v>90261.2</v>
      </c>
      <c r="S131" s="7">
        <f>S132+S138+S144</f>
        <v>373.2</v>
      </c>
      <c r="T131" s="35">
        <f t="shared" si="19"/>
        <v>90634.4</v>
      </c>
    </row>
    <row r="132" spans="1:20">
      <c r="A132" s="61" t="str">
        <f ca="1">IF(ISERROR(MATCH(B132,Код_КЦСР,0)),"",INDIRECT(ADDRESS(MATCH(B132,Код_КЦСР,0)+1,2,,,"КЦСР")))</f>
        <v xml:space="preserve">Организация предоставления дополнительного образования детям </v>
      </c>
      <c r="B132" s="43" t="s">
        <v>283</v>
      </c>
      <c r="C132" s="8"/>
      <c r="D132" s="1"/>
      <c r="E132" s="113"/>
      <c r="F132" s="7">
        <f t="shared" ref="F132:S136" si="34">F133</f>
        <v>88222.7</v>
      </c>
      <c r="G132" s="7">
        <f t="shared" si="34"/>
        <v>0</v>
      </c>
      <c r="H132" s="35">
        <f t="shared" si="25"/>
        <v>88222.7</v>
      </c>
      <c r="I132" s="7">
        <f t="shared" si="34"/>
        <v>0</v>
      </c>
      <c r="J132" s="35">
        <f t="shared" si="24"/>
        <v>88222.7</v>
      </c>
      <c r="K132" s="7">
        <f t="shared" si="34"/>
        <v>-77</v>
      </c>
      <c r="L132" s="35">
        <f t="shared" si="21"/>
        <v>88145.7</v>
      </c>
      <c r="M132" s="7">
        <f t="shared" si="34"/>
        <v>0</v>
      </c>
      <c r="N132" s="35">
        <f t="shared" si="22"/>
        <v>88145.7</v>
      </c>
      <c r="O132" s="7">
        <f t="shared" si="34"/>
        <v>0</v>
      </c>
      <c r="P132" s="35">
        <f t="shared" si="17"/>
        <v>88145.7</v>
      </c>
      <c r="Q132" s="7">
        <f t="shared" si="34"/>
        <v>0</v>
      </c>
      <c r="R132" s="35">
        <f t="shared" si="18"/>
        <v>88145.7</v>
      </c>
      <c r="S132" s="7">
        <f t="shared" si="34"/>
        <v>373.2</v>
      </c>
      <c r="T132" s="35">
        <f t="shared" si="19"/>
        <v>88518.9</v>
      </c>
    </row>
    <row r="133" spans="1:20">
      <c r="A133" s="61" t="str">
        <f ca="1">IF(ISERROR(MATCH(C133,Код_Раздел,0)),"",INDIRECT(ADDRESS(MATCH(C133,Код_Раздел,0)+1,2,,,"Раздел")))</f>
        <v>Образование</v>
      </c>
      <c r="B133" s="43" t="s">
        <v>283</v>
      </c>
      <c r="C133" s="8" t="s">
        <v>193</v>
      </c>
      <c r="D133" s="1"/>
      <c r="E133" s="113"/>
      <c r="F133" s="7">
        <f t="shared" si="34"/>
        <v>88222.7</v>
      </c>
      <c r="G133" s="7">
        <f t="shared" si="34"/>
        <v>0</v>
      </c>
      <c r="H133" s="35">
        <f t="shared" si="25"/>
        <v>88222.7</v>
      </c>
      <c r="I133" s="7">
        <f t="shared" si="34"/>
        <v>0</v>
      </c>
      <c r="J133" s="35">
        <f t="shared" si="24"/>
        <v>88222.7</v>
      </c>
      <c r="K133" s="7">
        <f t="shared" si="34"/>
        <v>-77</v>
      </c>
      <c r="L133" s="35">
        <f t="shared" si="21"/>
        <v>88145.7</v>
      </c>
      <c r="M133" s="7">
        <f t="shared" si="34"/>
        <v>0</v>
      </c>
      <c r="N133" s="35">
        <f t="shared" si="22"/>
        <v>88145.7</v>
      </c>
      <c r="O133" s="7">
        <f t="shared" si="34"/>
        <v>0</v>
      </c>
      <c r="P133" s="35">
        <f t="shared" si="17"/>
        <v>88145.7</v>
      </c>
      <c r="Q133" s="7">
        <f t="shared" si="34"/>
        <v>0</v>
      </c>
      <c r="R133" s="35">
        <f t="shared" si="18"/>
        <v>88145.7</v>
      </c>
      <c r="S133" s="7">
        <f t="shared" si="34"/>
        <v>373.2</v>
      </c>
      <c r="T133" s="35">
        <f t="shared" si="19"/>
        <v>88518.9</v>
      </c>
    </row>
    <row r="134" spans="1:20">
      <c r="A134" s="12" t="s">
        <v>248</v>
      </c>
      <c r="B134" s="43" t="s">
        <v>283</v>
      </c>
      <c r="C134" s="8" t="s">
        <v>193</v>
      </c>
      <c r="D134" s="1" t="s">
        <v>212</v>
      </c>
      <c r="E134" s="113"/>
      <c r="F134" s="7">
        <f t="shared" si="34"/>
        <v>88222.7</v>
      </c>
      <c r="G134" s="7">
        <f t="shared" si="34"/>
        <v>0</v>
      </c>
      <c r="H134" s="35">
        <f t="shared" si="25"/>
        <v>88222.7</v>
      </c>
      <c r="I134" s="7">
        <f t="shared" si="34"/>
        <v>0</v>
      </c>
      <c r="J134" s="35">
        <f t="shared" si="24"/>
        <v>88222.7</v>
      </c>
      <c r="K134" s="7">
        <f t="shared" si="34"/>
        <v>-77</v>
      </c>
      <c r="L134" s="35">
        <f t="shared" si="21"/>
        <v>88145.7</v>
      </c>
      <c r="M134" s="7">
        <f t="shared" si="34"/>
        <v>0</v>
      </c>
      <c r="N134" s="35">
        <f t="shared" si="22"/>
        <v>88145.7</v>
      </c>
      <c r="O134" s="7">
        <f t="shared" si="34"/>
        <v>0</v>
      </c>
      <c r="P134" s="35">
        <f t="shared" si="17"/>
        <v>88145.7</v>
      </c>
      <c r="Q134" s="7">
        <f t="shared" si="34"/>
        <v>0</v>
      </c>
      <c r="R134" s="35">
        <f t="shared" si="18"/>
        <v>88145.7</v>
      </c>
      <c r="S134" s="7">
        <f t="shared" si="34"/>
        <v>373.2</v>
      </c>
      <c r="T134" s="35">
        <f t="shared" si="19"/>
        <v>88518.9</v>
      </c>
    </row>
    <row r="135" spans="1:20" ht="33">
      <c r="A135" s="61" t="str">
        <f ca="1">IF(ISERROR(MATCH(E135,Код_КВР,0)),"",INDIRECT(ADDRESS(MATCH(E135,Код_КВР,0)+1,2,,,"КВР")))</f>
        <v>Предоставление субсидий бюджетным, автономным учреждениям и иным некоммерческим организациям</v>
      </c>
      <c r="B135" s="43" t="s">
        <v>283</v>
      </c>
      <c r="C135" s="8" t="s">
        <v>193</v>
      </c>
      <c r="D135" s="1" t="s">
        <v>212</v>
      </c>
      <c r="E135" s="113">
        <v>600</v>
      </c>
      <c r="F135" s="7">
        <f t="shared" si="34"/>
        <v>88222.7</v>
      </c>
      <c r="G135" s="7">
        <f t="shared" si="34"/>
        <v>0</v>
      </c>
      <c r="H135" s="35">
        <f t="shared" si="25"/>
        <v>88222.7</v>
      </c>
      <c r="I135" s="7">
        <f t="shared" si="34"/>
        <v>0</v>
      </c>
      <c r="J135" s="35">
        <f t="shared" si="24"/>
        <v>88222.7</v>
      </c>
      <c r="K135" s="7">
        <f t="shared" si="34"/>
        <v>-77</v>
      </c>
      <c r="L135" s="35">
        <f t="shared" si="21"/>
        <v>88145.7</v>
      </c>
      <c r="M135" s="7">
        <f t="shared" si="34"/>
        <v>0</v>
      </c>
      <c r="N135" s="35">
        <f t="shared" si="22"/>
        <v>88145.7</v>
      </c>
      <c r="O135" s="7">
        <f t="shared" si="34"/>
        <v>0</v>
      </c>
      <c r="P135" s="35">
        <f t="shared" si="17"/>
        <v>88145.7</v>
      </c>
      <c r="Q135" s="7">
        <f t="shared" si="34"/>
        <v>0</v>
      </c>
      <c r="R135" s="35">
        <f t="shared" si="18"/>
        <v>88145.7</v>
      </c>
      <c r="S135" s="7">
        <f t="shared" si="34"/>
        <v>373.2</v>
      </c>
      <c r="T135" s="35">
        <f t="shared" si="19"/>
        <v>88518.9</v>
      </c>
    </row>
    <row r="136" spans="1:20">
      <c r="A136" s="61" t="str">
        <f ca="1">IF(ISERROR(MATCH(E136,Код_КВР,0)),"",INDIRECT(ADDRESS(MATCH(E136,Код_КВР,0)+1,2,,,"КВР")))</f>
        <v>Субсидии бюджетным учреждениям</v>
      </c>
      <c r="B136" s="43" t="s">
        <v>283</v>
      </c>
      <c r="C136" s="8" t="s">
        <v>193</v>
      </c>
      <c r="D136" s="1" t="s">
        <v>212</v>
      </c>
      <c r="E136" s="113">
        <v>610</v>
      </c>
      <c r="F136" s="7">
        <f t="shared" si="34"/>
        <v>88222.7</v>
      </c>
      <c r="G136" s="7">
        <f t="shared" si="34"/>
        <v>0</v>
      </c>
      <c r="H136" s="35">
        <f t="shared" si="25"/>
        <v>88222.7</v>
      </c>
      <c r="I136" s="7">
        <f t="shared" si="34"/>
        <v>0</v>
      </c>
      <c r="J136" s="35">
        <f t="shared" si="24"/>
        <v>88222.7</v>
      </c>
      <c r="K136" s="7">
        <f t="shared" si="34"/>
        <v>-77</v>
      </c>
      <c r="L136" s="35">
        <f t="shared" si="21"/>
        <v>88145.7</v>
      </c>
      <c r="M136" s="7">
        <f t="shared" si="34"/>
        <v>0</v>
      </c>
      <c r="N136" s="35">
        <f t="shared" si="22"/>
        <v>88145.7</v>
      </c>
      <c r="O136" s="7">
        <f t="shared" si="34"/>
        <v>0</v>
      </c>
      <c r="P136" s="35">
        <f t="shared" si="17"/>
        <v>88145.7</v>
      </c>
      <c r="Q136" s="7">
        <f t="shared" si="34"/>
        <v>0</v>
      </c>
      <c r="R136" s="35">
        <f t="shared" si="18"/>
        <v>88145.7</v>
      </c>
      <c r="S136" s="7">
        <f t="shared" si="34"/>
        <v>373.2</v>
      </c>
      <c r="T136" s="35">
        <f t="shared" si="19"/>
        <v>88518.9</v>
      </c>
    </row>
    <row r="137" spans="1:20" ht="49.5">
      <c r="A137" s="61" t="str">
        <f ca="1">IF(ISERROR(MATCH(E137,Код_КВР,0)),"",INDIRECT(ADDRESS(MATCH(E137,Код_КВР,0)+1,2,,,"КВР")))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7" s="43" t="s">
        <v>283</v>
      </c>
      <c r="C137" s="8" t="s">
        <v>193</v>
      </c>
      <c r="D137" s="1" t="s">
        <v>212</v>
      </c>
      <c r="E137" s="113">
        <v>611</v>
      </c>
      <c r="F137" s="7">
        <f>прил.6!G665</f>
        <v>88222.7</v>
      </c>
      <c r="G137" s="7">
        <f>прил.6!H665</f>
        <v>0</v>
      </c>
      <c r="H137" s="35">
        <f t="shared" si="25"/>
        <v>88222.7</v>
      </c>
      <c r="I137" s="7">
        <f>прил.6!J665</f>
        <v>0</v>
      </c>
      <c r="J137" s="35">
        <f t="shared" si="24"/>
        <v>88222.7</v>
      </c>
      <c r="K137" s="7">
        <f>прил.6!L665</f>
        <v>-77</v>
      </c>
      <c r="L137" s="35">
        <f t="shared" si="21"/>
        <v>88145.7</v>
      </c>
      <c r="M137" s="7">
        <f>прил.6!N665</f>
        <v>0</v>
      </c>
      <c r="N137" s="35">
        <f t="shared" si="22"/>
        <v>88145.7</v>
      </c>
      <c r="O137" s="7">
        <f>прил.6!P665</f>
        <v>0</v>
      </c>
      <c r="P137" s="35">
        <f t="shared" si="17"/>
        <v>88145.7</v>
      </c>
      <c r="Q137" s="7">
        <f>прил.6!R665</f>
        <v>0</v>
      </c>
      <c r="R137" s="35">
        <f t="shared" si="18"/>
        <v>88145.7</v>
      </c>
      <c r="S137" s="7">
        <f>прил.6!T665</f>
        <v>373.2</v>
      </c>
      <c r="T137" s="35">
        <f t="shared" si="19"/>
        <v>88518.9</v>
      </c>
    </row>
    <row r="138" spans="1:20" ht="49.5">
      <c r="A138" s="61" t="str">
        <f ca="1">IF(ISERROR(MATCH(B138,Код_КЦСР,0)),"",INDIRECT(ADDRESS(MATCH(B138,Код_КЦСР,0)+1,2,,,"КЦСР")))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38" s="43" t="s">
        <v>285</v>
      </c>
      <c r="C138" s="8"/>
      <c r="D138" s="1"/>
      <c r="E138" s="113"/>
      <c r="F138" s="7">
        <f t="shared" ref="F138:S142" si="35">F139</f>
        <v>258</v>
      </c>
      <c r="G138" s="7">
        <f t="shared" si="35"/>
        <v>0</v>
      </c>
      <c r="H138" s="35">
        <f t="shared" si="25"/>
        <v>258</v>
      </c>
      <c r="I138" s="7">
        <f t="shared" si="35"/>
        <v>0</v>
      </c>
      <c r="J138" s="35">
        <f t="shared" si="24"/>
        <v>258</v>
      </c>
      <c r="K138" s="7">
        <f t="shared" si="35"/>
        <v>0</v>
      </c>
      <c r="L138" s="35">
        <f t="shared" si="21"/>
        <v>258</v>
      </c>
      <c r="M138" s="7">
        <f t="shared" si="35"/>
        <v>0</v>
      </c>
      <c r="N138" s="35">
        <f t="shared" si="22"/>
        <v>258</v>
      </c>
      <c r="O138" s="7">
        <f t="shared" si="35"/>
        <v>0</v>
      </c>
      <c r="P138" s="35">
        <f t="shared" si="17"/>
        <v>258</v>
      </c>
      <c r="Q138" s="7">
        <f t="shared" si="35"/>
        <v>0</v>
      </c>
      <c r="R138" s="35">
        <f t="shared" si="18"/>
        <v>258</v>
      </c>
      <c r="S138" s="7">
        <f t="shared" si="35"/>
        <v>0</v>
      </c>
      <c r="T138" s="35">
        <f t="shared" si="19"/>
        <v>258</v>
      </c>
    </row>
    <row r="139" spans="1:20">
      <c r="A139" s="61" t="str">
        <f ca="1">IF(ISERROR(MATCH(C139,Код_Раздел,0)),"",INDIRECT(ADDRESS(MATCH(C139,Код_Раздел,0)+1,2,,,"Раздел")))</f>
        <v>Образование</v>
      </c>
      <c r="B139" s="43" t="s">
        <v>285</v>
      </c>
      <c r="C139" s="8" t="s">
        <v>193</v>
      </c>
      <c r="D139" s="1"/>
      <c r="E139" s="113"/>
      <c r="F139" s="7">
        <f t="shared" si="35"/>
        <v>258</v>
      </c>
      <c r="G139" s="7">
        <f t="shared" si="35"/>
        <v>0</v>
      </c>
      <c r="H139" s="35">
        <f t="shared" si="25"/>
        <v>258</v>
      </c>
      <c r="I139" s="7">
        <f t="shared" si="35"/>
        <v>0</v>
      </c>
      <c r="J139" s="35">
        <f t="shared" si="24"/>
        <v>258</v>
      </c>
      <c r="K139" s="7">
        <f t="shared" si="35"/>
        <v>0</v>
      </c>
      <c r="L139" s="35">
        <f t="shared" si="21"/>
        <v>258</v>
      </c>
      <c r="M139" s="7">
        <f t="shared" si="35"/>
        <v>0</v>
      </c>
      <c r="N139" s="35">
        <f t="shared" si="22"/>
        <v>258</v>
      </c>
      <c r="O139" s="7">
        <f t="shared" si="35"/>
        <v>0</v>
      </c>
      <c r="P139" s="35">
        <f t="shared" si="17"/>
        <v>258</v>
      </c>
      <c r="Q139" s="7">
        <f t="shared" si="35"/>
        <v>0</v>
      </c>
      <c r="R139" s="35">
        <f t="shared" si="18"/>
        <v>258</v>
      </c>
      <c r="S139" s="7">
        <f t="shared" si="35"/>
        <v>0</v>
      </c>
      <c r="T139" s="35">
        <f t="shared" si="19"/>
        <v>258</v>
      </c>
    </row>
    <row r="140" spans="1:20">
      <c r="A140" s="12" t="s">
        <v>249</v>
      </c>
      <c r="B140" s="43" t="s">
        <v>285</v>
      </c>
      <c r="C140" s="8" t="s">
        <v>193</v>
      </c>
      <c r="D140" s="1" t="s">
        <v>217</v>
      </c>
      <c r="E140" s="113"/>
      <c r="F140" s="7">
        <f t="shared" si="35"/>
        <v>258</v>
      </c>
      <c r="G140" s="7">
        <f t="shared" si="35"/>
        <v>0</v>
      </c>
      <c r="H140" s="35">
        <f t="shared" si="25"/>
        <v>258</v>
      </c>
      <c r="I140" s="7">
        <f t="shared" si="35"/>
        <v>0</v>
      </c>
      <c r="J140" s="35">
        <f t="shared" si="24"/>
        <v>258</v>
      </c>
      <c r="K140" s="7">
        <f t="shared" si="35"/>
        <v>0</v>
      </c>
      <c r="L140" s="35">
        <f t="shared" si="21"/>
        <v>258</v>
      </c>
      <c r="M140" s="7">
        <f t="shared" si="35"/>
        <v>0</v>
      </c>
      <c r="N140" s="35">
        <f t="shared" si="22"/>
        <v>258</v>
      </c>
      <c r="O140" s="7">
        <f t="shared" si="35"/>
        <v>0</v>
      </c>
      <c r="P140" s="35">
        <f t="shared" si="17"/>
        <v>258</v>
      </c>
      <c r="Q140" s="7">
        <f t="shared" si="35"/>
        <v>0</v>
      </c>
      <c r="R140" s="35">
        <f t="shared" si="18"/>
        <v>258</v>
      </c>
      <c r="S140" s="7">
        <f t="shared" si="35"/>
        <v>0</v>
      </c>
      <c r="T140" s="35">
        <f t="shared" si="19"/>
        <v>258</v>
      </c>
    </row>
    <row r="141" spans="1:20" ht="33">
      <c r="A141" s="61" t="str">
        <f ca="1">IF(ISERROR(MATCH(E141,Код_КВР,0)),"",INDIRECT(ADDRESS(MATCH(E141,Код_КВР,0)+1,2,,,"КВР")))</f>
        <v>Предоставление субсидий бюджетным, автономным учреждениям и иным некоммерческим организациям</v>
      </c>
      <c r="B141" s="43" t="s">
        <v>285</v>
      </c>
      <c r="C141" s="8" t="s">
        <v>193</v>
      </c>
      <c r="D141" s="1" t="s">
        <v>217</v>
      </c>
      <c r="E141" s="113">
        <v>600</v>
      </c>
      <c r="F141" s="7">
        <f t="shared" si="35"/>
        <v>258</v>
      </c>
      <c r="G141" s="7">
        <f t="shared" si="35"/>
        <v>0</v>
      </c>
      <c r="H141" s="35">
        <f t="shared" si="25"/>
        <v>258</v>
      </c>
      <c r="I141" s="7">
        <f t="shared" si="35"/>
        <v>0</v>
      </c>
      <c r="J141" s="35">
        <f t="shared" si="24"/>
        <v>258</v>
      </c>
      <c r="K141" s="7">
        <f t="shared" si="35"/>
        <v>0</v>
      </c>
      <c r="L141" s="35">
        <f t="shared" si="21"/>
        <v>258</v>
      </c>
      <c r="M141" s="7">
        <f t="shared" si="35"/>
        <v>0</v>
      </c>
      <c r="N141" s="35">
        <f t="shared" si="22"/>
        <v>258</v>
      </c>
      <c r="O141" s="7">
        <f t="shared" si="35"/>
        <v>0</v>
      </c>
      <c r="P141" s="35">
        <f t="shared" si="17"/>
        <v>258</v>
      </c>
      <c r="Q141" s="7">
        <f t="shared" si="35"/>
        <v>0</v>
      </c>
      <c r="R141" s="35">
        <f t="shared" si="18"/>
        <v>258</v>
      </c>
      <c r="S141" s="7">
        <f t="shared" si="35"/>
        <v>0</v>
      </c>
      <c r="T141" s="35">
        <f t="shared" si="19"/>
        <v>258</v>
      </c>
    </row>
    <row r="142" spans="1:20">
      <c r="A142" s="61" t="str">
        <f ca="1">IF(ISERROR(MATCH(E142,Код_КВР,0)),"",INDIRECT(ADDRESS(MATCH(E142,Код_КВР,0)+1,2,,,"КВР")))</f>
        <v>Субсидии бюджетным учреждениям</v>
      </c>
      <c r="B142" s="43" t="s">
        <v>285</v>
      </c>
      <c r="C142" s="8" t="s">
        <v>193</v>
      </c>
      <c r="D142" s="1" t="s">
        <v>217</v>
      </c>
      <c r="E142" s="113">
        <v>610</v>
      </c>
      <c r="F142" s="7">
        <f t="shared" si="35"/>
        <v>258</v>
      </c>
      <c r="G142" s="7">
        <f t="shared" si="35"/>
        <v>0</v>
      </c>
      <c r="H142" s="35">
        <f t="shared" si="25"/>
        <v>258</v>
      </c>
      <c r="I142" s="7">
        <f t="shared" si="35"/>
        <v>0</v>
      </c>
      <c r="J142" s="35">
        <f t="shared" si="24"/>
        <v>258</v>
      </c>
      <c r="K142" s="7">
        <f t="shared" si="35"/>
        <v>0</v>
      </c>
      <c r="L142" s="35">
        <f t="shared" si="21"/>
        <v>258</v>
      </c>
      <c r="M142" s="7">
        <f t="shared" si="35"/>
        <v>0</v>
      </c>
      <c r="N142" s="35">
        <f t="shared" si="22"/>
        <v>258</v>
      </c>
      <c r="O142" s="7">
        <f t="shared" si="35"/>
        <v>0</v>
      </c>
      <c r="P142" s="35">
        <f t="shared" si="17"/>
        <v>258</v>
      </c>
      <c r="Q142" s="7">
        <f t="shared" si="35"/>
        <v>0</v>
      </c>
      <c r="R142" s="35">
        <f t="shared" si="18"/>
        <v>258</v>
      </c>
      <c r="S142" s="7">
        <f t="shared" si="35"/>
        <v>0</v>
      </c>
      <c r="T142" s="35">
        <f t="shared" si="19"/>
        <v>258</v>
      </c>
    </row>
    <row r="143" spans="1:20" ht="49.5">
      <c r="A143" s="61" t="str">
        <f ca="1">IF(ISERROR(MATCH(E143,Код_КВР,0)),"",INDIRECT(ADDRESS(MATCH(E143,Код_КВР,0)+1,2,,,"КВР")))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43" s="43" t="s">
        <v>285</v>
      </c>
      <c r="C143" s="8" t="s">
        <v>193</v>
      </c>
      <c r="D143" s="1" t="s">
        <v>217</v>
      </c>
      <c r="E143" s="113">
        <v>611</v>
      </c>
      <c r="F143" s="7">
        <f>прил.6!G747</f>
        <v>258</v>
      </c>
      <c r="G143" s="7">
        <f>прил.6!H747</f>
        <v>0</v>
      </c>
      <c r="H143" s="35">
        <f t="shared" si="25"/>
        <v>258</v>
      </c>
      <c r="I143" s="7">
        <f>прил.6!J747</f>
        <v>0</v>
      </c>
      <c r="J143" s="35">
        <f t="shared" si="24"/>
        <v>258</v>
      </c>
      <c r="K143" s="7">
        <f>прил.6!L747</f>
        <v>0</v>
      </c>
      <c r="L143" s="35">
        <f t="shared" si="21"/>
        <v>258</v>
      </c>
      <c r="M143" s="7">
        <f>прил.6!N747</f>
        <v>0</v>
      </c>
      <c r="N143" s="35">
        <f t="shared" si="22"/>
        <v>258</v>
      </c>
      <c r="O143" s="7">
        <f>прил.6!P747</f>
        <v>0</v>
      </c>
      <c r="P143" s="35">
        <f t="shared" si="17"/>
        <v>258</v>
      </c>
      <c r="Q143" s="7">
        <f>прил.6!R747</f>
        <v>0</v>
      </c>
      <c r="R143" s="35">
        <f t="shared" si="18"/>
        <v>258</v>
      </c>
      <c r="S143" s="7">
        <f>прил.6!T747</f>
        <v>0</v>
      </c>
      <c r="T143" s="35">
        <f t="shared" si="19"/>
        <v>258</v>
      </c>
    </row>
    <row r="144" spans="1:20" ht="82.5">
      <c r="A144" s="61" t="str">
        <f ca="1">IF(ISERROR(MATCH(B144,Код_КЦСР,0)),"",INDIRECT(ADDRESS(MATCH(B144,Код_КЦСР,0)+1,2,,,"КЦСР")))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44" s="43" t="s">
        <v>108</v>
      </c>
      <c r="C144" s="8"/>
      <c r="D144" s="1"/>
      <c r="E144" s="113"/>
      <c r="F144" s="7">
        <f t="shared" ref="F144:S148" si="36">F145</f>
        <v>1857.5</v>
      </c>
      <c r="G144" s="7">
        <f t="shared" si="36"/>
        <v>0</v>
      </c>
      <c r="H144" s="35">
        <f t="shared" si="25"/>
        <v>1857.5</v>
      </c>
      <c r="I144" s="7">
        <f t="shared" si="36"/>
        <v>0</v>
      </c>
      <c r="J144" s="35">
        <f t="shared" si="24"/>
        <v>1857.5</v>
      </c>
      <c r="K144" s="7">
        <f t="shared" si="36"/>
        <v>0</v>
      </c>
      <c r="L144" s="35">
        <f t="shared" si="21"/>
        <v>1857.5</v>
      </c>
      <c r="M144" s="7">
        <f t="shared" si="36"/>
        <v>0</v>
      </c>
      <c r="N144" s="35">
        <f t="shared" si="22"/>
        <v>1857.5</v>
      </c>
      <c r="O144" s="7">
        <f t="shared" si="36"/>
        <v>0</v>
      </c>
      <c r="P144" s="35">
        <f t="shared" si="17"/>
        <v>1857.5</v>
      </c>
      <c r="Q144" s="7">
        <f t="shared" si="36"/>
        <v>0</v>
      </c>
      <c r="R144" s="35">
        <f t="shared" si="18"/>
        <v>1857.5</v>
      </c>
      <c r="S144" s="7">
        <f t="shared" si="36"/>
        <v>0</v>
      </c>
      <c r="T144" s="35">
        <f t="shared" si="19"/>
        <v>1857.5</v>
      </c>
    </row>
    <row r="145" spans="1:21">
      <c r="A145" s="61" t="str">
        <f ca="1">IF(ISERROR(MATCH(C145,Код_Раздел,0)),"",INDIRECT(ADDRESS(MATCH(C145,Код_Раздел,0)+1,2,,,"Раздел")))</f>
        <v>Образование</v>
      </c>
      <c r="B145" s="43" t="s">
        <v>108</v>
      </c>
      <c r="C145" s="8" t="s">
        <v>193</v>
      </c>
      <c r="D145" s="1"/>
      <c r="E145" s="113"/>
      <c r="F145" s="7">
        <f t="shared" si="36"/>
        <v>1857.5</v>
      </c>
      <c r="G145" s="7">
        <f t="shared" si="36"/>
        <v>0</v>
      </c>
      <c r="H145" s="35">
        <f t="shared" si="25"/>
        <v>1857.5</v>
      </c>
      <c r="I145" s="7">
        <f t="shared" si="36"/>
        <v>0</v>
      </c>
      <c r="J145" s="35">
        <f t="shared" si="24"/>
        <v>1857.5</v>
      </c>
      <c r="K145" s="7">
        <f t="shared" si="36"/>
        <v>0</v>
      </c>
      <c r="L145" s="35">
        <f t="shared" si="21"/>
        <v>1857.5</v>
      </c>
      <c r="M145" s="7">
        <f t="shared" si="36"/>
        <v>0</v>
      </c>
      <c r="N145" s="35">
        <f t="shared" si="22"/>
        <v>1857.5</v>
      </c>
      <c r="O145" s="7">
        <f t="shared" si="36"/>
        <v>0</v>
      </c>
      <c r="P145" s="35">
        <f t="shared" si="17"/>
        <v>1857.5</v>
      </c>
      <c r="Q145" s="7">
        <f t="shared" si="36"/>
        <v>0</v>
      </c>
      <c r="R145" s="35">
        <f t="shared" si="18"/>
        <v>1857.5</v>
      </c>
      <c r="S145" s="7">
        <f t="shared" si="36"/>
        <v>0</v>
      </c>
      <c r="T145" s="35">
        <f t="shared" si="19"/>
        <v>1857.5</v>
      </c>
    </row>
    <row r="146" spans="1:21">
      <c r="A146" s="12" t="s">
        <v>248</v>
      </c>
      <c r="B146" s="43" t="s">
        <v>108</v>
      </c>
      <c r="C146" s="8" t="s">
        <v>193</v>
      </c>
      <c r="D146" s="1" t="s">
        <v>212</v>
      </c>
      <c r="E146" s="113"/>
      <c r="F146" s="7">
        <f t="shared" si="36"/>
        <v>1857.5</v>
      </c>
      <c r="G146" s="7">
        <f t="shared" si="36"/>
        <v>0</v>
      </c>
      <c r="H146" s="35">
        <f t="shared" si="25"/>
        <v>1857.5</v>
      </c>
      <c r="I146" s="7">
        <f t="shared" si="36"/>
        <v>0</v>
      </c>
      <c r="J146" s="35">
        <f t="shared" si="24"/>
        <v>1857.5</v>
      </c>
      <c r="K146" s="7">
        <f t="shared" si="36"/>
        <v>0</v>
      </c>
      <c r="L146" s="35">
        <f t="shared" si="21"/>
        <v>1857.5</v>
      </c>
      <c r="M146" s="7">
        <f t="shared" si="36"/>
        <v>0</v>
      </c>
      <c r="N146" s="35">
        <f t="shared" si="22"/>
        <v>1857.5</v>
      </c>
      <c r="O146" s="7">
        <f t="shared" si="36"/>
        <v>0</v>
      </c>
      <c r="P146" s="35">
        <f t="shared" si="17"/>
        <v>1857.5</v>
      </c>
      <c r="Q146" s="7">
        <f t="shared" si="36"/>
        <v>0</v>
      </c>
      <c r="R146" s="35">
        <f t="shared" si="18"/>
        <v>1857.5</v>
      </c>
      <c r="S146" s="7">
        <f t="shared" si="36"/>
        <v>0</v>
      </c>
      <c r="T146" s="35">
        <f t="shared" si="19"/>
        <v>1857.5</v>
      </c>
    </row>
    <row r="147" spans="1:21" ht="33">
      <c r="A147" s="61" t="str">
        <f ca="1">IF(ISERROR(MATCH(E147,Код_КВР,0)),"",INDIRECT(ADDRESS(MATCH(E147,Код_КВР,0)+1,2,,,"КВР")))</f>
        <v>Предоставление субсидий бюджетным, автономным учреждениям и иным некоммерческим организациям</v>
      </c>
      <c r="B147" s="43" t="s">
        <v>108</v>
      </c>
      <c r="C147" s="8" t="s">
        <v>193</v>
      </c>
      <c r="D147" s="1" t="s">
        <v>212</v>
      </c>
      <c r="E147" s="113">
        <v>600</v>
      </c>
      <c r="F147" s="7">
        <f t="shared" si="36"/>
        <v>1857.5</v>
      </c>
      <c r="G147" s="7">
        <f t="shared" si="36"/>
        <v>0</v>
      </c>
      <c r="H147" s="35">
        <f t="shared" si="25"/>
        <v>1857.5</v>
      </c>
      <c r="I147" s="7">
        <f t="shared" si="36"/>
        <v>0</v>
      </c>
      <c r="J147" s="35">
        <f t="shared" si="24"/>
        <v>1857.5</v>
      </c>
      <c r="K147" s="7">
        <f t="shared" si="36"/>
        <v>0</v>
      </c>
      <c r="L147" s="35">
        <f t="shared" si="21"/>
        <v>1857.5</v>
      </c>
      <c r="M147" s="7">
        <f t="shared" si="36"/>
        <v>0</v>
      </c>
      <c r="N147" s="35">
        <f t="shared" si="22"/>
        <v>1857.5</v>
      </c>
      <c r="O147" s="7">
        <f t="shared" si="36"/>
        <v>0</v>
      </c>
      <c r="P147" s="35">
        <f t="shared" si="17"/>
        <v>1857.5</v>
      </c>
      <c r="Q147" s="7">
        <f t="shared" si="36"/>
        <v>0</v>
      </c>
      <c r="R147" s="35">
        <f t="shared" si="18"/>
        <v>1857.5</v>
      </c>
      <c r="S147" s="7">
        <f t="shared" si="36"/>
        <v>0</v>
      </c>
      <c r="T147" s="35">
        <f t="shared" si="19"/>
        <v>1857.5</v>
      </c>
    </row>
    <row r="148" spans="1:21">
      <c r="A148" s="61" t="str">
        <f ca="1">IF(ISERROR(MATCH(E148,Код_КВР,0)),"",INDIRECT(ADDRESS(MATCH(E148,Код_КВР,0)+1,2,,,"КВР")))</f>
        <v>Субсидии бюджетным учреждениям</v>
      </c>
      <c r="B148" s="43" t="s">
        <v>108</v>
      </c>
      <c r="C148" s="8" t="s">
        <v>193</v>
      </c>
      <c r="D148" s="1" t="s">
        <v>212</v>
      </c>
      <c r="E148" s="113">
        <v>610</v>
      </c>
      <c r="F148" s="7">
        <f t="shared" si="36"/>
        <v>1857.5</v>
      </c>
      <c r="G148" s="7">
        <f t="shared" si="36"/>
        <v>0</v>
      </c>
      <c r="H148" s="35">
        <f t="shared" si="25"/>
        <v>1857.5</v>
      </c>
      <c r="I148" s="7">
        <f t="shared" si="36"/>
        <v>0</v>
      </c>
      <c r="J148" s="35">
        <f t="shared" si="24"/>
        <v>1857.5</v>
      </c>
      <c r="K148" s="7">
        <f t="shared" si="36"/>
        <v>0</v>
      </c>
      <c r="L148" s="35">
        <f t="shared" si="21"/>
        <v>1857.5</v>
      </c>
      <c r="M148" s="7">
        <f t="shared" si="36"/>
        <v>0</v>
      </c>
      <c r="N148" s="35">
        <f t="shared" si="22"/>
        <v>1857.5</v>
      </c>
      <c r="O148" s="7">
        <f t="shared" si="36"/>
        <v>0</v>
      </c>
      <c r="P148" s="35">
        <f t="shared" si="17"/>
        <v>1857.5</v>
      </c>
      <c r="Q148" s="7">
        <f t="shared" si="36"/>
        <v>0</v>
      </c>
      <c r="R148" s="35">
        <f t="shared" si="18"/>
        <v>1857.5</v>
      </c>
      <c r="S148" s="7">
        <f t="shared" si="36"/>
        <v>0</v>
      </c>
      <c r="T148" s="35">
        <f t="shared" ref="T148:T214" si="37">R148+S148</f>
        <v>1857.5</v>
      </c>
    </row>
    <row r="149" spans="1:21" ht="49.5">
      <c r="A149" s="61" t="str">
        <f ca="1">IF(ISERROR(MATCH(E149,Код_КВР,0)),"",INDIRECT(ADDRESS(MATCH(E149,Код_КВР,0)+1,2,,,"КВР")))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49" s="43" t="s">
        <v>108</v>
      </c>
      <c r="C149" s="8" t="s">
        <v>193</v>
      </c>
      <c r="D149" s="1" t="s">
        <v>212</v>
      </c>
      <c r="E149" s="113">
        <v>611</v>
      </c>
      <c r="F149" s="7">
        <f>прил.6!G669</f>
        <v>1857.5</v>
      </c>
      <c r="G149" s="7">
        <f>прил.6!H669</f>
        <v>0</v>
      </c>
      <c r="H149" s="35">
        <f t="shared" si="25"/>
        <v>1857.5</v>
      </c>
      <c r="I149" s="7">
        <f>прил.6!J669</f>
        <v>0</v>
      </c>
      <c r="J149" s="35">
        <f t="shared" si="24"/>
        <v>1857.5</v>
      </c>
      <c r="K149" s="7">
        <f>прил.6!L669</f>
        <v>0</v>
      </c>
      <c r="L149" s="35">
        <f t="shared" si="21"/>
        <v>1857.5</v>
      </c>
      <c r="M149" s="7">
        <f>прил.6!N669</f>
        <v>0</v>
      </c>
      <c r="N149" s="35">
        <f>L149+M149</f>
        <v>1857.5</v>
      </c>
      <c r="O149" s="7">
        <f>прил.6!P669</f>
        <v>0</v>
      </c>
      <c r="P149" s="35">
        <f t="shared" si="17"/>
        <v>1857.5</v>
      </c>
      <c r="Q149" s="7">
        <f>прил.6!R669</f>
        <v>0</v>
      </c>
      <c r="R149" s="35">
        <f t="shared" si="18"/>
        <v>1857.5</v>
      </c>
      <c r="S149" s="7">
        <f>прил.6!T669</f>
        <v>0</v>
      </c>
      <c r="T149" s="35">
        <f t="shared" si="37"/>
        <v>1857.5</v>
      </c>
    </row>
    <row r="150" spans="1:21">
      <c r="A150" s="61" t="str">
        <f ca="1">IF(ISERROR(MATCH(B150,Код_КЦСР,0)),"",INDIRECT(ADDRESS(MATCH(B150,Код_КЦСР,0)+1,2,,,"КЦСР")))</f>
        <v>Кадровое обеспечение муниципальной системы образования</v>
      </c>
      <c r="B150" s="43" t="s">
        <v>287</v>
      </c>
      <c r="C150" s="8"/>
      <c r="D150" s="1"/>
      <c r="E150" s="113"/>
      <c r="F150" s="7">
        <f>F151+F164+F183</f>
        <v>30567.599999999999</v>
      </c>
      <c r="G150" s="7">
        <f>G151+G164+G183</f>
        <v>0</v>
      </c>
      <c r="H150" s="35">
        <f t="shared" si="25"/>
        <v>30567.599999999999</v>
      </c>
      <c r="I150" s="7">
        <f>I151+I164+I183</f>
        <v>0</v>
      </c>
      <c r="J150" s="35">
        <f t="shared" si="24"/>
        <v>30567.599999999999</v>
      </c>
      <c r="K150" s="7">
        <f>K151+K164+K183</f>
        <v>0</v>
      </c>
      <c r="L150" s="35">
        <f t="shared" si="21"/>
        <v>30567.599999999999</v>
      </c>
      <c r="M150" s="7">
        <f>M151+M164+M183</f>
        <v>0</v>
      </c>
      <c r="N150" s="35">
        <f t="shared" si="22"/>
        <v>30567.599999999999</v>
      </c>
      <c r="O150" s="7">
        <f>O151+O164+O183</f>
        <v>-10</v>
      </c>
      <c r="P150" s="35">
        <f t="shared" si="17"/>
        <v>30557.599999999999</v>
      </c>
      <c r="Q150" s="7">
        <f>Q151+Q164+Q183</f>
        <v>2264</v>
      </c>
      <c r="R150" s="35">
        <f t="shared" si="18"/>
        <v>32821.599999999999</v>
      </c>
      <c r="S150" s="7">
        <f>S151+S164+S183</f>
        <v>-153.1</v>
      </c>
      <c r="T150" s="35">
        <f t="shared" si="37"/>
        <v>32668.5</v>
      </c>
    </row>
    <row r="151" spans="1:21" ht="33">
      <c r="A151" s="61" t="str">
        <f ca="1">IF(ISERROR(MATCH(B151,Код_КЦСР,0)),"",INDIRECT(ADDRESS(MATCH(B151,Код_КЦСР,0)+1,2,,,"КЦСР")))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51" s="43" t="s">
        <v>289</v>
      </c>
      <c r="C151" s="8"/>
      <c r="D151" s="1"/>
      <c r="E151" s="113"/>
      <c r="F151" s="7">
        <f>F152</f>
        <v>325.5</v>
      </c>
      <c r="G151" s="7">
        <f>G152</f>
        <v>0</v>
      </c>
      <c r="H151" s="35">
        <f t="shared" si="25"/>
        <v>325.5</v>
      </c>
      <c r="I151" s="7">
        <f>I152</f>
        <v>0</v>
      </c>
      <c r="J151" s="35">
        <f t="shared" si="24"/>
        <v>325.5</v>
      </c>
      <c r="K151" s="7">
        <f>K152</f>
        <v>0</v>
      </c>
      <c r="L151" s="35">
        <f t="shared" si="21"/>
        <v>325.5</v>
      </c>
      <c r="M151" s="7">
        <f>M152</f>
        <v>0</v>
      </c>
      <c r="N151" s="35">
        <f t="shared" si="22"/>
        <v>325.5</v>
      </c>
      <c r="O151" s="7">
        <f>O152</f>
        <v>0</v>
      </c>
      <c r="P151" s="35">
        <f t="shared" si="17"/>
        <v>325.5</v>
      </c>
      <c r="Q151" s="7">
        <f>Q152</f>
        <v>0</v>
      </c>
      <c r="R151" s="35">
        <f t="shared" si="18"/>
        <v>325.5</v>
      </c>
      <c r="S151" s="7">
        <f>S152</f>
        <v>0</v>
      </c>
      <c r="T151" s="35">
        <f t="shared" si="37"/>
        <v>325.5</v>
      </c>
    </row>
    <row r="152" spans="1:21" ht="49.5">
      <c r="A152" s="61" t="str">
        <f ca="1">IF(ISERROR(MATCH(B152,Код_КЦСР,0)),"",INDIRECT(ADDRESS(MATCH(B152,Код_КЦСР,0)+1,2,,,"КЦСР")))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52" s="43" t="s">
        <v>291</v>
      </c>
      <c r="C152" s="8"/>
      <c r="D152" s="1"/>
      <c r="E152" s="113"/>
      <c r="F152" s="7">
        <f>F153</f>
        <v>325.5</v>
      </c>
      <c r="G152" s="7">
        <f>G153</f>
        <v>0</v>
      </c>
      <c r="H152" s="35">
        <f t="shared" si="25"/>
        <v>325.5</v>
      </c>
      <c r="I152" s="7">
        <f>I153</f>
        <v>0</v>
      </c>
      <c r="J152" s="35">
        <f t="shared" si="24"/>
        <v>325.5</v>
      </c>
      <c r="K152" s="7">
        <f>K153</f>
        <v>0</v>
      </c>
      <c r="L152" s="35">
        <f t="shared" si="21"/>
        <v>325.5</v>
      </c>
      <c r="M152" s="7">
        <f>M153</f>
        <v>0</v>
      </c>
      <c r="N152" s="35">
        <f t="shared" si="22"/>
        <v>325.5</v>
      </c>
      <c r="O152" s="7">
        <f>O153</f>
        <v>0</v>
      </c>
      <c r="P152" s="35">
        <f t="shared" si="17"/>
        <v>325.5</v>
      </c>
      <c r="Q152" s="7">
        <f>Q153</f>
        <v>0</v>
      </c>
      <c r="R152" s="35">
        <f t="shared" si="18"/>
        <v>325.5</v>
      </c>
      <c r="S152" s="7">
        <f>S153</f>
        <v>0</v>
      </c>
      <c r="T152" s="35">
        <f t="shared" si="37"/>
        <v>325.5</v>
      </c>
    </row>
    <row r="153" spans="1:21">
      <c r="A153" s="61" t="str">
        <f ca="1">IF(ISERROR(MATCH(C153,Код_Раздел,0)),"",INDIRECT(ADDRESS(MATCH(C153,Код_Раздел,0)+1,2,,,"Раздел")))</f>
        <v>Образование</v>
      </c>
      <c r="B153" s="43" t="s">
        <v>291</v>
      </c>
      <c r="C153" s="8" t="s">
        <v>193</v>
      </c>
      <c r="D153" s="1"/>
      <c r="E153" s="113"/>
      <c r="F153" s="7">
        <f>F154+F159</f>
        <v>325.5</v>
      </c>
      <c r="G153" s="7">
        <f>G154+G159</f>
        <v>0</v>
      </c>
      <c r="H153" s="35">
        <f t="shared" si="25"/>
        <v>325.5</v>
      </c>
      <c r="I153" s="7">
        <f>I154+I159</f>
        <v>0</v>
      </c>
      <c r="J153" s="35">
        <f t="shared" si="24"/>
        <v>325.5</v>
      </c>
      <c r="K153" s="7">
        <f>K154+K159</f>
        <v>0</v>
      </c>
      <c r="L153" s="35">
        <f t="shared" si="21"/>
        <v>325.5</v>
      </c>
      <c r="M153" s="7">
        <f>M154+M159</f>
        <v>0</v>
      </c>
      <c r="N153" s="35">
        <f t="shared" si="22"/>
        <v>325.5</v>
      </c>
      <c r="O153" s="7">
        <f>O154+O159</f>
        <v>0</v>
      </c>
      <c r="P153" s="35">
        <f t="shared" si="17"/>
        <v>325.5</v>
      </c>
      <c r="Q153" s="7">
        <f>Q154+Q159</f>
        <v>0</v>
      </c>
      <c r="R153" s="35">
        <f t="shared" si="18"/>
        <v>325.5</v>
      </c>
      <c r="S153" s="7">
        <f>S154+S159</f>
        <v>0</v>
      </c>
      <c r="T153" s="35">
        <f t="shared" si="37"/>
        <v>325.5</v>
      </c>
    </row>
    <row r="154" spans="1:21">
      <c r="A154" s="12" t="s">
        <v>255</v>
      </c>
      <c r="B154" s="43" t="s">
        <v>291</v>
      </c>
      <c r="C154" s="8" t="s">
        <v>193</v>
      </c>
      <c r="D154" s="1" t="s">
        <v>211</v>
      </c>
      <c r="E154" s="113"/>
      <c r="F154" s="7">
        <f t="shared" ref="F154:S156" si="38">F155</f>
        <v>130.19999999999999</v>
      </c>
      <c r="G154" s="7">
        <f t="shared" si="38"/>
        <v>0</v>
      </c>
      <c r="H154" s="35">
        <f t="shared" si="25"/>
        <v>130.19999999999999</v>
      </c>
      <c r="I154" s="7">
        <f t="shared" si="38"/>
        <v>0</v>
      </c>
      <c r="J154" s="35">
        <f t="shared" si="24"/>
        <v>130.19999999999999</v>
      </c>
      <c r="K154" s="7">
        <f t="shared" si="38"/>
        <v>0</v>
      </c>
      <c r="L154" s="35">
        <f t="shared" si="21"/>
        <v>130.19999999999999</v>
      </c>
      <c r="M154" s="7">
        <f t="shared" si="38"/>
        <v>0</v>
      </c>
      <c r="N154" s="35">
        <f t="shared" si="22"/>
        <v>130.19999999999999</v>
      </c>
      <c r="O154" s="7">
        <f t="shared" si="38"/>
        <v>0</v>
      </c>
      <c r="P154" s="35">
        <f t="shared" si="17"/>
        <v>130.19999999999999</v>
      </c>
      <c r="Q154" s="7">
        <f t="shared" si="38"/>
        <v>0</v>
      </c>
      <c r="R154" s="35">
        <f t="shared" si="18"/>
        <v>130.19999999999999</v>
      </c>
      <c r="S154" s="7">
        <f t="shared" si="38"/>
        <v>0</v>
      </c>
      <c r="T154" s="35">
        <f t="shared" si="37"/>
        <v>130.19999999999999</v>
      </c>
    </row>
    <row r="155" spans="1:21">
      <c r="A155" s="61" t="str">
        <f ca="1">IF(ISERROR(MATCH(E155,Код_КВР,0)),"",INDIRECT(ADDRESS(MATCH(E155,Код_КВР,0)+1,2,,,"КВР")))</f>
        <v>Социальное обеспечение и иные выплаты населению</v>
      </c>
      <c r="B155" s="43" t="s">
        <v>291</v>
      </c>
      <c r="C155" s="8" t="s">
        <v>193</v>
      </c>
      <c r="D155" s="1" t="s">
        <v>211</v>
      </c>
      <c r="E155" s="113">
        <v>300</v>
      </c>
      <c r="F155" s="7">
        <f t="shared" si="38"/>
        <v>130.19999999999999</v>
      </c>
      <c r="G155" s="7">
        <f t="shared" si="38"/>
        <v>0</v>
      </c>
      <c r="H155" s="35">
        <f t="shared" si="25"/>
        <v>130.19999999999999</v>
      </c>
      <c r="I155" s="7">
        <f t="shared" si="38"/>
        <v>0</v>
      </c>
      <c r="J155" s="35">
        <f t="shared" si="24"/>
        <v>130.19999999999999</v>
      </c>
      <c r="K155" s="7">
        <f t="shared" si="38"/>
        <v>0</v>
      </c>
      <c r="L155" s="35">
        <f t="shared" si="21"/>
        <v>130.19999999999999</v>
      </c>
      <c r="M155" s="7">
        <f t="shared" si="38"/>
        <v>0</v>
      </c>
      <c r="N155" s="35">
        <f t="shared" si="22"/>
        <v>130.19999999999999</v>
      </c>
      <c r="O155" s="7">
        <f t="shared" si="38"/>
        <v>0</v>
      </c>
      <c r="P155" s="35">
        <f t="shared" si="17"/>
        <v>130.19999999999999</v>
      </c>
      <c r="Q155" s="7">
        <f t="shared" si="38"/>
        <v>0</v>
      </c>
      <c r="R155" s="35">
        <f t="shared" si="18"/>
        <v>130.19999999999999</v>
      </c>
      <c r="S155" s="7">
        <f>S156+S158</f>
        <v>0</v>
      </c>
      <c r="T155" s="35">
        <f t="shared" si="37"/>
        <v>130.19999999999999</v>
      </c>
    </row>
    <row r="156" spans="1:21" hidden="1">
      <c r="A156" s="61" t="str">
        <f ca="1">IF(ISERROR(MATCH(E156,Код_КВР,0)),"",INDIRECT(ADDRESS(MATCH(E156,Код_КВР,0)+1,2,,,"КВР")))</f>
        <v>Публичные нормативные социальные выплаты гражданам</v>
      </c>
      <c r="B156" s="43" t="s">
        <v>291</v>
      </c>
      <c r="C156" s="8" t="s">
        <v>193</v>
      </c>
      <c r="D156" s="1" t="s">
        <v>211</v>
      </c>
      <c r="E156" s="113">
        <v>310</v>
      </c>
      <c r="F156" s="7">
        <f t="shared" si="38"/>
        <v>130.19999999999999</v>
      </c>
      <c r="G156" s="7">
        <f t="shared" si="38"/>
        <v>0</v>
      </c>
      <c r="H156" s="35">
        <f t="shared" si="25"/>
        <v>130.19999999999999</v>
      </c>
      <c r="I156" s="7">
        <f t="shared" si="38"/>
        <v>0</v>
      </c>
      <c r="J156" s="35">
        <f t="shared" si="24"/>
        <v>130.19999999999999</v>
      </c>
      <c r="K156" s="7">
        <f t="shared" si="38"/>
        <v>0</v>
      </c>
      <c r="L156" s="35">
        <f t="shared" si="21"/>
        <v>130.19999999999999</v>
      </c>
      <c r="M156" s="7">
        <f t="shared" si="38"/>
        <v>0</v>
      </c>
      <c r="N156" s="35">
        <f t="shared" si="22"/>
        <v>130.19999999999999</v>
      </c>
      <c r="O156" s="7">
        <f t="shared" si="38"/>
        <v>0</v>
      </c>
      <c r="P156" s="35">
        <f t="shared" ref="P156:P222" si="39">N156+O156</f>
        <v>130.19999999999999</v>
      </c>
      <c r="Q156" s="7">
        <f t="shared" si="38"/>
        <v>0</v>
      </c>
      <c r="R156" s="35">
        <f t="shared" ref="R156:R222" si="40">P156+Q156</f>
        <v>130.19999999999999</v>
      </c>
      <c r="S156" s="7">
        <f t="shared" si="38"/>
        <v>-130.19999999999999</v>
      </c>
      <c r="T156" s="35">
        <f t="shared" si="37"/>
        <v>0</v>
      </c>
      <c r="U156" s="20" t="s">
        <v>706</v>
      </c>
    </row>
    <row r="157" spans="1:21" ht="33" hidden="1">
      <c r="A157" s="61" t="str">
        <f ca="1">IF(ISERROR(MATCH(E157,Код_КВР,0)),"",INDIRECT(ADDRESS(MATCH(E157,Код_КВР,0)+1,2,,,"КВР")))</f>
        <v>Пособия, компенсации, меры социальной поддержки по публичным нормативным обязательствам</v>
      </c>
      <c r="B157" s="43" t="s">
        <v>291</v>
      </c>
      <c r="C157" s="8" t="s">
        <v>193</v>
      </c>
      <c r="D157" s="1" t="s">
        <v>211</v>
      </c>
      <c r="E157" s="113">
        <v>313</v>
      </c>
      <c r="F157" s="7">
        <f>прил.6!G615</f>
        <v>130.19999999999999</v>
      </c>
      <c r="G157" s="7">
        <f>прил.6!H615</f>
        <v>0</v>
      </c>
      <c r="H157" s="35">
        <f t="shared" si="25"/>
        <v>130.19999999999999</v>
      </c>
      <c r="I157" s="7">
        <f>прил.6!J615</f>
        <v>0</v>
      </c>
      <c r="J157" s="35">
        <f t="shared" si="24"/>
        <v>130.19999999999999</v>
      </c>
      <c r="K157" s="7">
        <f>прил.6!L615</f>
        <v>0</v>
      </c>
      <c r="L157" s="35">
        <f t="shared" si="21"/>
        <v>130.19999999999999</v>
      </c>
      <c r="M157" s="7">
        <f>прил.6!N615</f>
        <v>0</v>
      </c>
      <c r="N157" s="35">
        <f t="shared" si="22"/>
        <v>130.19999999999999</v>
      </c>
      <c r="O157" s="7">
        <f>прил.6!P615</f>
        <v>0</v>
      </c>
      <c r="P157" s="35">
        <f t="shared" si="39"/>
        <v>130.19999999999999</v>
      </c>
      <c r="Q157" s="7">
        <f>прил.6!R615</f>
        <v>0</v>
      </c>
      <c r="R157" s="35">
        <f t="shared" si="40"/>
        <v>130.19999999999999</v>
      </c>
      <c r="S157" s="7">
        <f>прил.6!T615</f>
        <v>-130.19999999999999</v>
      </c>
      <c r="T157" s="35">
        <f t="shared" si="37"/>
        <v>0</v>
      </c>
      <c r="U157" s="20" t="s">
        <v>706</v>
      </c>
    </row>
    <row r="158" spans="1:21" ht="36.75" customHeight="1">
      <c r="A158" s="61" t="str">
        <f ca="1">IF(ISERROR(MATCH(E158,Код_КВР,0)),"",INDIRECT(ADDRESS(MATCH(E158,Код_КВР,0)+1,2,,,"КВР")))</f>
        <v>Публичные нормативные выплаты гражданам несоциального характера</v>
      </c>
      <c r="B158" s="43" t="s">
        <v>291</v>
      </c>
      <c r="C158" s="8" t="s">
        <v>193</v>
      </c>
      <c r="D158" s="1" t="s">
        <v>211</v>
      </c>
      <c r="E158" s="113">
        <v>330</v>
      </c>
      <c r="F158" s="7"/>
      <c r="G158" s="7"/>
      <c r="H158" s="35"/>
      <c r="I158" s="7"/>
      <c r="J158" s="35"/>
      <c r="K158" s="7"/>
      <c r="L158" s="35"/>
      <c r="M158" s="7"/>
      <c r="N158" s="35"/>
      <c r="O158" s="7"/>
      <c r="P158" s="35"/>
      <c r="Q158" s="7"/>
      <c r="R158" s="35"/>
      <c r="S158" s="7">
        <f>прил.6!T616</f>
        <v>130.19999999999999</v>
      </c>
      <c r="T158" s="35">
        <f t="shared" si="37"/>
        <v>130.19999999999999</v>
      </c>
    </row>
    <row r="159" spans="1:21">
      <c r="A159" s="12" t="s">
        <v>248</v>
      </c>
      <c r="B159" s="43" t="s">
        <v>291</v>
      </c>
      <c r="C159" s="8" t="s">
        <v>193</v>
      </c>
      <c r="D159" s="1" t="s">
        <v>212</v>
      </c>
      <c r="E159" s="113"/>
      <c r="F159" s="7">
        <f t="shared" ref="F159:S161" si="41">F160</f>
        <v>195.3</v>
      </c>
      <c r="G159" s="7">
        <f t="shared" si="41"/>
        <v>0</v>
      </c>
      <c r="H159" s="35">
        <f t="shared" si="25"/>
        <v>195.3</v>
      </c>
      <c r="I159" s="7">
        <f t="shared" si="41"/>
        <v>0</v>
      </c>
      <c r="J159" s="35">
        <f t="shared" si="24"/>
        <v>195.3</v>
      </c>
      <c r="K159" s="7">
        <f t="shared" si="41"/>
        <v>0</v>
      </c>
      <c r="L159" s="35">
        <f t="shared" si="21"/>
        <v>195.3</v>
      </c>
      <c r="M159" s="7">
        <f t="shared" si="41"/>
        <v>0</v>
      </c>
      <c r="N159" s="35">
        <f t="shared" si="22"/>
        <v>195.3</v>
      </c>
      <c r="O159" s="7">
        <f t="shared" si="41"/>
        <v>0</v>
      </c>
      <c r="P159" s="35">
        <f t="shared" si="39"/>
        <v>195.3</v>
      </c>
      <c r="Q159" s="7">
        <f t="shared" si="41"/>
        <v>0</v>
      </c>
      <c r="R159" s="35">
        <f t="shared" si="40"/>
        <v>195.3</v>
      </c>
      <c r="S159" s="7">
        <f t="shared" si="41"/>
        <v>0</v>
      </c>
      <c r="T159" s="35">
        <f t="shared" si="37"/>
        <v>195.3</v>
      </c>
    </row>
    <row r="160" spans="1:21">
      <c r="A160" s="61" t="str">
        <f ca="1">IF(ISERROR(MATCH(E160,Код_КВР,0)),"",INDIRECT(ADDRESS(MATCH(E160,Код_КВР,0)+1,2,,,"КВР")))</f>
        <v>Социальное обеспечение и иные выплаты населению</v>
      </c>
      <c r="B160" s="43" t="s">
        <v>291</v>
      </c>
      <c r="C160" s="8" t="s">
        <v>193</v>
      </c>
      <c r="D160" s="1" t="s">
        <v>212</v>
      </c>
      <c r="E160" s="113">
        <v>300</v>
      </c>
      <c r="F160" s="7">
        <f t="shared" si="41"/>
        <v>195.3</v>
      </c>
      <c r="G160" s="7">
        <f t="shared" si="41"/>
        <v>0</v>
      </c>
      <c r="H160" s="35">
        <f t="shared" si="25"/>
        <v>195.3</v>
      </c>
      <c r="I160" s="7">
        <f t="shared" si="41"/>
        <v>0</v>
      </c>
      <c r="J160" s="35">
        <f t="shared" si="24"/>
        <v>195.3</v>
      </c>
      <c r="K160" s="7">
        <f t="shared" si="41"/>
        <v>0</v>
      </c>
      <c r="L160" s="35">
        <f t="shared" si="21"/>
        <v>195.3</v>
      </c>
      <c r="M160" s="7">
        <f t="shared" si="41"/>
        <v>0</v>
      </c>
      <c r="N160" s="35">
        <f t="shared" si="22"/>
        <v>195.3</v>
      </c>
      <c r="O160" s="7">
        <f t="shared" si="41"/>
        <v>0</v>
      </c>
      <c r="P160" s="35">
        <f t="shared" si="39"/>
        <v>195.3</v>
      </c>
      <c r="Q160" s="7">
        <f t="shared" si="41"/>
        <v>0</v>
      </c>
      <c r="R160" s="35">
        <f t="shared" si="40"/>
        <v>195.3</v>
      </c>
      <c r="S160" s="7">
        <f>S161+S163</f>
        <v>0</v>
      </c>
      <c r="T160" s="35">
        <f t="shared" si="37"/>
        <v>195.3</v>
      </c>
    </row>
    <row r="161" spans="1:21" hidden="1">
      <c r="A161" s="61" t="str">
        <f ca="1">IF(ISERROR(MATCH(E161,Код_КВР,0)),"",INDIRECT(ADDRESS(MATCH(E161,Код_КВР,0)+1,2,,,"КВР")))</f>
        <v>Публичные нормативные социальные выплаты гражданам</v>
      </c>
      <c r="B161" s="43" t="s">
        <v>291</v>
      </c>
      <c r="C161" s="8" t="s">
        <v>193</v>
      </c>
      <c r="D161" s="1" t="s">
        <v>212</v>
      </c>
      <c r="E161" s="113">
        <v>310</v>
      </c>
      <c r="F161" s="7">
        <f t="shared" si="41"/>
        <v>195.3</v>
      </c>
      <c r="G161" s="7">
        <f t="shared" si="41"/>
        <v>0</v>
      </c>
      <c r="H161" s="35">
        <f t="shared" si="25"/>
        <v>195.3</v>
      </c>
      <c r="I161" s="7">
        <f t="shared" si="41"/>
        <v>0</v>
      </c>
      <c r="J161" s="35">
        <f t="shared" si="24"/>
        <v>195.3</v>
      </c>
      <c r="K161" s="7">
        <f t="shared" si="41"/>
        <v>0</v>
      </c>
      <c r="L161" s="35">
        <f t="shared" si="21"/>
        <v>195.3</v>
      </c>
      <c r="M161" s="7">
        <f t="shared" si="41"/>
        <v>0</v>
      </c>
      <c r="N161" s="35">
        <f t="shared" si="22"/>
        <v>195.3</v>
      </c>
      <c r="O161" s="7">
        <f t="shared" si="41"/>
        <v>0</v>
      </c>
      <c r="P161" s="35">
        <f t="shared" si="39"/>
        <v>195.3</v>
      </c>
      <c r="Q161" s="7">
        <f t="shared" si="41"/>
        <v>0</v>
      </c>
      <c r="R161" s="35">
        <f t="shared" si="40"/>
        <v>195.3</v>
      </c>
      <c r="S161" s="7">
        <f t="shared" si="41"/>
        <v>-195.3</v>
      </c>
      <c r="T161" s="35">
        <f t="shared" si="37"/>
        <v>0</v>
      </c>
      <c r="U161" s="20" t="s">
        <v>706</v>
      </c>
    </row>
    <row r="162" spans="1:21" ht="33" hidden="1">
      <c r="A162" s="61" t="str">
        <f ca="1">IF(ISERROR(MATCH(E162,Код_КВР,0)),"",INDIRECT(ADDRESS(MATCH(E162,Код_КВР,0)+1,2,,,"КВР")))</f>
        <v>Пособия, компенсации, меры социальной поддержки по публичным нормативным обязательствам</v>
      </c>
      <c r="B162" s="43" t="s">
        <v>291</v>
      </c>
      <c r="C162" s="8" t="s">
        <v>193</v>
      </c>
      <c r="D162" s="1" t="s">
        <v>212</v>
      </c>
      <c r="E162" s="113">
        <v>313</v>
      </c>
      <c r="F162" s="7">
        <f>прил.6!G675</f>
        <v>195.3</v>
      </c>
      <c r="G162" s="7">
        <f>прил.6!H675</f>
        <v>0</v>
      </c>
      <c r="H162" s="35">
        <f t="shared" si="25"/>
        <v>195.3</v>
      </c>
      <c r="I162" s="7">
        <f>прил.6!J675</f>
        <v>0</v>
      </c>
      <c r="J162" s="35">
        <f t="shared" si="24"/>
        <v>195.3</v>
      </c>
      <c r="K162" s="7">
        <f>прил.6!L675</f>
        <v>0</v>
      </c>
      <c r="L162" s="35">
        <f t="shared" ref="L162:L227" si="42">J162+K162</f>
        <v>195.3</v>
      </c>
      <c r="M162" s="7">
        <f>прил.6!N675</f>
        <v>0</v>
      </c>
      <c r="N162" s="35">
        <f t="shared" ref="N162:N227" si="43">L162+M162</f>
        <v>195.3</v>
      </c>
      <c r="O162" s="7">
        <f>прил.6!P675</f>
        <v>0</v>
      </c>
      <c r="P162" s="35">
        <f t="shared" si="39"/>
        <v>195.3</v>
      </c>
      <c r="Q162" s="7">
        <f>прил.6!R675</f>
        <v>0</v>
      </c>
      <c r="R162" s="35">
        <f t="shared" si="40"/>
        <v>195.3</v>
      </c>
      <c r="S162" s="7">
        <f>прил.6!T675</f>
        <v>-195.3</v>
      </c>
      <c r="T162" s="35">
        <f t="shared" si="37"/>
        <v>0</v>
      </c>
      <c r="U162" s="20" t="s">
        <v>706</v>
      </c>
    </row>
    <row r="163" spans="1:21" ht="39.75" customHeight="1">
      <c r="A163" s="61" t="str">
        <f ca="1">IF(ISERROR(MATCH(E163,Код_КВР,0)),"",INDIRECT(ADDRESS(MATCH(E163,Код_КВР,0)+1,2,,,"КВР")))</f>
        <v>Публичные нормативные выплаты гражданам несоциального характера</v>
      </c>
      <c r="B163" s="43" t="s">
        <v>291</v>
      </c>
      <c r="C163" s="8" t="s">
        <v>193</v>
      </c>
      <c r="D163" s="1" t="s">
        <v>212</v>
      </c>
      <c r="E163" s="113">
        <v>330</v>
      </c>
      <c r="F163" s="7"/>
      <c r="G163" s="7"/>
      <c r="H163" s="35"/>
      <c r="I163" s="7"/>
      <c r="J163" s="35"/>
      <c r="K163" s="7"/>
      <c r="L163" s="35"/>
      <c r="M163" s="7"/>
      <c r="N163" s="35"/>
      <c r="O163" s="7"/>
      <c r="P163" s="35"/>
      <c r="Q163" s="7"/>
      <c r="R163" s="35"/>
      <c r="S163" s="7">
        <f>прил.6!T676</f>
        <v>195.3</v>
      </c>
      <c r="T163" s="35">
        <f t="shared" si="37"/>
        <v>195.3</v>
      </c>
    </row>
    <row r="164" spans="1:21" ht="33">
      <c r="A164" s="61" t="str">
        <f ca="1">IF(ISERROR(MATCH(B164,Код_КЦСР,0)),"",INDIRECT(ADDRESS(MATCH(B164,Код_КЦСР,0)+1,2,,,"КЦСР")))</f>
        <v xml:space="preserve">Осуществление денежных выплат работникам муниципальных образовательных учреждений     </v>
      </c>
      <c r="B164" s="43" t="s">
        <v>292</v>
      </c>
      <c r="C164" s="8"/>
      <c r="D164" s="1"/>
      <c r="E164" s="113"/>
      <c r="F164" s="7">
        <f>F165+F171+F177</f>
        <v>30209.5</v>
      </c>
      <c r="G164" s="7">
        <f>G165+G171+G177</f>
        <v>0</v>
      </c>
      <c r="H164" s="35">
        <f t="shared" si="25"/>
        <v>30209.5</v>
      </c>
      <c r="I164" s="7">
        <f>I165+I171+I177</f>
        <v>0</v>
      </c>
      <c r="J164" s="35">
        <f t="shared" si="24"/>
        <v>30209.5</v>
      </c>
      <c r="K164" s="7">
        <f>K165+K171+K177</f>
        <v>0</v>
      </c>
      <c r="L164" s="35">
        <f t="shared" si="42"/>
        <v>30209.5</v>
      </c>
      <c r="M164" s="7">
        <f>M165+M171+M177</f>
        <v>0</v>
      </c>
      <c r="N164" s="35">
        <f t="shared" si="43"/>
        <v>30209.5</v>
      </c>
      <c r="O164" s="7">
        <f>O165+O171+O177</f>
        <v>-10</v>
      </c>
      <c r="P164" s="35">
        <f t="shared" si="39"/>
        <v>30199.5</v>
      </c>
      <c r="Q164" s="7">
        <f>Q165+Q171+Q177</f>
        <v>2264</v>
      </c>
      <c r="R164" s="35">
        <f t="shared" si="40"/>
        <v>32463.5</v>
      </c>
      <c r="S164" s="7">
        <f>S165+S171+S177</f>
        <v>-153.1</v>
      </c>
      <c r="T164" s="35">
        <f t="shared" si="37"/>
        <v>32310.400000000001</v>
      </c>
    </row>
    <row r="165" spans="1:21" ht="89.25" customHeight="1">
      <c r="A165" s="61" t="str">
        <f ca="1">IF(ISERROR(MATCH(B165,Код_КЦСР,0)),"",INDIRECT(ADDRESS(MATCH(B165,Код_КЦСР,0)+1,2,,,"КЦСР")))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v>
      </c>
      <c r="B165" s="43" t="s">
        <v>294</v>
      </c>
      <c r="C165" s="8"/>
      <c r="D165" s="1"/>
      <c r="E165" s="113"/>
      <c r="F165" s="7">
        <f t="shared" ref="F165:S169" si="44">F166</f>
        <v>6156</v>
      </c>
      <c r="G165" s="7">
        <f t="shared" si="44"/>
        <v>0</v>
      </c>
      <c r="H165" s="35">
        <f t="shared" si="25"/>
        <v>6156</v>
      </c>
      <c r="I165" s="7">
        <f t="shared" si="44"/>
        <v>0</v>
      </c>
      <c r="J165" s="35">
        <f t="shared" ref="J165:J229" si="45">H165+I165</f>
        <v>6156</v>
      </c>
      <c r="K165" s="7">
        <f t="shared" si="44"/>
        <v>0</v>
      </c>
      <c r="L165" s="35">
        <f t="shared" si="42"/>
        <v>6156</v>
      </c>
      <c r="M165" s="7">
        <f t="shared" si="44"/>
        <v>0</v>
      </c>
      <c r="N165" s="35">
        <f t="shared" si="43"/>
        <v>6156</v>
      </c>
      <c r="O165" s="7">
        <f t="shared" si="44"/>
        <v>0</v>
      </c>
      <c r="P165" s="35">
        <f t="shared" si="39"/>
        <v>6156</v>
      </c>
      <c r="Q165" s="7">
        <f t="shared" si="44"/>
        <v>2264</v>
      </c>
      <c r="R165" s="35">
        <f t="shared" si="40"/>
        <v>8420</v>
      </c>
      <c r="S165" s="7">
        <f t="shared" si="44"/>
        <v>0</v>
      </c>
      <c r="T165" s="35">
        <f t="shared" si="37"/>
        <v>8420</v>
      </c>
    </row>
    <row r="166" spans="1:21">
      <c r="A166" s="61" t="str">
        <f ca="1">IF(ISERROR(MATCH(C166,Код_Раздел,0)),"",INDIRECT(ADDRESS(MATCH(C166,Код_Раздел,0)+1,2,,,"Раздел")))</f>
        <v>Образование</v>
      </c>
      <c r="B166" s="43" t="s">
        <v>294</v>
      </c>
      <c r="C166" s="8" t="s">
        <v>193</v>
      </c>
      <c r="D166" s="1"/>
      <c r="E166" s="113"/>
      <c r="F166" s="7">
        <f t="shared" si="44"/>
        <v>6156</v>
      </c>
      <c r="G166" s="7">
        <f t="shared" si="44"/>
        <v>0</v>
      </c>
      <c r="H166" s="35">
        <f t="shared" si="25"/>
        <v>6156</v>
      </c>
      <c r="I166" s="7">
        <f t="shared" si="44"/>
        <v>0</v>
      </c>
      <c r="J166" s="35">
        <f t="shared" si="45"/>
        <v>6156</v>
      </c>
      <c r="K166" s="7">
        <f t="shared" si="44"/>
        <v>0</v>
      </c>
      <c r="L166" s="35">
        <f t="shared" si="42"/>
        <v>6156</v>
      </c>
      <c r="M166" s="7">
        <f t="shared" si="44"/>
        <v>0</v>
      </c>
      <c r="N166" s="35">
        <f t="shared" si="43"/>
        <v>6156</v>
      </c>
      <c r="O166" s="7">
        <f t="shared" si="44"/>
        <v>0</v>
      </c>
      <c r="P166" s="35">
        <f t="shared" si="39"/>
        <v>6156</v>
      </c>
      <c r="Q166" s="7">
        <f t="shared" si="44"/>
        <v>2264</v>
      </c>
      <c r="R166" s="35">
        <f t="shared" si="40"/>
        <v>8420</v>
      </c>
      <c r="S166" s="7">
        <f t="shared" si="44"/>
        <v>0</v>
      </c>
      <c r="T166" s="35">
        <f t="shared" si="37"/>
        <v>8420</v>
      </c>
    </row>
    <row r="167" spans="1:21">
      <c r="A167" s="12" t="s">
        <v>255</v>
      </c>
      <c r="B167" s="43" t="s">
        <v>294</v>
      </c>
      <c r="C167" s="8" t="s">
        <v>193</v>
      </c>
      <c r="D167" s="1" t="s">
        <v>211</v>
      </c>
      <c r="E167" s="113"/>
      <c r="F167" s="7">
        <f t="shared" si="44"/>
        <v>6156</v>
      </c>
      <c r="G167" s="7">
        <f t="shared" si="44"/>
        <v>0</v>
      </c>
      <c r="H167" s="35">
        <f t="shared" si="25"/>
        <v>6156</v>
      </c>
      <c r="I167" s="7">
        <f t="shared" si="44"/>
        <v>0</v>
      </c>
      <c r="J167" s="35">
        <f t="shared" si="45"/>
        <v>6156</v>
      </c>
      <c r="K167" s="7">
        <f t="shared" si="44"/>
        <v>0</v>
      </c>
      <c r="L167" s="35">
        <f t="shared" si="42"/>
        <v>6156</v>
      </c>
      <c r="M167" s="7">
        <f t="shared" si="44"/>
        <v>0</v>
      </c>
      <c r="N167" s="35">
        <f t="shared" si="43"/>
        <v>6156</v>
      </c>
      <c r="O167" s="7">
        <f t="shared" si="44"/>
        <v>0</v>
      </c>
      <c r="P167" s="35">
        <f t="shared" si="39"/>
        <v>6156</v>
      </c>
      <c r="Q167" s="7">
        <f t="shared" si="44"/>
        <v>2264</v>
      </c>
      <c r="R167" s="35">
        <f t="shared" si="40"/>
        <v>8420</v>
      </c>
      <c r="S167" s="7">
        <f t="shared" si="44"/>
        <v>0</v>
      </c>
      <c r="T167" s="35">
        <f t="shared" si="37"/>
        <v>8420</v>
      </c>
    </row>
    <row r="168" spans="1:21">
      <c r="A168" s="61" t="str">
        <f ca="1">IF(ISERROR(MATCH(E168,Код_КВР,0)),"",INDIRECT(ADDRESS(MATCH(E168,Код_КВР,0)+1,2,,,"КВР")))</f>
        <v>Социальное обеспечение и иные выплаты населению</v>
      </c>
      <c r="B168" s="43" t="s">
        <v>294</v>
      </c>
      <c r="C168" s="8" t="s">
        <v>193</v>
      </c>
      <c r="D168" s="1" t="s">
        <v>211</v>
      </c>
      <c r="E168" s="113">
        <v>300</v>
      </c>
      <c r="F168" s="7">
        <f t="shared" si="44"/>
        <v>6156</v>
      </c>
      <c r="G168" s="7">
        <f t="shared" si="44"/>
        <v>0</v>
      </c>
      <c r="H168" s="35">
        <f t="shared" si="25"/>
        <v>6156</v>
      </c>
      <c r="I168" s="7">
        <f t="shared" si="44"/>
        <v>0</v>
      </c>
      <c r="J168" s="35">
        <f t="shared" si="45"/>
        <v>6156</v>
      </c>
      <c r="K168" s="7">
        <f t="shared" si="44"/>
        <v>0</v>
      </c>
      <c r="L168" s="35">
        <f t="shared" si="42"/>
        <v>6156</v>
      </c>
      <c r="M168" s="7">
        <f t="shared" si="44"/>
        <v>0</v>
      </c>
      <c r="N168" s="35">
        <f t="shared" si="43"/>
        <v>6156</v>
      </c>
      <c r="O168" s="7">
        <f t="shared" si="44"/>
        <v>0</v>
      </c>
      <c r="P168" s="35">
        <f t="shared" si="39"/>
        <v>6156</v>
      </c>
      <c r="Q168" s="7">
        <f t="shared" si="44"/>
        <v>2264</v>
      </c>
      <c r="R168" s="35">
        <f t="shared" si="40"/>
        <v>8420</v>
      </c>
      <c r="S168" s="7">
        <f t="shared" si="44"/>
        <v>0</v>
      </c>
      <c r="T168" s="35">
        <f t="shared" si="37"/>
        <v>8420</v>
      </c>
    </row>
    <row r="169" spans="1:21">
      <c r="A169" s="61" t="str">
        <f ca="1">IF(ISERROR(MATCH(E169,Код_КВР,0)),"",INDIRECT(ADDRESS(MATCH(E169,Код_КВР,0)+1,2,,,"КВР")))</f>
        <v>Публичные нормативные социальные выплаты гражданам</v>
      </c>
      <c r="B169" s="43" t="s">
        <v>294</v>
      </c>
      <c r="C169" s="8" t="s">
        <v>193</v>
      </c>
      <c r="D169" s="1" t="s">
        <v>211</v>
      </c>
      <c r="E169" s="113">
        <v>310</v>
      </c>
      <c r="F169" s="7">
        <f t="shared" si="44"/>
        <v>6156</v>
      </c>
      <c r="G169" s="7">
        <f t="shared" si="44"/>
        <v>0</v>
      </c>
      <c r="H169" s="35">
        <f t="shared" si="25"/>
        <v>6156</v>
      </c>
      <c r="I169" s="7">
        <f t="shared" si="44"/>
        <v>0</v>
      </c>
      <c r="J169" s="35">
        <f t="shared" si="45"/>
        <v>6156</v>
      </c>
      <c r="K169" s="7">
        <f t="shared" si="44"/>
        <v>0</v>
      </c>
      <c r="L169" s="35">
        <f t="shared" si="42"/>
        <v>6156</v>
      </c>
      <c r="M169" s="7">
        <f t="shared" si="44"/>
        <v>0</v>
      </c>
      <c r="N169" s="35">
        <f t="shared" si="43"/>
        <v>6156</v>
      </c>
      <c r="O169" s="7">
        <f t="shared" si="44"/>
        <v>0</v>
      </c>
      <c r="P169" s="35">
        <f t="shared" si="39"/>
        <v>6156</v>
      </c>
      <c r="Q169" s="7">
        <f t="shared" si="44"/>
        <v>2264</v>
      </c>
      <c r="R169" s="35">
        <f t="shared" si="40"/>
        <v>8420</v>
      </c>
      <c r="S169" s="7">
        <f t="shared" si="44"/>
        <v>0</v>
      </c>
      <c r="T169" s="35">
        <f t="shared" si="37"/>
        <v>8420</v>
      </c>
    </row>
    <row r="170" spans="1:21" ht="33">
      <c r="A170" s="61" t="str">
        <f ca="1">IF(ISERROR(MATCH(E170,Код_КВР,0)),"",INDIRECT(ADDRESS(MATCH(E170,Код_КВР,0)+1,2,,,"КВР")))</f>
        <v>Пособия, компенсации, меры социальной поддержки по публичным нормативным обязательствам</v>
      </c>
      <c r="B170" s="43" t="s">
        <v>294</v>
      </c>
      <c r="C170" s="8" t="s">
        <v>193</v>
      </c>
      <c r="D170" s="1" t="s">
        <v>211</v>
      </c>
      <c r="E170" s="113">
        <v>313</v>
      </c>
      <c r="F170" s="7">
        <f>прил.6!G621</f>
        <v>6156</v>
      </c>
      <c r="G170" s="7">
        <f>прил.6!H621</f>
        <v>0</v>
      </c>
      <c r="H170" s="35">
        <f t="shared" si="25"/>
        <v>6156</v>
      </c>
      <c r="I170" s="7">
        <f>прил.6!J621</f>
        <v>0</v>
      </c>
      <c r="J170" s="35">
        <f t="shared" si="45"/>
        <v>6156</v>
      </c>
      <c r="K170" s="7">
        <f>прил.6!L621</f>
        <v>0</v>
      </c>
      <c r="L170" s="35">
        <f t="shared" si="42"/>
        <v>6156</v>
      </c>
      <c r="M170" s="7">
        <f>прил.6!N621</f>
        <v>0</v>
      </c>
      <c r="N170" s="35">
        <f t="shared" si="43"/>
        <v>6156</v>
      </c>
      <c r="O170" s="7">
        <f>прил.6!P621</f>
        <v>0</v>
      </c>
      <c r="P170" s="35">
        <f t="shared" si="39"/>
        <v>6156</v>
      </c>
      <c r="Q170" s="7">
        <f>прил.6!R621</f>
        <v>2264</v>
      </c>
      <c r="R170" s="35">
        <f t="shared" si="40"/>
        <v>8420</v>
      </c>
      <c r="S170" s="7">
        <f>прил.6!T621</f>
        <v>0</v>
      </c>
      <c r="T170" s="35">
        <f t="shared" si="37"/>
        <v>8420</v>
      </c>
    </row>
    <row r="171" spans="1:21" ht="69" customHeight="1">
      <c r="A171" s="61" t="str">
        <f ca="1">IF(ISERROR(MATCH(B171,Код_КЦСР,0)),"",INDIRECT(ADDRESS(MATCH(B171,Код_КЦСР,0)+1,2,,,"КЦСР")))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71" s="43" t="s">
        <v>451</v>
      </c>
      <c r="C171" s="8"/>
      <c r="D171" s="1"/>
      <c r="E171" s="113"/>
      <c r="F171" s="7">
        <f t="shared" ref="F171:S175" si="46">F172</f>
        <v>11634.9</v>
      </c>
      <c r="G171" s="7">
        <f t="shared" si="46"/>
        <v>0</v>
      </c>
      <c r="H171" s="35">
        <f t="shared" si="25"/>
        <v>11634.9</v>
      </c>
      <c r="I171" s="7">
        <f t="shared" si="46"/>
        <v>0</v>
      </c>
      <c r="J171" s="35">
        <f t="shared" si="45"/>
        <v>11634.9</v>
      </c>
      <c r="K171" s="7">
        <f t="shared" si="46"/>
        <v>0</v>
      </c>
      <c r="L171" s="35">
        <f t="shared" si="42"/>
        <v>11634.9</v>
      </c>
      <c r="M171" s="7">
        <f t="shared" si="46"/>
        <v>0</v>
      </c>
      <c r="N171" s="35">
        <f t="shared" si="43"/>
        <v>11634.9</v>
      </c>
      <c r="O171" s="7">
        <f t="shared" si="46"/>
        <v>-10</v>
      </c>
      <c r="P171" s="35">
        <f t="shared" si="39"/>
        <v>11624.9</v>
      </c>
      <c r="Q171" s="7">
        <f t="shared" si="46"/>
        <v>0</v>
      </c>
      <c r="R171" s="35">
        <f t="shared" si="40"/>
        <v>11624.9</v>
      </c>
      <c r="S171" s="7">
        <f t="shared" si="46"/>
        <v>-288.7</v>
      </c>
      <c r="T171" s="35">
        <f t="shared" si="37"/>
        <v>11336.199999999999</v>
      </c>
    </row>
    <row r="172" spans="1:21">
      <c r="A172" s="61" t="str">
        <f ca="1">IF(ISERROR(MATCH(C172,Код_Раздел,0)),"",INDIRECT(ADDRESS(MATCH(C172,Код_Раздел,0)+1,2,,,"Раздел")))</f>
        <v>Социальная политика</v>
      </c>
      <c r="B172" s="43" t="s">
        <v>451</v>
      </c>
      <c r="C172" s="8" t="s">
        <v>186</v>
      </c>
      <c r="D172" s="1"/>
      <c r="E172" s="113"/>
      <c r="F172" s="7">
        <f t="shared" si="46"/>
        <v>11634.9</v>
      </c>
      <c r="G172" s="7">
        <f t="shared" si="46"/>
        <v>0</v>
      </c>
      <c r="H172" s="35">
        <f t="shared" si="25"/>
        <v>11634.9</v>
      </c>
      <c r="I172" s="7">
        <f t="shared" si="46"/>
        <v>0</v>
      </c>
      <c r="J172" s="35">
        <f t="shared" si="45"/>
        <v>11634.9</v>
      </c>
      <c r="K172" s="7">
        <f t="shared" si="46"/>
        <v>0</v>
      </c>
      <c r="L172" s="35">
        <f t="shared" si="42"/>
        <v>11634.9</v>
      </c>
      <c r="M172" s="7">
        <f t="shared" si="46"/>
        <v>0</v>
      </c>
      <c r="N172" s="35">
        <f t="shared" si="43"/>
        <v>11634.9</v>
      </c>
      <c r="O172" s="7">
        <f t="shared" si="46"/>
        <v>-10</v>
      </c>
      <c r="P172" s="35">
        <f t="shared" si="39"/>
        <v>11624.9</v>
      </c>
      <c r="Q172" s="7">
        <f t="shared" si="46"/>
        <v>0</v>
      </c>
      <c r="R172" s="35">
        <f t="shared" si="40"/>
        <v>11624.9</v>
      </c>
      <c r="S172" s="7">
        <f t="shared" si="46"/>
        <v>-288.7</v>
      </c>
      <c r="T172" s="35">
        <f t="shared" si="37"/>
        <v>11336.199999999999</v>
      </c>
    </row>
    <row r="173" spans="1:21">
      <c r="A173" s="12" t="s">
        <v>177</v>
      </c>
      <c r="B173" s="43" t="s">
        <v>451</v>
      </c>
      <c r="C173" s="8" t="s">
        <v>186</v>
      </c>
      <c r="D173" s="8" t="s">
        <v>213</v>
      </c>
      <c r="E173" s="113"/>
      <c r="F173" s="7">
        <f t="shared" si="46"/>
        <v>11634.9</v>
      </c>
      <c r="G173" s="7">
        <f t="shared" si="46"/>
        <v>0</v>
      </c>
      <c r="H173" s="35">
        <f t="shared" ref="H173:H240" si="47">F173+G173</f>
        <v>11634.9</v>
      </c>
      <c r="I173" s="7">
        <f t="shared" si="46"/>
        <v>0</v>
      </c>
      <c r="J173" s="35">
        <f t="shared" si="45"/>
        <v>11634.9</v>
      </c>
      <c r="K173" s="7">
        <f t="shared" si="46"/>
        <v>0</v>
      </c>
      <c r="L173" s="35">
        <f t="shared" si="42"/>
        <v>11634.9</v>
      </c>
      <c r="M173" s="7">
        <f t="shared" si="46"/>
        <v>0</v>
      </c>
      <c r="N173" s="35">
        <f t="shared" si="43"/>
        <v>11634.9</v>
      </c>
      <c r="O173" s="7">
        <f t="shared" si="46"/>
        <v>-10</v>
      </c>
      <c r="P173" s="35">
        <f t="shared" si="39"/>
        <v>11624.9</v>
      </c>
      <c r="Q173" s="7">
        <f t="shared" si="46"/>
        <v>0</v>
      </c>
      <c r="R173" s="35">
        <f t="shared" si="40"/>
        <v>11624.9</v>
      </c>
      <c r="S173" s="7">
        <f t="shared" si="46"/>
        <v>-288.7</v>
      </c>
      <c r="T173" s="35">
        <f t="shared" si="37"/>
        <v>11336.199999999999</v>
      </c>
    </row>
    <row r="174" spans="1:21">
      <c r="A174" s="61" t="str">
        <f ca="1">IF(ISERROR(MATCH(E174,Код_КВР,0)),"",INDIRECT(ADDRESS(MATCH(E174,Код_КВР,0)+1,2,,,"КВР")))</f>
        <v>Социальное обеспечение и иные выплаты населению</v>
      </c>
      <c r="B174" s="43" t="s">
        <v>451</v>
      </c>
      <c r="C174" s="8" t="s">
        <v>186</v>
      </c>
      <c r="D174" s="8" t="s">
        <v>213</v>
      </c>
      <c r="E174" s="113">
        <v>300</v>
      </c>
      <c r="F174" s="7">
        <f t="shared" si="46"/>
        <v>11634.9</v>
      </c>
      <c r="G174" s="7">
        <f t="shared" si="46"/>
        <v>0</v>
      </c>
      <c r="H174" s="35">
        <f t="shared" si="47"/>
        <v>11634.9</v>
      </c>
      <c r="I174" s="7">
        <f t="shared" si="46"/>
        <v>0</v>
      </c>
      <c r="J174" s="35">
        <f t="shared" si="45"/>
        <v>11634.9</v>
      </c>
      <c r="K174" s="7">
        <f t="shared" si="46"/>
        <v>0</v>
      </c>
      <c r="L174" s="35">
        <f t="shared" si="42"/>
        <v>11634.9</v>
      </c>
      <c r="M174" s="7">
        <f t="shared" si="46"/>
        <v>0</v>
      </c>
      <c r="N174" s="35">
        <f t="shared" si="43"/>
        <v>11634.9</v>
      </c>
      <c r="O174" s="7">
        <f t="shared" si="46"/>
        <v>-10</v>
      </c>
      <c r="P174" s="35">
        <f t="shared" si="39"/>
        <v>11624.9</v>
      </c>
      <c r="Q174" s="7">
        <f t="shared" si="46"/>
        <v>0</v>
      </c>
      <c r="R174" s="35">
        <f t="shared" si="40"/>
        <v>11624.9</v>
      </c>
      <c r="S174" s="7">
        <f t="shared" si="46"/>
        <v>-288.7</v>
      </c>
      <c r="T174" s="35">
        <f t="shared" si="37"/>
        <v>11336.199999999999</v>
      </c>
    </row>
    <row r="175" spans="1:21">
      <c r="A175" s="61" t="str">
        <f ca="1">IF(ISERROR(MATCH(E175,Код_КВР,0)),"",INDIRECT(ADDRESS(MATCH(E175,Код_КВР,0)+1,2,,,"КВР")))</f>
        <v>Публичные нормативные социальные выплаты гражданам</v>
      </c>
      <c r="B175" s="43" t="s">
        <v>451</v>
      </c>
      <c r="C175" s="8" t="s">
        <v>186</v>
      </c>
      <c r="D175" s="8" t="s">
        <v>213</v>
      </c>
      <c r="E175" s="113">
        <v>310</v>
      </c>
      <c r="F175" s="7">
        <f t="shared" si="46"/>
        <v>11634.9</v>
      </c>
      <c r="G175" s="7">
        <f t="shared" si="46"/>
        <v>0</v>
      </c>
      <c r="H175" s="35">
        <f t="shared" si="47"/>
        <v>11634.9</v>
      </c>
      <c r="I175" s="7">
        <f t="shared" si="46"/>
        <v>0</v>
      </c>
      <c r="J175" s="35">
        <f t="shared" si="45"/>
        <v>11634.9</v>
      </c>
      <c r="K175" s="7">
        <f t="shared" si="46"/>
        <v>0</v>
      </c>
      <c r="L175" s="35">
        <f t="shared" si="42"/>
        <v>11634.9</v>
      </c>
      <c r="M175" s="7">
        <f t="shared" si="46"/>
        <v>0</v>
      </c>
      <c r="N175" s="35">
        <f t="shared" si="43"/>
        <v>11634.9</v>
      </c>
      <c r="O175" s="7">
        <f t="shared" si="46"/>
        <v>-10</v>
      </c>
      <c r="P175" s="35">
        <f t="shared" si="39"/>
        <v>11624.9</v>
      </c>
      <c r="Q175" s="7">
        <f t="shared" si="46"/>
        <v>0</v>
      </c>
      <c r="R175" s="35">
        <f t="shared" si="40"/>
        <v>11624.9</v>
      </c>
      <c r="S175" s="7">
        <f t="shared" si="46"/>
        <v>-288.7</v>
      </c>
      <c r="T175" s="35">
        <f t="shared" si="37"/>
        <v>11336.199999999999</v>
      </c>
    </row>
    <row r="176" spans="1:21" ht="33">
      <c r="A176" s="61" t="str">
        <f ca="1">IF(ISERROR(MATCH(E176,Код_КВР,0)),"",INDIRECT(ADDRESS(MATCH(E176,Код_КВР,0)+1,2,,,"КВР")))</f>
        <v>Пособия, компенсации, меры социальной поддержки по публичным нормативным обязательствам</v>
      </c>
      <c r="B176" s="43" t="s">
        <v>451</v>
      </c>
      <c r="C176" s="8" t="s">
        <v>186</v>
      </c>
      <c r="D176" s="8" t="s">
        <v>213</v>
      </c>
      <c r="E176" s="113">
        <v>313</v>
      </c>
      <c r="F176" s="7">
        <f>прил.6!G837</f>
        <v>11634.9</v>
      </c>
      <c r="G176" s="7">
        <f>прил.6!H837</f>
        <v>0</v>
      </c>
      <c r="H176" s="35">
        <f t="shared" si="47"/>
        <v>11634.9</v>
      </c>
      <c r="I176" s="7">
        <f>прил.6!J837</f>
        <v>0</v>
      </c>
      <c r="J176" s="35">
        <f t="shared" si="45"/>
        <v>11634.9</v>
      </c>
      <c r="K176" s="7">
        <f>прил.6!L837</f>
        <v>0</v>
      </c>
      <c r="L176" s="35">
        <f t="shared" si="42"/>
        <v>11634.9</v>
      </c>
      <c r="M176" s="7">
        <f>прил.6!N837</f>
        <v>0</v>
      </c>
      <c r="N176" s="35">
        <f t="shared" si="43"/>
        <v>11634.9</v>
      </c>
      <c r="O176" s="7">
        <f>прил.6!P837</f>
        <v>-10</v>
      </c>
      <c r="P176" s="35">
        <f t="shared" si="39"/>
        <v>11624.9</v>
      </c>
      <c r="Q176" s="7">
        <f>прил.6!R837</f>
        <v>0</v>
      </c>
      <c r="R176" s="35">
        <f t="shared" si="40"/>
        <v>11624.9</v>
      </c>
      <c r="S176" s="7">
        <f>прил.6!T837</f>
        <v>-288.7</v>
      </c>
      <c r="T176" s="35">
        <f t="shared" si="37"/>
        <v>11336.199999999999</v>
      </c>
    </row>
    <row r="177" spans="1:21" ht="83.25" customHeight="1">
      <c r="A177" s="61" t="str">
        <f ca="1">IF(ISERROR(MATCH(B177,Код_КЦСР,0)),"",INDIRECT(ADDRESS(MATCH(B177,Код_КЦСР,0)+1,2,,,"КЦСР")))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77" s="43" t="s">
        <v>452</v>
      </c>
      <c r="C177" s="8"/>
      <c r="D177" s="1"/>
      <c r="E177" s="113"/>
      <c r="F177" s="7">
        <f t="shared" ref="F177:S181" si="48">F178</f>
        <v>12418.6</v>
      </c>
      <c r="G177" s="7">
        <f t="shared" si="48"/>
        <v>0</v>
      </c>
      <c r="H177" s="35">
        <f t="shared" si="47"/>
        <v>12418.6</v>
      </c>
      <c r="I177" s="7">
        <f t="shared" si="48"/>
        <v>0</v>
      </c>
      <c r="J177" s="35">
        <f t="shared" si="45"/>
        <v>12418.6</v>
      </c>
      <c r="K177" s="7">
        <f t="shared" si="48"/>
        <v>0</v>
      </c>
      <c r="L177" s="35">
        <f t="shared" si="42"/>
        <v>12418.6</v>
      </c>
      <c r="M177" s="7">
        <f t="shared" si="48"/>
        <v>0</v>
      </c>
      <c r="N177" s="35">
        <f t="shared" si="43"/>
        <v>12418.6</v>
      </c>
      <c r="O177" s="7">
        <f t="shared" si="48"/>
        <v>0</v>
      </c>
      <c r="P177" s="35">
        <f t="shared" si="39"/>
        <v>12418.6</v>
      </c>
      <c r="Q177" s="7">
        <f t="shared" si="48"/>
        <v>0</v>
      </c>
      <c r="R177" s="35">
        <f t="shared" si="40"/>
        <v>12418.6</v>
      </c>
      <c r="S177" s="7">
        <f t="shared" si="48"/>
        <v>135.6</v>
      </c>
      <c r="T177" s="35">
        <f t="shared" si="37"/>
        <v>12554.2</v>
      </c>
    </row>
    <row r="178" spans="1:21">
      <c r="A178" s="61" t="str">
        <f ca="1">IF(ISERROR(MATCH(C178,Код_Раздел,0)),"",INDIRECT(ADDRESS(MATCH(C178,Код_Раздел,0)+1,2,,,"Раздел")))</f>
        <v>Социальная политика</v>
      </c>
      <c r="B178" s="43" t="s">
        <v>452</v>
      </c>
      <c r="C178" s="8" t="s">
        <v>186</v>
      </c>
      <c r="D178" s="1"/>
      <c r="E178" s="113"/>
      <c r="F178" s="7">
        <f t="shared" si="48"/>
        <v>12418.6</v>
      </c>
      <c r="G178" s="7">
        <f t="shared" si="48"/>
        <v>0</v>
      </c>
      <c r="H178" s="35">
        <f t="shared" si="47"/>
        <v>12418.6</v>
      </c>
      <c r="I178" s="7">
        <f t="shared" si="48"/>
        <v>0</v>
      </c>
      <c r="J178" s="35">
        <f t="shared" si="45"/>
        <v>12418.6</v>
      </c>
      <c r="K178" s="7">
        <f t="shared" si="48"/>
        <v>0</v>
      </c>
      <c r="L178" s="35">
        <f t="shared" si="42"/>
        <v>12418.6</v>
      </c>
      <c r="M178" s="7">
        <f t="shared" si="48"/>
        <v>0</v>
      </c>
      <c r="N178" s="35">
        <f t="shared" si="43"/>
        <v>12418.6</v>
      </c>
      <c r="O178" s="7">
        <f t="shared" si="48"/>
        <v>0</v>
      </c>
      <c r="P178" s="35">
        <f t="shared" si="39"/>
        <v>12418.6</v>
      </c>
      <c r="Q178" s="7">
        <f t="shared" si="48"/>
        <v>0</v>
      </c>
      <c r="R178" s="35">
        <f t="shared" si="40"/>
        <v>12418.6</v>
      </c>
      <c r="S178" s="7">
        <f t="shared" si="48"/>
        <v>135.6</v>
      </c>
      <c r="T178" s="35">
        <f t="shared" si="37"/>
        <v>12554.2</v>
      </c>
    </row>
    <row r="179" spans="1:21">
      <c r="A179" s="75" t="s">
        <v>202</v>
      </c>
      <c r="B179" s="43" t="s">
        <v>452</v>
      </c>
      <c r="C179" s="8" t="s">
        <v>186</v>
      </c>
      <c r="D179" s="8" t="s">
        <v>214</v>
      </c>
      <c r="E179" s="113"/>
      <c r="F179" s="7">
        <f t="shared" si="48"/>
        <v>12418.6</v>
      </c>
      <c r="G179" s="7">
        <f t="shared" si="48"/>
        <v>0</v>
      </c>
      <c r="H179" s="35">
        <f t="shared" si="47"/>
        <v>12418.6</v>
      </c>
      <c r="I179" s="7">
        <f t="shared" si="48"/>
        <v>0</v>
      </c>
      <c r="J179" s="35">
        <f t="shared" si="45"/>
        <v>12418.6</v>
      </c>
      <c r="K179" s="7">
        <f t="shared" si="48"/>
        <v>0</v>
      </c>
      <c r="L179" s="35">
        <f t="shared" si="42"/>
        <v>12418.6</v>
      </c>
      <c r="M179" s="7">
        <f t="shared" si="48"/>
        <v>0</v>
      </c>
      <c r="N179" s="35">
        <f t="shared" si="43"/>
        <v>12418.6</v>
      </c>
      <c r="O179" s="7">
        <f t="shared" si="48"/>
        <v>0</v>
      </c>
      <c r="P179" s="35">
        <f t="shared" si="39"/>
        <v>12418.6</v>
      </c>
      <c r="Q179" s="7">
        <f t="shared" si="48"/>
        <v>0</v>
      </c>
      <c r="R179" s="35">
        <f t="shared" si="40"/>
        <v>12418.6</v>
      </c>
      <c r="S179" s="7">
        <f t="shared" si="48"/>
        <v>135.6</v>
      </c>
      <c r="T179" s="35">
        <f t="shared" si="37"/>
        <v>12554.2</v>
      </c>
    </row>
    <row r="180" spans="1:21">
      <c r="A180" s="61" t="str">
        <f ca="1">IF(ISERROR(MATCH(E180,Код_КВР,0)),"",INDIRECT(ADDRESS(MATCH(E180,Код_КВР,0)+1,2,,,"КВР")))</f>
        <v>Социальное обеспечение и иные выплаты населению</v>
      </c>
      <c r="B180" s="43" t="s">
        <v>452</v>
      </c>
      <c r="C180" s="8" t="s">
        <v>186</v>
      </c>
      <c r="D180" s="8" t="s">
        <v>214</v>
      </c>
      <c r="E180" s="113">
        <v>300</v>
      </c>
      <c r="F180" s="7">
        <f t="shared" si="48"/>
        <v>12418.6</v>
      </c>
      <c r="G180" s="7">
        <f t="shared" si="48"/>
        <v>0</v>
      </c>
      <c r="H180" s="35">
        <f t="shared" si="47"/>
        <v>12418.6</v>
      </c>
      <c r="I180" s="7">
        <f t="shared" si="48"/>
        <v>0</v>
      </c>
      <c r="J180" s="35">
        <f t="shared" si="45"/>
        <v>12418.6</v>
      </c>
      <c r="K180" s="7">
        <f t="shared" si="48"/>
        <v>0</v>
      </c>
      <c r="L180" s="35">
        <f t="shared" si="42"/>
        <v>12418.6</v>
      </c>
      <c r="M180" s="7">
        <f t="shared" si="48"/>
        <v>0</v>
      </c>
      <c r="N180" s="35">
        <f t="shared" si="43"/>
        <v>12418.6</v>
      </c>
      <c r="O180" s="7">
        <f t="shared" si="48"/>
        <v>0</v>
      </c>
      <c r="P180" s="35">
        <f t="shared" si="39"/>
        <v>12418.6</v>
      </c>
      <c r="Q180" s="7">
        <f t="shared" si="48"/>
        <v>0</v>
      </c>
      <c r="R180" s="35">
        <f t="shared" si="40"/>
        <v>12418.6</v>
      </c>
      <c r="S180" s="7">
        <f t="shared" si="48"/>
        <v>135.6</v>
      </c>
      <c r="T180" s="35">
        <f t="shared" si="37"/>
        <v>12554.2</v>
      </c>
    </row>
    <row r="181" spans="1:21">
      <c r="A181" s="61" t="str">
        <f ca="1">IF(ISERROR(MATCH(E181,Код_КВР,0)),"",INDIRECT(ADDRESS(MATCH(E181,Код_КВР,0)+1,2,,,"КВР")))</f>
        <v>Публичные нормативные социальные выплаты гражданам</v>
      </c>
      <c r="B181" s="43" t="s">
        <v>452</v>
      </c>
      <c r="C181" s="8" t="s">
        <v>186</v>
      </c>
      <c r="D181" s="8" t="s">
        <v>214</v>
      </c>
      <c r="E181" s="113">
        <v>310</v>
      </c>
      <c r="F181" s="7">
        <f t="shared" si="48"/>
        <v>12418.6</v>
      </c>
      <c r="G181" s="7">
        <f t="shared" si="48"/>
        <v>0</v>
      </c>
      <c r="H181" s="35">
        <f t="shared" si="47"/>
        <v>12418.6</v>
      </c>
      <c r="I181" s="7">
        <f t="shared" si="48"/>
        <v>0</v>
      </c>
      <c r="J181" s="35">
        <f t="shared" si="45"/>
        <v>12418.6</v>
      </c>
      <c r="K181" s="7">
        <f t="shared" si="48"/>
        <v>0</v>
      </c>
      <c r="L181" s="35">
        <f t="shared" si="42"/>
        <v>12418.6</v>
      </c>
      <c r="M181" s="7">
        <f t="shared" si="48"/>
        <v>0</v>
      </c>
      <c r="N181" s="35">
        <f t="shared" si="43"/>
        <v>12418.6</v>
      </c>
      <c r="O181" s="7">
        <f t="shared" si="48"/>
        <v>0</v>
      </c>
      <c r="P181" s="35">
        <f t="shared" si="39"/>
        <v>12418.6</v>
      </c>
      <c r="Q181" s="7">
        <f t="shared" si="48"/>
        <v>0</v>
      </c>
      <c r="R181" s="35">
        <f t="shared" si="40"/>
        <v>12418.6</v>
      </c>
      <c r="S181" s="7">
        <f t="shared" si="48"/>
        <v>135.6</v>
      </c>
      <c r="T181" s="35">
        <f t="shared" si="37"/>
        <v>12554.2</v>
      </c>
    </row>
    <row r="182" spans="1:21" ht="33">
      <c r="A182" s="61" t="str">
        <f ca="1">IF(ISERROR(MATCH(E182,Код_КВР,0)),"",INDIRECT(ADDRESS(MATCH(E182,Код_КВР,0)+1,2,,,"КВР")))</f>
        <v>Пособия, компенсации, меры социальной поддержки по публичным нормативным обязательствам</v>
      </c>
      <c r="B182" s="43" t="s">
        <v>452</v>
      </c>
      <c r="C182" s="8" t="s">
        <v>186</v>
      </c>
      <c r="D182" s="8" t="s">
        <v>214</v>
      </c>
      <c r="E182" s="113">
        <v>313</v>
      </c>
      <c r="F182" s="7">
        <f>прил.6!G856</f>
        <v>12418.6</v>
      </c>
      <c r="G182" s="7">
        <f>прил.6!H856</f>
        <v>0</v>
      </c>
      <c r="H182" s="35">
        <f t="shared" si="47"/>
        <v>12418.6</v>
      </c>
      <c r="I182" s="7">
        <f>прил.6!J856</f>
        <v>0</v>
      </c>
      <c r="J182" s="35">
        <f t="shared" si="45"/>
        <v>12418.6</v>
      </c>
      <c r="K182" s="7">
        <f>прил.6!L856</f>
        <v>0</v>
      </c>
      <c r="L182" s="35">
        <f t="shared" si="42"/>
        <v>12418.6</v>
      </c>
      <c r="M182" s="7">
        <f>прил.6!N856</f>
        <v>0</v>
      </c>
      <c r="N182" s="35">
        <f t="shared" si="43"/>
        <v>12418.6</v>
      </c>
      <c r="O182" s="7">
        <f>прил.6!P856</f>
        <v>0</v>
      </c>
      <c r="P182" s="35">
        <f t="shared" si="39"/>
        <v>12418.6</v>
      </c>
      <c r="Q182" s="7">
        <f>прил.6!R856</f>
        <v>0</v>
      </c>
      <c r="R182" s="35">
        <f t="shared" si="40"/>
        <v>12418.6</v>
      </c>
      <c r="S182" s="7">
        <f>прил.6!T856</f>
        <v>135.6</v>
      </c>
      <c r="T182" s="35">
        <f t="shared" si="37"/>
        <v>12554.2</v>
      </c>
    </row>
    <row r="183" spans="1:21" ht="33">
      <c r="A183" s="61" t="str">
        <f ca="1">IF(ISERROR(MATCH(B183,Код_КЦСР,0)),"",INDIRECT(ADDRESS(MATCH(B183,Код_КЦСР,0)+1,2,,,"КЦСР")))</f>
        <v>Представление лучших педагогов сферы образования к поощрению  наградами всех уровней</v>
      </c>
      <c r="B183" s="43" t="s">
        <v>453</v>
      </c>
      <c r="C183" s="8"/>
      <c r="D183" s="1"/>
      <c r="E183" s="113"/>
      <c r="F183" s="7">
        <f t="shared" ref="F183:S188" si="49">F184</f>
        <v>32.6</v>
      </c>
      <c r="G183" s="7">
        <f t="shared" si="49"/>
        <v>0</v>
      </c>
      <c r="H183" s="35">
        <f t="shared" si="47"/>
        <v>32.6</v>
      </c>
      <c r="I183" s="7">
        <f t="shared" si="49"/>
        <v>0</v>
      </c>
      <c r="J183" s="35">
        <f t="shared" si="45"/>
        <v>32.6</v>
      </c>
      <c r="K183" s="7">
        <f t="shared" si="49"/>
        <v>0</v>
      </c>
      <c r="L183" s="35">
        <f t="shared" si="42"/>
        <v>32.6</v>
      </c>
      <c r="M183" s="7">
        <f t="shared" si="49"/>
        <v>0</v>
      </c>
      <c r="N183" s="35">
        <f t="shared" si="43"/>
        <v>32.6</v>
      </c>
      <c r="O183" s="7">
        <f t="shared" si="49"/>
        <v>0</v>
      </c>
      <c r="P183" s="35">
        <f t="shared" si="39"/>
        <v>32.6</v>
      </c>
      <c r="Q183" s="7">
        <f t="shared" si="49"/>
        <v>0</v>
      </c>
      <c r="R183" s="35">
        <f t="shared" si="40"/>
        <v>32.6</v>
      </c>
      <c r="S183" s="7">
        <f t="shared" si="49"/>
        <v>0</v>
      </c>
      <c r="T183" s="35">
        <f t="shared" si="37"/>
        <v>32.6</v>
      </c>
    </row>
    <row r="184" spans="1:21" ht="52.5" customHeight="1">
      <c r="A184" s="61" t="str">
        <f ca="1">IF(ISERROR(MATCH(B184,Код_КЦСР,0)),"",INDIRECT(ADDRESS(MATCH(B184,Код_КЦСР,0)+1,2,,,"КЦСР")))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84" s="43" t="s">
        <v>455</v>
      </c>
      <c r="C184" s="8"/>
      <c r="D184" s="1"/>
      <c r="E184" s="113"/>
      <c r="F184" s="7">
        <f t="shared" si="49"/>
        <v>32.6</v>
      </c>
      <c r="G184" s="7">
        <f t="shared" si="49"/>
        <v>0</v>
      </c>
      <c r="H184" s="35">
        <f t="shared" si="47"/>
        <v>32.6</v>
      </c>
      <c r="I184" s="7">
        <f t="shared" si="49"/>
        <v>0</v>
      </c>
      <c r="J184" s="35">
        <f t="shared" si="45"/>
        <v>32.6</v>
      </c>
      <c r="K184" s="7">
        <f t="shared" si="49"/>
        <v>0</v>
      </c>
      <c r="L184" s="35">
        <f t="shared" si="42"/>
        <v>32.6</v>
      </c>
      <c r="M184" s="7">
        <f t="shared" si="49"/>
        <v>0</v>
      </c>
      <c r="N184" s="35">
        <f t="shared" si="43"/>
        <v>32.6</v>
      </c>
      <c r="O184" s="7">
        <f t="shared" si="49"/>
        <v>0</v>
      </c>
      <c r="P184" s="35">
        <f t="shared" si="39"/>
        <v>32.6</v>
      </c>
      <c r="Q184" s="7">
        <f t="shared" si="49"/>
        <v>0</v>
      </c>
      <c r="R184" s="35">
        <f t="shared" si="40"/>
        <v>32.6</v>
      </c>
      <c r="S184" s="7">
        <f t="shared" si="49"/>
        <v>0</v>
      </c>
      <c r="T184" s="35">
        <f t="shared" si="37"/>
        <v>32.6</v>
      </c>
    </row>
    <row r="185" spans="1:21">
      <c r="A185" s="61" t="str">
        <f ca="1">IF(ISERROR(MATCH(C185,Код_Раздел,0)),"",INDIRECT(ADDRESS(MATCH(C185,Код_Раздел,0)+1,2,,,"Раздел")))</f>
        <v>Образование</v>
      </c>
      <c r="B185" s="43" t="s">
        <v>455</v>
      </c>
      <c r="C185" s="8" t="s">
        <v>193</v>
      </c>
      <c r="D185" s="1"/>
      <c r="E185" s="113"/>
      <c r="F185" s="7">
        <f t="shared" si="49"/>
        <v>32.6</v>
      </c>
      <c r="G185" s="7">
        <f t="shared" si="49"/>
        <v>0</v>
      </c>
      <c r="H185" s="35">
        <f t="shared" si="47"/>
        <v>32.6</v>
      </c>
      <c r="I185" s="7">
        <f t="shared" si="49"/>
        <v>0</v>
      </c>
      <c r="J185" s="35">
        <f t="shared" si="45"/>
        <v>32.6</v>
      </c>
      <c r="K185" s="7">
        <f t="shared" si="49"/>
        <v>0</v>
      </c>
      <c r="L185" s="35">
        <f t="shared" si="42"/>
        <v>32.6</v>
      </c>
      <c r="M185" s="7">
        <f t="shared" si="49"/>
        <v>0</v>
      </c>
      <c r="N185" s="35">
        <f t="shared" si="43"/>
        <v>32.6</v>
      </c>
      <c r="O185" s="7">
        <f t="shared" si="49"/>
        <v>0</v>
      </c>
      <c r="P185" s="35">
        <f t="shared" si="39"/>
        <v>32.6</v>
      </c>
      <c r="Q185" s="7">
        <f t="shared" si="49"/>
        <v>0</v>
      </c>
      <c r="R185" s="35">
        <f t="shared" si="40"/>
        <v>32.6</v>
      </c>
      <c r="S185" s="7">
        <f t="shared" si="49"/>
        <v>0</v>
      </c>
      <c r="T185" s="35">
        <f t="shared" si="37"/>
        <v>32.6</v>
      </c>
    </row>
    <row r="186" spans="1:21">
      <c r="A186" s="12" t="s">
        <v>248</v>
      </c>
      <c r="B186" s="43" t="s">
        <v>455</v>
      </c>
      <c r="C186" s="8" t="s">
        <v>193</v>
      </c>
      <c r="D186" s="1" t="s">
        <v>212</v>
      </c>
      <c r="E186" s="113"/>
      <c r="F186" s="7">
        <f t="shared" si="49"/>
        <v>32.6</v>
      </c>
      <c r="G186" s="7">
        <f t="shared" si="49"/>
        <v>0</v>
      </c>
      <c r="H186" s="35">
        <f t="shared" si="47"/>
        <v>32.6</v>
      </c>
      <c r="I186" s="7">
        <f t="shared" si="49"/>
        <v>0</v>
      </c>
      <c r="J186" s="35">
        <f t="shared" si="45"/>
        <v>32.6</v>
      </c>
      <c r="K186" s="7">
        <f t="shared" si="49"/>
        <v>0</v>
      </c>
      <c r="L186" s="35">
        <f t="shared" si="42"/>
        <v>32.6</v>
      </c>
      <c r="M186" s="7">
        <f t="shared" si="49"/>
        <v>0</v>
      </c>
      <c r="N186" s="35">
        <f t="shared" si="43"/>
        <v>32.6</v>
      </c>
      <c r="O186" s="7">
        <f t="shared" si="49"/>
        <v>0</v>
      </c>
      <c r="P186" s="35">
        <f t="shared" si="39"/>
        <v>32.6</v>
      </c>
      <c r="Q186" s="7">
        <f t="shared" si="49"/>
        <v>0</v>
      </c>
      <c r="R186" s="35">
        <f t="shared" si="40"/>
        <v>32.6</v>
      </c>
      <c r="S186" s="7">
        <f t="shared" si="49"/>
        <v>0</v>
      </c>
      <c r="T186" s="35">
        <f t="shared" si="37"/>
        <v>32.6</v>
      </c>
    </row>
    <row r="187" spans="1:21">
      <c r="A187" s="61" t="str">
        <f ca="1">IF(ISERROR(MATCH(E187,Код_КВР,0)),"",INDIRECT(ADDRESS(MATCH(E187,Код_КВР,0)+1,2,,,"КВР")))</f>
        <v>Социальное обеспечение и иные выплаты населению</v>
      </c>
      <c r="B187" s="43" t="s">
        <v>455</v>
      </c>
      <c r="C187" s="8" t="s">
        <v>193</v>
      </c>
      <c r="D187" s="1" t="s">
        <v>212</v>
      </c>
      <c r="E187" s="113">
        <v>300</v>
      </c>
      <c r="F187" s="7">
        <f t="shared" si="49"/>
        <v>32.6</v>
      </c>
      <c r="G187" s="7">
        <f t="shared" si="49"/>
        <v>0</v>
      </c>
      <c r="H187" s="35">
        <f t="shared" si="47"/>
        <v>32.6</v>
      </c>
      <c r="I187" s="7">
        <f t="shared" si="49"/>
        <v>0</v>
      </c>
      <c r="J187" s="35">
        <f t="shared" si="45"/>
        <v>32.6</v>
      </c>
      <c r="K187" s="7">
        <f t="shared" si="49"/>
        <v>0</v>
      </c>
      <c r="L187" s="35">
        <f t="shared" si="42"/>
        <v>32.6</v>
      </c>
      <c r="M187" s="7">
        <f t="shared" si="49"/>
        <v>0</v>
      </c>
      <c r="N187" s="35">
        <f t="shared" si="43"/>
        <v>32.6</v>
      </c>
      <c r="O187" s="7">
        <f t="shared" si="49"/>
        <v>0</v>
      </c>
      <c r="P187" s="35">
        <f t="shared" si="39"/>
        <v>32.6</v>
      </c>
      <c r="Q187" s="7">
        <f t="shared" si="49"/>
        <v>0</v>
      </c>
      <c r="R187" s="35">
        <f t="shared" si="40"/>
        <v>32.6</v>
      </c>
      <c r="S187" s="7">
        <f>S188+S190</f>
        <v>0</v>
      </c>
      <c r="T187" s="35">
        <f t="shared" si="37"/>
        <v>32.6</v>
      </c>
    </row>
    <row r="188" spans="1:21" hidden="1">
      <c r="A188" s="61" t="str">
        <f ca="1">IF(ISERROR(MATCH(E188,Код_КВР,0)),"",INDIRECT(ADDRESS(MATCH(E188,Код_КВР,0)+1,2,,,"КВР")))</f>
        <v>Публичные нормативные социальные выплаты гражданам</v>
      </c>
      <c r="B188" s="43" t="s">
        <v>455</v>
      </c>
      <c r="C188" s="8" t="s">
        <v>193</v>
      </c>
      <c r="D188" s="1" t="s">
        <v>212</v>
      </c>
      <c r="E188" s="113">
        <v>310</v>
      </c>
      <c r="F188" s="7">
        <f t="shared" si="49"/>
        <v>32.6</v>
      </c>
      <c r="G188" s="7">
        <f t="shared" si="49"/>
        <v>0</v>
      </c>
      <c r="H188" s="35">
        <f t="shared" si="47"/>
        <v>32.6</v>
      </c>
      <c r="I188" s="7">
        <f t="shared" si="49"/>
        <v>0</v>
      </c>
      <c r="J188" s="35">
        <f t="shared" si="45"/>
        <v>32.6</v>
      </c>
      <c r="K188" s="7">
        <f t="shared" si="49"/>
        <v>0</v>
      </c>
      <c r="L188" s="35">
        <f t="shared" si="42"/>
        <v>32.6</v>
      </c>
      <c r="M188" s="7">
        <f t="shared" si="49"/>
        <v>0</v>
      </c>
      <c r="N188" s="35">
        <f t="shared" si="43"/>
        <v>32.6</v>
      </c>
      <c r="O188" s="7">
        <f t="shared" si="49"/>
        <v>0</v>
      </c>
      <c r="P188" s="35">
        <f t="shared" si="39"/>
        <v>32.6</v>
      </c>
      <c r="Q188" s="7">
        <f t="shared" si="49"/>
        <v>0</v>
      </c>
      <c r="R188" s="35">
        <f t="shared" si="40"/>
        <v>32.6</v>
      </c>
      <c r="S188" s="7">
        <f t="shared" si="49"/>
        <v>-32.6</v>
      </c>
      <c r="T188" s="35">
        <f t="shared" si="37"/>
        <v>0</v>
      </c>
      <c r="U188" s="20" t="s">
        <v>706</v>
      </c>
    </row>
    <row r="189" spans="1:21" ht="33" hidden="1">
      <c r="A189" s="61" t="str">
        <f ca="1">IF(ISERROR(MATCH(E189,Код_КВР,0)),"",INDIRECT(ADDRESS(MATCH(E189,Код_КВР,0)+1,2,,,"КВР")))</f>
        <v>Пособия, компенсации, меры социальной поддержки по публичным нормативным обязательствам</v>
      </c>
      <c r="B189" s="43" t="s">
        <v>455</v>
      </c>
      <c r="C189" s="8" t="s">
        <v>193</v>
      </c>
      <c r="D189" s="1" t="s">
        <v>212</v>
      </c>
      <c r="E189" s="113">
        <v>313</v>
      </c>
      <c r="F189" s="7">
        <f>прил.6!G681</f>
        <v>32.6</v>
      </c>
      <c r="G189" s="7">
        <f>прил.6!H681</f>
        <v>0</v>
      </c>
      <c r="H189" s="35">
        <f t="shared" si="47"/>
        <v>32.6</v>
      </c>
      <c r="I189" s="7">
        <f>прил.6!J681</f>
        <v>0</v>
      </c>
      <c r="J189" s="35">
        <f t="shared" si="45"/>
        <v>32.6</v>
      </c>
      <c r="K189" s="7">
        <f>прил.6!L681</f>
        <v>0</v>
      </c>
      <c r="L189" s="35">
        <f t="shared" si="42"/>
        <v>32.6</v>
      </c>
      <c r="M189" s="7">
        <f>прил.6!N681</f>
        <v>0</v>
      </c>
      <c r="N189" s="35">
        <f t="shared" si="43"/>
        <v>32.6</v>
      </c>
      <c r="O189" s="7">
        <f>прил.6!P681</f>
        <v>0</v>
      </c>
      <c r="P189" s="35">
        <f t="shared" si="39"/>
        <v>32.6</v>
      </c>
      <c r="Q189" s="7">
        <f>прил.6!R681</f>
        <v>0</v>
      </c>
      <c r="R189" s="35">
        <f t="shared" si="40"/>
        <v>32.6</v>
      </c>
      <c r="S189" s="7">
        <f>прил.6!T681</f>
        <v>-32.6</v>
      </c>
      <c r="T189" s="35">
        <f t="shared" si="37"/>
        <v>0</v>
      </c>
      <c r="U189" s="20" t="s">
        <v>706</v>
      </c>
    </row>
    <row r="190" spans="1:21" ht="39.75" customHeight="1">
      <c r="A190" s="61" t="str">
        <f ca="1">IF(ISERROR(MATCH(E190,Код_КВР,0)),"",INDIRECT(ADDRESS(MATCH(E190,Код_КВР,0)+1,2,,,"КВР")))</f>
        <v>Публичные нормативные выплаты гражданам несоциального характера</v>
      </c>
      <c r="B190" s="43" t="s">
        <v>455</v>
      </c>
      <c r="C190" s="8" t="s">
        <v>193</v>
      </c>
      <c r="D190" s="1" t="s">
        <v>212</v>
      </c>
      <c r="E190" s="113">
        <v>330</v>
      </c>
      <c r="F190" s="7"/>
      <c r="G190" s="7"/>
      <c r="H190" s="35"/>
      <c r="I190" s="7"/>
      <c r="J190" s="35"/>
      <c r="K190" s="7"/>
      <c r="L190" s="35"/>
      <c r="M190" s="7"/>
      <c r="N190" s="35"/>
      <c r="O190" s="7"/>
      <c r="P190" s="35"/>
      <c r="Q190" s="7"/>
      <c r="R190" s="35"/>
      <c r="S190" s="7">
        <f>прил.6!T682</f>
        <v>32.6</v>
      </c>
      <c r="T190" s="35">
        <f t="shared" si="37"/>
        <v>32.6</v>
      </c>
    </row>
    <row r="191" spans="1:21">
      <c r="A191" s="61" t="str">
        <f ca="1">IF(ISERROR(MATCH(B191,Код_КЦСР,0)),"",INDIRECT(ADDRESS(MATCH(B191,Код_КЦСР,0)+1,2,,,"КЦСР")))</f>
        <v>Одаренные дети</v>
      </c>
      <c r="B191" s="43" t="s">
        <v>456</v>
      </c>
      <c r="C191" s="8"/>
      <c r="D191" s="1"/>
      <c r="E191" s="113"/>
      <c r="F191" s="7">
        <f t="shared" ref="F191:S193" si="50">F192</f>
        <v>1842.8</v>
      </c>
      <c r="G191" s="7">
        <f t="shared" si="50"/>
        <v>0</v>
      </c>
      <c r="H191" s="35">
        <f t="shared" si="47"/>
        <v>1842.8</v>
      </c>
      <c r="I191" s="7">
        <f t="shared" si="50"/>
        <v>0</v>
      </c>
      <c r="J191" s="35">
        <f t="shared" si="45"/>
        <v>1842.8</v>
      </c>
      <c r="K191" s="7">
        <f t="shared" si="50"/>
        <v>0</v>
      </c>
      <c r="L191" s="35">
        <f t="shared" si="42"/>
        <v>1842.8</v>
      </c>
      <c r="M191" s="7">
        <f t="shared" si="50"/>
        <v>0</v>
      </c>
      <c r="N191" s="35">
        <f t="shared" si="43"/>
        <v>1842.8</v>
      </c>
      <c r="O191" s="7">
        <f t="shared" si="50"/>
        <v>0</v>
      </c>
      <c r="P191" s="35">
        <f t="shared" si="39"/>
        <v>1842.8</v>
      </c>
      <c r="Q191" s="7">
        <f t="shared" si="50"/>
        <v>0</v>
      </c>
      <c r="R191" s="35">
        <f t="shared" si="40"/>
        <v>1842.8</v>
      </c>
      <c r="S191" s="7">
        <f t="shared" si="50"/>
        <v>0</v>
      </c>
      <c r="T191" s="35">
        <f t="shared" si="37"/>
        <v>1842.8</v>
      </c>
    </row>
    <row r="192" spans="1:21">
      <c r="A192" s="61" t="str">
        <f ca="1">IF(ISERROR(MATCH(C192,Код_Раздел,0)),"",INDIRECT(ADDRESS(MATCH(C192,Код_Раздел,0)+1,2,,,"Раздел")))</f>
        <v>Образование</v>
      </c>
      <c r="B192" s="43" t="s">
        <v>456</v>
      </c>
      <c r="C192" s="8" t="s">
        <v>193</v>
      </c>
      <c r="D192" s="1"/>
      <c r="E192" s="113"/>
      <c r="F192" s="7">
        <f t="shared" si="50"/>
        <v>1842.8</v>
      </c>
      <c r="G192" s="7">
        <f t="shared" si="50"/>
        <v>0</v>
      </c>
      <c r="H192" s="35">
        <f t="shared" si="47"/>
        <v>1842.8</v>
      </c>
      <c r="I192" s="7">
        <f t="shared" si="50"/>
        <v>0</v>
      </c>
      <c r="J192" s="35">
        <f t="shared" si="45"/>
        <v>1842.8</v>
      </c>
      <c r="K192" s="7">
        <f t="shared" si="50"/>
        <v>0</v>
      </c>
      <c r="L192" s="35">
        <f t="shared" si="42"/>
        <v>1842.8</v>
      </c>
      <c r="M192" s="7">
        <f t="shared" si="50"/>
        <v>0</v>
      </c>
      <c r="N192" s="35">
        <f t="shared" si="43"/>
        <v>1842.8</v>
      </c>
      <c r="O192" s="7">
        <f t="shared" si="50"/>
        <v>0</v>
      </c>
      <c r="P192" s="35">
        <f t="shared" si="39"/>
        <v>1842.8</v>
      </c>
      <c r="Q192" s="7">
        <f t="shared" si="50"/>
        <v>0</v>
      </c>
      <c r="R192" s="35">
        <f t="shared" si="40"/>
        <v>1842.8</v>
      </c>
      <c r="S192" s="7">
        <f t="shared" si="50"/>
        <v>0</v>
      </c>
      <c r="T192" s="35">
        <f t="shared" si="37"/>
        <v>1842.8</v>
      </c>
    </row>
    <row r="193" spans="1:20">
      <c r="A193" s="12" t="s">
        <v>249</v>
      </c>
      <c r="B193" s="43" t="s">
        <v>456</v>
      </c>
      <c r="C193" s="8" t="s">
        <v>193</v>
      </c>
      <c r="D193" s="1" t="s">
        <v>217</v>
      </c>
      <c r="E193" s="113"/>
      <c r="F193" s="7">
        <f t="shared" si="50"/>
        <v>1842.8</v>
      </c>
      <c r="G193" s="7">
        <f t="shared" si="50"/>
        <v>0</v>
      </c>
      <c r="H193" s="35">
        <f t="shared" si="47"/>
        <v>1842.8</v>
      </c>
      <c r="I193" s="7">
        <f t="shared" si="50"/>
        <v>0</v>
      </c>
      <c r="J193" s="35">
        <f t="shared" si="45"/>
        <v>1842.8</v>
      </c>
      <c r="K193" s="7">
        <f t="shared" si="50"/>
        <v>0</v>
      </c>
      <c r="L193" s="35">
        <f t="shared" si="42"/>
        <v>1842.8</v>
      </c>
      <c r="M193" s="7">
        <f t="shared" si="50"/>
        <v>0</v>
      </c>
      <c r="N193" s="35">
        <f t="shared" si="43"/>
        <v>1842.8</v>
      </c>
      <c r="O193" s="7">
        <f t="shared" si="50"/>
        <v>0</v>
      </c>
      <c r="P193" s="35">
        <f t="shared" si="39"/>
        <v>1842.8</v>
      </c>
      <c r="Q193" s="7">
        <f t="shared" si="50"/>
        <v>0</v>
      </c>
      <c r="R193" s="35">
        <f t="shared" si="40"/>
        <v>1842.8</v>
      </c>
      <c r="S193" s="7">
        <f t="shared" si="50"/>
        <v>0</v>
      </c>
      <c r="T193" s="35">
        <f t="shared" si="37"/>
        <v>1842.8</v>
      </c>
    </row>
    <row r="194" spans="1:20" ht="33">
      <c r="A194" s="61" t="str">
        <f ca="1">IF(ISERROR(MATCH(E194,Код_КВР,0)),"",INDIRECT(ADDRESS(MATCH(E194,Код_КВР,0)+1,2,,,"КВР")))</f>
        <v>Предоставление субсидий бюджетным, автономным учреждениям и иным некоммерческим организациям</v>
      </c>
      <c r="B194" s="43" t="s">
        <v>456</v>
      </c>
      <c r="C194" s="8" t="s">
        <v>193</v>
      </c>
      <c r="D194" s="1" t="s">
        <v>217</v>
      </c>
      <c r="E194" s="113">
        <v>600</v>
      </c>
      <c r="F194" s="7">
        <f>F195+F197</f>
        <v>1842.8</v>
      </c>
      <c r="G194" s="7">
        <f>G195+G197</f>
        <v>0</v>
      </c>
      <c r="H194" s="35">
        <f t="shared" si="47"/>
        <v>1842.8</v>
      </c>
      <c r="I194" s="7">
        <f>I195+I197</f>
        <v>0</v>
      </c>
      <c r="J194" s="35">
        <f t="shared" si="45"/>
        <v>1842.8</v>
      </c>
      <c r="K194" s="7">
        <f>K195+K197</f>
        <v>0</v>
      </c>
      <c r="L194" s="35">
        <f t="shared" si="42"/>
        <v>1842.8</v>
      </c>
      <c r="M194" s="7">
        <f>M195+M197</f>
        <v>0</v>
      </c>
      <c r="N194" s="35">
        <f t="shared" si="43"/>
        <v>1842.8</v>
      </c>
      <c r="O194" s="7">
        <f>O195+O197</f>
        <v>0</v>
      </c>
      <c r="P194" s="35">
        <f t="shared" si="39"/>
        <v>1842.8</v>
      </c>
      <c r="Q194" s="7">
        <f>Q195+Q197</f>
        <v>0</v>
      </c>
      <c r="R194" s="35">
        <f t="shared" si="40"/>
        <v>1842.8</v>
      </c>
      <c r="S194" s="7">
        <f>S195+S197</f>
        <v>0</v>
      </c>
      <c r="T194" s="35">
        <f t="shared" si="37"/>
        <v>1842.8</v>
      </c>
    </row>
    <row r="195" spans="1:20">
      <c r="A195" s="61" t="str">
        <f ca="1">IF(ISERROR(MATCH(E195,Код_КВР,0)),"",INDIRECT(ADDRESS(MATCH(E195,Код_КВР,0)+1,2,,,"КВР")))</f>
        <v>Субсидии бюджетным учреждениям</v>
      </c>
      <c r="B195" s="43" t="s">
        <v>456</v>
      </c>
      <c r="C195" s="8" t="s">
        <v>193</v>
      </c>
      <c r="D195" s="1" t="s">
        <v>217</v>
      </c>
      <c r="E195" s="113">
        <v>610</v>
      </c>
      <c r="F195" s="7">
        <f>прил.6!G750</f>
        <v>1808.8</v>
      </c>
      <c r="G195" s="7">
        <f>прил.6!H750</f>
        <v>0</v>
      </c>
      <c r="H195" s="35">
        <f t="shared" si="47"/>
        <v>1808.8</v>
      </c>
      <c r="I195" s="7">
        <f>прил.6!J750</f>
        <v>0</v>
      </c>
      <c r="J195" s="35">
        <f t="shared" si="45"/>
        <v>1808.8</v>
      </c>
      <c r="K195" s="7">
        <f>прил.6!L750</f>
        <v>0</v>
      </c>
      <c r="L195" s="35">
        <f t="shared" si="42"/>
        <v>1808.8</v>
      </c>
      <c r="M195" s="7">
        <f>прил.6!N750</f>
        <v>0</v>
      </c>
      <c r="N195" s="35">
        <f t="shared" si="43"/>
        <v>1808.8</v>
      </c>
      <c r="O195" s="7">
        <f>прил.6!P750</f>
        <v>0</v>
      </c>
      <c r="P195" s="35">
        <f t="shared" si="39"/>
        <v>1808.8</v>
      </c>
      <c r="Q195" s="7">
        <f>прил.6!R750</f>
        <v>0</v>
      </c>
      <c r="R195" s="35">
        <f t="shared" si="40"/>
        <v>1808.8</v>
      </c>
      <c r="S195" s="7">
        <f>прил.6!T750</f>
        <v>0</v>
      </c>
      <c r="T195" s="35">
        <f t="shared" si="37"/>
        <v>1808.8</v>
      </c>
    </row>
    <row r="196" spans="1:20">
      <c r="A196" s="61" t="str">
        <f ca="1">IF(ISERROR(MATCH(E196,Код_КВР,0)),"",INDIRECT(ADDRESS(MATCH(E196,Код_КВР,0)+1,2,,,"КВР")))</f>
        <v>Субсидии бюджетным учреждениям на иные цели</v>
      </c>
      <c r="B196" s="43" t="s">
        <v>456</v>
      </c>
      <c r="C196" s="8" t="s">
        <v>193</v>
      </c>
      <c r="D196" s="1" t="s">
        <v>217</v>
      </c>
      <c r="E196" s="113">
        <v>612</v>
      </c>
      <c r="F196" s="7">
        <f>прил.6!G751</f>
        <v>1808.8</v>
      </c>
      <c r="G196" s="7">
        <f>прил.6!H751</f>
        <v>0</v>
      </c>
      <c r="H196" s="35">
        <f t="shared" si="47"/>
        <v>1808.8</v>
      </c>
      <c r="I196" s="7">
        <f>прил.6!J751</f>
        <v>0</v>
      </c>
      <c r="J196" s="35">
        <f t="shared" si="45"/>
        <v>1808.8</v>
      </c>
      <c r="K196" s="7">
        <f>прил.6!L751</f>
        <v>0</v>
      </c>
      <c r="L196" s="35">
        <f t="shared" si="42"/>
        <v>1808.8</v>
      </c>
      <c r="M196" s="7">
        <f>прил.6!N751</f>
        <v>0</v>
      </c>
      <c r="N196" s="35">
        <f t="shared" si="43"/>
        <v>1808.8</v>
      </c>
      <c r="O196" s="7">
        <f>прил.6!P751</f>
        <v>0</v>
      </c>
      <c r="P196" s="35">
        <f t="shared" si="39"/>
        <v>1808.8</v>
      </c>
      <c r="Q196" s="7">
        <f>прил.6!R751</f>
        <v>0</v>
      </c>
      <c r="R196" s="35">
        <f t="shared" si="40"/>
        <v>1808.8</v>
      </c>
      <c r="S196" s="7">
        <f>прил.6!T751</f>
        <v>0</v>
      </c>
      <c r="T196" s="35">
        <f t="shared" si="37"/>
        <v>1808.8</v>
      </c>
    </row>
    <row r="197" spans="1:20">
      <c r="A197" s="61" t="str">
        <f ca="1">IF(ISERROR(MATCH(E197,Код_КВР,0)),"",INDIRECT(ADDRESS(MATCH(E197,Код_КВР,0)+1,2,,,"КВР")))</f>
        <v>Субсидии автономным учреждениям</v>
      </c>
      <c r="B197" s="43" t="s">
        <v>456</v>
      </c>
      <c r="C197" s="8" t="s">
        <v>193</v>
      </c>
      <c r="D197" s="1" t="s">
        <v>217</v>
      </c>
      <c r="E197" s="113">
        <v>620</v>
      </c>
      <c r="F197" s="7">
        <f>F198</f>
        <v>34</v>
      </c>
      <c r="G197" s="7">
        <f>G198</f>
        <v>0</v>
      </c>
      <c r="H197" s="35">
        <f t="shared" si="47"/>
        <v>34</v>
      </c>
      <c r="I197" s="7">
        <f>I198</f>
        <v>0</v>
      </c>
      <c r="J197" s="35">
        <f t="shared" si="45"/>
        <v>34</v>
      </c>
      <c r="K197" s="7">
        <f>K198</f>
        <v>0</v>
      </c>
      <c r="L197" s="35">
        <f t="shared" si="42"/>
        <v>34</v>
      </c>
      <c r="M197" s="7">
        <f>M198</f>
        <v>0</v>
      </c>
      <c r="N197" s="35">
        <f t="shared" si="43"/>
        <v>34</v>
      </c>
      <c r="O197" s="7">
        <f>O198</f>
        <v>0</v>
      </c>
      <c r="P197" s="35">
        <f t="shared" si="39"/>
        <v>34</v>
      </c>
      <c r="Q197" s="7">
        <f>Q198</f>
        <v>0</v>
      </c>
      <c r="R197" s="35">
        <f t="shared" si="40"/>
        <v>34</v>
      </c>
      <c r="S197" s="7">
        <f>S198</f>
        <v>0</v>
      </c>
      <c r="T197" s="35">
        <f t="shared" si="37"/>
        <v>34</v>
      </c>
    </row>
    <row r="198" spans="1:20">
      <c r="A198" s="61" t="str">
        <f ca="1">IF(ISERROR(MATCH(E198,Код_КВР,0)),"",INDIRECT(ADDRESS(MATCH(E198,Код_КВР,0)+1,2,,,"КВР")))</f>
        <v>Субсидии автономным учреждениям на иные цели</v>
      </c>
      <c r="B198" s="43" t="s">
        <v>456</v>
      </c>
      <c r="C198" s="8" t="s">
        <v>193</v>
      </c>
      <c r="D198" s="1" t="s">
        <v>217</v>
      </c>
      <c r="E198" s="113">
        <v>622</v>
      </c>
      <c r="F198" s="7">
        <f>прил.6!G753</f>
        <v>34</v>
      </c>
      <c r="G198" s="7">
        <f>прил.6!H753</f>
        <v>0</v>
      </c>
      <c r="H198" s="35">
        <f t="shared" si="47"/>
        <v>34</v>
      </c>
      <c r="I198" s="7">
        <f>прил.6!J753</f>
        <v>0</v>
      </c>
      <c r="J198" s="35">
        <f t="shared" si="45"/>
        <v>34</v>
      </c>
      <c r="K198" s="7">
        <f>прил.6!L753</f>
        <v>0</v>
      </c>
      <c r="L198" s="35">
        <f t="shared" si="42"/>
        <v>34</v>
      </c>
      <c r="M198" s="7">
        <f>прил.6!N753</f>
        <v>0</v>
      </c>
      <c r="N198" s="35">
        <f t="shared" si="43"/>
        <v>34</v>
      </c>
      <c r="O198" s="7">
        <f>прил.6!P753</f>
        <v>0</v>
      </c>
      <c r="P198" s="35">
        <f t="shared" si="39"/>
        <v>34</v>
      </c>
      <c r="Q198" s="7">
        <f>прил.6!R753</f>
        <v>0</v>
      </c>
      <c r="R198" s="35">
        <f t="shared" si="40"/>
        <v>34</v>
      </c>
      <c r="S198" s="7">
        <f>прил.6!T753</f>
        <v>0</v>
      </c>
      <c r="T198" s="35">
        <f t="shared" si="37"/>
        <v>34</v>
      </c>
    </row>
    <row r="199" spans="1:20" ht="33">
      <c r="A199" s="61" t="str">
        <f ca="1">IF(ISERROR(MATCH(B199,Код_КЦСР,0)),"",INDIRECT(ADDRESS(MATCH(B199,Код_КЦСР,0)+1,2,,,"КЦСР")))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99" s="43" t="s">
        <v>458</v>
      </c>
      <c r="C199" s="8"/>
      <c r="D199" s="1"/>
      <c r="E199" s="113"/>
      <c r="F199" s="7">
        <f>F200</f>
        <v>47574.400000000001</v>
      </c>
      <c r="G199" s="7">
        <f>G200</f>
        <v>0</v>
      </c>
      <c r="H199" s="35">
        <f t="shared" si="47"/>
        <v>47574.400000000001</v>
      </c>
      <c r="I199" s="7">
        <f>I200</f>
        <v>-10964.4</v>
      </c>
      <c r="J199" s="35">
        <f t="shared" si="45"/>
        <v>36610</v>
      </c>
      <c r="K199" s="7">
        <f>K200</f>
        <v>0</v>
      </c>
      <c r="L199" s="35">
        <f t="shared" si="42"/>
        <v>36610</v>
      </c>
      <c r="M199" s="7">
        <f>M200</f>
        <v>5000</v>
      </c>
      <c r="N199" s="35">
        <f t="shared" si="43"/>
        <v>41610</v>
      </c>
      <c r="O199" s="7">
        <f>O200</f>
        <v>0</v>
      </c>
      <c r="P199" s="35">
        <f t="shared" si="39"/>
        <v>41610</v>
      </c>
      <c r="Q199" s="7">
        <f>Q200</f>
        <v>0</v>
      </c>
      <c r="R199" s="35">
        <f t="shared" si="40"/>
        <v>41610</v>
      </c>
      <c r="S199" s="7">
        <f>S200</f>
        <v>0</v>
      </c>
      <c r="T199" s="35">
        <f t="shared" si="37"/>
        <v>41610</v>
      </c>
    </row>
    <row r="200" spans="1:20">
      <c r="A200" s="61" t="str">
        <f ca="1">IF(ISERROR(MATCH(C200,Код_Раздел,0)),"",INDIRECT(ADDRESS(MATCH(C200,Код_Раздел,0)+1,2,,,"Раздел")))</f>
        <v>Образование</v>
      </c>
      <c r="B200" s="43" t="s">
        <v>458</v>
      </c>
      <c r="C200" s="8" t="s">
        <v>193</v>
      </c>
      <c r="D200" s="1"/>
      <c r="E200" s="113"/>
      <c r="F200" s="7">
        <f>F201</f>
        <v>47574.400000000001</v>
      </c>
      <c r="G200" s="7">
        <f>G201</f>
        <v>0</v>
      </c>
      <c r="H200" s="35">
        <f t="shared" si="47"/>
        <v>47574.400000000001</v>
      </c>
      <c r="I200" s="7">
        <f>I201</f>
        <v>-10964.4</v>
      </c>
      <c r="J200" s="35">
        <f t="shared" si="45"/>
        <v>36610</v>
      </c>
      <c r="K200" s="7">
        <f>K201</f>
        <v>0</v>
      </c>
      <c r="L200" s="35">
        <f t="shared" si="42"/>
        <v>36610</v>
      </c>
      <c r="M200" s="7">
        <f>M201</f>
        <v>5000</v>
      </c>
      <c r="N200" s="35">
        <f t="shared" si="43"/>
        <v>41610</v>
      </c>
      <c r="O200" s="7">
        <f>O201</f>
        <v>0</v>
      </c>
      <c r="P200" s="35">
        <f t="shared" si="39"/>
        <v>41610</v>
      </c>
      <c r="Q200" s="7">
        <f>Q201</f>
        <v>0</v>
      </c>
      <c r="R200" s="35">
        <f t="shared" si="40"/>
        <v>41610</v>
      </c>
      <c r="S200" s="7">
        <f>S201</f>
        <v>0</v>
      </c>
      <c r="T200" s="35">
        <f t="shared" si="37"/>
        <v>41610</v>
      </c>
    </row>
    <row r="201" spans="1:20">
      <c r="A201" s="12" t="s">
        <v>249</v>
      </c>
      <c r="B201" s="43" t="s">
        <v>458</v>
      </c>
      <c r="C201" s="8" t="s">
        <v>193</v>
      </c>
      <c r="D201" s="1" t="s">
        <v>217</v>
      </c>
      <c r="E201" s="113"/>
      <c r="F201" s="7">
        <f>F202+F205</f>
        <v>47574.400000000001</v>
      </c>
      <c r="G201" s="7">
        <f>G202+G205</f>
        <v>0</v>
      </c>
      <c r="H201" s="35">
        <f t="shared" si="47"/>
        <v>47574.400000000001</v>
      </c>
      <c r="I201" s="7">
        <f>I202+I205</f>
        <v>-10964.4</v>
      </c>
      <c r="J201" s="35">
        <f t="shared" si="45"/>
        <v>36610</v>
      </c>
      <c r="K201" s="7">
        <f>K202+K205</f>
        <v>0</v>
      </c>
      <c r="L201" s="35">
        <f t="shared" si="42"/>
        <v>36610</v>
      </c>
      <c r="M201" s="7">
        <f>M202+M205</f>
        <v>5000</v>
      </c>
      <c r="N201" s="35">
        <f t="shared" si="43"/>
        <v>41610</v>
      </c>
      <c r="O201" s="7">
        <f>O202+O205</f>
        <v>0</v>
      </c>
      <c r="P201" s="35">
        <f t="shared" si="39"/>
        <v>41610</v>
      </c>
      <c r="Q201" s="7">
        <f>Q202+Q205</f>
        <v>0</v>
      </c>
      <c r="R201" s="35">
        <f t="shared" si="40"/>
        <v>41610</v>
      </c>
      <c r="S201" s="7">
        <f>S202+S205</f>
        <v>0</v>
      </c>
      <c r="T201" s="35">
        <f t="shared" si="37"/>
        <v>41610</v>
      </c>
    </row>
    <row r="202" spans="1:20">
      <c r="A202" s="61" t="str">
        <f t="shared" ref="A202:A209" ca="1" si="51">IF(ISERROR(MATCH(E202,Код_КВР,0)),"",INDIRECT(ADDRESS(MATCH(E202,Код_КВР,0)+1,2,,,"КВР")))</f>
        <v>Закупка товаров, работ и услуг для муниципальных нужд</v>
      </c>
      <c r="B202" s="43" t="s">
        <v>458</v>
      </c>
      <c r="C202" s="8" t="s">
        <v>193</v>
      </c>
      <c r="D202" s="1" t="s">
        <v>217</v>
      </c>
      <c r="E202" s="113">
        <v>200</v>
      </c>
      <c r="F202" s="7">
        <f>F203</f>
        <v>7200</v>
      </c>
      <c r="G202" s="7">
        <f>G203</f>
        <v>0</v>
      </c>
      <c r="H202" s="35">
        <f t="shared" si="47"/>
        <v>7200</v>
      </c>
      <c r="I202" s="7">
        <f>I203</f>
        <v>-4473.1000000000004</v>
      </c>
      <c r="J202" s="35">
        <f t="shared" si="45"/>
        <v>2726.8999999999996</v>
      </c>
      <c r="K202" s="7">
        <f>K203</f>
        <v>0</v>
      </c>
      <c r="L202" s="35">
        <f t="shared" si="42"/>
        <v>2726.8999999999996</v>
      </c>
      <c r="M202" s="7">
        <f>M203</f>
        <v>0</v>
      </c>
      <c r="N202" s="35">
        <f t="shared" si="43"/>
        <v>2726.8999999999996</v>
      </c>
      <c r="O202" s="7">
        <f>O203</f>
        <v>0</v>
      </c>
      <c r="P202" s="35">
        <f t="shared" si="39"/>
        <v>2726.8999999999996</v>
      </c>
      <c r="Q202" s="7">
        <f>Q203</f>
        <v>0</v>
      </c>
      <c r="R202" s="35">
        <f t="shared" si="40"/>
        <v>2726.8999999999996</v>
      </c>
      <c r="S202" s="7">
        <f>S203</f>
        <v>-2723.1</v>
      </c>
      <c r="T202" s="35">
        <f t="shared" si="37"/>
        <v>3.7999999999997272</v>
      </c>
    </row>
    <row r="203" spans="1:20" ht="33">
      <c r="A203" s="61" t="str">
        <f t="shared" ca="1" si="51"/>
        <v>Иные закупки товаров, работ и услуг для обеспечения муниципальных нужд</v>
      </c>
      <c r="B203" s="43" t="s">
        <v>458</v>
      </c>
      <c r="C203" s="8" t="s">
        <v>193</v>
      </c>
      <c r="D203" s="1" t="s">
        <v>217</v>
      </c>
      <c r="E203" s="113">
        <v>240</v>
      </c>
      <c r="F203" s="7">
        <f>F204</f>
        <v>7200</v>
      </c>
      <c r="G203" s="7">
        <f>G204</f>
        <v>0</v>
      </c>
      <c r="H203" s="35">
        <f t="shared" si="47"/>
        <v>7200</v>
      </c>
      <c r="I203" s="7">
        <f>I204</f>
        <v>-4473.1000000000004</v>
      </c>
      <c r="J203" s="35">
        <f t="shared" si="45"/>
        <v>2726.8999999999996</v>
      </c>
      <c r="K203" s="7">
        <f>K204</f>
        <v>0</v>
      </c>
      <c r="L203" s="35">
        <f t="shared" si="42"/>
        <v>2726.8999999999996</v>
      </c>
      <c r="M203" s="7">
        <f>M204</f>
        <v>0</v>
      </c>
      <c r="N203" s="35">
        <f t="shared" si="43"/>
        <v>2726.8999999999996</v>
      </c>
      <c r="O203" s="7">
        <f>O204</f>
        <v>0</v>
      </c>
      <c r="P203" s="35">
        <f t="shared" si="39"/>
        <v>2726.8999999999996</v>
      </c>
      <c r="Q203" s="7">
        <f>Q204</f>
        <v>0</v>
      </c>
      <c r="R203" s="35">
        <f t="shared" si="40"/>
        <v>2726.8999999999996</v>
      </c>
      <c r="S203" s="7">
        <f>S204</f>
        <v>-2723.1</v>
      </c>
      <c r="T203" s="35">
        <f t="shared" si="37"/>
        <v>3.7999999999997272</v>
      </c>
    </row>
    <row r="204" spans="1:20" ht="33">
      <c r="A204" s="61" t="str">
        <f t="shared" ca="1" si="51"/>
        <v xml:space="preserve">Прочая закупка товаров, работ и услуг для обеспечения муниципальных нужд         </v>
      </c>
      <c r="B204" s="43" t="s">
        <v>458</v>
      </c>
      <c r="C204" s="8" t="s">
        <v>193</v>
      </c>
      <c r="D204" s="1" t="s">
        <v>217</v>
      </c>
      <c r="E204" s="113">
        <v>244</v>
      </c>
      <c r="F204" s="7">
        <f>прил.6!G757</f>
        <v>7200</v>
      </c>
      <c r="G204" s="7">
        <f>прил.6!H757</f>
        <v>0</v>
      </c>
      <c r="H204" s="35">
        <f t="shared" si="47"/>
        <v>7200</v>
      </c>
      <c r="I204" s="7">
        <f>прил.6!J757</f>
        <v>-4473.1000000000004</v>
      </c>
      <c r="J204" s="35">
        <f t="shared" si="45"/>
        <v>2726.8999999999996</v>
      </c>
      <c r="K204" s="7">
        <f>прил.6!L757</f>
        <v>0</v>
      </c>
      <c r="L204" s="35">
        <f t="shared" si="42"/>
        <v>2726.8999999999996</v>
      </c>
      <c r="M204" s="7">
        <f>прил.6!N757</f>
        <v>0</v>
      </c>
      <c r="N204" s="35">
        <f t="shared" si="43"/>
        <v>2726.8999999999996</v>
      </c>
      <c r="O204" s="7">
        <f>прил.6!P757</f>
        <v>0</v>
      </c>
      <c r="P204" s="35">
        <f t="shared" si="39"/>
        <v>2726.8999999999996</v>
      </c>
      <c r="Q204" s="7">
        <f>прил.6!R757</f>
        <v>0</v>
      </c>
      <c r="R204" s="35">
        <f t="shared" si="40"/>
        <v>2726.8999999999996</v>
      </c>
      <c r="S204" s="7">
        <f>прил.6!T757</f>
        <v>-2723.1</v>
      </c>
      <c r="T204" s="35">
        <f t="shared" si="37"/>
        <v>3.7999999999997272</v>
      </c>
    </row>
    <row r="205" spans="1:20" ht="33">
      <c r="A205" s="61" t="str">
        <f t="shared" ca="1" si="51"/>
        <v>Предоставление субсидий бюджетным, автономным учреждениям и иным некоммерческим организациям</v>
      </c>
      <c r="B205" s="43" t="s">
        <v>458</v>
      </c>
      <c r="C205" s="8" t="s">
        <v>193</v>
      </c>
      <c r="D205" s="1" t="s">
        <v>217</v>
      </c>
      <c r="E205" s="113">
        <v>600</v>
      </c>
      <c r="F205" s="7">
        <f>F206+F208</f>
        <v>40374.400000000001</v>
      </c>
      <c r="G205" s="7">
        <f>G206+G208</f>
        <v>0</v>
      </c>
      <c r="H205" s="35">
        <f t="shared" si="47"/>
        <v>40374.400000000001</v>
      </c>
      <c r="I205" s="7">
        <f>I206+I208</f>
        <v>-6491.2999999999993</v>
      </c>
      <c r="J205" s="35">
        <f t="shared" si="45"/>
        <v>33883.100000000006</v>
      </c>
      <c r="K205" s="7">
        <f>K206+K208</f>
        <v>0</v>
      </c>
      <c r="L205" s="35">
        <f t="shared" si="42"/>
        <v>33883.100000000006</v>
      </c>
      <c r="M205" s="7">
        <f>M206+M208</f>
        <v>5000</v>
      </c>
      <c r="N205" s="35">
        <f t="shared" si="43"/>
        <v>38883.100000000006</v>
      </c>
      <c r="O205" s="7">
        <f>O206+O208</f>
        <v>0</v>
      </c>
      <c r="P205" s="35">
        <f t="shared" si="39"/>
        <v>38883.100000000006</v>
      </c>
      <c r="Q205" s="7">
        <f>Q206+Q208</f>
        <v>0</v>
      </c>
      <c r="R205" s="35">
        <f t="shared" si="40"/>
        <v>38883.100000000006</v>
      </c>
      <c r="S205" s="7">
        <f>S206+S208</f>
        <v>2723.1</v>
      </c>
      <c r="T205" s="35">
        <f t="shared" si="37"/>
        <v>41606.200000000004</v>
      </c>
    </row>
    <row r="206" spans="1:20">
      <c r="A206" s="61" t="str">
        <f t="shared" ca="1" si="51"/>
        <v>Субсидии бюджетным учреждениям</v>
      </c>
      <c r="B206" s="43" t="s">
        <v>458</v>
      </c>
      <c r="C206" s="8" t="s">
        <v>193</v>
      </c>
      <c r="D206" s="1" t="s">
        <v>217</v>
      </c>
      <c r="E206" s="113">
        <v>610</v>
      </c>
      <c r="F206" s="7">
        <f>F207</f>
        <v>36781.300000000003</v>
      </c>
      <c r="G206" s="7">
        <f>G207</f>
        <v>0</v>
      </c>
      <c r="H206" s="35">
        <f t="shared" si="47"/>
        <v>36781.300000000003</v>
      </c>
      <c r="I206" s="7">
        <f>I207</f>
        <v>-6591.2999999999993</v>
      </c>
      <c r="J206" s="35">
        <f t="shared" si="45"/>
        <v>30190.000000000004</v>
      </c>
      <c r="K206" s="7">
        <f>K207</f>
        <v>0</v>
      </c>
      <c r="L206" s="35">
        <f t="shared" si="42"/>
        <v>30190.000000000004</v>
      </c>
      <c r="M206" s="7">
        <f>M207</f>
        <v>5000</v>
      </c>
      <c r="N206" s="35">
        <f t="shared" si="43"/>
        <v>35190</v>
      </c>
      <c r="O206" s="7">
        <f>O207</f>
        <v>0</v>
      </c>
      <c r="P206" s="35">
        <f t="shared" si="39"/>
        <v>35190</v>
      </c>
      <c r="Q206" s="7">
        <f>Q207</f>
        <v>2297.6</v>
      </c>
      <c r="R206" s="35">
        <f t="shared" si="40"/>
        <v>37487.599999999999</v>
      </c>
      <c r="S206" s="7">
        <f>S207</f>
        <v>2608.1</v>
      </c>
      <c r="T206" s="35">
        <f t="shared" si="37"/>
        <v>40095.699999999997</v>
      </c>
    </row>
    <row r="207" spans="1:20">
      <c r="A207" s="61" t="str">
        <f t="shared" ca="1" si="51"/>
        <v>Субсидии бюджетным учреждениям на иные цели</v>
      </c>
      <c r="B207" s="43" t="s">
        <v>458</v>
      </c>
      <c r="C207" s="8" t="s">
        <v>193</v>
      </c>
      <c r="D207" s="1" t="s">
        <v>217</v>
      </c>
      <c r="E207" s="113">
        <v>612</v>
      </c>
      <c r="F207" s="7">
        <f>прил.6!G760</f>
        <v>36781.300000000003</v>
      </c>
      <c r="G207" s="7">
        <f>прил.6!H760</f>
        <v>0</v>
      </c>
      <c r="H207" s="35">
        <f t="shared" si="47"/>
        <v>36781.300000000003</v>
      </c>
      <c r="I207" s="7">
        <f>прил.6!J760</f>
        <v>-6591.2999999999993</v>
      </c>
      <c r="J207" s="35">
        <f t="shared" si="45"/>
        <v>30190.000000000004</v>
      </c>
      <c r="K207" s="7">
        <f>прил.6!L760</f>
        <v>0</v>
      </c>
      <c r="L207" s="35">
        <f t="shared" si="42"/>
        <v>30190.000000000004</v>
      </c>
      <c r="M207" s="7">
        <f>прил.6!N760</f>
        <v>5000</v>
      </c>
      <c r="N207" s="35">
        <f t="shared" si="43"/>
        <v>35190</v>
      </c>
      <c r="O207" s="7">
        <f>прил.6!P760</f>
        <v>0</v>
      </c>
      <c r="P207" s="35">
        <f t="shared" si="39"/>
        <v>35190</v>
      </c>
      <c r="Q207" s="7">
        <f>прил.6!R760</f>
        <v>2297.6</v>
      </c>
      <c r="R207" s="35">
        <f t="shared" si="40"/>
        <v>37487.599999999999</v>
      </c>
      <c r="S207" s="7">
        <f>прил.6!T760</f>
        <v>2608.1</v>
      </c>
      <c r="T207" s="35">
        <f t="shared" si="37"/>
        <v>40095.699999999997</v>
      </c>
    </row>
    <row r="208" spans="1:20">
      <c r="A208" s="61" t="str">
        <f t="shared" ca="1" si="51"/>
        <v>Субсидии автономным учреждениям</v>
      </c>
      <c r="B208" s="43" t="s">
        <v>458</v>
      </c>
      <c r="C208" s="8" t="s">
        <v>193</v>
      </c>
      <c r="D208" s="1" t="s">
        <v>217</v>
      </c>
      <c r="E208" s="113">
        <v>620</v>
      </c>
      <c r="F208" s="7">
        <f>F209</f>
        <v>3593.1</v>
      </c>
      <c r="G208" s="7">
        <f>G209</f>
        <v>0</v>
      </c>
      <c r="H208" s="35">
        <f t="shared" si="47"/>
        <v>3593.1</v>
      </c>
      <c r="I208" s="7">
        <f>I209</f>
        <v>100</v>
      </c>
      <c r="J208" s="35">
        <f t="shared" si="45"/>
        <v>3693.1</v>
      </c>
      <c r="K208" s="7">
        <f>K209</f>
        <v>0</v>
      </c>
      <c r="L208" s="35">
        <f t="shared" si="42"/>
        <v>3693.1</v>
      </c>
      <c r="M208" s="7">
        <f>M209</f>
        <v>0</v>
      </c>
      <c r="N208" s="35">
        <f t="shared" si="43"/>
        <v>3693.1</v>
      </c>
      <c r="O208" s="7">
        <f>O209</f>
        <v>0</v>
      </c>
      <c r="P208" s="35">
        <f t="shared" si="39"/>
        <v>3693.1</v>
      </c>
      <c r="Q208" s="7">
        <f>Q209</f>
        <v>-2297.6</v>
      </c>
      <c r="R208" s="35">
        <f t="shared" si="40"/>
        <v>1395.5</v>
      </c>
      <c r="S208" s="7">
        <f>S209</f>
        <v>115</v>
      </c>
      <c r="T208" s="35">
        <f t="shared" si="37"/>
        <v>1510.5</v>
      </c>
    </row>
    <row r="209" spans="1:20">
      <c r="A209" s="61" t="str">
        <f t="shared" ca="1" si="51"/>
        <v>Субсидии автономным учреждениям на иные цели</v>
      </c>
      <c r="B209" s="43" t="s">
        <v>458</v>
      </c>
      <c r="C209" s="8" t="s">
        <v>193</v>
      </c>
      <c r="D209" s="1" t="s">
        <v>217</v>
      </c>
      <c r="E209" s="113">
        <v>622</v>
      </c>
      <c r="F209" s="7">
        <f>прил.6!G762</f>
        <v>3593.1</v>
      </c>
      <c r="G209" s="7">
        <f>прил.6!H762</f>
        <v>0</v>
      </c>
      <c r="H209" s="35">
        <f t="shared" si="47"/>
        <v>3593.1</v>
      </c>
      <c r="I209" s="7">
        <f>прил.6!J762</f>
        <v>100</v>
      </c>
      <c r="J209" s="35">
        <f t="shared" si="45"/>
        <v>3693.1</v>
      </c>
      <c r="K209" s="7">
        <f>прил.6!L762</f>
        <v>0</v>
      </c>
      <c r="L209" s="35">
        <f t="shared" si="42"/>
        <v>3693.1</v>
      </c>
      <c r="M209" s="7">
        <f>прил.6!N762</f>
        <v>0</v>
      </c>
      <c r="N209" s="35">
        <f t="shared" si="43"/>
        <v>3693.1</v>
      </c>
      <c r="O209" s="7">
        <f>прил.6!P762</f>
        <v>0</v>
      </c>
      <c r="P209" s="35">
        <f t="shared" si="39"/>
        <v>3693.1</v>
      </c>
      <c r="Q209" s="7">
        <f>прил.6!R762</f>
        <v>-2297.6</v>
      </c>
      <c r="R209" s="35">
        <f t="shared" si="40"/>
        <v>1395.5</v>
      </c>
      <c r="S209" s="7">
        <f>прил.6!T762</f>
        <v>115</v>
      </c>
      <c r="T209" s="35">
        <f t="shared" si="37"/>
        <v>1510.5</v>
      </c>
    </row>
    <row r="210" spans="1:20" ht="33">
      <c r="A210" s="61" t="str">
        <f ca="1">IF(ISERROR(MATCH(B210,Код_КЦСР,0)),"",INDIRECT(ADDRESS(MATCH(B210,Код_КЦСР,0)+1,2,,,"КЦСР")))</f>
        <v>Социально-педагогическая поддержка детей-сирот и детей, оставшихся без попечения родителей</v>
      </c>
      <c r="B210" s="43" t="s">
        <v>408</v>
      </c>
      <c r="C210" s="8"/>
      <c r="D210" s="1"/>
      <c r="E210" s="113"/>
      <c r="F210" s="7">
        <f>F211+F230</f>
        <v>183929.7</v>
      </c>
      <c r="G210" s="7">
        <f>G211+G230</f>
        <v>0</v>
      </c>
      <c r="H210" s="35">
        <f t="shared" si="47"/>
        <v>183929.7</v>
      </c>
      <c r="I210" s="7">
        <f>I211+I230</f>
        <v>0</v>
      </c>
      <c r="J210" s="35">
        <f t="shared" si="45"/>
        <v>183929.7</v>
      </c>
      <c r="K210" s="7">
        <f>K211+K230</f>
        <v>0</v>
      </c>
      <c r="L210" s="35">
        <f t="shared" si="42"/>
        <v>183929.7</v>
      </c>
      <c r="M210" s="7">
        <f>M211+M230</f>
        <v>0</v>
      </c>
      <c r="N210" s="35">
        <f t="shared" si="43"/>
        <v>183929.7</v>
      </c>
      <c r="O210" s="7">
        <f>O211+O230</f>
        <v>0</v>
      </c>
      <c r="P210" s="35">
        <f t="shared" si="39"/>
        <v>183929.7</v>
      </c>
      <c r="Q210" s="7">
        <f>Q211+Q230</f>
        <v>-2855.5</v>
      </c>
      <c r="R210" s="35">
        <f t="shared" si="40"/>
        <v>181074.2</v>
      </c>
      <c r="S210" s="7">
        <f>S211+S230</f>
        <v>10837.1</v>
      </c>
      <c r="T210" s="35">
        <f t="shared" si="37"/>
        <v>191911.30000000002</v>
      </c>
    </row>
    <row r="211" spans="1:20" ht="85.5" customHeight="1">
      <c r="A211" s="61" t="str">
        <f ca="1">IF(ISERROR(MATCH(B211,Код_КЦСР,0)),"",INDIRECT(ADDRESS(MATCH(B211,Код_КЦСР,0)+1,2,,,"КЦСР")))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211" s="43" t="s">
        <v>410</v>
      </c>
      <c r="C211" s="8"/>
      <c r="D211" s="1"/>
      <c r="E211" s="113"/>
      <c r="F211" s="7">
        <f>F212+F224</f>
        <v>127999.7</v>
      </c>
      <c r="G211" s="7">
        <f>G212+G224</f>
        <v>0</v>
      </c>
      <c r="H211" s="35">
        <f t="shared" si="47"/>
        <v>127999.7</v>
      </c>
      <c r="I211" s="7">
        <f>I212+I224</f>
        <v>0</v>
      </c>
      <c r="J211" s="35">
        <f t="shared" si="45"/>
        <v>127999.7</v>
      </c>
      <c r="K211" s="7">
        <f>K212+K224</f>
        <v>0</v>
      </c>
      <c r="L211" s="35">
        <f t="shared" si="42"/>
        <v>127999.7</v>
      </c>
      <c r="M211" s="7">
        <f>M212+M224</f>
        <v>0</v>
      </c>
      <c r="N211" s="35">
        <f t="shared" si="43"/>
        <v>127999.7</v>
      </c>
      <c r="O211" s="7">
        <f>O212+O224</f>
        <v>0</v>
      </c>
      <c r="P211" s="35">
        <f t="shared" si="39"/>
        <v>127999.7</v>
      </c>
      <c r="Q211" s="7">
        <f>Q212+Q224</f>
        <v>0</v>
      </c>
      <c r="R211" s="35">
        <f t="shared" si="40"/>
        <v>127999.7</v>
      </c>
      <c r="S211" s="7">
        <f>S212+S224</f>
        <v>7572.6</v>
      </c>
      <c r="T211" s="35">
        <f t="shared" si="37"/>
        <v>135572.29999999999</v>
      </c>
    </row>
    <row r="212" spans="1:20">
      <c r="A212" s="61" t="str">
        <f ca="1">IF(ISERROR(MATCH(C212,Код_Раздел,0)),"",INDIRECT(ADDRESS(MATCH(C212,Код_Раздел,0)+1,2,,,"Раздел")))</f>
        <v>Образование</v>
      </c>
      <c r="B212" s="43" t="s">
        <v>410</v>
      </c>
      <c r="C212" s="8" t="s">
        <v>193</v>
      </c>
      <c r="D212" s="1"/>
      <c r="E212" s="113"/>
      <c r="F212" s="7">
        <f>F213+F220</f>
        <v>123229.8</v>
      </c>
      <c r="G212" s="7">
        <f>G213+G220</f>
        <v>0</v>
      </c>
      <c r="H212" s="35">
        <f t="shared" si="47"/>
        <v>123229.8</v>
      </c>
      <c r="I212" s="7">
        <f>I213+I220</f>
        <v>0</v>
      </c>
      <c r="J212" s="35">
        <f t="shared" si="45"/>
        <v>123229.8</v>
      </c>
      <c r="K212" s="7">
        <f>K213+K220</f>
        <v>0</v>
      </c>
      <c r="L212" s="35">
        <f t="shared" si="42"/>
        <v>123229.8</v>
      </c>
      <c r="M212" s="7">
        <f>M213+M220</f>
        <v>0</v>
      </c>
      <c r="N212" s="35">
        <f t="shared" si="43"/>
        <v>123229.8</v>
      </c>
      <c r="O212" s="7">
        <f>O213+O220</f>
        <v>0</v>
      </c>
      <c r="P212" s="35">
        <f t="shared" si="39"/>
        <v>123229.8</v>
      </c>
      <c r="Q212" s="7">
        <f>Q213+Q220</f>
        <v>-491.2</v>
      </c>
      <c r="R212" s="35">
        <f t="shared" si="40"/>
        <v>122738.6</v>
      </c>
      <c r="S212" s="7">
        <f>S213+S220</f>
        <v>8571.5</v>
      </c>
      <c r="T212" s="35">
        <f t="shared" si="37"/>
        <v>131310.1</v>
      </c>
    </row>
    <row r="213" spans="1:20">
      <c r="A213" s="12" t="s">
        <v>248</v>
      </c>
      <c r="B213" s="43" t="s">
        <v>410</v>
      </c>
      <c r="C213" s="8" t="s">
        <v>193</v>
      </c>
      <c r="D213" s="1" t="s">
        <v>212</v>
      </c>
      <c r="E213" s="113"/>
      <c r="F213" s="7">
        <f>F214+F217</f>
        <v>117177.8</v>
      </c>
      <c r="G213" s="7">
        <f>G214+G217</f>
        <v>0</v>
      </c>
      <c r="H213" s="35">
        <f t="shared" si="47"/>
        <v>117177.8</v>
      </c>
      <c r="I213" s="7">
        <f>I214+I217</f>
        <v>0</v>
      </c>
      <c r="J213" s="35">
        <f t="shared" si="45"/>
        <v>117177.8</v>
      </c>
      <c r="K213" s="7">
        <f>K214+K217</f>
        <v>0</v>
      </c>
      <c r="L213" s="35">
        <f t="shared" si="42"/>
        <v>117177.8</v>
      </c>
      <c r="M213" s="7">
        <f>M214+M217</f>
        <v>0</v>
      </c>
      <c r="N213" s="35">
        <f t="shared" si="43"/>
        <v>117177.8</v>
      </c>
      <c r="O213" s="7">
        <f>O214+O217</f>
        <v>0</v>
      </c>
      <c r="P213" s="35">
        <f t="shared" si="39"/>
        <v>117177.8</v>
      </c>
      <c r="Q213" s="7">
        <f>Q214+Q217</f>
        <v>-491.2</v>
      </c>
      <c r="R213" s="35">
        <f t="shared" si="40"/>
        <v>116686.6</v>
      </c>
      <c r="S213" s="7">
        <f>S214+S217</f>
        <v>9306.2000000000007</v>
      </c>
      <c r="T213" s="35">
        <f t="shared" si="37"/>
        <v>125992.8</v>
      </c>
    </row>
    <row r="214" spans="1:20">
      <c r="A214" s="61" t="str">
        <f t="shared" ref="A214:A223" ca="1" si="52">IF(ISERROR(MATCH(E214,Код_КВР,0)),"",INDIRECT(ADDRESS(MATCH(E214,Код_КВР,0)+1,2,,,"КВР")))</f>
        <v>Социальное обеспечение и иные выплаты населению</v>
      </c>
      <c r="B214" s="43" t="s">
        <v>410</v>
      </c>
      <c r="C214" s="8" t="s">
        <v>193</v>
      </c>
      <c r="D214" s="1" t="s">
        <v>212</v>
      </c>
      <c r="E214" s="113">
        <v>300</v>
      </c>
      <c r="F214" s="7">
        <f>F215</f>
        <v>851.6</v>
      </c>
      <c r="G214" s="7">
        <f>G215</f>
        <v>0</v>
      </c>
      <c r="H214" s="35">
        <f t="shared" si="47"/>
        <v>851.6</v>
      </c>
      <c r="I214" s="7">
        <f>I215</f>
        <v>0</v>
      </c>
      <c r="J214" s="35">
        <f t="shared" si="45"/>
        <v>851.6</v>
      </c>
      <c r="K214" s="7">
        <f>K215</f>
        <v>0</v>
      </c>
      <c r="L214" s="35">
        <f t="shared" si="42"/>
        <v>851.6</v>
      </c>
      <c r="M214" s="7">
        <f>M215</f>
        <v>0</v>
      </c>
      <c r="N214" s="35">
        <f t="shared" si="43"/>
        <v>851.6</v>
      </c>
      <c r="O214" s="7">
        <f>O215</f>
        <v>0</v>
      </c>
      <c r="P214" s="35">
        <f t="shared" si="39"/>
        <v>851.6</v>
      </c>
      <c r="Q214" s="7">
        <f>Q215</f>
        <v>0</v>
      </c>
      <c r="R214" s="35">
        <f t="shared" si="40"/>
        <v>851.6</v>
      </c>
      <c r="S214" s="7">
        <f>S215</f>
        <v>-170.3</v>
      </c>
      <c r="T214" s="35">
        <f t="shared" si="37"/>
        <v>681.3</v>
      </c>
    </row>
    <row r="215" spans="1:20" ht="33">
      <c r="A215" s="61" t="str">
        <f t="shared" ca="1" si="52"/>
        <v>Социальные выплаты гражданам, кроме публичных нормативных социальных выплат</v>
      </c>
      <c r="B215" s="43" t="s">
        <v>410</v>
      </c>
      <c r="C215" s="8" t="s">
        <v>193</v>
      </c>
      <c r="D215" s="1" t="s">
        <v>212</v>
      </c>
      <c r="E215" s="113">
        <v>320</v>
      </c>
      <c r="F215" s="7">
        <f>F216</f>
        <v>851.6</v>
      </c>
      <c r="G215" s="7">
        <f>G216</f>
        <v>0</v>
      </c>
      <c r="H215" s="35">
        <f t="shared" si="47"/>
        <v>851.6</v>
      </c>
      <c r="I215" s="7">
        <f>I216</f>
        <v>0</v>
      </c>
      <c r="J215" s="35">
        <f t="shared" si="45"/>
        <v>851.6</v>
      </c>
      <c r="K215" s="7">
        <f>K216</f>
        <v>0</v>
      </c>
      <c r="L215" s="35">
        <f t="shared" si="42"/>
        <v>851.6</v>
      </c>
      <c r="M215" s="7">
        <f>M216</f>
        <v>0</v>
      </c>
      <c r="N215" s="35">
        <f t="shared" si="43"/>
        <v>851.6</v>
      </c>
      <c r="O215" s="7">
        <f>O216</f>
        <v>0</v>
      </c>
      <c r="P215" s="35">
        <f t="shared" si="39"/>
        <v>851.6</v>
      </c>
      <c r="Q215" s="7">
        <f>Q216</f>
        <v>0</v>
      </c>
      <c r="R215" s="35">
        <f t="shared" si="40"/>
        <v>851.6</v>
      </c>
      <c r="S215" s="7">
        <f>S216</f>
        <v>-170.3</v>
      </c>
      <c r="T215" s="35">
        <f t="shared" ref="T215:T287" si="53">R215+S215</f>
        <v>681.3</v>
      </c>
    </row>
    <row r="216" spans="1:20" ht="33">
      <c r="A216" s="61" t="str">
        <f t="shared" ca="1" si="52"/>
        <v>Пособия, компенсации и иные социальные выплаты гражданам, кроме публичных нормативных обязательств</v>
      </c>
      <c r="B216" s="43" t="s">
        <v>410</v>
      </c>
      <c r="C216" s="8" t="s">
        <v>193</v>
      </c>
      <c r="D216" s="1" t="s">
        <v>212</v>
      </c>
      <c r="E216" s="113">
        <v>321</v>
      </c>
      <c r="F216" s="7">
        <f>прил.6!G687</f>
        <v>851.6</v>
      </c>
      <c r="G216" s="7">
        <f>прил.6!H687</f>
        <v>0</v>
      </c>
      <c r="H216" s="35">
        <f t="shared" si="47"/>
        <v>851.6</v>
      </c>
      <c r="I216" s="7">
        <f>прил.6!J687</f>
        <v>0</v>
      </c>
      <c r="J216" s="35">
        <f t="shared" si="45"/>
        <v>851.6</v>
      </c>
      <c r="K216" s="7">
        <f>прил.6!L687</f>
        <v>0</v>
      </c>
      <c r="L216" s="35">
        <f t="shared" si="42"/>
        <v>851.6</v>
      </c>
      <c r="M216" s="7">
        <f>прил.6!N687</f>
        <v>0</v>
      </c>
      <c r="N216" s="35">
        <f t="shared" si="43"/>
        <v>851.6</v>
      </c>
      <c r="O216" s="7">
        <f>прил.6!P687</f>
        <v>0</v>
      </c>
      <c r="P216" s="35">
        <f t="shared" si="39"/>
        <v>851.6</v>
      </c>
      <c r="Q216" s="7">
        <f>прил.6!R687</f>
        <v>0</v>
      </c>
      <c r="R216" s="35">
        <f t="shared" si="40"/>
        <v>851.6</v>
      </c>
      <c r="S216" s="7">
        <f>прил.6!T687</f>
        <v>-170.3</v>
      </c>
      <c r="T216" s="35">
        <f t="shared" si="53"/>
        <v>681.3</v>
      </c>
    </row>
    <row r="217" spans="1:20" ht="33">
      <c r="A217" s="61" t="str">
        <f t="shared" ca="1" si="52"/>
        <v>Предоставление субсидий бюджетным, автономным учреждениям и иным некоммерческим организациям</v>
      </c>
      <c r="B217" s="43" t="s">
        <v>410</v>
      </c>
      <c r="C217" s="8" t="s">
        <v>193</v>
      </c>
      <c r="D217" s="1" t="s">
        <v>212</v>
      </c>
      <c r="E217" s="113">
        <v>600</v>
      </c>
      <c r="F217" s="7">
        <f>F218</f>
        <v>116326.2</v>
      </c>
      <c r="G217" s="7">
        <f>G218</f>
        <v>0</v>
      </c>
      <c r="H217" s="35">
        <f t="shared" si="47"/>
        <v>116326.2</v>
      </c>
      <c r="I217" s="7">
        <f>I218</f>
        <v>0</v>
      </c>
      <c r="J217" s="35">
        <f t="shared" si="45"/>
        <v>116326.2</v>
      </c>
      <c r="K217" s="7">
        <f>K218</f>
        <v>0</v>
      </c>
      <c r="L217" s="35">
        <f t="shared" si="42"/>
        <v>116326.2</v>
      </c>
      <c r="M217" s="7">
        <f>M218</f>
        <v>0</v>
      </c>
      <c r="N217" s="35">
        <f t="shared" si="43"/>
        <v>116326.2</v>
      </c>
      <c r="O217" s="7">
        <f>O218</f>
        <v>0</v>
      </c>
      <c r="P217" s="35">
        <f t="shared" si="39"/>
        <v>116326.2</v>
      </c>
      <c r="Q217" s="7">
        <f>Q218</f>
        <v>-491.2</v>
      </c>
      <c r="R217" s="35">
        <f t="shared" si="40"/>
        <v>115835</v>
      </c>
      <c r="S217" s="7">
        <f>S218</f>
        <v>9476.5</v>
      </c>
      <c r="T217" s="35">
        <f t="shared" si="53"/>
        <v>125311.5</v>
      </c>
    </row>
    <row r="218" spans="1:20">
      <c r="A218" s="61" t="str">
        <f t="shared" ca="1" si="52"/>
        <v>Субсидии бюджетным учреждениям</v>
      </c>
      <c r="B218" s="43" t="s">
        <v>410</v>
      </c>
      <c r="C218" s="8" t="s">
        <v>193</v>
      </c>
      <c r="D218" s="1" t="s">
        <v>212</v>
      </c>
      <c r="E218" s="113">
        <v>610</v>
      </c>
      <c r="F218" s="7">
        <f>F219</f>
        <v>116326.2</v>
      </c>
      <c r="G218" s="7">
        <f>G219</f>
        <v>0</v>
      </c>
      <c r="H218" s="35">
        <f t="shared" si="47"/>
        <v>116326.2</v>
      </c>
      <c r="I218" s="7">
        <f>I219</f>
        <v>0</v>
      </c>
      <c r="J218" s="35">
        <f t="shared" si="45"/>
        <v>116326.2</v>
      </c>
      <c r="K218" s="7">
        <f>K219</f>
        <v>0</v>
      </c>
      <c r="L218" s="35">
        <f t="shared" si="42"/>
        <v>116326.2</v>
      </c>
      <c r="M218" s="7">
        <f>M219</f>
        <v>0</v>
      </c>
      <c r="N218" s="35">
        <f t="shared" si="43"/>
        <v>116326.2</v>
      </c>
      <c r="O218" s="7">
        <f>O219</f>
        <v>0</v>
      </c>
      <c r="P218" s="35">
        <f t="shared" si="39"/>
        <v>116326.2</v>
      </c>
      <c r="Q218" s="7">
        <f>Q219</f>
        <v>-491.2</v>
      </c>
      <c r="R218" s="35">
        <f t="shared" si="40"/>
        <v>115835</v>
      </c>
      <c r="S218" s="7">
        <f>S219</f>
        <v>9476.5</v>
      </c>
      <c r="T218" s="35">
        <f t="shared" si="53"/>
        <v>125311.5</v>
      </c>
    </row>
    <row r="219" spans="1:20" ht="49.5">
      <c r="A219" s="61" t="str">
        <f t="shared" ca="1" si="5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9" s="43" t="s">
        <v>410</v>
      </c>
      <c r="C219" s="8" t="s">
        <v>193</v>
      </c>
      <c r="D219" s="1" t="s">
        <v>212</v>
      </c>
      <c r="E219" s="113">
        <v>611</v>
      </c>
      <c r="F219" s="7">
        <f>прил.6!G690</f>
        <v>116326.2</v>
      </c>
      <c r="G219" s="7">
        <f>прил.6!H690</f>
        <v>0</v>
      </c>
      <c r="H219" s="35">
        <f t="shared" si="47"/>
        <v>116326.2</v>
      </c>
      <c r="I219" s="7">
        <f>прил.6!J690</f>
        <v>0</v>
      </c>
      <c r="J219" s="35">
        <f t="shared" si="45"/>
        <v>116326.2</v>
      </c>
      <c r="K219" s="7">
        <f>прил.6!L690</f>
        <v>0</v>
      </c>
      <c r="L219" s="35">
        <f t="shared" si="42"/>
        <v>116326.2</v>
      </c>
      <c r="M219" s="7">
        <f>прил.6!N690</f>
        <v>0</v>
      </c>
      <c r="N219" s="35">
        <f t="shared" si="43"/>
        <v>116326.2</v>
      </c>
      <c r="O219" s="7">
        <f>прил.6!P690</f>
        <v>0</v>
      </c>
      <c r="P219" s="35">
        <f t="shared" si="39"/>
        <v>116326.2</v>
      </c>
      <c r="Q219" s="7">
        <f>прил.6!R690</f>
        <v>-491.2</v>
      </c>
      <c r="R219" s="35">
        <f t="shared" si="40"/>
        <v>115835</v>
      </c>
      <c r="S219" s="7">
        <f>прил.6!T690</f>
        <v>9476.5</v>
      </c>
      <c r="T219" s="35">
        <f t="shared" si="53"/>
        <v>125311.5</v>
      </c>
    </row>
    <row r="220" spans="1:20">
      <c r="A220" s="12" t="s">
        <v>197</v>
      </c>
      <c r="B220" s="43" t="s">
        <v>410</v>
      </c>
      <c r="C220" s="8" t="s">
        <v>193</v>
      </c>
      <c r="D220" s="1" t="s">
        <v>193</v>
      </c>
      <c r="E220" s="113"/>
      <c r="F220" s="7">
        <f t="shared" ref="F220:S222" si="54">F221</f>
        <v>6052</v>
      </c>
      <c r="G220" s="7">
        <f t="shared" si="54"/>
        <v>0</v>
      </c>
      <c r="H220" s="35">
        <f t="shared" si="47"/>
        <v>6052</v>
      </c>
      <c r="I220" s="7">
        <f t="shared" si="54"/>
        <v>0</v>
      </c>
      <c r="J220" s="35">
        <f t="shared" si="45"/>
        <v>6052</v>
      </c>
      <c r="K220" s="7">
        <f t="shared" si="54"/>
        <v>0</v>
      </c>
      <c r="L220" s="35">
        <f t="shared" si="42"/>
        <v>6052</v>
      </c>
      <c r="M220" s="7">
        <f t="shared" si="54"/>
        <v>0</v>
      </c>
      <c r="N220" s="35">
        <f t="shared" si="43"/>
        <v>6052</v>
      </c>
      <c r="O220" s="7">
        <f t="shared" si="54"/>
        <v>0</v>
      </c>
      <c r="P220" s="35">
        <f t="shared" si="39"/>
        <v>6052</v>
      </c>
      <c r="Q220" s="7">
        <f t="shared" si="54"/>
        <v>0</v>
      </c>
      <c r="R220" s="35">
        <f t="shared" si="40"/>
        <v>6052</v>
      </c>
      <c r="S220" s="7">
        <f t="shared" si="54"/>
        <v>-734.7</v>
      </c>
      <c r="T220" s="35">
        <f t="shared" si="53"/>
        <v>5317.3</v>
      </c>
    </row>
    <row r="221" spans="1:20">
      <c r="A221" s="61" t="str">
        <f t="shared" ca="1" si="52"/>
        <v>Социальное обеспечение и иные выплаты населению</v>
      </c>
      <c r="B221" s="43" t="s">
        <v>410</v>
      </c>
      <c r="C221" s="8" t="s">
        <v>193</v>
      </c>
      <c r="D221" s="1" t="s">
        <v>193</v>
      </c>
      <c r="E221" s="113">
        <v>300</v>
      </c>
      <c r="F221" s="7">
        <f t="shared" si="54"/>
        <v>6052</v>
      </c>
      <c r="G221" s="7">
        <f t="shared" si="54"/>
        <v>0</v>
      </c>
      <c r="H221" s="35">
        <f t="shared" si="47"/>
        <v>6052</v>
      </c>
      <c r="I221" s="7">
        <f t="shared" si="54"/>
        <v>0</v>
      </c>
      <c r="J221" s="35">
        <f t="shared" si="45"/>
        <v>6052</v>
      </c>
      <c r="K221" s="7">
        <f t="shared" si="54"/>
        <v>0</v>
      </c>
      <c r="L221" s="35">
        <f t="shared" si="42"/>
        <v>6052</v>
      </c>
      <c r="M221" s="7">
        <f t="shared" si="54"/>
        <v>0</v>
      </c>
      <c r="N221" s="35">
        <f t="shared" si="43"/>
        <v>6052</v>
      </c>
      <c r="O221" s="7">
        <f t="shared" si="54"/>
        <v>0</v>
      </c>
      <c r="P221" s="35">
        <f t="shared" si="39"/>
        <v>6052</v>
      </c>
      <c r="Q221" s="7">
        <f t="shared" si="54"/>
        <v>0</v>
      </c>
      <c r="R221" s="35">
        <f t="shared" si="40"/>
        <v>6052</v>
      </c>
      <c r="S221" s="7">
        <f t="shared" si="54"/>
        <v>-734.7</v>
      </c>
      <c r="T221" s="35">
        <f t="shared" si="53"/>
        <v>5317.3</v>
      </c>
    </row>
    <row r="222" spans="1:20" ht="33">
      <c r="A222" s="61" t="str">
        <f t="shared" ca="1" si="52"/>
        <v>Социальные выплаты гражданам, кроме публичных нормативных социальных выплат</v>
      </c>
      <c r="B222" s="43" t="s">
        <v>410</v>
      </c>
      <c r="C222" s="8" t="s">
        <v>193</v>
      </c>
      <c r="D222" s="1" t="s">
        <v>193</v>
      </c>
      <c r="E222" s="113">
        <v>320</v>
      </c>
      <c r="F222" s="7">
        <f t="shared" si="54"/>
        <v>6052</v>
      </c>
      <c r="G222" s="7">
        <f t="shared" si="54"/>
        <v>0</v>
      </c>
      <c r="H222" s="35">
        <f t="shared" si="47"/>
        <v>6052</v>
      </c>
      <c r="I222" s="7">
        <f t="shared" si="54"/>
        <v>0</v>
      </c>
      <c r="J222" s="35">
        <f t="shared" si="45"/>
        <v>6052</v>
      </c>
      <c r="K222" s="7">
        <f t="shared" si="54"/>
        <v>0</v>
      </c>
      <c r="L222" s="35">
        <f t="shared" si="42"/>
        <v>6052</v>
      </c>
      <c r="M222" s="7">
        <f t="shared" si="54"/>
        <v>0</v>
      </c>
      <c r="N222" s="35">
        <f t="shared" si="43"/>
        <v>6052</v>
      </c>
      <c r="O222" s="7">
        <f t="shared" si="54"/>
        <v>0</v>
      </c>
      <c r="P222" s="35">
        <f t="shared" si="39"/>
        <v>6052</v>
      </c>
      <c r="Q222" s="7">
        <f t="shared" si="54"/>
        <v>0</v>
      </c>
      <c r="R222" s="35">
        <f t="shared" si="40"/>
        <v>6052</v>
      </c>
      <c r="S222" s="7">
        <f t="shared" si="54"/>
        <v>-734.7</v>
      </c>
      <c r="T222" s="35">
        <f t="shared" si="53"/>
        <v>5317.3</v>
      </c>
    </row>
    <row r="223" spans="1:20" ht="33">
      <c r="A223" s="61" t="str">
        <f t="shared" ca="1" si="52"/>
        <v>Приобретение товаров, работ, услуг в пользу граждан в целях их социального обеспечения</v>
      </c>
      <c r="B223" s="43" t="s">
        <v>410</v>
      </c>
      <c r="C223" s="8" t="s">
        <v>193</v>
      </c>
      <c r="D223" s="1" t="s">
        <v>193</v>
      </c>
      <c r="E223" s="113">
        <v>323</v>
      </c>
      <c r="F223" s="7">
        <f>прил.6!G707</f>
        <v>6052</v>
      </c>
      <c r="G223" s="7">
        <f>прил.6!H707</f>
        <v>0</v>
      </c>
      <c r="H223" s="35">
        <f t="shared" si="47"/>
        <v>6052</v>
      </c>
      <c r="I223" s="7">
        <f>прил.6!J707</f>
        <v>0</v>
      </c>
      <c r="J223" s="35">
        <f t="shared" si="45"/>
        <v>6052</v>
      </c>
      <c r="K223" s="7">
        <f>прил.6!L707</f>
        <v>0</v>
      </c>
      <c r="L223" s="35">
        <f t="shared" si="42"/>
        <v>6052</v>
      </c>
      <c r="M223" s="7">
        <f>прил.6!N707</f>
        <v>0</v>
      </c>
      <c r="N223" s="35">
        <f t="shared" si="43"/>
        <v>6052</v>
      </c>
      <c r="O223" s="7">
        <f>прил.6!P707</f>
        <v>0</v>
      </c>
      <c r="P223" s="35">
        <f t="shared" ref="P223:P307" si="55">N223+O223</f>
        <v>6052</v>
      </c>
      <c r="Q223" s="7">
        <f>прил.6!R707</f>
        <v>0</v>
      </c>
      <c r="R223" s="35">
        <f t="shared" ref="R223:R307" si="56">P223+Q223</f>
        <v>6052</v>
      </c>
      <c r="S223" s="7">
        <f>прил.6!T707</f>
        <v>-734.7</v>
      </c>
      <c r="T223" s="35">
        <f t="shared" si="53"/>
        <v>5317.3</v>
      </c>
    </row>
    <row r="224" spans="1:20">
      <c r="A224" s="61" t="str">
        <f ca="1">IF(ISERROR(MATCH(C224,Код_Раздел,0)),"",INDIRECT(ADDRESS(MATCH(C224,Код_Раздел,0)+1,2,,,"Раздел")))</f>
        <v>Социальная политика</v>
      </c>
      <c r="B224" s="43" t="s">
        <v>410</v>
      </c>
      <c r="C224" s="8" t="s">
        <v>186</v>
      </c>
      <c r="D224" s="1"/>
      <c r="E224" s="113"/>
      <c r="F224" s="7">
        <f t="shared" ref="F224:S226" si="57">F225</f>
        <v>4769.8999999999996</v>
      </c>
      <c r="G224" s="7">
        <f t="shared" si="57"/>
        <v>0</v>
      </c>
      <c r="H224" s="35">
        <f t="shared" si="47"/>
        <v>4769.8999999999996</v>
      </c>
      <c r="I224" s="7">
        <f t="shared" si="57"/>
        <v>0</v>
      </c>
      <c r="J224" s="35">
        <f t="shared" si="45"/>
        <v>4769.8999999999996</v>
      </c>
      <c r="K224" s="7">
        <f t="shared" si="57"/>
        <v>0</v>
      </c>
      <c r="L224" s="35">
        <f t="shared" si="42"/>
        <v>4769.8999999999996</v>
      </c>
      <c r="M224" s="7">
        <f t="shared" si="57"/>
        <v>0</v>
      </c>
      <c r="N224" s="35">
        <f t="shared" si="43"/>
        <v>4769.8999999999996</v>
      </c>
      <c r="O224" s="7">
        <f t="shared" si="57"/>
        <v>0</v>
      </c>
      <c r="P224" s="35">
        <f t="shared" si="55"/>
        <v>4769.8999999999996</v>
      </c>
      <c r="Q224" s="7">
        <f t="shared" si="57"/>
        <v>491.2</v>
      </c>
      <c r="R224" s="35">
        <f t="shared" si="56"/>
        <v>5261.0999999999995</v>
      </c>
      <c r="S224" s="7">
        <f t="shared" si="57"/>
        <v>-998.9</v>
      </c>
      <c r="T224" s="35">
        <f t="shared" si="53"/>
        <v>4262.2</v>
      </c>
    </row>
    <row r="225" spans="1:20">
      <c r="A225" s="12" t="s">
        <v>177</v>
      </c>
      <c r="B225" s="43" t="s">
        <v>410</v>
      </c>
      <c r="C225" s="8" t="s">
        <v>186</v>
      </c>
      <c r="D225" s="1" t="s">
        <v>213</v>
      </c>
      <c r="E225" s="113"/>
      <c r="F225" s="7">
        <f t="shared" si="57"/>
        <v>4769.8999999999996</v>
      </c>
      <c r="G225" s="7">
        <f t="shared" si="57"/>
        <v>0</v>
      </c>
      <c r="H225" s="35">
        <f t="shared" si="47"/>
        <v>4769.8999999999996</v>
      </c>
      <c r="I225" s="7">
        <f t="shared" si="57"/>
        <v>0</v>
      </c>
      <c r="J225" s="35">
        <f t="shared" si="45"/>
        <v>4769.8999999999996</v>
      </c>
      <c r="K225" s="7">
        <f t="shared" si="57"/>
        <v>0</v>
      </c>
      <c r="L225" s="35">
        <f t="shared" si="42"/>
        <v>4769.8999999999996</v>
      </c>
      <c r="M225" s="7">
        <f t="shared" si="57"/>
        <v>0</v>
      </c>
      <c r="N225" s="35">
        <f t="shared" si="43"/>
        <v>4769.8999999999996</v>
      </c>
      <c r="O225" s="7">
        <f t="shared" si="57"/>
        <v>0</v>
      </c>
      <c r="P225" s="35">
        <f t="shared" si="55"/>
        <v>4769.8999999999996</v>
      </c>
      <c r="Q225" s="7">
        <f t="shared" si="57"/>
        <v>491.2</v>
      </c>
      <c r="R225" s="35">
        <f t="shared" si="56"/>
        <v>5261.0999999999995</v>
      </c>
      <c r="S225" s="7">
        <f t="shared" si="57"/>
        <v>-998.9</v>
      </c>
      <c r="T225" s="35">
        <f t="shared" si="53"/>
        <v>4262.2</v>
      </c>
    </row>
    <row r="226" spans="1:20">
      <c r="A226" s="61" t="str">
        <f ca="1">IF(ISERROR(MATCH(E226,Код_КВР,0)),"",INDIRECT(ADDRESS(MATCH(E226,Код_КВР,0)+1,2,,,"КВР")))</f>
        <v>Социальное обеспечение и иные выплаты населению</v>
      </c>
      <c r="B226" s="43" t="s">
        <v>410</v>
      </c>
      <c r="C226" s="8" t="s">
        <v>186</v>
      </c>
      <c r="D226" s="1" t="s">
        <v>213</v>
      </c>
      <c r="E226" s="113">
        <v>300</v>
      </c>
      <c r="F226" s="7">
        <f t="shared" si="57"/>
        <v>4769.8999999999996</v>
      </c>
      <c r="G226" s="7">
        <f t="shared" si="57"/>
        <v>0</v>
      </c>
      <c r="H226" s="35">
        <f t="shared" si="47"/>
        <v>4769.8999999999996</v>
      </c>
      <c r="I226" s="7">
        <f t="shared" si="57"/>
        <v>0</v>
      </c>
      <c r="J226" s="35">
        <f t="shared" si="45"/>
        <v>4769.8999999999996</v>
      </c>
      <c r="K226" s="7">
        <f t="shared" si="57"/>
        <v>0</v>
      </c>
      <c r="L226" s="35">
        <f t="shared" si="42"/>
        <v>4769.8999999999996</v>
      </c>
      <c r="M226" s="7">
        <f t="shared" si="57"/>
        <v>0</v>
      </c>
      <c r="N226" s="35">
        <f t="shared" si="43"/>
        <v>4769.8999999999996</v>
      </c>
      <c r="O226" s="7">
        <f t="shared" si="57"/>
        <v>0</v>
      </c>
      <c r="P226" s="35">
        <f t="shared" si="55"/>
        <v>4769.8999999999996</v>
      </c>
      <c r="Q226" s="7">
        <f t="shared" si="57"/>
        <v>491.2</v>
      </c>
      <c r="R226" s="35">
        <f t="shared" si="56"/>
        <v>5261.0999999999995</v>
      </c>
      <c r="S226" s="7">
        <f t="shared" si="57"/>
        <v>-998.9</v>
      </c>
      <c r="T226" s="35">
        <f t="shared" si="53"/>
        <v>4262.2</v>
      </c>
    </row>
    <row r="227" spans="1:20" ht="33">
      <c r="A227" s="61" t="str">
        <f ca="1">IF(ISERROR(MATCH(E227,Код_КВР,0)),"",INDIRECT(ADDRESS(MATCH(E227,Код_КВР,0)+1,2,,,"КВР")))</f>
        <v>Социальные выплаты гражданам, кроме публичных нормативных социальных выплат</v>
      </c>
      <c r="B227" s="43" t="s">
        <v>410</v>
      </c>
      <c r="C227" s="8" t="s">
        <v>186</v>
      </c>
      <c r="D227" s="1" t="s">
        <v>213</v>
      </c>
      <c r="E227" s="113">
        <v>320</v>
      </c>
      <c r="F227" s="7">
        <f>SUM(F228:F229)</f>
        <v>4769.8999999999996</v>
      </c>
      <c r="G227" s="7">
        <f>SUM(G228:G229)</f>
        <v>0</v>
      </c>
      <c r="H227" s="35">
        <f t="shared" si="47"/>
        <v>4769.8999999999996</v>
      </c>
      <c r="I227" s="7">
        <f>SUM(I228:I229)</f>
        <v>0</v>
      </c>
      <c r="J227" s="35">
        <f t="shared" si="45"/>
        <v>4769.8999999999996</v>
      </c>
      <c r="K227" s="7">
        <f>SUM(K228:K229)</f>
        <v>0</v>
      </c>
      <c r="L227" s="35">
        <f t="shared" si="42"/>
        <v>4769.8999999999996</v>
      </c>
      <c r="M227" s="7">
        <f>SUM(M228:M229)</f>
        <v>0</v>
      </c>
      <c r="N227" s="35">
        <f t="shared" si="43"/>
        <v>4769.8999999999996</v>
      </c>
      <c r="O227" s="7">
        <f>SUM(O228:O229)</f>
        <v>0</v>
      </c>
      <c r="P227" s="35">
        <f t="shared" si="55"/>
        <v>4769.8999999999996</v>
      </c>
      <c r="Q227" s="7">
        <f>SUM(Q228:Q229)</f>
        <v>491.2</v>
      </c>
      <c r="R227" s="35">
        <f t="shared" si="56"/>
        <v>5261.0999999999995</v>
      </c>
      <c r="S227" s="7">
        <f>SUM(S228:S229)</f>
        <v>-998.9</v>
      </c>
      <c r="T227" s="35">
        <f t="shared" si="53"/>
        <v>4262.2</v>
      </c>
    </row>
    <row r="228" spans="1:20" ht="33">
      <c r="A228" s="61" t="str">
        <f ca="1">IF(ISERROR(MATCH(E228,Код_КВР,0)),"",INDIRECT(ADDRESS(MATCH(E228,Код_КВР,0)+1,2,,,"КВР")))</f>
        <v>Пособия, компенсации и иные социальные выплаты гражданам, кроме публичных нормативных обязательств</v>
      </c>
      <c r="B228" s="43" t="s">
        <v>410</v>
      </c>
      <c r="C228" s="8" t="s">
        <v>186</v>
      </c>
      <c r="D228" s="1" t="s">
        <v>213</v>
      </c>
      <c r="E228" s="113">
        <v>321</v>
      </c>
      <c r="F228" s="7">
        <f>прил.6!G1343+прил.6!G842</f>
        <v>2489.9</v>
      </c>
      <c r="G228" s="7">
        <f>прил.6!H1343+прил.6!H842</f>
        <v>0</v>
      </c>
      <c r="H228" s="35">
        <f t="shared" si="47"/>
        <v>2489.9</v>
      </c>
      <c r="I228" s="7">
        <f>прил.6!J1343+прил.6!J842</f>
        <v>0</v>
      </c>
      <c r="J228" s="35">
        <f t="shared" si="45"/>
        <v>2489.9</v>
      </c>
      <c r="K228" s="7">
        <f>прил.6!L1343+прил.6!L842</f>
        <v>0</v>
      </c>
      <c r="L228" s="35">
        <f t="shared" ref="L228:L315" si="58">J228+K228</f>
        <v>2489.9</v>
      </c>
      <c r="M228" s="7">
        <f>прил.6!N1343+прил.6!N842</f>
        <v>0</v>
      </c>
      <c r="N228" s="35">
        <f t="shared" ref="N228:N315" si="59">L228+M228</f>
        <v>2489.9</v>
      </c>
      <c r="O228" s="7">
        <f>прил.6!P1343+прил.6!P842</f>
        <v>0</v>
      </c>
      <c r="P228" s="35">
        <f t="shared" si="55"/>
        <v>2489.9</v>
      </c>
      <c r="Q228" s="7">
        <f>прил.6!R1343+прил.6!R842</f>
        <v>491.2</v>
      </c>
      <c r="R228" s="35">
        <f t="shared" si="56"/>
        <v>2981.1</v>
      </c>
      <c r="S228" s="7">
        <f>прил.6!T1343+прил.6!T842</f>
        <v>-392.79999999999995</v>
      </c>
      <c r="T228" s="35">
        <f t="shared" si="53"/>
        <v>2588.3000000000002</v>
      </c>
    </row>
    <row r="229" spans="1:20" ht="33">
      <c r="A229" s="61" t="str">
        <f ca="1">IF(ISERROR(MATCH(E229,Код_КВР,0)),"",INDIRECT(ADDRESS(MATCH(E229,Код_КВР,0)+1,2,,,"КВР")))</f>
        <v>Приобретение товаров, работ, услуг в пользу граждан в целях их социального обеспечения</v>
      </c>
      <c r="B229" s="43" t="s">
        <v>410</v>
      </c>
      <c r="C229" s="8" t="s">
        <v>186</v>
      </c>
      <c r="D229" s="1" t="s">
        <v>213</v>
      </c>
      <c r="E229" s="113">
        <v>323</v>
      </c>
      <c r="F229" s="7">
        <f>прил.6!G843</f>
        <v>2280</v>
      </c>
      <c r="G229" s="7">
        <f>прил.6!H843</f>
        <v>0</v>
      </c>
      <c r="H229" s="35">
        <f t="shared" si="47"/>
        <v>2280</v>
      </c>
      <c r="I229" s="7">
        <f>прил.6!J843</f>
        <v>0</v>
      </c>
      <c r="J229" s="35">
        <f t="shared" si="45"/>
        <v>2280</v>
      </c>
      <c r="K229" s="7">
        <f>прил.6!L843</f>
        <v>0</v>
      </c>
      <c r="L229" s="35">
        <f t="shared" si="58"/>
        <v>2280</v>
      </c>
      <c r="M229" s="7">
        <f>прил.6!N843</f>
        <v>0</v>
      </c>
      <c r="N229" s="35">
        <f t="shared" si="59"/>
        <v>2280</v>
      </c>
      <c r="O229" s="7">
        <f>прил.6!P843</f>
        <v>0</v>
      </c>
      <c r="P229" s="35">
        <f t="shared" si="55"/>
        <v>2280</v>
      </c>
      <c r="Q229" s="7">
        <f>прил.6!R843</f>
        <v>0</v>
      </c>
      <c r="R229" s="35">
        <f t="shared" si="56"/>
        <v>2280</v>
      </c>
      <c r="S229" s="7">
        <f>прил.6!T843+прил.6!T1344</f>
        <v>-606.1</v>
      </c>
      <c r="T229" s="35">
        <f t="shared" si="53"/>
        <v>1673.9</v>
      </c>
    </row>
    <row r="230" spans="1:20" ht="172.5" customHeight="1">
      <c r="A230" s="61" t="str">
        <f ca="1">IF(ISERROR(MATCH(B230,Код_КЦСР,0)),"",INDIRECT(ADDRESS(MATCH(B230,Код_КЦСР,0)+1,2,,,"КЦСР")))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230" s="43" t="s">
        <v>429</v>
      </c>
      <c r="C230" s="8"/>
      <c r="D230" s="1"/>
      <c r="E230" s="113"/>
      <c r="F230" s="7">
        <f t="shared" ref="F230:S237" si="60">F231</f>
        <v>55930</v>
      </c>
      <c r="G230" s="7">
        <f t="shared" si="60"/>
        <v>0</v>
      </c>
      <c r="H230" s="35">
        <f t="shared" si="47"/>
        <v>55930</v>
      </c>
      <c r="I230" s="7">
        <f t="shared" si="60"/>
        <v>0</v>
      </c>
      <c r="J230" s="35">
        <f t="shared" ref="J230:J317" si="61">H230+I230</f>
        <v>55930</v>
      </c>
      <c r="K230" s="7">
        <f t="shared" si="60"/>
        <v>0</v>
      </c>
      <c r="L230" s="35">
        <f t="shared" si="58"/>
        <v>55930</v>
      </c>
      <c r="M230" s="7">
        <f t="shared" si="60"/>
        <v>0</v>
      </c>
      <c r="N230" s="35">
        <f t="shared" si="59"/>
        <v>55930</v>
      </c>
      <c r="O230" s="7">
        <f t="shared" si="60"/>
        <v>0</v>
      </c>
      <c r="P230" s="35">
        <f t="shared" si="55"/>
        <v>55930</v>
      </c>
      <c r="Q230" s="7">
        <f t="shared" si="60"/>
        <v>-2855.5</v>
      </c>
      <c r="R230" s="35">
        <f t="shared" si="56"/>
        <v>53074.5</v>
      </c>
      <c r="S230" s="7">
        <f t="shared" si="60"/>
        <v>3264.5</v>
      </c>
      <c r="T230" s="35">
        <f t="shared" si="53"/>
        <v>56339</v>
      </c>
    </row>
    <row r="231" spans="1:20">
      <c r="A231" s="61" t="str">
        <f ca="1">IF(ISERROR(MATCH(C231,Код_Раздел,0)),"",INDIRECT(ADDRESS(MATCH(C231,Код_Раздел,0)+1,2,,,"Раздел")))</f>
        <v>Социальная политика</v>
      </c>
      <c r="B231" s="43" t="s">
        <v>429</v>
      </c>
      <c r="C231" s="8" t="s">
        <v>186</v>
      </c>
      <c r="D231" s="1"/>
      <c r="E231" s="113"/>
      <c r="F231" s="7">
        <f t="shared" si="60"/>
        <v>55930</v>
      </c>
      <c r="G231" s="7">
        <f t="shared" si="60"/>
        <v>0</v>
      </c>
      <c r="H231" s="35">
        <f t="shared" si="47"/>
        <v>55930</v>
      </c>
      <c r="I231" s="7">
        <f t="shared" si="60"/>
        <v>0</v>
      </c>
      <c r="J231" s="35">
        <f t="shared" si="61"/>
        <v>55930</v>
      </c>
      <c r="K231" s="7">
        <f t="shared" si="60"/>
        <v>0</v>
      </c>
      <c r="L231" s="35">
        <f t="shared" si="58"/>
        <v>55930</v>
      </c>
      <c r="M231" s="7">
        <f t="shared" si="60"/>
        <v>0</v>
      </c>
      <c r="N231" s="35">
        <f t="shared" si="59"/>
        <v>55930</v>
      </c>
      <c r="O231" s="7">
        <f t="shared" si="60"/>
        <v>0</v>
      </c>
      <c r="P231" s="35">
        <f t="shared" si="55"/>
        <v>55930</v>
      </c>
      <c r="Q231" s="7">
        <f t="shared" si="60"/>
        <v>-2855.5</v>
      </c>
      <c r="R231" s="35">
        <f t="shared" si="56"/>
        <v>53074.5</v>
      </c>
      <c r="S231" s="7">
        <f t="shared" si="60"/>
        <v>3264.5</v>
      </c>
      <c r="T231" s="35">
        <f t="shared" si="53"/>
        <v>56339</v>
      </c>
    </row>
    <row r="232" spans="1:20">
      <c r="A232" s="75" t="s">
        <v>202</v>
      </c>
      <c r="B232" s="43" t="s">
        <v>429</v>
      </c>
      <c r="C232" s="8" t="s">
        <v>186</v>
      </c>
      <c r="D232" s="1" t="s">
        <v>214</v>
      </c>
      <c r="E232" s="113"/>
      <c r="F232" s="7">
        <f>F236</f>
        <v>55930</v>
      </c>
      <c r="G232" s="7">
        <f>G236</f>
        <v>0</v>
      </c>
      <c r="H232" s="35">
        <f t="shared" si="47"/>
        <v>55930</v>
      </c>
      <c r="I232" s="7">
        <f>I236</f>
        <v>0</v>
      </c>
      <c r="J232" s="35">
        <f t="shared" si="61"/>
        <v>55930</v>
      </c>
      <c r="K232" s="7">
        <f>K236</f>
        <v>0</v>
      </c>
      <c r="L232" s="35">
        <f t="shared" si="58"/>
        <v>55930</v>
      </c>
      <c r="M232" s="7">
        <f>M236</f>
        <v>0</v>
      </c>
      <c r="N232" s="35">
        <f t="shared" si="59"/>
        <v>55930</v>
      </c>
      <c r="O232" s="7">
        <f>O236</f>
        <v>0</v>
      </c>
      <c r="P232" s="35">
        <f t="shared" si="55"/>
        <v>55930</v>
      </c>
      <c r="Q232" s="7">
        <f>Q236</f>
        <v>-2855.5</v>
      </c>
      <c r="R232" s="35">
        <f t="shared" si="56"/>
        <v>53074.5</v>
      </c>
      <c r="S232" s="7">
        <f>S233+S236</f>
        <v>3264.5</v>
      </c>
      <c r="T232" s="35">
        <f t="shared" si="53"/>
        <v>56339</v>
      </c>
    </row>
    <row r="233" spans="1:20">
      <c r="A233" s="61" t="str">
        <f t="shared" ref="A233:A238" ca="1" si="62">IF(ISERROR(MATCH(E233,Код_КВР,0)),"",INDIRECT(ADDRESS(MATCH(E233,Код_КВР,0)+1,2,,,"КВР")))</f>
        <v>Закупка товаров, работ и услуг для муниципальных нужд</v>
      </c>
      <c r="B233" s="43" t="s">
        <v>429</v>
      </c>
      <c r="C233" s="8" t="s">
        <v>186</v>
      </c>
      <c r="D233" s="1" t="s">
        <v>214</v>
      </c>
      <c r="E233" s="113">
        <v>200</v>
      </c>
      <c r="F233" s="7"/>
      <c r="G233" s="7"/>
      <c r="H233" s="35"/>
      <c r="I233" s="7"/>
      <c r="J233" s="35"/>
      <c r="K233" s="7"/>
      <c r="L233" s="35"/>
      <c r="M233" s="7"/>
      <c r="N233" s="35"/>
      <c r="O233" s="7"/>
      <c r="P233" s="35"/>
      <c r="Q233" s="7"/>
      <c r="R233" s="35"/>
      <c r="S233" s="7">
        <f t="shared" si="60"/>
        <v>22622.3</v>
      </c>
      <c r="T233" s="35">
        <f t="shared" si="53"/>
        <v>22622.3</v>
      </c>
    </row>
    <row r="234" spans="1:20" ht="33">
      <c r="A234" s="61" t="str">
        <f t="shared" ca="1" si="62"/>
        <v>Иные закупки товаров, работ и услуг для обеспечения муниципальных нужд</v>
      </c>
      <c r="B234" s="43" t="s">
        <v>429</v>
      </c>
      <c r="C234" s="8" t="s">
        <v>186</v>
      </c>
      <c r="D234" s="1" t="s">
        <v>214</v>
      </c>
      <c r="E234" s="113">
        <v>240</v>
      </c>
      <c r="F234" s="7"/>
      <c r="G234" s="7"/>
      <c r="H234" s="35"/>
      <c r="I234" s="7"/>
      <c r="J234" s="35"/>
      <c r="K234" s="7"/>
      <c r="L234" s="35"/>
      <c r="M234" s="7"/>
      <c r="N234" s="35"/>
      <c r="O234" s="7"/>
      <c r="P234" s="35"/>
      <c r="Q234" s="7"/>
      <c r="R234" s="35"/>
      <c r="S234" s="7">
        <f t="shared" si="60"/>
        <v>22622.3</v>
      </c>
      <c r="T234" s="35">
        <f t="shared" si="53"/>
        <v>22622.3</v>
      </c>
    </row>
    <row r="235" spans="1:20" ht="33">
      <c r="A235" s="61" t="str">
        <f t="shared" ca="1" si="62"/>
        <v xml:space="preserve">Прочая закупка товаров, работ и услуг для обеспечения муниципальных нужд         </v>
      </c>
      <c r="B235" s="43" t="s">
        <v>429</v>
      </c>
      <c r="C235" s="8" t="s">
        <v>186</v>
      </c>
      <c r="D235" s="1" t="s">
        <v>214</v>
      </c>
      <c r="E235" s="113">
        <v>244</v>
      </c>
      <c r="F235" s="7"/>
      <c r="G235" s="7"/>
      <c r="H235" s="35"/>
      <c r="I235" s="7"/>
      <c r="J235" s="35"/>
      <c r="K235" s="7"/>
      <c r="L235" s="35"/>
      <c r="M235" s="7"/>
      <c r="N235" s="35"/>
      <c r="O235" s="7"/>
      <c r="P235" s="35"/>
      <c r="Q235" s="7"/>
      <c r="R235" s="35"/>
      <c r="S235" s="7">
        <f>прил.6!T861</f>
        <v>22622.3</v>
      </c>
      <c r="T235" s="35">
        <f t="shared" si="53"/>
        <v>22622.3</v>
      </c>
    </row>
    <row r="236" spans="1:20">
      <c r="A236" s="61" t="str">
        <f t="shared" ca="1" si="62"/>
        <v>Социальное обеспечение и иные выплаты населению</v>
      </c>
      <c r="B236" s="43" t="s">
        <v>429</v>
      </c>
      <c r="C236" s="8" t="s">
        <v>186</v>
      </c>
      <c r="D236" s="1" t="s">
        <v>214</v>
      </c>
      <c r="E236" s="113">
        <v>300</v>
      </c>
      <c r="F236" s="7">
        <f t="shared" si="60"/>
        <v>55930</v>
      </c>
      <c r="G236" s="7">
        <f t="shared" si="60"/>
        <v>0</v>
      </c>
      <c r="H236" s="35">
        <f t="shared" si="47"/>
        <v>55930</v>
      </c>
      <c r="I236" s="7">
        <f t="shared" si="60"/>
        <v>0</v>
      </c>
      <c r="J236" s="35">
        <f t="shared" si="61"/>
        <v>55930</v>
      </c>
      <c r="K236" s="7">
        <f t="shared" si="60"/>
        <v>0</v>
      </c>
      <c r="L236" s="35">
        <f t="shared" si="58"/>
        <v>55930</v>
      </c>
      <c r="M236" s="7">
        <f t="shared" si="60"/>
        <v>0</v>
      </c>
      <c r="N236" s="35">
        <f t="shared" si="59"/>
        <v>55930</v>
      </c>
      <c r="O236" s="7">
        <f t="shared" si="60"/>
        <v>0</v>
      </c>
      <c r="P236" s="35">
        <f t="shared" si="55"/>
        <v>55930</v>
      </c>
      <c r="Q236" s="7">
        <f t="shared" si="60"/>
        <v>-2855.5</v>
      </c>
      <c r="R236" s="35">
        <f t="shared" si="56"/>
        <v>53074.5</v>
      </c>
      <c r="S236" s="7">
        <f t="shared" si="60"/>
        <v>-19357.8</v>
      </c>
      <c r="T236" s="35">
        <f t="shared" si="53"/>
        <v>33716.699999999997</v>
      </c>
    </row>
    <row r="237" spans="1:20" ht="33">
      <c r="A237" s="61" t="str">
        <f t="shared" ca="1" si="62"/>
        <v>Социальные выплаты гражданам, кроме публичных нормативных социальных выплат</v>
      </c>
      <c r="B237" s="43" t="s">
        <v>429</v>
      </c>
      <c r="C237" s="8" t="s">
        <v>186</v>
      </c>
      <c r="D237" s="1" t="s">
        <v>214</v>
      </c>
      <c r="E237" s="113">
        <v>320</v>
      </c>
      <c r="F237" s="7">
        <f t="shared" si="60"/>
        <v>55930</v>
      </c>
      <c r="G237" s="7">
        <f t="shared" si="60"/>
        <v>0</v>
      </c>
      <c r="H237" s="35">
        <f t="shared" si="47"/>
        <v>55930</v>
      </c>
      <c r="I237" s="7">
        <f t="shared" si="60"/>
        <v>0</v>
      </c>
      <c r="J237" s="35">
        <f t="shared" si="61"/>
        <v>55930</v>
      </c>
      <c r="K237" s="7">
        <f t="shared" si="60"/>
        <v>0</v>
      </c>
      <c r="L237" s="35">
        <f t="shared" si="58"/>
        <v>55930</v>
      </c>
      <c r="M237" s="7">
        <f t="shared" si="60"/>
        <v>0</v>
      </c>
      <c r="N237" s="35">
        <f t="shared" si="59"/>
        <v>55930</v>
      </c>
      <c r="O237" s="7">
        <f t="shared" si="60"/>
        <v>0</v>
      </c>
      <c r="P237" s="35">
        <f t="shared" si="55"/>
        <v>55930</v>
      </c>
      <c r="Q237" s="7">
        <f t="shared" si="60"/>
        <v>-2855.5</v>
      </c>
      <c r="R237" s="35">
        <f t="shared" si="56"/>
        <v>53074.5</v>
      </c>
      <c r="S237" s="7">
        <f t="shared" si="60"/>
        <v>-19357.8</v>
      </c>
      <c r="T237" s="35">
        <f t="shared" si="53"/>
        <v>33716.699999999997</v>
      </c>
    </row>
    <row r="238" spans="1:20" ht="39" customHeight="1">
      <c r="A238" s="61" t="str">
        <f t="shared" ca="1" si="62"/>
        <v>Пособия, компенсации и иные социальные выплаты гражданам, кроме публичных нормативных обязательств</v>
      </c>
      <c r="B238" s="43" t="s">
        <v>429</v>
      </c>
      <c r="C238" s="8" t="s">
        <v>186</v>
      </c>
      <c r="D238" s="1" t="s">
        <v>214</v>
      </c>
      <c r="E238" s="113">
        <v>321</v>
      </c>
      <c r="F238" s="7">
        <f>прил.6!G864</f>
        <v>55930</v>
      </c>
      <c r="G238" s="7">
        <f>прил.6!H864</f>
        <v>0</v>
      </c>
      <c r="H238" s="35">
        <f t="shared" si="47"/>
        <v>55930</v>
      </c>
      <c r="I238" s="7">
        <f>прил.6!J864</f>
        <v>0</v>
      </c>
      <c r="J238" s="35">
        <f t="shared" si="61"/>
        <v>55930</v>
      </c>
      <c r="K238" s="7">
        <f>прил.6!L864</f>
        <v>0</v>
      </c>
      <c r="L238" s="35">
        <f t="shared" si="58"/>
        <v>55930</v>
      </c>
      <c r="M238" s="7">
        <f>прил.6!N864</f>
        <v>0</v>
      </c>
      <c r="N238" s="35">
        <f t="shared" si="59"/>
        <v>55930</v>
      </c>
      <c r="O238" s="7">
        <f>прил.6!P864</f>
        <v>0</v>
      </c>
      <c r="P238" s="35">
        <f t="shared" si="55"/>
        <v>55930</v>
      </c>
      <c r="Q238" s="7">
        <f>прил.6!R864</f>
        <v>-2855.5</v>
      </c>
      <c r="R238" s="35">
        <f t="shared" si="56"/>
        <v>53074.5</v>
      </c>
      <c r="S238" s="7">
        <f>прил.6!T864</f>
        <v>-19357.8</v>
      </c>
      <c r="T238" s="35">
        <f t="shared" si="53"/>
        <v>33716.699999999997</v>
      </c>
    </row>
    <row r="239" spans="1:20" ht="39.75" customHeight="1">
      <c r="A239" s="61" t="str">
        <f ca="1">IF(ISERROR(MATCH(B239,Код_КЦСР,0)),"",INDIRECT(ADDRESS(MATCH(B239,Код_КЦСР,0)+1,2,,,"КЦСР")))</f>
        <v>Муниципальная программа «Культура, традиции и народное творчество в городе Череповце» на 2013-2018 годы</v>
      </c>
      <c r="B239" s="43" t="s">
        <v>460</v>
      </c>
      <c r="C239" s="8"/>
      <c r="D239" s="1"/>
      <c r="E239" s="113"/>
      <c r="F239" s="7">
        <f>F240+F262+F305+F348+F384+F413+F432+F439+F458</f>
        <v>311891.39999999997</v>
      </c>
      <c r="G239" s="7">
        <f>G240+G262+G305+G348+G384+G413+G432+G439+G458</f>
        <v>0</v>
      </c>
      <c r="H239" s="35">
        <f t="shared" si="47"/>
        <v>311891.39999999997</v>
      </c>
      <c r="I239" s="7">
        <f>I240+I262+I305+I348+I384+I413+I432+I439+I458</f>
        <v>-512.79999999999995</v>
      </c>
      <c r="J239" s="35">
        <f t="shared" si="61"/>
        <v>311378.59999999998</v>
      </c>
      <c r="K239" s="7">
        <f>K240+K262+K305+K348+K384+K413+K432+K439+K458</f>
        <v>-237.10000000000002</v>
      </c>
      <c r="L239" s="35">
        <f t="shared" si="58"/>
        <v>311141.5</v>
      </c>
      <c r="M239" s="7">
        <f>M240+M262+M305+M348+M384+M413+M432+M439+M458</f>
        <v>0</v>
      </c>
      <c r="N239" s="35">
        <f t="shared" si="59"/>
        <v>311141.5</v>
      </c>
      <c r="O239" s="7">
        <f>O240+O262+O305+O348+O384+O413+O432+O439+O458</f>
        <v>140.19999999999999</v>
      </c>
      <c r="P239" s="35">
        <f t="shared" si="55"/>
        <v>311281.7</v>
      </c>
      <c r="Q239" s="7">
        <f>Q240+Q262+Q305+Q348+Q384+Q413+Q432+Q439+Q458</f>
        <v>24156.6</v>
      </c>
      <c r="R239" s="35">
        <f>P239+Q239</f>
        <v>335438.3</v>
      </c>
      <c r="S239" s="7">
        <f>S240+S262+S305+S348+S384+S413+S432+S439+S458</f>
        <v>74.999999999999773</v>
      </c>
      <c r="T239" s="35">
        <f t="shared" si="53"/>
        <v>335513.3</v>
      </c>
    </row>
    <row r="240" spans="1:20" ht="37.5" customHeight="1">
      <c r="A240" s="61" t="str">
        <f ca="1">IF(ISERROR(MATCH(B240,Код_КЦСР,0)),"",INDIRECT(ADDRESS(MATCH(B240,Код_КЦСР,0)+1,2,,,"КЦСР")))</f>
        <v>Сохранение, эффективное использование  и популяризация объектов культурного наследия</v>
      </c>
      <c r="B240" s="43" t="s">
        <v>462</v>
      </c>
      <c r="C240" s="8"/>
      <c r="D240" s="1"/>
      <c r="E240" s="113"/>
      <c r="F240" s="7">
        <f>F241+F250</f>
        <v>636.79999999999995</v>
      </c>
      <c r="G240" s="7">
        <f>G241+G250</f>
        <v>0</v>
      </c>
      <c r="H240" s="35">
        <f t="shared" si="47"/>
        <v>636.79999999999995</v>
      </c>
      <c r="I240" s="7">
        <f>I241+I250</f>
        <v>0</v>
      </c>
      <c r="J240" s="35">
        <f t="shared" si="61"/>
        <v>636.79999999999995</v>
      </c>
      <c r="K240" s="7">
        <f>K241+K250</f>
        <v>-0.3</v>
      </c>
      <c r="L240" s="35">
        <f t="shared" si="58"/>
        <v>636.5</v>
      </c>
      <c r="M240" s="7">
        <f>M241+M250</f>
        <v>0</v>
      </c>
      <c r="N240" s="35">
        <f t="shared" si="59"/>
        <v>636.5</v>
      </c>
      <c r="O240" s="7">
        <f>O241+O250</f>
        <v>0</v>
      </c>
      <c r="P240" s="35">
        <f t="shared" si="55"/>
        <v>636.5</v>
      </c>
      <c r="Q240" s="7">
        <f>Q241+Q250</f>
        <v>0</v>
      </c>
      <c r="R240" s="35">
        <f t="shared" si="56"/>
        <v>636.5</v>
      </c>
      <c r="S240" s="7">
        <f>S241+S250+S256</f>
        <v>194.3</v>
      </c>
      <c r="T240" s="35">
        <f t="shared" si="53"/>
        <v>830.8</v>
      </c>
    </row>
    <row r="241" spans="1:21">
      <c r="A241" s="61" t="str">
        <f ca="1">IF(ISERROR(MATCH(B241,Код_КЦСР,0)),"",INDIRECT(ADDRESS(MATCH(B241,Код_КЦСР,0)+1,2,,,"КЦСР")))</f>
        <v>Сохранение, ремонт и  реставрация объектов культурного наследия</v>
      </c>
      <c r="B241" s="43" t="s">
        <v>464</v>
      </c>
      <c r="C241" s="8"/>
      <c r="D241" s="1"/>
      <c r="E241" s="113"/>
      <c r="F241" s="7">
        <f t="shared" ref="F241:S248" si="63">F242</f>
        <v>536.79999999999995</v>
      </c>
      <c r="G241" s="7">
        <f t="shared" si="63"/>
        <v>0</v>
      </c>
      <c r="H241" s="35">
        <f t="shared" ref="H241:H325" si="64">F241+G241</f>
        <v>536.79999999999995</v>
      </c>
      <c r="I241" s="7">
        <f t="shared" si="63"/>
        <v>0</v>
      </c>
      <c r="J241" s="35">
        <f t="shared" si="61"/>
        <v>536.79999999999995</v>
      </c>
      <c r="K241" s="7">
        <f t="shared" si="63"/>
        <v>-0.3</v>
      </c>
      <c r="L241" s="35">
        <f t="shared" si="58"/>
        <v>536.5</v>
      </c>
      <c r="M241" s="7">
        <f t="shared" si="63"/>
        <v>0</v>
      </c>
      <c r="N241" s="35">
        <f t="shared" si="59"/>
        <v>536.5</v>
      </c>
      <c r="O241" s="7">
        <f t="shared" si="63"/>
        <v>0</v>
      </c>
      <c r="P241" s="35">
        <f t="shared" si="55"/>
        <v>536.5</v>
      </c>
      <c r="Q241" s="7">
        <f t="shared" si="63"/>
        <v>0</v>
      </c>
      <c r="R241" s="35">
        <f t="shared" si="56"/>
        <v>536.5</v>
      </c>
      <c r="S241" s="7">
        <f t="shared" si="63"/>
        <v>0</v>
      </c>
      <c r="T241" s="35">
        <f t="shared" si="53"/>
        <v>536.5</v>
      </c>
    </row>
    <row r="242" spans="1:21">
      <c r="A242" s="61" t="str">
        <f ca="1">IF(ISERROR(MATCH(C242,Код_Раздел,0)),"",INDIRECT(ADDRESS(MATCH(C242,Код_Раздел,0)+1,2,,,"Раздел")))</f>
        <v>Культура, кинематография</v>
      </c>
      <c r="B242" s="43" t="s">
        <v>464</v>
      </c>
      <c r="C242" s="8" t="s">
        <v>220</v>
      </c>
      <c r="D242" s="1"/>
      <c r="E242" s="113"/>
      <c r="F242" s="7">
        <f t="shared" si="63"/>
        <v>536.79999999999995</v>
      </c>
      <c r="G242" s="7">
        <f t="shared" si="63"/>
        <v>0</v>
      </c>
      <c r="H242" s="35">
        <f t="shared" si="64"/>
        <v>536.79999999999995</v>
      </c>
      <c r="I242" s="7">
        <f t="shared" si="63"/>
        <v>0</v>
      </c>
      <c r="J242" s="35">
        <f t="shared" si="61"/>
        <v>536.79999999999995</v>
      </c>
      <c r="K242" s="7">
        <f t="shared" si="63"/>
        <v>-0.3</v>
      </c>
      <c r="L242" s="35">
        <f t="shared" si="58"/>
        <v>536.5</v>
      </c>
      <c r="M242" s="7">
        <f t="shared" si="63"/>
        <v>0</v>
      </c>
      <c r="N242" s="35">
        <f t="shared" si="59"/>
        <v>536.5</v>
      </c>
      <c r="O242" s="7">
        <f t="shared" si="63"/>
        <v>0</v>
      </c>
      <c r="P242" s="35">
        <f t="shared" si="55"/>
        <v>536.5</v>
      </c>
      <c r="Q242" s="7">
        <f t="shared" si="63"/>
        <v>0</v>
      </c>
      <c r="R242" s="35">
        <f t="shared" si="56"/>
        <v>536.5</v>
      </c>
      <c r="S242" s="7">
        <f t="shared" si="63"/>
        <v>0</v>
      </c>
      <c r="T242" s="35">
        <f t="shared" si="53"/>
        <v>536.5</v>
      </c>
    </row>
    <row r="243" spans="1:21">
      <c r="A243" s="12" t="s">
        <v>182</v>
      </c>
      <c r="B243" s="43" t="s">
        <v>464</v>
      </c>
      <c r="C243" s="8" t="s">
        <v>220</v>
      </c>
      <c r="D243" s="1" t="s">
        <v>211</v>
      </c>
      <c r="E243" s="113"/>
      <c r="F243" s="7">
        <f>F247</f>
        <v>536.79999999999995</v>
      </c>
      <c r="G243" s="7">
        <f>G247</f>
        <v>0</v>
      </c>
      <c r="H243" s="35">
        <f t="shared" si="64"/>
        <v>536.79999999999995</v>
      </c>
      <c r="I243" s="7">
        <f>I247</f>
        <v>0</v>
      </c>
      <c r="J243" s="35">
        <f t="shared" si="61"/>
        <v>536.79999999999995</v>
      </c>
      <c r="K243" s="7">
        <f>K247+K244</f>
        <v>-0.3</v>
      </c>
      <c r="L243" s="35">
        <f t="shared" si="58"/>
        <v>536.5</v>
      </c>
      <c r="M243" s="7">
        <f>M247+M244</f>
        <v>0</v>
      </c>
      <c r="N243" s="35">
        <f t="shared" si="59"/>
        <v>536.5</v>
      </c>
      <c r="O243" s="7">
        <f>O247+O244</f>
        <v>0</v>
      </c>
      <c r="P243" s="35">
        <f t="shared" si="55"/>
        <v>536.5</v>
      </c>
      <c r="Q243" s="7">
        <f>Q247+Q244</f>
        <v>0</v>
      </c>
      <c r="R243" s="35">
        <f t="shared" si="56"/>
        <v>536.5</v>
      </c>
      <c r="S243" s="7">
        <f>S247+S244</f>
        <v>0</v>
      </c>
      <c r="T243" s="35">
        <f t="shared" si="53"/>
        <v>536.5</v>
      </c>
    </row>
    <row r="244" spans="1:21" hidden="1">
      <c r="A244" s="61" t="str">
        <f t="shared" ref="A244:A249" ca="1" si="65">IF(ISERROR(MATCH(E244,Код_КВР,0)),"",INDIRECT(ADDRESS(MATCH(E244,Код_КВР,0)+1,2,,,"КВР")))</f>
        <v>Закупка товаров, работ и услуг для муниципальных нужд</v>
      </c>
      <c r="B244" s="43" t="s">
        <v>464</v>
      </c>
      <c r="C244" s="8" t="s">
        <v>220</v>
      </c>
      <c r="D244" s="1" t="s">
        <v>211</v>
      </c>
      <c r="E244" s="89">
        <v>200</v>
      </c>
      <c r="F244" s="7"/>
      <c r="G244" s="7"/>
      <c r="H244" s="35"/>
      <c r="I244" s="7"/>
      <c r="J244" s="35"/>
      <c r="K244" s="7">
        <f>K245</f>
        <v>0</v>
      </c>
      <c r="L244" s="35">
        <f t="shared" si="58"/>
        <v>0</v>
      </c>
      <c r="M244" s="7">
        <f>M245</f>
        <v>0</v>
      </c>
      <c r="N244" s="35">
        <f t="shared" si="59"/>
        <v>0</v>
      </c>
      <c r="O244" s="7">
        <f>O245</f>
        <v>0</v>
      </c>
      <c r="P244" s="35">
        <f t="shared" si="55"/>
        <v>0</v>
      </c>
      <c r="Q244" s="7">
        <f>Q245</f>
        <v>0</v>
      </c>
      <c r="R244" s="35">
        <f t="shared" si="56"/>
        <v>0</v>
      </c>
      <c r="S244" s="7">
        <f>S245</f>
        <v>0</v>
      </c>
      <c r="T244" s="35">
        <f t="shared" si="53"/>
        <v>0</v>
      </c>
      <c r="U244" s="20" t="s">
        <v>706</v>
      </c>
    </row>
    <row r="245" spans="1:21" ht="21" hidden="1" customHeight="1">
      <c r="A245" s="61" t="str">
        <f t="shared" ca="1" si="65"/>
        <v>Иные закупки товаров, работ и услуг для обеспечения муниципальных нужд</v>
      </c>
      <c r="B245" s="43" t="s">
        <v>464</v>
      </c>
      <c r="C245" s="8" t="s">
        <v>220</v>
      </c>
      <c r="D245" s="1" t="s">
        <v>211</v>
      </c>
      <c r="E245" s="89">
        <v>240</v>
      </c>
      <c r="F245" s="7"/>
      <c r="G245" s="7"/>
      <c r="H245" s="35"/>
      <c r="I245" s="7"/>
      <c r="J245" s="35"/>
      <c r="K245" s="7">
        <f>K246</f>
        <v>0</v>
      </c>
      <c r="L245" s="35">
        <f t="shared" si="58"/>
        <v>0</v>
      </c>
      <c r="M245" s="7">
        <f>M246</f>
        <v>0</v>
      </c>
      <c r="N245" s="35">
        <f t="shared" si="59"/>
        <v>0</v>
      </c>
      <c r="O245" s="7">
        <f>O246</f>
        <v>0</v>
      </c>
      <c r="P245" s="35">
        <f t="shared" si="55"/>
        <v>0</v>
      </c>
      <c r="Q245" s="7">
        <f>Q246</f>
        <v>0</v>
      </c>
      <c r="R245" s="35">
        <f t="shared" si="56"/>
        <v>0</v>
      </c>
      <c r="S245" s="7">
        <f>S246</f>
        <v>0</v>
      </c>
      <c r="T245" s="35">
        <f t="shared" si="53"/>
        <v>0</v>
      </c>
      <c r="U245" s="20" t="s">
        <v>706</v>
      </c>
    </row>
    <row r="246" spans="1:21" ht="21" hidden="1" customHeight="1">
      <c r="A246" s="61" t="str">
        <f t="shared" ca="1" si="65"/>
        <v>Научно-исследовательские и опытно-конструкторские работы</v>
      </c>
      <c r="B246" s="43" t="s">
        <v>464</v>
      </c>
      <c r="C246" s="8" t="s">
        <v>220</v>
      </c>
      <c r="D246" s="1" t="s">
        <v>211</v>
      </c>
      <c r="E246" s="89">
        <v>241</v>
      </c>
      <c r="F246" s="7"/>
      <c r="G246" s="7"/>
      <c r="H246" s="35"/>
      <c r="I246" s="7"/>
      <c r="J246" s="35"/>
      <c r="K246" s="7">
        <f>прил.6!L979</f>
        <v>0</v>
      </c>
      <c r="L246" s="35">
        <f t="shared" si="58"/>
        <v>0</v>
      </c>
      <c r="M246" s="7">
        <f>прил.6!N979</f>
        <v>0</v>
      </c>
      <c r="N246" s="35">
        <f t="shared" si="59"/>
        <v>0</v>
      </c>
      <c r="O246" s="7">
        <f>прил.6!P979</f>
        <v>0</v>
      </c>
      <c r="P246" s="35">
        <f t="shared" si="55"/>
        <v>0</v>
      </c>
      <c r="Q246" s="7">
        <f>прил.6!R979</f>
        <v>0</v>
      </c>
      <c r="R246" s="35">
        <f t="shared" si="56"/>
        <v>0</v>
      </c>
      <c r="S246" s="7">
        <f>прил.6!T979</f>
        <v>0</v>
      </c>
      <c r="T246" s="35">
        <f t="shared" si="53"/>
        <v>0</v>
      </c>
      <c r="U246" s="20" t="s">
        <v>706</v>
      </c>
    </row>
    <row r="247" spans="1:21" ht="33">
      <c r="A247" s="61" t="str">
        <f t="shared" ca="1" si="65"/>
        <v>Предоставление субсидий бюджетным, автономным учреждениям и иным некоммерческим организациям</v>
      </c>
      <c r="B247" s="43" t="s">
        <v>464</v>
      </c>
      <c r="C247" s="8" t="s">
        <v>220</v>
      </c>
      <c r="D247" s="1" t="s">
        <v>211</v>
      </c>
      <c r="E247" s="113">
        <v>600</v>
      </c>
      <c r="F247" s="7">
        <f t="shared" si="63"/>
        <v>536.79999999999995</v>
      </c>
      <c r="G247" s="7">
        <f t="shared" si="63"/>
        <v>0</v>
      </c>
      <c r="H247" s="35">
        <f t="shared" si="64"/>
        <v>536.79999999999995</v>
      </c>
      <c r="I247" s="7">
        <f t="shared" si="63"/>
        <v>0</v>
      </c>
      <c r="J247" s="35">
        <f t="shared" si="61"/>
        <v>536.79999999999995</v>
      </c>
      <c r="K247" s="7">
        <f t="shared" si="63"/>
        <v>-0.3</v>
      </c>
      <c r="L247" s="35">
        <f t="shared" si="58"/>
        <v>536.5</v>
      </c>
      <c r="M247" s="7">
        <f t="shared" si="63"/>
        <v>0</v>
      </c>
      <c r="N247" s="35">
        <f t="shared" si="59"/>
        <v>536.5</v>
      </c>
      <c r="O247" s="7">
        <f t="shared" si="63"/>
        <v>0</v>
      </c>
      <c r="P247" s="35">
        <f t="shared" si="55"/>
        <v>536.5</v>
      </c>
      <c r="Q247" s="7">
        <f t="shared" si="63"/>
        <v>0</v>
      </c>
      <c r="R247" s="35">
        <f t="shared" si="56"/>
        <v>536.5</v>
      </c>
      <c r="S247" s="7">
        <f t="shared" si="63"/>
        <v>0</v>
      </c>
      <c r="T247" s="35">
        <f t="shared" si="53"/>
        <v>536.5</v>
      </c>
    </row>
    <row r="248" spans="1:21">
      <c r="A248" s="61" t="str">
        <f t="shared" ca="1" si="65"/>
        <v>Субсидии бюджетным учреждениям</v>
      </c>
      <c r="B248" s="43" t="s">
        <v>464</v>
      </c>
      <c r="C248" s="8" t="s">
        <v>220</v>
      </c>
      <c r="D248" s="1" t="s">
        <v>211</v>
      </c>
      <c r="E248" s="113">
        <v>610</v>
      </c>
      <c r="F248" s="7">
        <f t="shared" si="63"/>
        <v>536.79999999999995</v>
      </c>
      <c r="G248" s="7">
        <f t="shared" si="63"/>
        <v>0</v>
      </c>
      <c r="H248" s="35">
        <f t="shared" si="64"/>
        <v>536.79999999999995</v>
      </c>
      <c r="I248" s="7">
        <f t="shared" si="63"/>
        <v>0</v>
      </c>
      <c r="J248" s="35">
        <f t="shared" si="61"/>
        <v>536.79999999999995</v>
      </c>
      <c r="K248" s="7">
        <f t="shared" si="63"/>
        <v>-0.3</v>
      </c>
      <c r="L248" s="35">
        <f t="shared" si="58"/>
        <v>536.5</v>
      </c>
      <c r="M248" s="7">
        <f t="shared" si="63"/>
        <v>0</v>
      </c>
      <c r="N248" s="35">
        <f t="shared" si="59"/>
        <v>536.5</v>
      </c>
      <c r="O248" s="7">
        <f t="shared" si="63"/>
        <v>0</v>
      </c>
      <c r="P248" s="35">
        <f t="shared" si="55"/>
        <v>536.5</v>
      </c>
      <c r="Q248" s="7">
        <f t="shared" si="63"/>
        <v>0</v>
      </c>
      <c r="R248" s="35">
        <f t="shared" si="56"/>
        <v>536.5</v>
      </c>
      <c r="S248" s="7">
        <f t="shared" si="63"/>
        <v>0</v>
      </c>
      <c r="T248" s="35">
        <f t="shared" si="53"/>
        <v>536.5</v>
      </c>
    </row>
    <row r="249" spans="1:21" ht="49.5">
      <c r="A249" s="61" t="str">
        <f t="shared" ca="1" si="65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9" s="43" t="s">
        <v>464</v>
      </c>
      <c r="C249" s="8" t="s">
        <v>220</v>
      </c>
      <c r="D249" s="1" t="s">
        <v>211</v>
      </c>
      <c r="E249" s="113">
        <v>611</v>
      </c>
      <c r="F249" s="7">
        <f>прил.6!G982</f>
        <v>536.79999999999995</v>
      </c>
      <c r="G249" s="7">
        <f>прил.6!H982</f>
        <v>0</v>
      </c>
      <c r="H249" s="35">
        <f t="shared" si="64"/>
        <v>536.79999999999995</v>
      </c>
      <c r="I249" s="7">
        <f>прил.6!J982</f>
        <v>0</v>
      </c>
      <c r="J249" s="35">
        <f t="shared" si="61"/>
        <v>536.79999999999995</v>
      </c>
      <c r="K249" s="7">
        <f>прил.6!L982</f>
        <v>-0.3</v>
      </c>
      <c r="L249" s="35">
        <f t="shared" si="58"/>
        <v>536.5</v>
      </c>
      <c r="M249" s="7">
        <f>прил.6!N982</f>
        <v>0</v>
      </c>
      <c r="N249" s="35">
        <f t="shared" si="59"/>
        <v>536.5</v>
      </c>
      <c r="O249" s="7">
        <f>прил.6!P982</f>
        <v>0</v>
      </c>
      <c r="P249" s="35">
        <f t="shared" si="55"/>
        <v>536.5</v>
      </c>
      <c r="Q249" s="7">
        <f>прил.6!R982</f>
        <v>0</v>
      </c>
      <c r="R249" s="35">
        <f t="shared" si="56"/>
        <v>536.5</v>
      </c>
      <c r="S249" s="7">
        <f>прил.6!T982</f>
        <v>0</v>
      </c>
      <c r="T249" s="35">
        <f t="shared" si="53"/>
        <v>536.5</v>
      </c>
    </row>
    <row r="250" spans="1:21" ht="66">
      <c r="A250" s="61" t="str">
        <f ca="1">IF(ISERROR(MATCH(B250,Код_КЦСР,0)),"",INDIRECT(ADDRESS(MATCH(B250,Код_КЦСР,0)+1,2,,,"КЦСР")))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50" s="43" t="s">
        <v>466</v>
      </c>
      <c r="C250" s="8"/>
      <c r="D250" s="1"/>
      <c r="E250" s="113"/>
      <c r="F250" s="7">
        <f t="shared" ref="F250:S254" si="66">F251</f>
        <v>100</v>
      </c>
      <c r="G250" s="7">
        <f t="shared" si="66"/>
        <v>0</v>
      </c>
      <c r="H250" s="35">
        <f t="shared" si="64"/>
        <v>100</v>
      </c>
      <c r="I250" s="7">
        <f t="shared" si="66"/>
        <v>0</v>
      </c>
      <c r="J250" s="35">
        <f t="shared" si="61"/>
        <v>100</v>
      </c>
      <c r="K250" s="7">
        <f t="shared" si="66"/>
        <v>0</v>
      </c>
      <c r="L250" s="35">
        <f t="shared" si="58"/>
        <v>100</v>
      </c>
      <c r="M250" s="7">
        <f t="shared" si="66"/>
        <v>0</v>
      </c>
      <c r="N250" s="35">
        <f t="shared" si="59"/>
        <v>100</v>
      </c>
      <c r="O250" s="7">
        <f t="shared" si="66"/>
        <v>0</v>
      </c>
      <c r="P250" s="35">
        <f t="shared" si="55"/>
        <v>100</v>
      </c>
      <c r="Q250" s="7">
        <f t="shared" si="66"/>
        <v>0</v>
      </c>
      <c r="R250" s="35">
        <f t="shared" si="56"/>
        <v>100</v>
      </c>
      <c r="S250" s="7">
        <f t="shared" si="66"/>
        <v>0</v>
      </c>
      <c r="T250" s="35">
        <f t="shared" si="53"/>
        <v>100</v>
      </c>
    </row>
    <row r="251" spans="1:21">
      <c r="A251" s="61" t="str">
        <f ca="1">IF(ISERROR(MATCH(C251,Код_Раздел,0)),"",INDIRECT(ADDRESS(MATCH(C251,Код_Раздел,0)+1,2,,,"Раздел")))</f>
        <v>Культура, кинематография</v>
      </c>
      <c r="B251" s="43" t="s">
        <v>466</v>
      </c>
      <c r="C251" s="8" t="s">
        <v>220</v>
      </c>
      <c r="D251" s="1"/>
      <c r="E251" s="113"/>
      <c r="F251" s="7">
        <f t="shared" si="66"/>
        <v>100</v>
      </c>
      <c r="G251" s="7">
        <f t="shared" si="66"/>
        <v>0</v>
      </c>
      <c r="H251" s="35">
        <f t="shared" si="64"/>
        <v>100</v>
      </c>
      <c r="I251" s="7">
        <f t="shared" si="66"/>
        <v>0</v>
      </c>
      <c r="J251" s="35">
        <f t="shared" si="61"/>
        <v>100</v>
      </c>
      <c r="K251" s="7">
        <f t="shared" si="66"/>
        <v>0</v>
      </c>
      <c r="L251" s="35">
        <f t="shared" si="58"/>
        <v>100</v>
      </c>
      <c r="M251" s="7">
        <f t="shared" si="66"/>
        <v>0</v>
      </c>
      <c r="N251" s="35">
        <f t="shared" si="59"/>
        <v>100</v>
      </c>
      <c r="O251" s="7">
        <f t="shared" si="66"/>
        <v>0</v>
      </c>
      <c r="P251" s="35">
        <f t="shared" si="55"/>
        <v>100</v>
      </c>
      <c r="Q251" s="7">
        <f t="shared" si="66"/>
        <v>0</v>
      </c>
      <c r="R251" s="35">
        <f t="shared" si="56"/>
        <v>100</v>
      </c>
      <c r="S251" s="7">
        <f t="shared" si="66"/>
        <v>0</v>
      </c>
      <c r="T251" s="35">
        <f t="shared" si="53"/>
        <v>100</v>
      </c>
    </row>
    <row r="252" spans="1:21">
      <c r="A252" s="12" t="s">
        <v>161</v>
      </c>
      <c r="B252" s="43" t="s">
        <v>466</v>
      </c>
      <c r="C252" s="8" t="s">
        <v>220</v>
      </c>
      <c r="D252" s="1" t="s">
        <v>214</v>
      </c>
      <c r="E252" s="113"/>
      <c r="F252" s="7">
        <f t="shared" si="66"/>
        <v>100</v>
      </c>
      <c r="G252" s="7">
        <f t="shared" si="66"/>
        <v>0</v>
      </c>
      <c r="H252" s="35">
        <f t="shared" si="64"/>
        <v>100</v>
      </c>
      <c r="I252" s="7">
        <f t="shared" si="66"/>
        <v>0</v>
      </c>
      <c r="J252" s="35">
        <f t="shared" si="61"/>
        <v>100</v>
      </c>
      <c r="K252" s="7">
        <f t="shared" si="66"/>
        <v>0</v>
      </c>
      <c r="L252" s="35">
        <f t="shared" si="58"/>
        <v>100</v>
      </c>
      <c r="M252" s="7">
        <f t="shared" si="66"/>
        <v>0</v>
      </c>
      <c r="N252" s="35">
        <f t="shared" si="59"/>
        <v>100</v>
      </c>
      <c r="O252" s="7">
        <f t="shared" si="66"/>
        <v>0</v>
      </c>
      <c r="P252" s="35">
        <f t="shared" si="55"/>
        <v>100</v>
      </c>
      <c r="Q252" s="7">
        <f t="shared" si="66"/>
        <v>0</v>
      </c>
      <c r="R252" s="35">
        <f t="shared" si="56"/>
        <v>100</v>
      </c>
      <c r="S252" s="7">
        <f t="shared" si="66"/>
        <v>0</v>
      </c>
      <c r="T252" s="35">
        <f t="shared" si="53"/>
        <v>100</v>
      </c>
    </row>
    <row r="253" spans="1:21" ht="33">
      <c r="A253" s="61" t="str">
        <f ca="1">IF(ISERROR(MATCH(E253,Код_КВР,0)),"",INDIRECT(ADDRESS(MATCH(E253,Код_КВР,0)+1,2,,,"КВР")))</f>
        <v>Предоставление субсидий бюджетным, автономным учреждениям и иным некоммерческим организациям</v>
      </c>
      <c r="B253" s="43" t="s">
        <v>466</v>
      </c>
      <c r="C253" s="8" t="s">
        <v>220</v>
      </c>
      <c r="D253" s="1" t="s">
        <v>214</v>
      </c>
      <c r="E253" s="113">
        <v>600</v>
      </c>
      <c r="F253" s="7">
        <f t="shared" si="66"/>
        <v>100</v>
      </c>
      <c r="G253" s="7">
        <f t="shared" si="66"/>
        <v>0</v>
      </c>
      <c r="H253" s="35">
        <f t="shared" si="64"/>
        <v>100</v>
      </c>
      <c r="I253" s="7">
        <f t="shared" si="66"/>
        <v>0</v>
      </c>
      <c r="J253" s="35">
        <f t="shared" si="61"/>
        <v>100</v>
      </c>
      <c r="K253" s="7">
        <f t="shared" si="66"/>
        <v>0</v>
      </c>
      <c r="L253" s="35">
        <f t="shared" si="58"/>
        <v>100</v>
      </c>
      <c r="M253" s="7">
        <f t="shared" si="66"/>
        <v>0</v>
      </c>
      <c r="N253" s="35">
        <f t="shared" si="59"/>
        <v>100</v>
      </c>
      <c r="O253" s="7">
        <f t="shared" si="66"/>
        <v>0</v>
      </c>
      <c r="P253" s="35">
        <f t="shared" si="55"/>
        <v>100</v>
      </c>
      <c r="Q253" s="7">
        <f t="shared" si="66"/>
        <v>0</v>
      </c>
      <c r="R253" s="35">
        <f t="shared" si="56"/>
        <v>100</v>
      </c>
      <c r="S253" s="7">
        <f t="shared" si="66"/>
        <v>0</v>
      </c>
      <c r="T253" s="35">
        <f t="shared" si="53"/>
        <v>100</v>
      </c>
    </row>
    <row r="254" spans="1:21">
      <c r="A254" s="61" t="str">
        <f ca="1">IF(ISERROR(MATCH(E254,Код_КВР,0)),"",INDIRECT(ADDRESS(MATCH(E254,Код_КВР,0)+1,2,,,"КВР")))</f>
        <v>Субсидии бюджетным учреждениям</v>
      </c>
      <c r="B254" s="43" t="s">
        <v>466</v>
      </c>
      <c r="C254" s="8" t="s">
        <v>220</v>
      </c>
      <c r="D254" s="1" t="s">
        <v>214</v>
      </c>
      <c r="E254" s="113">
        <v>610</v>
      </c>
      <c r="F254" s="7">
        <f t="shared" si="66"/>
        <v>100</v>
      </c>
      <c r="G254" s="7">
        <f t="shared" si="66"/>
        <v>0</v>
      </c>
      <c r="H254" s="35">
        <f t="shared" si="64"/>
        <v>100</v>
      </c>
      <c r="I254" s="7">
        <f t="shared" si="66"/>
        <v>0</v>
      </c>
      <c r="J254" s="35">
        <f t="shared" si="61"/>
        <v>100</v>
      </c>
      <c r="K254" s="7">
        <f t="shared" si="66"/>
        <v>0</v>
      </c>
      <c r="L254" s="35">
        <f t="shared" si="58"/>
        <v>100</v>
      </c>
      <c r="M254" s="7">
        <f t="shared" si="66"/>
        <v>0</v>
      </c>
      <c r="N254" s="35">
        <f t="shared" si="59"/>
        <v>100</v>
      </c>
      <c r="O254" s="7">
        <f t="shared" si="66"/>
        <v>0</v>
      </c>
      <c r="P254" s="35">
        <f t="shared" si="55"/>
        <v>100</v>
      </c>
      <c r="Q254" s="7">
        <f t="shared" si="66"/>
        <v>0</v>
      </c>
      <c r="R254" s="35">
        <f t="shared" si="56"/>
        <v>100</v>
      </c>
      <c r="S254" s="7">
        <f t="shared" si="66"/>
        <v>0</v>
      </c>
      <c r="T254" s="35">
        <f t="shared" si="53"/>
        <v>100</v>
      </c>
    </row>
    <row r="255" spans="1:21">
      <c r="A255" s="61" t="str">
        <f ca="1">IF(ISERROR(MATCH(E255,Код_КВР,0)),"",INDIRECT(ADDRESS(MATCH(E255,Код_КВР,0)+1,2,,,"КВР")))</f>
        <v>Субсидии бюджетным учреждениям на иные цели</v>
      </c>
      <c r="B255" s="43" t="s">
        <v>466</v>
      </c>
      <c r="C255" s="8" t="s">
        <v>220</v>
      </c>
      <c r="D255" s="1" t="s">
        <v>214</v>
      </c>
      <c r="E255" s="113">
        <v>612</v>
      </c>
      <c r="F255" s="7">
        <f>прил.6!G1071</f>
        <v>100</v>
      </c>
      <c r="G255" s="7">
        <f>прил.6!H1071</f>
        <v>0</v>
      </c>
      <c r="H255" s="35">
        <f t="shared" si="64"/>
        <v>100</v>
      </c>
      <c r="I255" s="7">
        <f>прил.6!J1071</f>
        <v>0</v>
      </c>
      <c r="J255" s="35">
        <f t="shared" si="61"/>
        <v>100</v>
      </c>
      <c r="K255" s="7">
        <f>прил.6!L1071</f>
        <v>0</v>
      </c>
      <c r="L255" s="35">
        <f t="shared" si="58"/>
        <v>100</v>
      </c>
      <c r="M255" s="7">
        <f>прил.6!N1071</f>
        <v>0</v>
      </c>
      <c r="N255" s="35">
        <f t="shared" si="59"/>
        <v>100</v>
      </c>
      <c r="O255" s="7">
        <f>прил.6!P1071</f>
        <v>0</v>
      </c>
      <c r="P255" s="35">
        <f t="shared" si="55"/>
        <v>100</v>
      </c>
      <c r="Q255" s="7">
        <f>прил.6!R1071</f>
        <v>0</v>
      </c>
      <c r="R255" s="35">
        <f t="shared" si="56"/>
        <v>100</v>
      </c>
      <c r="S255" s="7">
        <f>прил.6!T1071</f>
        <v>0</v>
      </c>
      <c r="T255" s="35">
        <f t="shared" si="53"/>
        <v>100</v>
      </c>
    </row>
    <row r="256" spans="1:21" ht="51.75" customHeight="1">
      <c r="A256" s="61" t="str">
        <f ca="1">IF(ISERROR(MATCH(B256,Код_КЦСР,0)),"",INDIRECT(ADDRESS(MATCH(B256,Код_КЦСР,0)+1,2,,,"КЦСР")))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256" s="43" t="s">
        <v>664</v>
      </c>
      <c r="C256" s="8"/>
      <c r="D256" s="1"/>
      <c r="E256" s="113"/>
      <c r="F256" s="7"/>
      <c r="G256" s="7"/>
      <c r="H256" s="35"/>
      <c r="I256" s="7"/>
      <c r="J256" s="35"/>
      <c r="K256" s="7"/>
      <c r="L256" s="35"/>
      <c r="M256" s="7"/>
      <c r="N256" s="35"/>
      <c r="O256" s="7"/>
      <c r="P256" s="35"/>
      <c r="Q256" s="7"/>
      <c r="R256" s="35"/>
      <c r="S256" s="7">
        <f>S257</f>
        <v>194.3</v>
      </c>
      <c r="T256" s="35">
        <f t="shared" si="53"/>
        <v>194.3</v>
      </c>
    </row>
    <row r="257" spans="1:20">
      <c r="A257" s="61" t="str">
        <f ca="1">IF(ISERROR(MATCH(C257,Код_Раздел,0)),"",INDIRECT(ADDRESS(MATCH(C257,Код_Раздел,0)+1,2,,,"Раздел")))</f>
        <v>Культура, кинематография</v>
      </c>
      <c r="B257" s="43" t="s">
        <v>664</v>
      </c>
      <c r="C257" s="8" t="s">
        <v>220</v>
      </c>
      <c r="D257" s="1"/>
      <c r="E257" s="113"/>
      <c r="F257" s="7"/>
      <c r="G257" s="7"/>
      <c r="H257" s="35"/>
      <c r="I257" s="7"/>
      <c r="J257" s="35"/>
      <c r="K257" s="7"/>
      <c r="L257" s="35"/>
      <c r="M257" s="7"/>
      <c r="N257" s="35"/>
      <c r="O257" s="7"/>
      <c r="P257" s="35"/>
      <c r="Q257" s="7"/>
      <c r="R257" s="35"/>
      <c r="S257" s="7">
        <f>S258</f>
        <v>194.3</v>
      </c>
      <c r="T257" s="35">
        <f t="shared" si="53"/>
        <v>194.3</v>
      </c>
    </row>
    <row r="258" spans="1:20">
      <c r="A258" s="12" t="s">
        <v>182</v>
      </c>
      <c r="B258" s="43" t="s">
        <v>664</v>
      </c>
      <c r="C258" s="8" t="s">
        <v>220</v>
      </c>
      <c r="D258" s="1" t="s">
        <v>211</v>
      </c>
      <c r="E258" s="113"/>
      <c r="F258" s="7"/>
      <c r="G258" s="7"/>
      <c r="H258" s="35"/>
      <c r="I258" s="7"/>
      <c r="J258" s="35"/>
      <c r="K258" s="7"/>
      <c r="L258" s="35"/>
      <c r="M258" s="7"/>
      <c r="N258" s="35"/>
      <c r="O258" s="7"/>
      <c r="P258" s="35"/>
      <c r="Q258" s="7"/>
      <c r="R258" s="35"/>
      <c r="S258" s="7">
        <f>прил.6!T983</f>
        <v>194.3</v>
      </c>
      <c r="T258" s="35">
        <f t="shared" si="53"/>
        <v>194.3</v>
      </c>
    </row>
    <row r="259" spans="1:20" ht="33">
      <c r="A259" s="61" t="str">
        <f ca="1">IF(ISERROR(MATCH(E259,Код_КВР,0)),"",INDIRECT(ADDRESS(MATCH(E259,Код_КВР,0)+1,2,,,"КВР")))</f>
        <v>Предоставление субсидий бюджетным, автономным учреждениям и иным некоммерческим организациям</v>
      </c>
      <c r="B259" s="43" t="s">
        <v>664</v>
      </c>
      <c r="C259" s="8" t="s">
        <v>220</v>
      </c>
      <c r="D259" s="1" t="s">
        <v>211</v>
      </c>
      <c r="E259" s="113">
        <v>600</v>
      </c>
      <c r="F259" s="7"/>
      <c r="G259" s="7"/>
      <c r="H259" s="35"/>
      <c r="I259" s="7"/>
      <c r="J259" s="35"/>
      <c r="K259" s="7"/>
      <c r="L259" s="35"/>
      <c r="M259" s="7"/>
      <c r="N259" s="35"/>
      <c r="O259" s="7"/>
      <c r="P259" s="35"/>
      <c r="Q259" s="7"/>
      <c r="R259" s="35"/>
      <c r="S259" s="7">
        <f>прил.6!T984</f>
        <v>194.3</v>
      </c>
      <c r="T259" s="35">
        <f t="shared" si="53"/>
        <v>194.3</v>
      </c>
    </row>
    <row r="260" spans="1:20">
      <c r="A260" s="61" t="str">
        <f ca="1">IF(ISERROR(MATCH(E260,Код_КВР,0)),"",INDIRECT(ADDRESS(MATCH(E260,Код_КВР,0)+1,2,,,"КВР")))</f>
        <v>Субсидии бюджетным учреждениям</v>
      </c>
      <c r="B260" s="43" t="s">
        <v>664</v>
      </c>
      <c r="C260" s="8" t="s">
        <v>220</v>
      </c>
      <c r="D260" s="1" t="s">
        <v>211</v>
      </c>
      <c r="E260" s="113">
        <v>610</v>
      </c>
      <c r="F260" s="7"/>
      <c r="G260" s="7"/>
      <c r="H260" s="35"/>
      <c r="I260" s="7"/>
      <c r="J260" s="35"/>
      <c r="K260" s="7"/>
      <c r="L260" s="35"/>
      <c r="M260" s="7"/>
      <c r="N260" s="35"/>
      <c r="O260" s="7"/>
      <c r="P260" s="35"/>
      <c r="Q260" s="7"/>
      <c r="R260" s="35"/>
      <c r="S260" s="7">
        <f>прил.6!T985</f>
        <v>194.3</v>
      </c>
      <c r="T260" s="35">
        <f t="shared" si="53"/>
        <v>194.3</v>
      </c>
    </row>
    <row r="261" spans="1:20" ht="55.5" customHeight="1">
      <c r="A261" s="61" t="str">
        <f ca="1">IF(ISERROR(MATCH(E261,Код_КВР,0)),"",INDIRECT(ADDRESS(MATCH(E261,Код_КВР,0)+1,2,,,"КВР")))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1" s="43" t="s">
        <v>664</v>
      </c>
      <c r="C261" s="8" t="s">
        <v>220</v>
      </c>
      <c r="D261" s="1" t="s">
        <v>211</v>
      </c>
      <c r="E261" s="113">
        <v>611</v>
      </c>
      <c r="F261" s="7"/>
      <c r="G261" s="7"/>
      <c r="H261" s="35"/>
      <c r="I261" s="7"/>
      <c r="J261" s="35"/>
      <c r="K261" s="7"/>
      <c r="L261" s="35"/>
      <c r="M261" s="7"/>
      <c r="N261" s="35"/>
      <c r="O261" s="7"/>
      <c r="P261" s="35"/>
      <c r="Q261" s="7"/>
      <c r="R261" s="35"/>
      <c r="S261" s="7">
        <f>прил.6!T986</f>
        <v>194.3</v>
      </c>
      <c r="T261" s="35">
        <f t="shared" si="53"/>
        <v>194.3</v>
      </c>
    </row>
    <row r="262" spans="1:20">
      <c r="A262" s="61" t="str">
        <f ca="1">IF(ISERROR(MATCH(B262,Код_КЦСР,0)),"",INDIRECT(ADDRESS(MATCH(B262,Код_КЦСР,0)+1,2,,,"КЦСР")))</f>
        <v>Развитие музейного дела</v>
      </c>
      <c r="B262" s="43" t="s">
        <v>467</v>
      </c>
      <c r="C262" s="8"/>
      <c r="D262" s="1"/>
      <c r="E262" s="113"/>
      <c r="F262" s="7">
        <f>F263+F269+F275+F281+F287</f>
        <v>45009.200000000004</v>
      </c>
      <c r="G262" s="7">
        <f>G263+G269+G275+G281+G287</f>
        <v>0</v>
      </c>
      <c r="H262" s="35">
        <f t="shared" si="64"/>
        <v>45009.200000000004</v>
      </c>
      <c r="I262" s="7">
        <f>I263+I269+I275+I281+I287</f>
        <v>0</v>
      </c>
      <c r="J262" s="35">
        <f t="shared" si="61"/>
        <v>45009.200000000004</v>
      </c>
      <c r="K262" s="7">
        <f>K263+K269+K275+K281+K287</f>
        <v>-26.4</v>
      </c>
      <c r="L262" s="35">
        <f t="shared" si="58"/>
        <v>44982.8</v>
      </c>
      <c r="M262" s="7">
        <f>M263+M269+M275+M281+M287</f>
        <v>0</v>
      </c>
      <c r="N262" s="35">
        <f t="shared" si="59"/>
        <v>44982.8</v>
      </c>
      <c r="O262" s="7">
        <f>O263+O269+O275+O281+O287</f>
        <v>0</v>
      </c>
      <c r="P262" s="35">
        <f t="shared" si="55"/>
        <v>44982.8</v>
      </c>
      <c r="Q262" s="7">
        <f>Q263+Q269+Q275+Q281+Q287+Q299+Q293</f>
        <v>15723.099999999999</v>
      </c>
      <c r="R262" s="35">
        <f t="shared" si="56"/>
        <v>60705.9</v>
      </c>
      <c r="S262" s="7">
        <f>S263+S269+S275+S281+S287+S299+S293</f>
        <v>-680</v>
      </c>
      <c r="T262" s="35">
        <f t="shared" si="53"/>
        <v>60025.9</v>
      </c>
    </row>
    <row r="263" spans="1:20" ht="86.25" customHeight="1">
      <c r="A263" s="61" t="str">
        <f ca="1">IF(ISERROR(MATCH(B263,Код_КЦСР,0)),"",INDIRECT(ADDRESS(MATCH(B263,Код_КЦСР,0)+1,2,,,"КЦСР")))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63" s="43" t="s">
        <v>468</v>
      </c>
      <c r="C263" s="8"/>
      <c r="D263" s="1"/>
      <c r="E263" s="113"/>
      <c r="F263" s="7">
        <f t="shared" ref="F263:S267" si="67">F264</f>
        <v>270</v>
      </c>
      <c r="G263" s="7">
        <f t="shared" si="67"/>
        <v>0</v>
      </c>
      <c r="H263" s="35">
        <f t="shared" si="64"/>
        <v>270</v>
      </c>
      <c r="I263" s="7">
        <f t="shared" si="67"/>
        <v>0</v>
      </c>
      <c r="J263" s="35">
        <f t="shared" si="61"/>
        <v>270</v>
      </c>
      <c r="K263" s="7">
        <f t="shared" si="67"/>
        <v>0</v>
      </c>
      <c r="L263" s="35">
        <f t="shared" si="58"/>
        <v>270</v>
      </c>
      <c r="M263" s="7">
        <f t="shared" si="67"/>
        <v>0</v>
      </c>
      <c r="N263" s="35">
        <f t="shared" si="59"/>
        <v>270</v>
      </c>
      <c r="O263" s="7">
        <f t="shared" si="67"/>
        <v>0</v>
      </c>
      <c r="P263" s="35">
        <f t="shared" si="55"/>
        <v>270</v>
      </c>
      <c r="Q263" s="7">
        <f t="shared" si="67"/>
        <v>0</v>
      </c>
      <c r="R263" s="35">
        <f t="shared" si="56"/>
        <v>270</v>
      </c>
      <c r="S263" s="7">
        <f t="shared" si="67"/>
        <v>0</v>
      </c>
      <c r="T263" s="35">
        <f t="shared" si="53"/>
        <v>270</v>
      </c>
    </row>
    <row r="264" spans="1:20" ht="18.75" customHeight="1">
      <c r="A264" s="61" t="str">
        <f ca="1">IF(ISERROR(MATCH(C264,Код_Раздел,0)),"",INDIRECT(ADDRESS(MATCH(C264,Код_Раздел,0)+1,2,,,"Раздел")))</f>
        <v>Культура, кинематография</v>
      </c>
      <c r="B264" s="43" t="s">
        <v>468</v>
      </c>
      <c r="C264" s="8" t="s">
        <v>220</v>
      </c>
      <c r="D264" s="1"/>
      <c r="E264" s="113"/>
      <c r="F264" s="7">
        <f t="shared" si="67"/>
        <v>270</v>
      </c>
      <c r="G264" s="7">
        <f t="shared" si="67"/>
        <v>0</v>
      </c>
      <c r="H264" s="35">
        <f t="shared" si="64"/>
        <v>270</v>
      </c>
      <c r="I264" s="7">
        <f t="shared" si="67"/>
        <v>0</v>
      </c>
      <c r="J264" s="35">
        <f t="shared" si="61"/>
        <v>270</v>
      </c>
      <c r="K264" s="7">
        <f t="shared" si="67"/>
        <v>0</v>
      </c>
      <c r="L264" s="35">
        <f t="shared" si="58"/>
        <v>270</v>
      </c>
      <c r="M264" s="7">
        <f t="shared" si="67"/>
        <v>0</v>
      </c>
      <c r="N264" s="35">
        <f t="shared" si="59"/>
        <v>270</v>
      </c>
      <c r="O264" s="7">
        <f t="shared" si="67"/>
        <v>0</v>
      </c>
      <c r="P264" s="35">
        <f t="shared" si="55"/>
        <v>270</v>
      </c>
      <c r="Q264" s="7">
        <f t="shared" si="67"/>
        <v>0</v>
      </c>
      <c r="R264" s="35">
        <f t="shared" si="56"/>
        <v>270</v>
      </c>
      <c r="S264" s="7">
        <f t="shared" si="67"/>
        <v>0</v>
      </c>
      <c r="T264" s="35">
        <f t="shared" si="53"/>
        <v>270</v>
      </c>
    </row>
    <row r="265" spans="1:20" ht="22.5" customHeight="1">
      <c r="A265" s="12" t="s">
        <v>161</v>
      </c>
      <c r="B265" s="43" t="s">
        <v>468</v>
      </c>
      <c r="C265" s="8" t="s">
        <v>220</v>
      </c>
      <c r="D265" s="1" t="s">
        <v>214</v>
      </c>
      <c r="E265" s="113"/>
      <c r="F265" s="7">
        <f t="shared" si="67"/>
        <v>270</v>
      </c>
      <c r="G265" s="7">
        <f t="shared" si="67"/>
        <v>0</v>
      </c>
      <c r="H265" s="35">
        <f t="shared" si="64"/>
        <v>270</v>
      </c>
      <c r="I265" s="7">
        <f t="shared" si="67"/>
        <v>0</v>
      </c>
      <c r="J265" s="35">
        <f t="shared" si="61"/>
        <v>270</v>
      </c>
      <c r="K265" s="7">
        <f t="shared" si="67"/>
        <v>0</v>
      </c>
      <c r="L265" s="35">
        <f t="shared" si="58"/>
        <v>270</v>
      </c>
      <c r="M265" s="7">
        <f t="shared" si="67"/>
        <v>0</v>
      </c>
      <c r="N265" s="35">
        <f t="shared" si="59"/>
        <v>270</v>
      </c>
      <c r="O265" s="7">
        <f t="shared" si="67"/>
        <v>0</v>
      </c>
      <c r="P265" s="35">
        <f t="shared" si="55"/>
        <v>270</v>
      </c>
      <c r="Q265" s="7">
        <f t="shared" si="67"/>
        <v>0</v>
      </c>
      <c r="R265" s="35">
        <f t="shared" si="56"/>
        <v>270</v>
      </c>
      <c r="S265" s="7">
        <f t="shared" si="67"/>
        <v>0</v>
      </c>
      <c r="T265" s="35">
        <f t="shared" si="53"/>
        <v>270</v>
      </c>
    </row>
    <row r="266" spans="1:20" ht="35.25" customHeight="1">
      <c r="A266" s="61" t="str">
        <f ca="1">IF(ISERROR(MATCH(E266,Код_КВР,0)),"",INDIRECT(ADDRESS(MATCH(E266,Код_КВР,0)+1,2,,,"КВР")))</f>
        <v>Предоставление субсидий бюджетным, автономным учреждениям и иным некоммерческим организациям</v>
      </c>
      <c r="B266" s="43" t="s">
        <v>468</v>
      </c>
      <c r="C266" s="8" t="s">
        <v>220</v>
      </c>
      <c r="D266" s="1" t="s">
        <v>214</v>
      </c>
      <c r="E266" s="113">
        <v>600</v>
      </c>
      <c r="F266" s="7">
        <f t="shared" si="67"/>
        <v>270</v>
      </c>
      <c r="G266" s="7">
        <f t="shared" si="67"/>
        <v>0</v>
      </c>
      <c r="H266" s="35">
        <f t="shared" si="64"/>
        <v>270</v>
      </c>
      <c r="I266" s="7">
        <f t="shared" si="67"/>
        <v>0</v>
      </c>
      <c r="J266" s="35">
        <f t="shared" si="61"/>
        <v>270</v>
      </c>
      <c r="K266" s="7">
        <f t="shared" si="67"/>
        <v>0</v>
      </c>
      <c r="L266" s="35">
        <f t="shared" si="58"/>
        <v>270</v>
      </c>
      <c r="M266" s="7">
        <f t="shared" si="67"/>
        <v>0</v>
      </c>
      <c r="N266" s="35">
        <f t="shared" si="59"/>
        <v>270</v>
      </c>
      <c r="O266" s="7">
        <f t="shared" si="67"/>
        <v>0</v>
      </c>
      <c r="P266" s="35">
        <f t="shared" si="55"/>
        <v>270</v>
      </c>
      <c r="Q266" s="7">
        <f t="shared" si="67"/>
        <v>0</v>
      </c>
      <c r="R266" s="35">
        <f t="shared" si="56"/>
        <v>270</v>
      </c>
      <c r="S266" s="7">
        <f t="shared" si="67"/>
        <v>0</v>
      </c>
      <c r="T266" s="35">
        <f t="shared" si="53"/>
        <v>270</v>
      </c>
    </row>
    <row r="267" spans="1:20" ht="22.5" customHeight="1">
      <c r="A267" s="61" t="str">
        <f ca="1">IF(ISERROR(MATCH(E267,Код_КВР,0)),"",INDIRECT(ADDRESS(MATCH(E267,Код_КВР,0)+1,2,,,"КВР")))</f>
        <v>Субсидии бюджетным учреждениям</v>
      </c>
      <c r="B267" s="43" t="s">
        <v>468</v>
      </c>
      <c r="C267" s="8" t="s">
        <v>220</v>
      </c>
      <c r="D267" s="1" t="s">
        <v>214</v>
      </c>
      <c r="E267" s="113">
        <v>610</v>
      </c>
      <c r="F267" s="7">
        <f t="shared" si="67"/>
        <v>270</v>
      </c>
      <c r="G267" s="7">
        <f t="shared" si="67"/>
        <v>0</v>
      </c>
      <c r="H267" s="35">
        <f t="shared" si="64"/>
        <v>270</v>
      </c>
      <c r="I267" s="7">
        <f t="shared" si="67"/>
        <v>0</v>
      </c>
      <c r="J267" s="35">
        <f t="shared" si="61"/>
        <v>270</v>
      </c>
      <c r="K267" s="7">
        <f t="shared" si="67"/>
        <v>0</v>
      </c>
      <c r="L267" s="35">
        <f t="shared" si="58"/>
        <v>270</v>
      </c>
      <c r="M267" s="7">
        <f t="shared" si="67"/>
        <v>0</v>
      </c>
      <c r="N267" s="35">
        <f t="shared" si="59"/>
        <v>270</v>
      </c>
      <c r="O267" s="7">
        <f t="shared" si="67"/>
        <v>0</v>
      </c>
      <c r="P267" s="35">
        <f t="shared" si="55"/>
        <v>270</v>
      </c>
      <c r="Q267" s="7">
        <f t="shared" si="67"/>
        <v>0</v>
      </c>
      <c r="R267" s="35">
        <f t="shared" si="56"/>
        <v>270</v>
      </c>
      <c r="S267" s="7">
        <f t="shared" si="67"/>
        <v>0</v>
      </c>
      <c r="T267" s="35">
        <f t="shared" si="53"/>
        <v>270</v>
      </c>
    </row>
    <row r="268" spans="1:20" ht="20.25" customHeight="1">
      <c r="A268" s="61" t="str">
        <f ca="1">IF(ISERROR(MATCH(E268,Код_КВР,0)),"",INDIRECT(ADDRESS(MATCH(E268,Код_КВР,0)+1,2,,,"КВР")))</f>
        <v>Субсидии бюджетным учреждениям на иные цели</v>
      </c>
      <c r="B268" s="43" t="s">
        <v>468</v>
      </c>
      <c r="C268" s="8" t="s">
        <v>220</v>
      </c>
      <c r="D268" s="1" t="s">
        <v>214</v>
      </c>
      <c r="E268" s="113">
        <v>612</v>
      </c>
      <c r="F268" s="7">
        <f>прил.6!G1076</f>
        <v>270</v>
      </c>
      <c r="G268" s="7">
        <f>прил.6!H1076</f>
        <v>0</v>
      </c>
      <c r="H268" s="35">
        <f t="shared" si="64"/>
        <v>270</v>
      </c>
      <c r="I268" s="7">
        <f>прил.6!J1076</f>
        <v>0</v>
      </c>
      <c r="J268" s="35">
        <f t="shared" si="61"/>
        <v>270</v>
      </c>
      <c r="K268" s="7">
        <f>прил.6!L1076</f>
        <v>0</v>
      </c>
      <c r="L268" s="35">
        <f t="shared" si="58"/>
        <v>270</v>
      </c>
      <c r="M268" s="7">
        <f>прил.6!N1076</f>
        <v>0</v>
      </c>
      <c r="N268" s="35">
        <f t="shared" si="59"/>
        <v>270</v>
      </c>
      <c r="O268" s="7">
        <f>прил.6!P1076</f>
        <v>0</v>
      </c>
      <c r="P268" s="35">
        <f t="shared" si="55"/>
        <v>270</v>
      </c>
      <c r="Q268" s="7">
        <f>прил.6!R1076</f>
        <v>0</v>
      </c>
      <c r="R268" s="35">
        <f t="shared" si="56"/>
        <v>270</v>
      </c>
      <c r="S268" s="7">
        <f>прил.6!T1076</f>
        <v>0</v>
      </c>
      <c r="T268" s="35">
        <f t="shared" si="53"/>
        <v>270</v>
      </c>
    </row>
    <row r="269" spans="1:20" ht="55.5" customHeight="1">
      <c r="A269" s="61" t="str">
        <f ca="1">IF(ISERROR(MATCH(B269,Код_КЦСР,0)),"",INDIRECT(ADDRESS(MATCH(B269,Код_КЦСР,0)+1,2,,,"КЦСР")))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69" s="43" t="s">
        <v>470</v>
      </c>
      <c r="C269" s="8"/>
      <c r="D269" s="1"/>
      <c r="E269" s="113"/>
      <c r="F269" s="7">
        <f t="shared" ref="F269:S273" si="68">F270</f>
        <v>412</v>
      </c>
      <c r="G269" s="7">
        <f t="shared" si="68"/>
        <v>0</v>
      </c>
      <c r="H269" s="35">
        <f t="shared" si="64"/>
        <v>412</v>
      </c>
      <c r="I269" s="7">
        <f t="shared" si="68"/>
        <v>0</v>
      </c>
      <c r="J269" s="35">
        <f t="shared" si="61"/>
        <v>412</v>
      </c>
      <c r="K269" s="7">
        <f t="shared" si="68"/>
        <v>0</v>
      </c>
      <c r="L269" s="35">
        <f t="shared" si="58"/>
        <v>412</v>
      </c>
      <c r="M269" s="7">
        <f t="shared" si="68"/>
        <v>0</v>
      </c>
      <c r="N269" s="35">
        <f t="shared" si="59"/>
        <v>412</v>
      </c>
      <c r="O269" s="7">
        <f t="shared" si="68"/>
        <v>0</v>
      </c>
      <c r="P269" s="35">
        <f t="shared" si="55"/>
        <v>412</v>
      </c>
      <c r="Q269" s="7">
        <f t="shared" si="68"/>
        <v>0</v>
      </c>
      <c r="R269" s="35">
        <f t="shared" si="56"/>
        <v>412</v>
      </c>
      <c r="S269" s="7">
        <f t="shared" si="68"/>
        <v>0</v>
      </c>
      <c r="T269" s="35">
        <f t="shared" si="53"/>
        <v>412</v>
      </c>
    </row>
    <row r="270" spans="1:20" ht="19.5" customHeight="1">
      <c r="A270" s="61" t="str">
        <f ca="1">IF(ISERROR(MATCH(C270,Код_Раздел,0)),"",INDIRECT(ADDRESS(MATCH(C270,Код_Раздел,0)+1,2,,,"Раздел")))</f>
        <v>Культура, кинематография</v>
      </c>
      <c r="B270" s="43" t="s">
        <v>470</v>
      </c>
      <c r="C270" s="8" t="s">
        <v>220</v>
      </c>
      <c r="D270" s="1"/>
      <c r="E270" s="113"/>
      <c r="F270" s="7">
        <f t="shared" si="68"/>
        <v>412</v>
      </c>
      <c r="G270" s="7">
        <f t="shared" si="68"/>
        <v>0</v>
      </c>
      <c r="H270" s="35">
        <f t="shared" si="64"/>
        <v>412</v>
      </c>
      <c r="I270" s="7">
        <f t="shared" si="68"/>
        <v>0</v>
      </c>
      <c r="J270" s="35">
        <f t="shared" si="61"/>
        <v>412</v>
      </c>
      <c r="K270" s="7">
        <f t="shared" si="68"/>
        <v>0</v>
      </c>
      <c r="L270" s="35">
        <f t="shared" si="58"/>
        <v>412</v>
      </c>
      <c r="M270" s="7">
        <f t="shared" si="68"/>
        <v>0</v>
      </c>
      <c r="N270" s="35">
        <f t="shared" si="59"/>
        <v>412</v>
      </c>
      <c r="O270" s="7">
        <f t="shared" si="68"/>
        <v>0</v>
      </c>
      <c r="P270" s="35">
        <f t="shared" si="55"/>
        <v>412</v>
      </c>
      <c r="Q270" s="7">
        <f t="shared" si="68"/>
        <v>0</v>
      </c>
      <c r="R270" s="35">
        <f t="shared" si="56"/>
        <v>412</v>
      </c>
      <c r="S270" s="7">
        <f t="shared" si="68"/>
        <v>0</v>
      </c>
      <c r="T270" s="35">
        <f t="shared" si="53"/>
        <v>412</v>
      </c>
    </row>
    <row r="271" spans="1:20" ht="21" customHeight="1">
      <c r="A271" s="12" t="s">
        <v>161</v>
      </c>
      <c r="B271" s="43" t="s">
        <v>470</v>
      </c>
      <c r="C271" s="8" t="s">
        <v>220</v>
      </c>
      <c r="D271" s="1" t="s">
        <v>214</v>
      </c>
      <c r="E271" s="113"/>
      <c r="F271" s="7">
        <f t="shared" si="68"/>
        <v>412</v>
      </c>
      <c r="G271" s="7">
        <f t="shared" si="68"/>
        <v>0</v>
      </c>
      <c r="H271" s="35">
        <f t="shared" si="64"/>
        <v>412</v>
      </c>
      <c r="I271" s="7">
        <f t="shared" si="68"/>
        <v>0</v>
      </c>
      <c r="J271" s="35">
        <f t="shared" si="61"/>
        <v>412</v>
      </c>
      <c r="K271" s="7">
        <f t="shared" si="68"/>
        <v>0</v>
      </c>
      <c r="L271" s="35">
        <f t="shared" si="58"/>
        <v>412</v>
      </c>
      <c r="M271" s="7">
        <f t="shared" si="68"/>
        <v>0</v>
      </c>
      <c r="N271" s="35">
        <f t="shared" si="59"/>
        <v>412</v>
      </c>
      <c r="O271" s="7">
        <f t="shared" si="68"/>
        <v>0</v>
      </c>
      <c r="P271" s="35">
        <f t="shared" si="55"/>
        <v>412</v>
      </c>
      <c r="Q271" s="7">
        <f t="shared" si="68"/>
        <v>0</v>
      </c>
      <c r="R271" s="35">
        <f t="shared" si="56"/>
        <v>412</v>
      </c>
      <c r="S271" s="7">
        <f t="shared" si="68"/>
        <v>0</v>
      </c>
      <c r="T271" s="35">
        <f t="shared" si="53"/>
        <v>412</v>
      </c>
    </row>
    <row r="272" spans="1:20" ht="35.25" customHeight="1">
      <c r="A272" s="61" t="str">
        <f ca="1">IF(ISERROR(MATCH(E272,Код_КВР,0)),"",INDIRECT(ADDRESS(MATCH(E272,Код_КВР,0)+1,2,,,"КВР")))</f>
        <v>Предоставление субсидий бюджетным, автономным учреждениям и иным некоммерческим организациям</v>
      </c>
      <c r="B272" s="43" t="s">
        <v>470</v>
      </c>
      <c r="C272" s="8" t="s">
        <v>220</v>
      </c>
      <c r="D272" s="1" t="s">
        <v>214</v>
      </c>
      <c r="E272" s="113">
        <v>600</v>
      </c>
      <c r="F272" s="7">
        <f t="shared" si="68"/>
        <v>412</v>
      </c>
      <c r="G272" s="7">
        <f t="shared" si="68"/>
        <v>0</v>
      </c>
      <c r="H272" s="35">
        <f t="shared" si="64"/>
        <v>412</v>
      </c>
      <c r="I272" s="7">
        <f t="shared" si="68"/>
        <v>0</v>
      </c>
      <c r="J272" s="35">
        <f t="shared" si="61"/>
        <v>412</v>
      </c>
      <c r="K272" s="7">
        <f t="shared" si="68"/>
        <v>0</v>
      </c>
      <c r="L272" s="35">
        <f t="shared" si="58"/>
        <v>412</v>
      </c>
      <c r="M272" s="7">
        <f t="shared" si="68"/>
        <v>0</v>
      </c>
      <c r="N272" s="35">
        <f t="shared" si="59"/>
        <v>412</v>
      </c>
      <c r="O272" s="7">
        <f t="shared" si="68"/>
        <v>0</v>
      </c>
      <c r="P272" s="35">
        <f t="shared" si="55"/>
        <v>412</v>
      </c>
      <c r="Q272" s="7">
        <f t="shared" si="68"/>
        <v>0</v>
      </c>
      <c r="R272" s="35">
        <f t="shared" si="56"/>
        <v>412</v>
      </c>
      <c r="S272" s="7">
        <f t="shared" si="68"/>
        <v>0</v>
      </c>
      <c r="T272" s="35">
        <f t="shared" si="53"/>
        <v>412</v>
      </c>
    </row>
    <row r="273" spans="1:20" ht="19.5" customHeight="1">
      <c r="A273" s="61" t="str">
        <f ca="1">IF(ISERROR(MATCH(E273,Код_КВР,0)),"",INDIRECT(ADDRESS(MATCH(E273,Код_КВР,0)+1,2,,,"КВР")))</f>
        <v>Субсидии бюджетным учреждениям</v>
      </c>
      <c r="B273" s="43" t="s">
        <v>470</v>
      </c>
      <c r="C273" s="8" t="s">
        <v>220</v>
      </c>
      <c r="D273" s="1" t="s">
        <v>214</v>
      </c>
      <c r="E273" s="113">
        <v>610</v>
      </c>
      <c r="F273" s="7">
        <f t="shared" si="68"/>
        <v>412</v>
      </c>
      <c r="G273" s="7">
        <f t="shared" si="68"/>
        <v>0</v>
      </c>
      <c r="H273" s="35">
        <f t="shared" si="64"/>
        <v>412</v>
      </c>
      <c r="I273" s="7">
        <f t="shared" si="68"/>
        <v>0</v>
      </c>
      <c r="J273" s="35">
        <f t="shared" si="61"/>
        <v>412</v>
      </c>
      <c r="K273" s="7">
        <f t="shared" si="68"/>
        <v>0</v>
      </c>
      <c r="L273" s="35">
        <f t="shared" si="58"/>
        <v>412</v>
      </c>
      <c r="M273" s="7">
        <f t="shared" si="68"/>
        <v>0</v>
      </c>
      <c r="N273" s="35">
        <f t="shared" si="59"/>
        <v>412</v>
      </c>
      <c r="O273" s="7">
        <f t="shared" si="68"/>
        <v>0</v>
      </c>
      <c r="P273" s="35">
        <f t="shared" si="55"/>
        <v>412</v>
      </c>
      <c r="Q273" s="7">
        <f t="shared" si="68"/>
        <v>0</v>
      </c>
      <c r="R273" s="35">
        <f t="shared" si="56"/>
        <v>412</v>
      </c>
      <c r="S273" s="7">
        <f t="shared" si="68"/>
        <v>0</v>
      </c>
      <c r="T273" s="35">
        <f t="shared" si="53"/>
        <v>412</v>
      </c>
    </row>
    <row r="274" spans="1:20" ht="22.5" customHeight="1">
      <c r="A274" s="61" t="str">
        <f ca="1">IF(ISERROR(MATCH(E274,Код_КВР,0)),"",INDIRECT(ADDRESS(MATCH(E274,Код_КВР,0)+1,2,,,"КВР")))</f>
        <v>Субсидии бюджетным учреждениям на иные цели</v>
      </c>
      <c r="B274" s="43" t="s">
        <v>470</v>
      </c>
      <c r="C274" s="8" t="s">
        <v>220</v>
      </c>
      <c r="D274" s="1" t="s">
        <v>214</v>
      </c>
      <c r="E274" s="113">
        <v>612</v>
      </c>
      <c r="F274" s="7">
        <f>прил.6!G1080</f>
        <v>412</v>
      </c>
      <c r="G274" s="7">
        <f>прил.6!H1080</f>
        <v>0</v>
      </c>
      <c r="H274" s="35">
        <f t="shared" si="64"/>
        <v>412</v>
      </c>
      <c r="I274" s="7">
        <f>прил.6!J1080</f>
        <v>0</v>
      </c>
      <c r="J274" s="35">
        <f t="shared" si="61"/>
        <v>412</v>
      </c>
      <c r="K274" s="7">
        <f>прил.6!L1080</f>
        <v>0</v>
      </c>
      <c r="L274" s="35">
        <f t="shared" si="58"/>
        <v>412</v>
      </c>
      <c r="M274" s="7">
        <f>прил.6!N1080</f>
        <v>0</v>
      </c>
      <c r="N274" s="35">
        <f t="shared" si="59"/>
        <v>412</v>
      </c>
      <c r="O274" s="7">
        <f>прил.6!P1080</f>
        <v>0</v>
      </c>
      <c r="P274" s="35">
        <f t="shared" si="55"/>
        <v>412</v>
      </c>
      <c r="Q274" s="7">
        <f>прил.6!R1080</f>
        <v>0</v>
      </c>
      <c r="R274" s="35">
        <f t="shared" si="56"/>
        <v>412</v>
      </c>
      <c r="S274" s="7">
        <f>прил.6!T1080</f>
        <v>0</v>
      </c>
      <c r="T274" s="35">
        <f t="shared" si="53"/>
        <v>412</v>
      </c>
    </row>
    <row r="275" spans="1:20" ht="17.25" customHeight="1">
      <c r="A275" s="61" t="str">
        <f ca="1">IF(ISERROR(MATCH(B275,Код_КЦСР,0)),"",INDIRECT(ADDRESS(MATCH(B275,Код_КЦСР,0)+1,2,,,"КЦСР")))</f>
        <v xml:space="preserve">Оказание муниципальных услуг </v>
      </c>
      <c r="B275" s="43" t="s">
        <v>472</v>
      </c>
      <c r="C275" s="8"/>
      <c r="D275" s="1"/>
      <c r="E275" s="113"/>
      <c r="F275" s="7">
        <f t="shared" ref="F275:S279" si="69">F276</f>
        <v>25054</v>
      </c>
      <c r="G275" s="7">
        <f t="shared" si="69"/>
        <v>0</v>
      </c>
      <c r="H275" s="35">
        <f t="shared" si="64"/>
        <v>25054</v>
      </c>
      <c r="I275" s="7">
        <f t="shared" si="69"/>
        <v>0</v>
      </c>
      <c r="J275" s="35">
        <f t="shared" si="61"/>
        <v>25054</v>
      </c>
      <c r="K275" s="7">
        <f t="shared" si="69"/>
        <v>-21.2</v>
      </c>
      <c r="L275" s="35">
        <f t="shared" si="58"/>
        <v>25032.799999999999</v>
      </c>
      <c r="M275" s="7">
        <f t="shared" si="69"/>
        <v>0</v>
      </c>
      <c r="N275" s="35">
        <f t="shared" si="59"/>
        <v>25032.799999999999</v>
      </c>
      <c r="O275" s="7">
        <f t="shared" si="69"/>
        <v>0</v>
      </c>
      <c r="P275" s="35">
        <f t="shared" si="55"/>
        <v>25032.799999999999</v>
      </c>
      <c r="Q275" s="7">
        <f t="shared" si="69"/>
        <v>0</v>
      </c>
      <c r="R275" s="35">
        <f t="shared" si="56"/>
        <v>25032.799999999999</v>
      </c>
      <c r="S275" s="7">
        <f t="shared" si="69"/>
        <v>0</v>
      </c>
      <c r="T275" s="35">
        <f t="shared" si="53"/>
        <v>25032.799999999999</v>
      </c>
    </row>
    <row r="276" spans="1:20">
      <c r="A276" s="61" t="str">
        <f ca="1">IF(ISERROR(MATCH(C276,Код_Раздел,0)),"",INDIRECT(ADDRESS(MATCH(C276,Код_Раздел,0)+1,2,,,"Раздел")))</f>
        <v>Культура, кинематография</v>
      </c>
      <c r="B276" s="43" t="s">
        <v>472</v>
      </c>
      <c r="C276" s="8" t="s">
        <v>220</v>
      </c>
      <c r="D276" s="1"/>
      <c r="E276" s="113"/>
      <c r="F276" s="7">
        <f t="shared" si="69"/>
        <v>25054</v>
      </c>
      <c r="G276" s="7">
        <f t="shared" si="69"/>
        <v>0</v>
      </c>
      <c r="H276" s="35">
        <f t="shared" si="64"/>
        <v>25054</v>
      </c>
      <c r="I276" s="7">
        <f t="shared" si="69"/>
        <v>0</v>
      </c>
      <c r="J276" s="35">
        <f t="shared" si="61"/>
        <v>25054</v>
      </c>
      <c r="K276" s="7">
        <f t="shared" si="69"/>
        <v>-21.2</v>
      </c>
      <c r="L276" s="35">
        <f t="shared" si="58"/>
        <v>25032.799999999999</v>
      </c>
      <c r="M276" s="7">
        <f t="shared" si="69"/>
        <v>0</v>
      </c>
      <c r="N276" s="35">
        <f t="shared" si="59"/>
        <v>25032.799999999999</v>
      </c>
      <c r="O276" s="7">
        <f t="shared" si="69"/>
        <v>0</v>
      </c>
      <c r="P276" s="35">
        <f t="shared" si="55"/>
        <v>25032.799999999999</v>
      </c>
      <c r="Q276" s="7">
        <f t="shared" si="69"/>
        <v>0</v>
      </c>
      <c r="R276" s="35">
        <f t="shared" si="56"/>
        <v>25032.799999999999</v>
      </c>
      <c r="S276" s="7">
        <f t="shared" si="69"/>
        <v>0</v>
      </c>
      <c r="T276" s="35">
        <f t="shared" si="53"/>
        <v>25032.799999999999</v>
      </c>
    </row>
    <row r="277" spans="1:20" ht="18.75" customHeight="1">
      <c r="A277" s="12" t="s">
        <v>182</v>
      </c>
      <c r="B277" s="43" t="s">
        <v>472</v>
      </c>
      <c r="C277" s="8" t="s">
        <v>220</v>
      </c>
      <c r="D277" s="1" t="s">
        <v>211</v>
      </c>
      <c r="E277" s="113"/>
      <c r="F277" s="7">
        <f t="shared" si="69"/>
        <v>25054</v>
      </c>
      <c r="G277" s="7">
        <f t="shared" si="69"/>
        <v>0</v>
      </c>
      <c r="H277" s="35">
        <f t="shared" si="64"/>
        <v>25054</v>
      </c>
      <c r="I277" s="7">
        <f t="shared" si="69"/>
        <v>0</v>
      </c>
      <c r="J277" s="35">
        <f t="shared" si="61"/>
        <v>25054</v>
      </c>
      <c r="K277" s="7">
        <f t="shared" si="69"/>
        <v>-21.2</v>
      </c>
      <c r="L277" s="35">
        <f t="shared" si="58"/>
        <v>25032.799999999999</v>
      </c>
      <c r="M277" s="7">
        <f t="shared" si="69"/>
        <v>0</v>
      </c>
      <c r="N277" s="35">
        <f t="shared" si="59"/>
        <v>25032.799999999999</v>
      </c>
      <c r="O277" s="7">
        <f t="shared" si="69"/>
        <v>0</v>
      </c>
      <c r="P277" s="35">
        <f t="shared" si="55"/>
        <v>25032.799999999999</v>
      </c>
      <c r="Q277" s="7">
        <f t="shared" si="69"/>
        <v>0</v>
      </c>
      <c r="R277" s="35">
        <f t="shared" si="56"/>
        <v>25032.799999999999</v>
      </c>
      <c r="S277" s="7">
        <f t="shared" si="69"/>
        <v>0</v>
      </c>
      <c r="T277" s="35">
        <f t="shared" si="53"/>
        <v>25032.799999999999</v>
      </c>
    </row>
    <row r="278" spans="1:20" ht="37.5" customHeight="1">
      <c r="A278" s="61" t="str">
        <f ca="1">IF(ISERROR(MATCH(E278,Код_КВР,0)),"",INDIRECT(ADDRESS(MATCH(E278,Код_КВР,0)+1,2,,,"КВР")))</f>
        <v>Предоставление субсидий бюджетным, автономным учреждениям и иным некоммерческим организациям</v>
      </c>
      <c r="B278" s="43" t="s">
        <v>472</v>
      </c>
      <c r="C278" s="8" t="s">
        <v>220</v>
      </c>
      <c r="D278" s="1" t="s">
        <v>211</v>
      </c>
      <c r="E278" s="113">
        <v>600</v>
      </c>
      <c r="F278" s="7">
        <f t="shared" si="69"/>
        <v>25054</v>
      </c>
      <c r="G278" s="7">
        <f t="shared" si="69"/>
        <v>0</v>
      </c>
      <c r="H278" s="35">
        <f t="shared" si="64"/>
        <v>25054</v>
      </c>
      <c r="I278" s="7">
        <f t="shared" si="69"/>
        <v>0</v>
      </c>
      <c r="J278" s="35">
        <f t="shared" si="61"/>
        <v>25054</v>
      </c>
      <c r="K278" s="7">
        <f t="shared" si="69"/>
        <v>-21.2</v>
      </c>
      <c r="L278" s="35">
        <f t="shared" si="58"/>
        <v>25032.799999999999</v>
      </c>
      <c r="M278" s="7">
        <f t="shared" si="69"/>
        <v>0</v>
      </c>
      <c r="N278" s="35">
        <f t="shared" si="59"/>
        <v>25032.799999999999</v>
      </c>
      <c r="O278" s="7">
        <f t="shared" si="69"/>
        <v>0</v>
      </c>
      <c r="P278" s="35">
        <f t="shared" si="55"/>
        <v>25032.799999999999</v>
      </c>
      <c r="Q278" s="7">
        <f t="shared" si="69"/>
        <v>0</v>
      </c>
      <c r="R278" s="35">
        <f t="shared" si="56"/>
        <v>25032.799999999999</v>
      </c>
      <c r="S278" s="7">
        <f t="shared" si="69"/>
        <v>0</v>
      </c>
      <c r="T278" s="35">
        <f t="shared" si="53"/>
        <v>25032.799999999999</v>
      </c>
    </row>
    <row r="279" spans="1:20" ht="18.75" customHeight="1">
      <c r="A279" s="61" t="str">
        <f ca="1">IF(ISERROR(MATCH(E279,Код_КВР,0)),"",INDIRECT(ADDRESS(MATCH(E279,Код_КВР,0)+1,2,,,"КВР")))</f>
        <v>Субсидии бюджетным учреждениям</v>
      </c>
      <c r="B279" s="43" t="s">
        <v>472</v>
      </c>
      <c r="C279" s="8" t="s">
        <v>220</v>
      </c>
      <c r="D279" s="1" t="s">
        <v>211</v>
      </c>
      <c r="E279" s="113">
        <v>610</v>
      </c>
      <c r="F279" s="7">
        <f t="shared" si="69"/>
        <v>25054</v>
      </c>
      <c r="G279" s="7">
        <f t="shared" si="69"/>
        <v>0</v>
      </c>
      <c r="H279" s="35">
        <f t="shared" si="64"/>
        <v>25054</v>
      </c>
      <c r="I279" s="7">
        <f t="shared" si="69"/>
        <v>0</v>
      </c>
      <c r="J279" s="35">
        <f t="shared" si="61"/>
        <v>25054</v>
      </c>
      <c r="K279" s="7">
        <f t="shared" si="69"/>
        <v>-21.2</v>
      </c>
      <c r="L279" s="35">
        <f t="shared" si="58"/>
        <v>25032.799999999999</v>
      </c>
      <c r="M279" s="7">
        <f t="shared" si="69"/>
        <v>0</v>
      </c>
      <c r="N279" s="35">
        <f t="shared" si="59"/>
        <v>25032.799999999999</v>
      </c>
      <c r="O279" s="7">
        <f t="shared" si="69"/>
        <v>0</v>
      </c>
      <c r="P279" s="35">
        <f t="shared" si="55"/>
        <v>25032.799999999999</v>
      </c>
      <c r="Q279" s="7">
        <f t="shared" si="69"/>
        <v>0</v>
      </c>
      <c r="R279" s="35">
        <f t="shared" si="56"/>
        <v>25032.799999999999</v>
      </c>
      <c r="S279" s="7">
        <f t="shared" si="69"/>
        <v>0</v>
      </c>
      <c r="T279" s="35">
        <f t="shared" si="53"/>
        <v>25032.799999999999</v>
      </c>
    </row>
    <row r="280" spans="1:20" ht="53.25" customHeight="1">
      <c r="A280" s="61" t="str">
        <f ca="1">IF(ISERROR(MATCH(E280,Код_КВР,0)),"",INDIRECT(ADDRESS(MATCH(E280,Код_КВР,0)+1,2,,,"КВР")))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0" s="43" t="s">
        <v>472</v>
      </c>
      <c r="C280" s="8" t="s">
        <v>220</v>
      </c>
      <c r="D280" s="1" t="s">
        <v>211</v>
      </c>
      <c r="E280" s="113">
        <v>611</v>
      </c>
      <c r="F280" s="7">
        <f>прил.6!G991</f>
        <v>25054</v>
      </c>
      <c r="G280" s="7">
        <f>прил.6!H991</f>
        <v>0</v>
      </c>
      <c r="H280" s="35">
        <f t="shared" si="64"/>
        <v>25054</v>
      </c>
      <c r="I280" s="7">
        <f>прил.6!J991</f>
        <v>0</v>
      </c>
      <c r="J280" s="35">
        <f t="shared" si="61"/>
        <v>25054</v>
      </c>
      <c r="K280" s="7">
        <f>прил.6!L991</f>
        <v>-21.2</v>
      </c>
      <c r="L280" s="35">
        <f t="shared" si="58"/>
        <v>25032.799999999999</v>
      </c>
      <c r="M280" s="7">
        <f>прил.6!N991</f>
        <v>0</v>
      </c>
      <c r="N280" s="35">
        <f t="shared" si="59"/>
        <v>25032.799999999999</v>
      </c>
      <c r="O280" s="7">
        <f>прил.6!P991</f>
        <v>0</v>
      </c>
      <c r="P280" s="35">
        <f t="shared" si="55"/>
        <v>25032.799999999999</v>
      </c>
      <c r="Q280" s="7">
        <f>прил.6!R991</f>
        <v>0</v>
      </c>
      <c r="R280" s="35">
        <f t="shared" si="56"/>
        <v>25032.799999999999</v>
      </c>
      <c r="S280" s="7">
        <f>прил.6!T991</f>
        <v>0</v>
      </c>
      <c r="T280" s="35">
        <f t="shared" si="53"/>
        <v>25032.799999999999</v>
      </c>
    </row>
    <row r="281" spans="1:20" ht="38.25" customHeight="1">
      <c r="A281" s="61" t="str">
        <f ca="1">IF(ISERROR(MATCH(B281,Код_КЦСР,0)),"",INDIRECT(ADDRESS(MATCH(B281,Код_КЦСР,0)+1,2,,,"КЦСР")))</f>
        <v xml:space="preserve">Хранение, изучение и обеспечение сохранности музейных предметов </v>
      </c>
      <c r="B281" s="43" t="s">
        <v>474</v>
      </c>
      <c r="C281" s="8"/>
      <c r="D281" s="1"/>
      <c r="E281" s="113"/>
      <c r="F281" s="7">
        <f t="shared" ref="F281:S285" si="70">F282</f>
        <v>15501.3</v>
      </c>
      <c r="G281" s="7">
        <f t="shared" si="70"/>
        <v>0</v>
      </c>
      <c r="H281" s="35">
        <f t="shared" si="64"/>
        <v>15501.3</v>
      </c>
      <c r="I281" s="7">
        <f t="shared" si="70"/>
        <v>0</v>
      </c>
      <c r="J281" s="35">
        <f t="shared" si="61"/>
        <v>15501.3</v>
      </c>
      <c r="K281" s="7">
        <f t="shared" si="70"/>
        <v>-1.2</v>
      </c>
      <c r="L281" s="35">
        <f t="shared" si="58"/>
        <v>15500.099999999999</v>
      </c>
      <c r="M281" s="7">
        <f t="shared" si="70"/>
        <v>0</v>
      </c>
      <c r="N281" s="35">
        <f t="shared" si="59"/>
        <v>15500.099999999999</v>
      </c>
      <c r="O281" s="7">
        <f t="shared" si="70"/>
        <v>0</v>
      </c>
      <c r="P281" s="35">
        <f t="shared" si="55"/>
        <v>15500.099999999999</v>
      </c>
      <c r="Q281" s="7">
        <f t="shared" si="70"/>
        <v>0</v>
      </c>
      <c r="R281" s="35">
        <f t="shared" si="56"/>
        <v>15500.099999999999</v>
      </c>
      <c r="S281" s="7">
        <f t="shared" si="70"/>
        <v>0</v>
      </c>
      <c r="T281" s="35">
        <f t="shared" si="53"/>
        <v>15500.099999999999</v>
      </c>
    </row>
    <row r="282" spans="1:20" ht="28.5" customHeight="1">
      <c r="A282" s="61" t="str">
        <f ca="1">IF(ISERROR(MATCH(C282,Код_Раздел,0)),"",INDIRECT(ADDRESS(MATCH(C282,Код_Раздел,0)+1,2,,,"Раздел")))</f>
        <v>Культура, кинематография</v>
      </c>
      <c r="B282" s="43" t="s">
        <v>474</v>
      </c>
      <c r="C282" s="8" t="s">
        <v>220</v>
      </c>
      <c r="D282" s="1"/>
      <c r="E282" s="113"/>
      <c r="F282" s="7">
        <f t="shared" si="70"/>
        <v>15501.3</v>
      </c>
      <c r="G282" s="7">
        <f t="shared" si="70"/>
        <v>0</v>
      </c>
      <c r="H282" s="35">
        <f t="shared" si="64"/>
        <v>15501.3</v>
      </c>
      <c r="I282" s="7">
        <f t="shared" si="70"/>
        <v>0</v>
      </c>
      <c r="J282" s="35">
        <f t="shared" si="61"/>
        <v>15501.3</v>
      </c>
      <c r="K282" s="7">
        <f t="shared" si="70"/>
        <v>-1.2</v>
      </c>
      <c r="L282" s="35">
        <f t="shared" si="58"/>
        <v>15500.099999999999</v>
      </c>
      <c r="M282" s="7">
        <f t="shared" si="70"/>
        <v>0</v>
      </c>
      <c r="N282" s="35">
        <f t="shared" si="59"/>
        <v>15500.099999999999</v>
      </c>
      <c r="O282" s="7">
        <f t="shared" si="70"/>
        <v>0</v>
      </c>
      <c r="P282" s="35">
        <f t="shared" si="55"/>
        <v>15500.099999999999</v>
      </c>
      <c r="Q282" s="7">
        <f t="shared" si="70"/>
        <v>0</v>
      </c>
      <c r="R282" s="35">
        <f t="shared" si="56"/>
        <v>15500.099999999999</v>
      </c>
      <c r="S282" s="7">
        <f t="shared" si="70"/>
        <v>0</v>
      </c>
      <c r="T282" s="35">
        <f t="shared" si="53"/>
        <v>15500.099999999999</v>
      </c>
    </row>
    <row r="283" spans="1:20" ht="20.25" customHeight="1">
      <c r="A283" s="12" t="s">
        <v>182</v>
      </c>
      <c r="B283" s="43" t="s">
        <v>474</v>
      </c>
      <c r="C283" s="8" t="s">
        <v>220</v>
      </c>
      <c r="D283" s="1" t="s">
        <v>211</v>
      </c>
      <c r="E283" s="113"/>
      <c r="F283" s="7">
        <f t="shared" si="70"/>
        <v>15501.3</v>
      </c>
      <c r="G283" s="7">
        <f t="shared" si="70"/>
        <v>0</v>
      </c>
      <c r="H283" s="35">
        <f t="shared" si="64"/>
        <v>15501.3</v>
      </c>
      <c r="I283" s="7">
        <f t="shared" si="70"/>
        <v>0</v>
      </c>
      <c r="J283" s="35">
        <f t="shared" si="61"/>
        <v>15501.3</v>
      </c>
      <c r="K283" s="7">
        <f t="shared" si="70"/>
        <v>-1.2</v>
      </c>
      <c r="L283" s="35">
        <f t="shared" si="58"/>
        <v>15500.099999999999</v>
      </c>
      <c r="M283" s="7">
        <f t="shared" si="70"/>
        <v>0</v>
      </c>
      <c r="N283" s="35">
        <f t="shared" si="59"/>
        <v>15500.099999999999</v>
      </c>
      <c r="O283" s="7">
        <f t="shared" si="70"/>
        <v>0</v>
      </c>
      <c r="P283" s="35">
        <f t="shared" si="55"/>
        <v>15500.099999999999</v>
      </c>
      <c r="Q283" s="7">
        <f t="shared" si="70"/>
        <v>0</v>
      </c>
      <c r="R283" s="35">
        <f t="shared" si="56"/>
        <v>15500.099999999999</v>
      </c>
      <c r="S283" s="7">
        <f t="shared" si="70"/>
        <v>0</v>
      </c>
      <c r="T283" s="35">
        <f t="shared" si="53"/>
        <v>15500.099999999999</v>
      </c>
    </row>
    <row r="284" spans="1:20" ht="36" customHeight="1">
      <c r="A284" s="61" t="str">
        <f ca="1">IF(ISERROR(MATCH(E284,Код_КВР,0)),"",INDIRECT(ADDRESS(MATCH(E284,Код_КВР,0)+1,2,,,"КВР")))</f>
        <v>Предоставление субсидий бюджетным, автономным учреждениям и иным некоммерческим организациям</v>
      </c>
      <c r="B284" s="43" t="s">
        <v>474</v>
      </c>
      <c r="C284" s="8" t="s">
        <v>220</v>
      </c>
      <c r="D284" s="1" t="s">
        <v>211</v>
      </c>
      <c r="E284" s="113">
        <v>600</v>
      </c>
      <c r="F284" s="7">
        <f t="shared" si="70"/>
        <v>15501.3</v>
      </c>
      <c r="G284" s="7">
        <f t="shared" si="70"/>
        <v>0</v>
      </c>
      <c r="H284" s="35">
        <f t="shared" si="64"/>
        <v>15501.3</v>
      </c>
      <c r="I284" s="7">
        <f t="shared" si="70"/>
        <v>0</v>
      </c>
      <c r="J284" s="35">
        <f t="shared" si="61"/>
        <v>15501.3</v>
      </c>
      <c r="K284" s="7">
        <f t="shared" si="70"/>
        <v>-1.2</v>
      </c>
      <c r="L284" s="35">
        <f t="shared" si="58"/>
        <v>15500.099999999999</v>
      </c>
      <c r="M284" s="7">
        <f t="shared" si="70"/>
        <v>0</v>
      </c>
      <c r="N284" s="35">
        <f t="shared" si="59"/>
        <v>15500.099999999999</v>
      </c>
      <c r="O284" s="7">
        <f t="shared" si="70"/>
        <v>0</v>
      </c>
      <c r="P284" s="35">
        <f t="shared" si="55"/>
        <v>15500.099999999999</v>
      </c>
      <c r="Q284" s="7">
        <f t="shared" si="70"/>
        <v>0</v>
      </c>
      <c r="R284" s="35">
        <f t="shared" si="56"/>
        <v>15500.099999999999</v>
      </c>
      <c r="S284" s="7">
        <f t="shared" si="70"/>
        <v>0</v>
      </c>
      <c r="T284" s="35">
        <f t="shared" si="53"/>
        <v>15500.099999999999</v>
      </c>
    </row>
    <row r="285" spans="1:20" ht="18.75" customHeight="1">
      <c r="A285" s="61" t="str">
        <f ca="1">IF(ISERROR(MATCH(E285,Код_КВР,0)),"",INDIRECT(ADDRESS(MATCH(E285,Код_КВР,0)+1,2,,,"КВР")))</f>
        <v>Субсидии бюджетным учреждениям</v>
      </c>
      <c r="B285" s="43" t="s">
        <v>474</v>
      </c>
      <c r="C285" s="8" t="s">
        <v>220</v>
      </c>
      <c r="D285" s="1" t="s">
        <v>211</v>
      </c>
      <c r="E285" s="113">
        <v>610</v>
      </c>
      <c r="F285" s="7">
        <f t="shared" si="70"/>
        <v>15501.3</v>
      </c>
      <c r="G285" s="7">
        <f t="shared" si="70"/>
        <v>0</v>
      </c>
      <c r="H285" s="35">
        <f t="shared" si="64"/>
        <v>15501.3</v>
      </c>
      <c r="I285" s="7">
        <f t="shared" si="70"/>
        <v>0</v>
      </c>
      <c r="J285" s="35">
        <f t="shared" si="61"/>
        <v>15501.3</v>
      </c>
      <c r="K285" s="7">
        <f t="shared" si="70"/>
        <v>-1.2</v>
      </c>
      <c r="L285" s="35">
        <f t="shared" si="58"/>
        <v>15500.099999999999</v>
      </c>
      <c r="M285" s="7">
        <f t="shared" si="70"/>
        <v>0</v>
      </c>
      <c r="N285" s="35">
        <f t="shared" si="59"/>
        <v>15500.099999999999</v>
      </c>
      <c r="O285" s="7">
        <f t="shared" si="70"/>
        <v>0</v>
      </c>
      <c r="P285" s="35">
        <f t="shared" si="55"/>
        <v>15500.099999999999</v>
      </c>
      <c r="Q285" s="7">
        <f t="shared" si="70"/>
        <v>0</v>
      </c>
      <c r="R285" s="35">
        <f t="shared" si="56"/>
        <v>15500.099999999999</v>
      </c>
      <c r="S285" s="7">
        <f t="shared" si="70"/>
        <v>0</v>
      </c>
      <c r="T285" s="35">
        <f t="shared" si="53"/>
        <v>15500.099999999999</v>
      </c>
    </row>
    <row r="286" spans="1:20" ht="53.25" customHeight="1">
      <c r="A286" s="61" t="str">
        <f ca="1">IF(ISERROR(MATCH(E286,Код_КВР,0)),"",INDIRECT(ADDRESS(MATCH(E286,Код_КВР,0)+1,2,,,"КВР")))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6" s="43" t="s">
        <v>474</v>
      </c>
      <c r="C286" s="8" t="s">
        <v>220</v>
      </c>
      <c r="D286" s="1" t="s">
        <v>211</v>
      </c>
      <c r="E286" s="113">
        <v>611</v>
      </c>
      <c r="F286" s="7">
        <f>прил.6!G995</f>
        <v>15501.3</v>
      </c>
      <c r="G286" s="7">
        <f>прил.6!H995</f>
        <v>0</v>
      </c>
      <c r="H286" s="35">
        <f t="shared" si="64"/>
        <v>15501.3</v>
      </c>
      <c r="I286" s="7">
        <f>прил.6!J995</f>
        <v>0</v>
      </c>
      <c r="J286" s="35">
        <f t="shared" si="61"/>
        <v>15501.3</v>
      </c>
      <c r="K286" s="7">
        <f>прил.6!L995</f>
        <v>-1.2</v>
      </c>
      <c r="L286" s="35">
        <f t="shared" si="58"/>
        <v>15500.099999999999</v>
      </c>
      <c r="M286" s="7">
        <f>прил.6!N995</f>
        <v>0</v>
      </c>
      <c r="N286" s="35">
        <f t="shared" si="59"/>
        <v>15500.099999999999</v>
      </c>
      <c r="O286" s="7">
        <f>прил.6!P995</f>
        <v>0</v>
      </c>
      <c r="P286" s="35">
        <f t="shared" si="55"/>
        <v>15500.099999999999</v>
      </c>
      <c r="Q286" s="7">
        <f>прил.6!R995</f>
        <v>0</v>
      </c>
      <c r="R286" s="35">
        <f t="shared" si="56"/>
        <v>15500.099999999999</v>
      </c>
      <c r="S286" s="7">
        <f>прил.6!T995</f>
        <v>0</v>
      </c>
      <c r="T286" s="35">
        <f t="shared" si="53"/>
        <v>15500.099999999999</v>
      </c>
    </row>
    <row r="287" spans="1:20" ht="20.25" customHeight="1">
      <c r="A287" s="61" t="str">
        <f ca="1">IF(ISERROR(MATCH(B287,Код_КЦСР,0)),"",INDIRECT(ADDRESS(MATCH(B287,Код_КЦСР,0)+1,2,,,"КЦСР")))</f>
        <v>Формирование и учет музейного фонда</v>
      </c>
      <c r="B287" s="43" t="s">
        <v>476</v>
      </c>
      <c r="C287" s="8"/>
      <c r="D287" s="1"/>
      <c r="E287" s="113"/>
      <c r="F287" s="7">
        <f t="shared" ref="F287:S291" si="71">F288</f>
        <v>3771.9</v>
      </c>
      <c r="G287" s="7">
        <f t="shared" si="71"/>
        <v>0</v>
      </c>
      <c r="H287" s="35">
        <f t="shared" si="64"/>
        <v>3771.9</v>
      </c>
      <c r="I287" s="7">
        <f t="shared" si="71"/>
        <v>0</v>
      </c>
      <c r="J287" s="35">
        <f t="shared" si="61"/>
        <v>3771.9</v>
      </c>
      <c r="K287" s="7">
        <f t="shared" si="71"/>
        <v>-4</v>
      </c>
      <c r="L287" s="35">
        <f t="shared" si="58"/>
        <v>3767.9</v>
      </c>
      <c r="M287" s="7">
        <f t="shared" si="71"/>
        <v>0</v>
      </c>
      <c r="N287" s="35">
        <f t="shared" si="59"/>
        <v>3767.9</v>
      </c>
      <c r="O287" s="7">
        <f t="shared" si="71"/>
        <v>0</v>
      </c>
      <c r="P287" s="35">
        <f t="shared" si="55"/>
        <v>3767.9</v>
      </c>
      <c r="Q287" s="7">
        <f t="shared" si="71"/>
        <v>0</v>
      </c>
      <c r="R287" s="35">
        <f t="shared" si="56"/>
        <v>3767.9</v>
      </c>
      <c r="S287" s="7">
        <f t="shared" si="71"/>
        <v>0</v>
      </c>
      <c r="T287" s="35">
        <f t="shared" si="53"/>
        <v>3767.9</v>
      </c>
    </row>
    <row r="288" spans="1:20" ht="19.5" customHeight="1">
      <c r="A288" s="61" t="str">
        <f ca="1">IF(ISERROR(MATCH(C288,Код_Раздел,0)),"",INDIRECT(ADDRESS(MATCH(C288,Код_Раздел,0)+1,2,,,"Раздел")))</f>
        <v>Культура, кинематография</v>
      </c>
      <c r="B288" s="43" t="s">
        <v>476</v>
      </c>
      <c r="C288" s="8" t="s">
        <v>220</v>
      </c>
      <c r="D288" s="1"/>
      <c r="E288" s="113"/>
      <c r="F288" s="7">
        <f t="shared" si="71"/>
        <v>3771.9</v>
      </c>
      <c r="G288" s="7">
        <f t="shared" si="71"/>
        <v>0</v>
      </c>
      <c r="H288" s="35">
        <f t="shared" si="64"/>
        <v>3771.9</v>
      </c>
      <c r="I288" s="7">
        <f t="shared" si="71"/>
        <v>0</v>
      </c>
      <c r="J288" s="35">
        <f t="shared" si="61"/>
        <v>3771.9</v>
      </c>
      <c r="K288" s="7">
        <f t="shared" si="71"/>
        <v>-4</v>
      </c>
      <c r="L288" s="35">
        <f t="shared" si="58"/>
        <v>3767.9</v>
      </c>
      <c r="M288" s="7">
        <f t="shared" si="71"/>
        <v>0</v>
      </c>
      <c r="N288" s="35">
        <f t="shared" si="59"/>
        <v>3767.9</v>
      </c>
      <c r="O288" s="7">
        <f t="shared" si="71"/>
        <v>0</v>
      </c>
      <c r="P288" s="35">
        <f t="shared" si="55"/>
        <v>3767.9</v>
      </c>
      <c r="Q288" s="7">
        <f t="shared" si="71"/>
        <v>0</v>
      </c>
      <c r="R288" s="35">
        <f t="shared" si="56"/>
        <v>3767.9</v>
      </c>
      <c r="S288" s="7">
        <f t="shared" si="71"/>
        <v>0</v>
      </c>
      <c r="T288" s="35">
        <f t="shared" ref="T288:T351" si="72">R288+S288</f>
        <v>3767.9</v>
      </c>
    </row>
    <row r="289" spans="1:20" ht="23.25" customHeight="1">
      <c r="A289" s="12" t="s">
        <v>182</v>
      </c>
      <c r="B289" s="43" t="s">
        <v>476</v>
      </c>
      <c r="C289" s="8" t="s">
        <v>220</v>
      </c>
      <c r="D289" s="1" t="s">
        <v>211</v>
      </c>
      <c r="E289" s="113"/>
      <c r="F289" s="7">
        <f t="shared" si="71"/>
        <v>3771.9</v>
      </c>
      <c r="G289" s="7">
        <f t="shared" si="71"/>
        <v>0</v>
      </c>
      <c r="H289" s="35">
        <f t="shared" si="64"/>
        <v>3771.9</v>
      </c>
      <c r="I289" s="7">
        <f t="shared" si="71"/>
        <v>0</v>
      </c>
      <c r="J289" s="35">
        <f t="shared" si="61"/>
        <v>3771.9</v>
      </c>
      <c r="K289" s="7">
        <f t="shared" si="71"/>
        <v>-4</v>
      </c>
      <c r="L289" s="35">
        <f t="shared" si="58"/>
        <v>3767.9</v>
      </c>
      <c r="M289" s="7">
        <f t="shared" si="71"/>
        <v>0</v>
      </c>
      <c r="N289" s="35">
        <f t="shared" si="59"/>
        <v>3767.9</v>
      </c>
      <c r="O289" s="7">
        <f t="shared" si="71"/>
        <v>0</v>
      </c>
      <c r="P289" s="35">
        <f t="shared" si="55"/>
        <v>3767.9</v>
      </c>
      <c r="Q289" s="7">
        <f t="shared" si="71"/>
        <v>0</v>
      </c>
      <c r="R289" s="35">
        <f t="shared" si="56"/>
        <v>3767.9</v>
      </c>
      <c r="S289" s="7">
        <f t="shared" si="71"/>
        <v>0</v>
      </c>
      <c r="T289" s="35">
        <f t="shared" si="72"/>
        <v>3767.9</v>
      </c>
    </row>
    <row r="290" spans="1:20" ht="35.25" customHeight="1">
      <c r="A290" s="61" t="str">
        <f ca="1">IF(ISERROR(MATCH(E290,Код_КВР,0)),"",INDIRECT(ADDRESS(MATCH(E290,Код_КВР,0)+1,2,,,"КВР")))</f>
        <v>Предоставление субсидий бюджетным, автономным учреждениям и иным некоммерческим организациям</v>
      </c>
      <c r="B290" s="43" t="s">
        <v>476</v>
      </c>
      <c r="C290" s="8" t="s">
        <v>220</v>
      </c>
      <c r="D290" s="1" t="s">
        <v>211</v>
      </c>
      <c r="E290" s="113">
        <v>600</v>
      </c>
      <c r="F290" s="7">
        <f t="shared" si="71"/>
        <v>3771.9</v>
      </c>
      <c r="G290" s="7">
        <f t="shared" si="71"/>
        <v>0</v>
      </c>
      <c r="H290" s="35">
        <f t="shared" si="64"/>
        <v>3771.9</v>
      </c>
      <c r="I290" s="7">
        <f t="shared" si="71"/>
        <v>0</v>
      </c>
      <c r="J290" s="35">
        <f t="shared" si="61"/>
        <v>3771.9</v>
      </c>
      <c r="K290" s="7">
        <f t="shared" si="71"/>
        <v>-4</v>
      </c>
      <c r="L290" s="35">
        <f t="shared" si="58"/>
        <v>3767.9</v>
      </c>
      <c r="M290" s="7">
        <f t="shared" si="71"/>
        <v>0</v>
      </c>
      <c r="N290" s="35">
        <f t="shared" si="59"/>
        <v>3767.9</v>
      </c>
      <c r="O290" s="7">
        <f t="shared" si="71"/>
        <v>0</v>
      </c>
      <c r="P290" s="35">
        <f t="shared" si="55"/>
        <v>3767.9</v>
      </c>
      <c r="Q290" s="7">
        <f t="shared" si="71"/>
        <v>0</v>
      </c>
      <c r="R290" s="35">
        <f t="shared" si="56"/>
        <v>3767.9</v>
      </c>
      <c r="S290" s="7">
        <f t="shared" si="71"/>
        <v>0</v>
      </c>
      <c r="T290" s="35">
        <f t="shared" si="72"/>
        <v>3767.9</v>
      </c>
    </row>
    <row r="291" spans="1:20" ht="23.25" customHeight="1">
      <c r="A291" s="61" t="str">
        <f ca="1">IF(ISERROR(MATCH(E291,Код_КВР,0)),"",INDIRECT(ADDRESS(MATCH(E291,Код_КВР,0)+1,2,,,"КВР")))</f>
        <v>Субсидии бюджетным учреждениям</v>
      </c>
      <c r="B291" s="43" t="s">
        <v>476</v>
      </c>
      <c r="C291" s="8" t="s">
        <v>220</v>
      </c>
      <c r="D291" s="1" t="s">
        <v>211</v>
      </c>
      <c r="E291" s="113">
        <v>610</v>
      </c>
      <c r="F291" s="7">
        <f t="shared" si="71"/>
        <v>3771.9</v>
      </c>
      <c r="G291" s="7">
        <f t="shared" si="71"/>
        <v>0</v>
      </c>
      <c r="H291" s="35">
        <f t="shared" si="64"/>
        <v>3771.9</v>
      </c>
      <c r="I291" s="7">
        <f t="shared" si="71"/>
        <v>0</v>
      </c>
      <c r="J291" s="35">
        <f t="shared" si="61"/>
        <v>3771.9</v>
      </c>
      <c r="K291" s="7">
        <f t="shared" si="71"/>
        <v>-4</v>
      </c>
      <c r="L291" s="35">
        <f t="shared" si="58"/>
        <v>3767.9</v>
      </c>
      <c r="M291" s="7">
        <f t="shared" si="71"/>
        <v>0</v>
      </c>
      <c r="N291" s="35">
        <f t="shared" si="59"/>
        <v>3767.9</v>
      </c>
      <c r="O291" s="7">
        <f t="shared" si="71"/>
        <v>0</v>
      </c>
      <c r="P291" s="35">
        <f t="shared" si="55"/>
        <v>3767.9</v>
      </c>
      <c r="Q291" s="7">
        <f t="shared" si="71"/>
        <v>0</v>
      </c>
      <c r="R291" s="35">
        <f t="shared" si="56"/>
        <v>3767.9</v>
      </c>
      <c r="S291" s="7">
        <f t="shared" si="71"/>
        <v>0</v>
      </c>
      <c r="T291" s="35">
        <f t="shared" si="72"/>
        <v>3767.9</v>
      </c>
    </row>
    <row r="292" spans="1:20" ht="52.7" customHeight="1">
      <c r="A292" s="61" t="str">
        <f ca="1">IF(ISERROR(MATCH(E292,Код_КВР,0)),"",INDIRECT(ADDRESS(MATCH(E292,Код_КВР,0)+1,2,,,"КВР")))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2" s="43" t="s">
        <v>476</v>
      </c>
      <c r="C292" s="8" t="s">
        <v>220</v>
      </c>
      <c r="D292" s="1" t="s">
        <v>211</v>
      </c>
      <c r="E292" s="113">
        <v>611</v>
      </c>
      <c r="F292" s="7">
        <f>прил.6!G999</f>
        <v>3771.9</v>
      </c>
      <c r="G292" s="7">
        <f>прил.6!H999</f>
        <v>0</v>
      </c>
      <c r="H292" s="35">
        <f t="shared" si="64"/>
        <v>3771.9</v>
      </c>
      <c r="I292" s="7">
        <f>прил.6!J999</f>
        <v>0</v>
      </c>
      <c r="J292" s="35">
        <f t="shared" si="61"/>
        <v>3771.9</v>
      </c>
      <c r="K292" s="7">
        <f>прил.6!L999</f>
        <v>-4</v>
      </c>
      <c r="L292" s="35">
        <f t="shared" si="58"/>
        <v>3767.9</v>
      </c>
      <c r="M292" s="7">
        <f>прил.6!N999</f>
        <v>0</v>
      </c>
      <c r="N292" s="35">
        <f t="shared" si="59"/>
        <v>3767.9</v>
      </c>
      <c r="O292" s="7">
        <f>прил.6!P999</f>
        <v>0</v>
      </c>
      <c r="P292" s="35">
        <f t="shared" si="55"/>
        <v>3767.9</v>
      </c>
      <c r="Q292" s="7">
        <f>прил.6!R999</f>
        <v>0</v>
      </c>
      <c r="R292" s="35">
        <f t="shared" si="56"/>
        <v>3767.9</v>
      </c>
      <c r="S292" s="7">
        <f>прил.6!T999</f>
        <v>0</v>
      </c>
      <c r="T292" s="35">
        <f t="shared" si="72"/>
        <v>3767.9</v>
      </c>
    </row>
    <row r="293" spans="1:20" ht="36" customHeight="1">
      <c r="A293" s="61" t="str">
        <f ca="1">IF(ISERROR(MATCH(B293,Код_КЦСР,0)),"",INDIRECT(ADDRESS(MATCH(B293,Код_КЦСР,0)+1,2,,,"КЦСР")))</f>
        <v>Субсидии на иные цели МБУК «Череповецкое музейное объединение» для погашения кредиторской задолженности</v>
      </c>
      <c r="B293" s="43" t="s">
        <v>671</v>
      </c>
      <c r="C293" s="8"/>
      <c r="D293" s="1"/>
      <c r="E293" s="113"/>
      <c r="F293" s="7"/>
      <c r="G293" s="7"/>
      <c r="H293" s="35"/>
      <c r="I293" s="7"/>
      <c r="J293" s="35"/>
      <c r="K293" s="7"/>
      <c r="L293" s="35"/>
      <c r="M293" s="7"/>
      <c r="N293" s="35"/>
      <c r="O293" s="7"/>
      <c r="P293" s="35"/>
      <c r="Q293" s="7">
        <f>Q294</f>
        <v>6009.3</v>
      </c>
      <c r="R293" s="35">
        <f t="shared" si="56"/>
        <v>6009.3</v>
      </c>
      <c r="S293" s="7">
        <f>S294</f>
        <v>0</v>
      </c>
      <c r="T293" s="35">
        <f t="shared" si="72"/>
        <v>6009.3</v>
      </c>
    </row>
    <row r="294" spans="1:20" ht="21" customHeight="1">
      <c r="A294" s="61" t="str">
        <f ca="1">IF(ISERROR(MATCH(C294,Код_Раздел,0)),"",INDIRECT(ADDRESS(MATCH(C294,Код_Раздел,0)+1,2,,,"Раздел")))</f>
        <v>Культура, кинематография</v>
      </c>
      <c r="B294" s="43" t="s">
        <v>671</v>
      </c>
      <c r="C294" s="8" t="s">
        <v>220</v>
      </c>
      <c r="D294" s="1"/>
      <c r="E294" s="113"/>
      <c r="F294" s="7"/>
      <c r="G294" s="7"/>
      <c r="H294" s="35"/>
      <c r="I294" s="7"/>
      <c r="J294" s="35"/>
      <c r="K294" s="7"/>
      <c r="L294" s="35"/>
      <c r="M294" s="7"/>
      <c r="N294" s="35"/>
      <c r="O294" s="7"/>
      <c r="P294" s="35"/>
      <c r="Q294" s="7">
        <f>Q295</f>
        <v>6009.3</v>
      </c>
      <c r="R294" s="35">
        <f t="shared" si="56"/>
        <v>6009.3</v>
      </c>
      <c r="S294" s="7">
        <f>S295</f>
        <v>0</v>
      </c>
      <c r="T294" s="35">
        <f t="shared" si="72"/>
        <v>6009.3</v>
      </c>
    </row>
    <row r="295" spans="1:20" ht="23.25" customHeight="1">
      <c r="A295" s="61" t="s">
        <v>673</v>
      </c>
      <c r="B295" s="43" t="s">
        <v>671</v>
      </c>
      <c r="C295" s="8" t="s">
        <v>220</v>
      </c>
      <c r="D295" s="1" t="s">
        <v>214</v>
      </c>
      <c r="E295" s="113"/>
      <c r="F295" s="7"/>
      <c r="G295" s="7"/>
      <c r="H295" s="35"/>
      <c r="I295" s="7"/>
      <c r="J295" s="35"/>
      <c r="K295" s="7"/>
      <c r="L295" s="35"/>
      <c r="M295" s="7"/>
      <c r="N295" s="35"/>
      <c r="O295" s="7"/>
      <c r="P295" s="35"/>
      <c r="Q295" s="7">
        <f>Q296</f>
        <v>6009.3</v>
      </c>
      <c r="R295" s="35">
        <f t="shared" si="56"/>
        <v>6009.3</v>
      </c>
      <c r="S295" s="7">
        <f>S296</f>
        <v>0</v>
      </c>
      <c r="T295" s="35">
        <f t="shared" si="72"/>
        <v>6009.3</v>
      </c>
    </row>
    <row r="296" spans="1:20" ht="36" customHeight="1">
      <c r="A296" s="61" t="str">
        <f ca="1">IF(ISERROR(MATCH(E296,Код_КВР,0)),"",INDIRECT(ADDRESS(MATCH(E296,Код_КВР,0)+1,2,,,"КВР")))</f>
        <v>Предоставление субсидий бюджетным, автономным учреждениям и иным некоммерческим организациям</v>
      </c>
      <c r="B296" s="43" t="s">
        <v>671</v>
      </c>
      <c r="C296" s="8" t="s">
        <v>220</v>
      </c>
      <c r="D296" s="1" t="s">
        <v>214</v>
      </c>
      <c r="E296" s="113">
        <v>600</v>
      </c>
      <c r="F296" s="7"/>
      <c r="G296" s="7"/>
      <c r="H296" s="35"/>
      <c r="I296" s="7"/>
      <c r="J296" s="35"/>
      <c r="K296" s="7"/>
      <c r="L296" s="35"/>
      <c r="M296" s="7"/>
      <c r="N296" s="35"/>
      <c r="O296" s="7"/>
      <c r="P296" s="35"/>
      <c r="Q296" s="7">
        <f>Q297</f>
        <v>6009.3</v>
      </c>
      <c r="R296" s="35">
        <f t="shared" si="56"/>
        <v>6009.3</v>
      </c>
      <c r="S296" s="7">
        <f>S297</f>
        <v>0</v>
      </c>
      <c r="T296" s="35">
        <f t="shared" si="72"/>
        <v>6009.3</v>
      </c>
    </row>
    <row r="297" spans="1:20" ht="24" customHeight="1">
      <c r="A297" s="61" t="str">
        <f ca="1">IF(ISERROR(MATCH(E297,Код_КВР,0)),"",INDIRECT(ADDRESS(MATCH(E297,Код_КВР,0)+1,2,,,"КВР")))</f>
        <v>Субсидии бюджетным учреждениям</v>
      </c>
      <c r="B297" s="43" t="s">
        <v>671</v>
      </c>
      <c r="C297" s="8" t="s">
        <v>220</v>
      </c>
      <c r="D297" s="1" t="s">
        <v>214</v>
      </c>
      <c r="E297" s="113">
        <v>610</v>
      </c>
      <c r="F297" s="7"/>
      <c r="G297" s="7"/>
      <c r="H297" s="35"/>
      <c r="I297" s="7"/>
      <c r="J297" s="35"/>
      <c r="K297" s="7"/>
      <c r="L297" s="35"/>
      <c r="M297" s="7"/>
      <c r="N297" s="35"/>
      <c r="O297" s="7"/>
      <c r="P297" s="35"/>
      <c r="Q297" s="7">
        <f>Q298</f>
        <v>6009.3</v>
      </c>
      <c r="R297" s="35">
        <f t="shared" si="56"/>
        <v>6009.3</v>
      </c>
      <c r="S297" s="7">
        <f>S298</f>
        <v>0</v>
      </c>
      <c r="T297" s="35">
        <f t="shared" si="72"/>
        <v>6009.3</v>
      </c>
    </row>
    <row r="298" spans="1:20" ht="24.75" customHeight="1">
      <c r="A298" s="61" t="str">
        <f ca="1">IF(ISERROR(MATCH(E298,Код_КВР,0)),"",INDIRECT(ADDRESS(MATCH(E298,Код_КВР,0)+1,2,,,"КВР")))</f>
        <v>Субсидии бюджетным учреждениям на иные цели</v>
      </c>
      <c r="B298" s="43" t="s">
        <v>671</v>
      </c>
      <c r="C298" s="8" t="s">
        <v>220</v>
      </c>
      <c r="D298" s="1" t="s">
        <v>214</v>
      </c>
      <c r="E298" s="113">
        <v>612</v>
      </c>
      <c r="F298" s="7"/>
      <c r="G298" s="7"/>
      <c r="H298" s="35"/>
      <c r="I298" s="7"/>
      <c r="J298" s="35"/>
      <c r="K298" s="7"/>
      <c r="L298" s="35"/>
      <c r="M298" s="7"/>
      <c r="N298" s="35"/>
      <c r="O298" s="7"/>
      <c r="P298" s="35"/>
      <c r="Q298" s="7">
        <v>6009.3</v>
      </c>
      <c r="R298" s="35">
        <f t="shared" si="56"/>
        <v>6009.3</v>
      </c>
      <c r="S298" s="7">
        <f>прил.6!T1084</f>
        <v>0</v>
      </c>
      <c r="T298" s="35">
        <f t="shared" si="72"/>
        <v>6009.3</v>
      </c>
    </row>
    <row r="299" spans="1:20" ht="57.75" customHeight="1">
      <c r="A299" s="61" t="str">
        <f ca="1">IF(ISERROR(MATCH(B299,Код_КЦСР,0)),"",INDIRECT(ADDRESS(MATCH(B299,Код_КЦСР,0)+1,2,,,"КЦСР")))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299" s="43" t="s">
        <v>665</v>
      </c>
      <c r="C299" s="8"/>
      <c r="D299" s="1"/>
      <c r="E299" s="113"/>
      <c r="F299" s="7"/>
      <c r="G299" s="7"/>
      <c r="H299" s="35"/>
      <c r="I299" s="7"/>
      <c r="J299" s="35"/>
      <c r="K299" s="7"/>
      <c r="L299" s="35"/>
      <c r="M299" s="7"/>
      <c r="N299" s="35"/>
      <c r="O299" s="7"/>
      <c r="P299" s="35"/>
      <c r="Q299" s="7">
        <f>Q300</f>
        <v>9713.7999999999993</v>
      </c>
      <c r="R299" s="35">
        <f t="shared" si="56"/>
        <v>9713.7999999999993</v>
      </c>
      <c r="S299" s="7">
        <f>S300</f>
        <v>-680</v>
      </c>
      <c r="T299" s="35">
        <f t="shared" si="72"/>
        <v>9033.7999999999993</v>
      </c>
    </row>
    <row r="300" spans="1:20" ht="27" customHeight="1">
      <c r="A300" s="61" t="str">
        <f ca="1">IF(ISERROR(MATCH(C300,Код_Раздел,0)),"",INDIRECT(ADDRESS(MATCH(C300,Код_Раздел,0)+1,2,,,"Раздел")))</f>
        <v>Культура, кинематография</v>
      </c>
      <c r="B300" s="43" t="s">
        <v>665</v>
      </c>
      <c r="C300" s="8" t="s">
        <v>220</v>
      </c>
      <c r="D300" s="1"/>
      <c r="E300" s="113"/>
      <c r="F300" s="7"/>
      <c r="G300" s="7"/>
      <c r="H300" s="35"/>
      <c r="I300" s="7"/>
      <c r="J300" s="35"/>
      <c r="K300" s="7"/>
      <c r="L300" s="35"/>
      <c r="M300" s="7"/>
      <c r="N300" s="35"/>
      <c r="O300" s="7"/>
      <c r="P300" s="35"/>
      <c r="Q300" s="7">
        <f>Q301</f>
        <v>9713.7999999999993</v>
      </c>
      <c r="R300" s="35">
        <f t="shared" si="56"/>
        <v>9713.7999999999993</v>
      </c>
      <c r="S300" s="7">
        <f>S301</f>
        <v>-680</v>
      </c>
      <c r="T300" s="35">
        <f t="shared" si="72"/>
        <v>9033.7999999999993</v>
      </c>
    </row>
    <row r="301" spans="1:20" ht="26.25" customHeight="1">
      <c r="A301" s="12" t="s">
        <v>182</v>
      </c>
      <c r="B301" s="43" t="s">
        <v>665</v>
      </c>
      <c r="C301" s="8" t="s">
        <v>220</v>
      </c>
      <c r="D301" s="1" t="s">
        <v>211</v>
      </c>
      <c r="E301" s="113"/>
      <c r="F301" s="7"/>
      <c r="G301" s="7"/>
      <c r="H301" s="35"/>
      <c r="I301" s="7"/>
      <c r="J301" s="35"/>
      <c r="K301" s="7"/>
      <c r="L301" s="35"/>
      <c r="M301" s="7"/>
      <c r="N301" s="35"/>
      <c r="O301" s="7"/>
      <c r="P301" s="35"/>
      <c r="Q301" s="7">
        <f>Q302</f>
        <v>9713.7999999999993</v>
      </c>
      <c r="R301" s="35">
        <f t="shared" si="56"/>
        <v>9713.7999999999993</v>
      </c>
      <c r="S301" s="7">
        <f>S302</f>
        <v>-680</v>
      </c>
      <c r="T301" s="35">
        <f t="shared" si="72"/>
        <v>9033.7999999999993</v>
      </c>
    </row>
    <row r="302" spans="1:20" ht="39" customHeight="1">
      <c r="A302" s="61" t="str">
        <f ca="1">IF(ISERROR(MATCH(E302,Код_КВР,0)),"",INDIRECT(ADDRESS(MATCH(E302,Код_КВР,0)+1,2,,,"КВР")))</f>
        <v>Предоставление субсидий бюджетным, автономным учреждениям и иным некоммерческим организациям</v>
      </c>
      <c r="B302" s="43" t="s">
        <v>665</v>
      </c>
      <c r="C302" s="8" t="s">
        <v>220</v>
      </c>
      <c r="D302" s="1" t="s">
        <v>211</v>
      </c>
      <c r="E302" s="113">
        <v>600</v>
      </c>
      <c r="F302" s="7"/>
      <c r="G302" s="7"/>
      <c r="H302" s="35"/>
      <c r="I302" s="7"/>
      <c r="J302" s="35"/>
      <c r="K302" s="7"/>
      <c r="L302" s="35"/>
      <c r="M302" s="7"/>
      <c r="N302" s="35"/>
      <c r="O302" s="7"/>
      <c r="P302" s="35"/>
      <c r="Q302" s="7">
        <f>Q303</f>
        <v>9713.7999999999993</v>
      </c>
      <c r="R302" s="35">
        <f t="shared" si="56"/>
        <v>9713.7999999999993</v>
      </c>
      <c r="S302" s="7">
        <f>S303</f>
        <v>-680</v>
      </c>
      <c r="T302" s="35">
        <f t="shared" si="72"/>
        <v>9033.7999999999993</v>
      </c>
    </row>
    <row r="303" spans="1:20" ht="25.5" customHeight="1">
      <c r="A303" s="61" t="str">
        <f ca="1">IF(ISERROR(MATCH(E303,Код_КВР,0)),"",INDIRECT(ADDRESS(MATCH(E303,Код_КВР,0)+1,2,,,"КВР")))</f>
        <v>Субсидии бюджетным учреждениям</v>
      </c>
      <c r="B303" s="43" t="s">
        <v>665</v>
      </c>
      <c r="C303" s="8" t="s">
        <v>220</v>
      </c>
      <c r="D303" s="1" t="s">
        <v>211</v>
      </c>
      <c r="E303" s="113">
        <v>610</v>
      </c>
      <c r="F303" s="7"/>
      <c r="G303" s="7"/>
      <c r="H303" s="35"/>
      <c r="I303" s="7"/>
      <c r="J303" s="35"/>
      <c r="K303" s="7"/>
      <c r="L303" s="35"/>
      <c r="M303" s="7"/>
      <c r="N303" s="35"/>
      <c r="O303" s="7"/>
      <c r="P303" s="35"/>
      <c r="Q303" s="7">
        <f>Q304</f>
        <v>9713.7999999999993</v>
      </c>
      <c r="R303" s="35">
        <f t="shared" si="56"/>
        <v>9713.7999999999993</v>
      </c>
      <c r="S303" s="7">
        <f>S304</f>
        <v>-680</v>
      </c>
      <c r="T303" s="35">
        <f t="shared" si="72"/>
        <v>9033.7999999999993</v>
      </c>
    </row>
    <row r="304" spans="1:20" ht="52.7" customHeight="1">
      <c r="A304" s="61" t="str">
        <f ca="1">IF(ISERROR(MATCH(E304,Код_КВР,0)),"",INDIRECT(ADDRESS(MATCH(E304,Код_КВР,0)+1,2,,,"КВР")))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4" s="43" t="s">
        <v>665</v>
      </c>
      <c r="C304" s="8" t="s">
        <v>220</v>
      </c>
      <c r="D304" s="1" t="s">
        <v>211</v>
      </c>
      <c r="E304" s="113">
        <v>611</v>
      </c>
      <c r="F304" s="7"/>
      <c r="G304" s="7"/>
      <c r="H304" s="35"/>
      <c r="I304" s="7"/>
      <c r="J304" s="35"/>
      <c r="K304" s="7"/>
      <c r="L304" s="35"/>
      <c r="M304" s="7"/>
      <c r="N304" s="35"/>
      <c r="O304" s="7"/>
      <c r="P304" s="35"/>
      <c r="Q304" s="7">
        <f>прил.6!R1003</f>
        <v>9713.7999999999993</v>
      </c>
      <c r="R304" s="35">
        <f t="shared" si="56"/>
        <v>9713.7999999999993</v>
      </c>
      <c r="S304" s="7">
        <f>прил.6!T1003</f>
        <v>-680</v>
      </c>
      <c r="T304" s="35">
        <f t="shared" si="72"/>
        <v>9033.7999999999993</v>
      </c>
    </row>
    <row r="305" spans="1:20">
      <c r="A305" s="61" t="str">
        <f ca="1">IF(ISERROR(MATCH(B305,Код_КЦСР,0)),"",INDIRECT(ADDRESS(MATCH(B305,Код_КЦСР,0)+1,2,,,"КЦСР")))</f>
        <v>Развитие библиотечного дела</v>
      </c>
      <c r="B305" s="43" t="s">
        <v>478</v>
      </c>
      <c r="C305" s="8"/>
      <c r="D305" s="1"/>
      <c r="E305" s="113"/>
      <c r="F305" s="7">
        <f>F306+F312+F318+F324+F330+F336</f>
        <v>41488.699999999997</v>
      </c>
      <c r="G305" s="7">
        <f>G306+G312+G318+G324+G330+G336</f>
        <v>0</v>
      </c>
      <c r="H305" s="35">
        <f t="shared" si="64"/>
        <v>41488.699999999997</v>
      </c>
      <c r="I305" s="7">
        <f>I306+I312+I318+I324+I330+I336</f>
        <v>0</v>
      </c>
      <c r="J305" s="35">
        <f t="shared" si="61"/>
        <v>41488.699999999997</v>
      </c>
      <c r="K305" s="7">
        <f>K306+K312+K318+K324+K330+K336</f>
        <v>-23.099999999999998</v>
      </c>
      <c r="L305" s="35">
        <f t="shared" si="58"/>
        <v>41465.599999999999</v>
      </c>
      <c r="M305" s="7">
        <f>M306+M312+M318+M324+M330+M336</f>
        <v>0</v>
      </c>
      <c r="N305" s="35">
        <f t="shared" si="59"/>
        <v>41465.599999999999</v>
      </c>
      <c r="O305" s="7">
        <f>O306+O312+O318+O324+O330+O336</f>
        <v>0</v>
      </c>
      <c r="P305" s="35">
        <f t="shared" si="55"/>
        <v>41465.599999999999</v>
      </c>
      <c r="Q305" s="7">
        <f>Q306+Q312+Q318+Q324+Q330+Q336+Q342</f>
        <v>13039.6</v>
      </c>
      <c r="R305" s="35">
        <f t="shared" si="56"/>
        <v>54505.2</v>
      </c>
      <c r="S305" s="7">
        <f>S306+S312+S318+S324+S330+S336+S342</f>
        <v>-1043.2</v>
      </c>
      <c r="T305" s="35">
        <f t="shared" si="72"/>
        <v>53462</v>
      </c>
    </row>
    <row r="306" spans="1:20" ht="54" customHeight="1">
      <c r="A306" s="61" t="str">
        <f ca="1">IF(ISERROR(MATCH(B306,Код_КЦСР,0)),"",INDIRECT(ADDRESS(MATCH(B306,Код_КЦСР,0)+1,2,,,"КЦСР")))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306" s="43" t="s">
        <v>479</v>
      </c>
      <c r="C306" s="8"/>
      <c r="D306" s="1"/>
      <c r="E306" s="113"/>
      <c r="F306" s="7">
        <f t="shared" ref="F306:S310" si="73">F307</f>
        <v>1300</v>
      </c>
      <c r="G306" s="7">
        <f t="shared" si="73"/>
        <v>0</v>
      </c>
      <c r="H306" s="35">
        <f t="shared" si="64"/>
        <v>1300</v>
      </c>
      <c r="I306" s="7">
        <f t="shared" si="73"/>
        <v>0</v>
      </c>
      <c r="J306" s="35">
        <f t="shared" si="61"/>
        <v>1300</v>
      </c>
      <c r="K306" s="7">
        <f t="shared" si="73"/>
        <v>0</v>
      </c>
      <c r="L306" s="35">
        <f t="shared" si="58"/>
        <v>1300</v>
      </c>
      <c r="M306" s="7">
        <f t="shared" si="73"/>
        <v>0</v>
      </c>
      <c r="N306" s="35">
        <f t="shared" si="59"/>
        <v>1300</v>
      </c>
      <c r="O306" s="7">
        <f t="shared" si="73"/>
        <v>0</v>
      </c>
      <c r="P306" s="35">
        <f t="shared" si="55"/>
        <v>1300</v>
      </c>
      <c r="Q306" s="7">
        <f t="shared" si="73"/>
        <v>0</v>
      </c>
      <c r="R306" s="35">
        <f t="shared" si="56"/>
        <v>1300</v>
      </c>
      <c r="S306" s="7">
        <f t="shared" si="73"/>
        <v>0</v>
      </c>
      <c r="T306" s="35">
        <f t="shared" si="72"/>
        <v>1300</v>
      </c>
    </row>
    <row r="307" spans="1:20" ht="21" customHeight="1">
      <c r="A307" s="61" t="str">
        <f ca="1">IF(ISERROR(MATCH(C307,Код_Раздел,0)),"",INDIRECT(ADDRESS(MATCH(C307,Код_Раздел,0)+1,2,,,"Раздел")))</f>
        <v>Культура, кинематография</v>
      </c>
      <c r="B307" s="43" t="s">
        <v>479</v>
      </c>
      <c r="C307" s="8" t="s">
        <v>220</v>
      </c>
      <c r="D307" s="1"/>
      <c r="E307" s="113"/>
      <c r="F307" s="7">
        <f t="shared" si="73"/>
        <v>1300</v>
      </c>
      <c r="G307" s="7">
        <f t="shared" si="73"/>
        <v>0</v>
      </c>
      <c r="H307" s="35">
        <f t="shared" si="64"/>
        <v>1300</v>
      </c>
      <c r="I307" s="7">
        <f t="shared" si="73"/>
        <v>0</v>
      </c>
      <c r="J307" s="35">
        <f t="shared" si="61"/>
        <v>1300</v>
      </c>
      <c r="K307" s="7">
        <f t="shared" si="73"/>
        <v>0</v>
      </c>
      <c r="L307" s="35">
        <f t="shared" si="58"/>
        <v>1300</v>
      </c>
      <c r="M307" s="7">
        <f t="shared" si="73"/>
        <v>0</v>
      </c>
      <c r="N307" s="35">
        <f t="shared" si="59"/>
        <v>1300</v>
      </c>
      <c r="O307" s="7">
        <f t="shared" si="73"/>
        <v>0</v>
      </c>
      <c r="P307" s="35">
        <f t="shared" si="55"/>
        <v>1300</v>
      </c>
      <c r="Q307" s="7">
        <f t="shared" si="73"/>
        <v>0</v>
      </c>
      <c r="R307" s="35">
        <f t="shared" si="56"/>
        <v>1300</v>
      </c>
      <c r="S307" s="7">
        <f t="shared" si="73"/>
        <v>0</v>
      </c>
      <c r="T307" s="35">
        <f t="shared" si="72"/>
        <v>1300</v>
      </c>
    </row>
    <row r="308" spans="1:20" ht="21" customHeight="1">
      <c r="A308" s="12" t="s">
        <v>161</v>
      </c>
      <c r="B308" s="43" t="s">
        <v>479</v>
      </c>
      <c r="C308" s="8" t="s">
        <v>220</v>
      </c>
      <c r="D308" s="1" t="s">
        <v>214</v>
      </c>
      <c r="E308" s="113"/>
      <c r="F308" s="7">
        <f t="shared" si="73"/>
        <v>1300</v>
      </c>
      <c r="G308" s="7">
        <f t="shared" si="73"/>
        <v>0</v>
      </c>
      <c r="H308" s="35">
        <f t="shared" si="64"/>
        <v>1300</v>
      </c>
      <c r="I308" s="7">
        <f t="shared" si="73"/>
        <v>0</v>
      </c>
      <c r="J308" s="35">
        <f t="shared" si="61"/>
        <v>1300</v>
      </c>
      <c r="K308" s="7">
        <f t="shared" si="73"/>
        <v>0</v>
      </c>
      <c r="L308" s="35">
        <f t="shared" si="58"/>
        <v>1300</v>
      </c>
      <c r="M308" s="7">
        <f t="shared" si="73"/>
        <v>0</v>
      </c>
      <c r="N308" s="35">
        <f t="shared" si="59"/>
        <v>1300</v>
      </c>
      <c r="O308" s="7">
        <f t="shared" si="73"/>
        <v>0</v>
      </c>
      <c r="P308" s="35">
        <f t="shared" ref="P308:P377" si="74">N308+O308</f>
        <v>1300</v>
      </c>
      <c r="Q308" s="7">
        <f t="shared" si="73"/>
        <v>0</v>
      </c>
      <c r="R308" s="35">
        <f t="shared" ref="R308:R377" si="75">P308+Q308</f>
        <v>1300</v>
      </c>
      <c r="S308" s="7">
        <f t="shared" si="73"/>
        <v>0</v>
      </c>
      <c r="T308" s="35">
        <f t="shared" si="72"/>
        <v>1300</v>
      </c>
    </row>
    <row r="309" spans="1:20" ht="39" customHeight="1">
      <c r="A309" s="61" t="str">
        <f ca="1">IF(ISERROR(MATCH(E309,Код_КВР,0)),"",INDIRECT(ADDRESS(MATCH(E309,Код_КВР,0)+1,2,,,"КВР")))</f>
        <v>Предоставление субсидий бюджетным, автономным учреждениям и иным некоммерческим организациям</v>
      </c>
      <c r="B309" s="43" t="s">
        <v>479</v>
      </c>
      <c r="C309" s="8" t="s">
        <v>220</v>
      </c>
      <c r="D309" s="1" t="s">
        <v>214</v>
      </c>
      <c r="E309" s="113">
        <v>600</v>
      </c>
      <c r="F309" s="7">
        <f t="shared" si="73"/>
        <v>1300</v>
      </c>
      <c r="G309" s="7">
        <f t="shared" si="73"/>
        <v>0</v>
      </c>
      <c r="H309" s="35">
        <f t="shared" si="64"/>
        <v>1300</v>
      </c>
      <c r="I309" s="7">
        <f t="shared" si="73"/>
        <v>0</v>
      </c>
      <c r="J309" s="35">
        <f t="shared" si="61"/>
        <v>1300</v>
      </c>
      <c r="K309" s="7">
        <f t="shared" si="73"/>
        <v>0</v>
      </c>
      <c r="L309" s="35">
        <f t="shared" si="58"/>
        <v>1300</v>
      </c>
      <c r="M309" s="7">
        <f t="shared" si="73"/>
        <v>0</v>
      </c>
      <c r="N309" s="35">
        <f t="shared" si="59"/>
        <v>1300</v>
      </c>
      <c r="O309" s="7">
        <f t="shared" si="73"/>
        <v>0</v>
      </c>
      <c r="P309" s="35">
        <f t="shared" si="74"/>
        <v>1300</v>
      </c>
      <c r="Q309" s="7">
        <f t="shared" si="73"/>
        <v>0</v>
      </c>
      <c r="R309" s="35">
        <f t="shared" si="75"/>
        <v>1300</v>
      </c>
      <c r="S309" s="7">
        <f t="shared" si="73"/>
        <v>0</v>
      </c>
      <c r="T309" s="35">
        <f t="shared" si="72"/>
        <v>1300</v>
      </c>
    </row>
    <row r="310" spans="1:20" ht="19.5" customHeight="1">
      <c r="A310" s="61" t="str">
        <f ca="1">IF(ISERROR(MATCH(E310,Код_КВР,0)),"",INDIRECT(ADDRESS(MATCH(E310,Код_КВР,0)+1,2,,,"КВР")))</f>
        <v>Субсидии бюджетным учреждениям</v>
      </c>
      <c r="B310" s="43" t="s">
        <v>479</v>
      </c>
      <c r="C310" s="8" t="s">
        <v>220</v>
      </c>
      <c r="D310" s="1" t="s">
        <v>214</v>
      </c>
      <c r="E310" s="113">
        <v>610</v>
      </c>
      <c r="F310" s="7">
        <f t="shared" si="73"/>
        <v>1300</v>
      </c>
      <c r="G310" s="7">
        <f t="shared" si="73"/>
        <v>0</v>
      </c>
      <c r="H310" s="35">
        <f t="shared" si="64"/>
        <v>1300</v>
      </c>
      <c r="I310" s="7">
        <f t="shared" si="73"/>
        <v>0</v>
      </c>
      <c r="J310" s="35">
        <f t="shared" si="61"/>
        <v>1300</v>
      </c>
      <c r="K310" s="7">
        <f t="shared" si="73"/>
        <v>0</v>
      </c>
      <c r="L310" s="35">
        <f t="shared" si="58"/>
        <v>1300</v>
      </c>
      <c r="M310" s="7">
        <f t="shared" si="73"/>
        <v>0</v>
      </c>
      <c r="N310" s="35">
        <f t="shared" si="59"/>
        <v>1300</v>
      </c>
      <c r="O310" s="7">
        <f t="shared" si="73"/>
        <v>0</v>
      </c>
      <c r="P310" s="35">
        <f t="shared" si="74"/>
        <v>1300</v>
      </c>
      <c r="Q310" s="7">
        <f t="shared" si="73"/>
        <v>0</v>
      </c>
      <c r="R310" s="35">
        <f t="shared" si="75"/>
        <v>1300</v>
      </c>
      <c r="S310" s="7">
        <f t="shared" si="73"/>
        <v>0</v>
      </c>
      <c r="T310" s="35">
        <f t="shared" si="72"/>
        <v>1300</v>
      </c>
    </row>
    <row r="311" spans="1:20" ht="21" customHeight="1">
      <c r="A311" s="61" t="str">
        <f ca="1">IF(ISERROR(MATCH(E311,Код_КВР,0)),"",INDIRECT(ADDRESS(MATCH(E311,Код_КВР,0)+1,2,,,"КВР")))</f>
        <v>Субсидии бюджетным учреждениям на иные цели</v>
      </c>
      <c r="B311" s="43" t="s">
        <v>479</v>
      </c>
      <c r="C311" s="8" t="s">
        <v>220</v>
      </c>
      <c r="D311" s="1" t="s">
        <v>214</v>
      </c>
      <c r="E311" s="113">
        <v>612</v>
      </c>
      <c r="F311" s="7">
        <f>прил.6!G1089</f>
        <v>1300</v>
      </c>
      <c r="G311" s="7">
        <f>прил.6!H1089</f>
        <v>0</v>
      </c>
      <c r="H311" s="35">
        <f t="shared" si="64"/>
        <v>1300</v>
      </c>
      <c r="I311" s="7">
        <f>прил.6!J1089</f>
        <v>0</v>
      </c>
      <c r="J311" s="35">
        <f t="shared" si="61"/>
        <v>1300</v>
      </c>
      <c r="K311" s="7">
        <f>прил.6!L1089</f>
        <v>0</v>
      </c>
      <c r="L311" s="35">
        <f t="shared" si="58"/>
        <v>1300</v>
      </c>
      <c r="M311" s="7">
        <f>прил.6!N1089</f>
        <v>0</v>
      </c>
      <c r="N311" s="35">
        <f t="shared" si="59"/>
        <v>1300</v>
      </c>
      <c r="O311" s="7">
        <f>прил.6!P1089</f>
        <v>0</v>
      </c>
      <c r="P311" s="35">
        <f t="shared" si="74"/>
        <v>1300</v>
      </c>
      <c r="Q311" s="7">
        <f>прил.6!R1089</f>
        <v>0</v>
      </c>
      <c r="R311" s="35">
        <f t="shared" si="75"/>
        <v>1300</v>
      </c>
      <c r="S311" s="7">
        <f>прил.6!T1089</f>
        <v>0</v>
      </c>
      <c r="T311" s="35">
        <f t="shared" si="72"/>
        <v>1300</v>
      </c>
    </row>
    <row r="312" spans="1:20" ht="69" customHeight="1">
      <c r="A312" s="61" t="str">
        <f ca="1">IF(ISERROR(MATCH(B312,Код_КЦСР,0)),"",INDIRECT(ADDRESS(MATCH(B312,Код_КЦСР,0)+1,2,,,"КЦСР")))</f>
        <v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312" s="43" t="s">
        <v>480</v>
      </c>
      <c r="C312" s="8"/>
      <c r="D312" s="1"/>
      <c r="E312" s="113"/>
      <c r="F312" s="7">
        <f t="shared" ref="F312:S316" si="76">F313</f>
        <v>2143</v>
      </c>
      <c r="G312" s="7">
        <f t="shared" si="76"/>
        <v>0</v>
      </c>
      <c r="H312" s="35">
        <f t="shared" si="64"/>
        <v>2143</v>
      </c>
      <c r="I312" s="7">
        <f t="shared" si="76"/>
        <v>0</v>
      </c>
      <c r="J312" s="35">
        <f t="shared" si="61"/>
        <v>2143</v>
      </c>
      <c r="K312" s="7">
        <f t="shared" si="76"/>
        <v>0</v>
      </c>
      <c r="L312" s="35">
        <f t="shared" si="58"/>
        <v>2143</v>
      </c>
      <c r="M312" s="7">
        <f t="shared" si="76"/>
        <v>0</v>
      </c>
      <c r="N312" s="35">
        <f t="shared" si="59"/>
        <v>2143</v>
      </c>
      <c r="O312" s="7">
        <f t="shared" si="76"/>
        <v>0</v>
      </c>
      <c r="P312" s="35">
        <f t="shared" si="74"/>
        <v>2143</v>
      </c>
      <c r="Q312" s="7">
        <f t="shared" si="76"/>
        <v>0</v>
      </c>
      <c r="R312" s="35">
        <f t="shared" si="75"/>
        <v>2143</v>
      </c>
      <c r="S312" s="7">
        <f t="shared" si="76"/>
        <v>0</v>
      </c>
      <c r="T312" s="35">
        <f t="shared" si="72"/>
        <v>2143</v>
      </c>
    </row>
    <row r="313" spans="1:20" ht="20.25" customHeight="1">
      <c r="A313" s="61" t="str">
        <f ca="1">IF(ISERROR(MATCH(C313,Код_Раздел,0)),"",INDIRECT(ADDRESS(MATCH(C313,Код_Раздел,0)+1,2,,,"Раздел")))</f>
        <v>Культура, кинематография</v>
      </c>
      <c r="B313" s="43" t="s">
        <v>480</v>
      </c>
      <c r="C313" s="8" t="s">
        <v>220</v>
      </c>
      <c r="D313" s="1"/>
      <c r="E313" s="113"/>
      <c r="F313" s="7">
        <f t="shared" si="76"/>
        <v>2143</v>
      </c>
      <c r="G313" s="7">
        <f t="shared" si="76"/>
        <v>0</v>
      </c>
      <c r="H313" s="35">
        <f t="shared" si="64"/>
        <v>2143</v>
      </c>
      <c r="I313" s="7">
        <f t="shared" si="76"/>
        <v>0</v>
      </c>
      <c r="J313" s="35">
        <f t="shared" si="61"/>
        <v>2143</v>
      </c>
      <c r="K313" s="7">
        <f t="shared" si="76"/>
        <v>0</v>
      </c>
      <c r="L313" s="35">
        <f t="shared" si="58"/>
        <v>2143</v>
      </c>
      <c r="M313" s="7">
        <f t="shared" si="76"/>
        <v>0</v>
      </c>
      <c r="N313" s="35">
        <f t="shared" si="59"/>
        <v>2143</v>
      </c>
      <c r="O313" s="7">
        <f t="shared" si="76"/>
        <v>0</v>
      </c>
      <c r="P313" s="35">
        <f t="shared" si="74"/>
        <v>2143</v>
      </c>
      <c r="Q313" s="7">
        <f t="shared" si="76"/>
        <v>0</v>
      </c>
      <c r="R313" s="35">
        <f t="shared" si="75"/>
        <v>2143</v>
      </c>
      <c r="S313" s="7">
        <f t="shared" si="76"/>
        <v>0</v>
      </c>
      <c r="T313" s="35">
        <f t="shared" si="72"/>
        <v>2143</v>
      </c>
    </row>
    <row r="314" spans="1:20" ht="19.5" customHeight="1">
      <c r="A314" s="12" t="s">
        <v>161</v>
      </c>
      <c r="B314" s="43" t="s">
        <v>480</v>
      </c>
      <c r="C314" s="8" t="s">
        <v>220</v>
      </c>
      <c r="D314" s="1" t="s">
        <v>214</v>
      </c>
      <c r="E314" s="113"/>
      <c r="F314" s="7">
        <f t="shared" si="76"/>
        <v>2143</v>
      </c>
      <c r="G314" s="7">
        <f t="shared" si="76"/>
        <v>0</v>
      </c>
      <c r="H314" s="35">
        <f t="shared" si="64"/>
        <v>2143</v>
      </c>
      <c r="I314" s="7">
        <f t="shared" si="76"/>
        <v>0</v>
      </c>
      <c r="J314" s="35">
        <f t="shared" si="61"/>
        <v>2143</v>
      </c>
      <c r="K314" s="7">
        <f t="shared" si="76"/>
        <v>0</v>
      </c>
      <c r="L314" s="35">
        <f t="shared" si="58"/>
        <v>2143</v>
      </c>
      <c r="M314" s="7">
        <f t="shared" si="76"/>
        <v>0</v>
      </c>
      <c r="N314" s="35">
        <f t="shared" si="59"/>
        <v>2143</v>
      </c>
      <c r="O314" s="7">
        <f t="shared" si="76"/>
        <v>0</v>
      </c>
      <c r="P314" s="35">
        <f t="shared" si="74"/>
        <v>2143</v>
      </c>
      <c r="Q314" s="7">
        <f t="shared" si="76"/>
        <v>0</v>
      </c>
      <c r="R314" s="35">
        <f t="shared" si="75"/>
        <v>2143</v>
      </c>
      <c r="S314" s="7">
        <f t="shared" si="76"/>
        <v>0</v>
      </c>
      <c r="T314" s="35">
        <f t="shared" si="72"/>
        <v>2143</v>
      </c>
    </row>
    <row r="315" spans="1:20" ht="36.75" customHeight="1">
      <c r="A315" s="61" t="str">
        <f ca="1">IF(ISERROR(MATCH(E315,Код_КВР,0)),"",INDIRECT(ADDRESS(MATCH(E315,Код_КВР,0)+1,2,,,"КВР")))</f>
        <v>Предоставление субсидий бюджетным, автономным учреждениям и иным некоммерческим организациям</v>
      </c>
      <c r="B315" s="43" t="s">
        <v>480</v>
      </c>
      <c r="C315" s="8" t="s">
        <v>220</v>
      </c>
      <c r="D315" s="1" t="s">
        <v>214</v>
      </c>
      <c r="E315" s="113">
        <v>600</v>
      </c>
      <c r="F315" s="7">
        <f t="shared" si="76"/>
        <v>2143</v>
      </c>
      <c r="G315" s="7">
        <f t="shared" si="76"/>
        <v>0</v>
      </c>
      <c r="H315" s="35">
        <f t="shared" si="64"/>
        <v>2143</v>
      </c>
      <c r="I315" s="7">
        <f t="shared" si="76"/>
        <v>0</v>
      </c>
      <c r="J315" s="35">
        <f t="shared" si="61"/>
        <v>2143</v>
      </c>
      <c r="K315" s="7">
        <f t="shared" si="76"/>
        <v>0</v>
      </c>
      <c r="L315" s="35">
        <f t="shared" si="58"/>
        <v>2143</v>
      </c>
      <c r="M315" s="7">
        <f t="shared" si="76"/>
        <v>0</v>
      </c>
      <c r="N315" s="35">
        <f t="shared" si="59"/>
        <v>2143</v>
      </c>
      <c r="O315" s="7">
        <f t="shared" si="76"/>
        <v>0</v>
      </c>
      <c r="P315" s="35">
        <f t="shared" si="74"/>
        <v>2143</v>
      </c>
      <c r="Q315" s="7">
        <f t="shared" si="76"/>
        <v>0</v>
      </c>
      <c r="R315" s="35">
        <f t="shared" si="75"/>
        <v>2143</v>
      </c>
      <c r="S315" s="7">
        <f t="shared" si="76"/>
        <v>0</v>
      </c>
      <c r="T315" s="35">
        <f t="shared" si="72"/>
        <v>2143</v>
      </c>
    </row>
    <row r="316" spans="1:20" ht="19.5" customHeight="1">
      <c r="A316" s="61" t="str">
        <f ca="1">IF(ISERROR(MATCH(E316,Код_КВР,0)),"",INDIRECT(ADDRESS(MATCH(E316,Код_КВР,0)+1,2,,,"КВР")))</f>
        <v>Субсидии бюджетным учреждениям</v>
      </c>
      <c r="B316" s="43" t="s">
        <v>480</v>
      </c>
      <c r="C316" s="8" t="s">
        <v>220</v>
      </c>
      <c r="D316" s="1" t="s">
        <v>214</v>
      </c>
      <c r="E316" s="113">
        <v>610</v>
      </c>
      <c r="F316" s="7">
        <f t="shared" si="76"/>
        <v>2143</v>
      </c>
      <c r="G316" s="7">
        <f t="shared" si="76"/>
        <v>0</v>
      </c>
      <c r="H316" s="35">
        <f t="shared" si="64"/>
        <v>2143</v>
      </c>
      <c r="I316" s="7">
        <f t="shared" si="76"/>
        <v>0</v>
      </c>
      <c r="J316" s="35">
        <f t="shared" si="61"/>
        <v>2143</v>
      </c>
      <c r="K316" s="7">
        <f t="shared" si="76"/>
        <v>0</v>
      </c>
      <c r="L316" s="35">
        <f t="shared" ref="L316:L391" si="77">J316+K316</f>
        <v>2143</v>
      </c>
      <c r="M316" s="7">
        <f t="shared" si="76"/>
        <v>0</v>
      </c>
      <c r="N316" s="35">
        <f t="shared" ref="N316:N391" si="78">L316+M316</f>
        <v>2143</v>
      </c>
      <c r="O316" s="7">
        <f t="shared" si="76"/>
        <v>0</v>
      </c>
      <c r="P316" s="35">
        <f t="shared" si="74"/>
        <v>2143</v>
      </c>
      <c r="Q316" s="7">
        <f t="shared" si="76"/>
        <v>0</v>
      </c>
      <c r="R316" s="35">
        <f t="shared" si="75"/>
        <v>2143</v>
      </c>
      <c r="S316" s="7">
        <f t="shared" si="76"/>
        <v>0</v>
      </c>
      <c r="T316" s="35">
        <f t="shared" si="72"/>
        <v>2143</v>
      </c>
    </row>
    <row r="317" spans="1:20" ht="19.5" customHeight="1">
      <c r="A317" s="61" t="str">
        <f ca="1">IF(ISERROR(MATCH(E317,Код_КВР,0)),"",INDIRECT(ADDRESS(MATCH(E317,Код_КВР,0)+1,2,,,"КВР")))</f>
        <v>Субсидии бюджетным учреждениям на иные цели</v>
      </c>
      <c r="B317" s="43" t="s">
        <v>480</v>
      </c>
      <c r="C317" s="8" t="s">
        <v>220</v>
      </c>
      <c r="D317" s="1" t="s">
        <v>214</v>
      </c>
      <c r="E317" s="113">
        <v>612</v>
      </c>
      <c r="F317" s="7">
        <f>прил.6!G1093</f>
        <v>2143</v>
      </c>
      <c r="G317" s="7">
        <f>прил.6!H1093</f>
        <v>0</v>
      </c>
      <c r="H317" s="35">
        <f t="shared" si="64"/>
        <v>2143</v>
      </c>
      <c r="I317" s="7">
        <f>прил.6!J1093</f>
        <v>0</v>
      </c>
      <c r="J317" s="35">
        <f t="shared" si="61"/>
        <v>2143</v>
      </c>
      <c r="K317" s="7">
        <f>прил.6!L1093</f>
        <v>0</v>
      </c>
      <c r="L317" s="35">
        <f t="shared" si="77"/>
        <v>2143</v>
      </c>
      <c r="M317" s="7">
        <f>прил.6!N1093</f>
        <v>0</v>
      </c>
      <c r="N317" s="35">
        <f t="shared" si="78"/>
        <v>2143</v>
      </c>
      <c r="O317" s="7">
        <f>прил.6!P1093</f>
        <v>0</v>
      </c>
      <c r="P317" s="35">
        <f t="shared" si="74"/>
        <v>2143</v>
      </c>
      <c r="Q317" s="7">
        <f>прил.6!R1093</f>
        <v>0</v>
      </c>
      <c r="R317" s="35">
        <f t="shared" si="75"/>
        <v>2143</v>
      </c>
      <c r="S317" s="7">
        <f>прил.6!T1093</f>
        <v>0</v>
      </c>
      <c r="T317" s="35">
        <f t="shared" si="72"/>
        <v>2143</v>
      </c>
    </row>
    <row r="318" spans="1:20" ht="21" customHeight="1">
      <c r="A318" s="61" t="str">
        <f ca="1">IF(ISERROR(MATCH(B318,Код_КЦСР,0)),"",INDIRECT(ADDRESS(MATCH(B318,Код_КЦСР,0)+1,2,,,"КЦСР")))</f>
        <v>Оказание муниципальных услуг</v>
      </c>
      <c r="B318" s="43" t="s">
        <v>481</v>
      </c>
      <c r="C318" s="8"/>
      <c r="D318" s="1"/>
      <c r="E318" s="113"/>
      <c r="F318" s="7">
        <f t="shared" ref="F318:S322" si="79">F319</f>
        <v>24363.1</v>
      </c>
      <c r="G318" s="7">
        <f t="shared" si="79"/>
        <v>0</v>
      </c>
      <c r="H318" s="35">
        <f t="shared" si="64"/>
        <v>24363.1</v>
      </c>
      <c r="I318" s="7">
        <f t="shared" si="79"/>
        <v>0</v>
      </c>
      <c r="J318" s="35">
        <f t="shared" ref="J318:J393" si="80">H318+I318</f>
        <v>24363.1</v>
      </c>
      <c r="K318" s="7">
        <f t="shared" si="79"/>
        <v>-19.2</v>
      </c>
      <c r="L318" s="35">
        <f t="shared" si="77"/>
        <v>24343.899999999998</v>
      </c>
      <c r="M318" s="7">
        <f t="shared" si="79"/>
        <v>0</v>
      </c>
      <c r="N318" s="35">
        <f t="shared" si="78"/>
        <v>24343.899999999998</v>
      </c>
      <c r="O318" s="7">
        <f t="shared" si="79"/>
        <v>0</v>
      </c>
      <c r="P318" s="35">
        <f t="shared" si="74"/>
        <v>24343.899999999998</v>
      </c>
      <c r="Q318" s="7">
        <f t="shared" si="79"/>
        <v>0</v>
      </c>
      <c r="R318" s="35">
        <f t="shared" si="75"/>
        <v>24343.899999999998</v>
      </c>
      <c r="S318" s="7">
        <f t="shared" si="79"/>
        <v>0</v>
      </c>
      <c r="T318" s="35">
        <f t="shared" si="72"/>
        <v>24343.899999999998</v>
      </c>
    </row>
    <row r="319" spans="1:20" ht="20.25" customHeight="1">
      <c r="A319" s="61" t="str">
        <f ca="1">IF(ISERROR(MATCH(C319,Код_Раздел,0)),"",INDIRECT(ADDRESS(MATCH(C319,Код_Раздел,0)+1,2,,,"Раздел")))</f>
        <v>Культура, кинематография</v>
      </c>
      <c r="B319" s="43" t="s">
        <v>481</v>
      </c>
      <c r="C319" s="8" t="s">
        <v>220</v>
      </c>
      <c r="D319" s="1"/>
      <c r="E319" s="113"/>
      <c r="F319" s="7">
        <f t="shared" si="79"/>
        <v>24363.1</v>
      </c>
      <c r="G319" s="7">
        <f t="shared" si="79"/>
        <v>0</v>
      </c>
      <c r="H319" s="35">
        <f t="shared" si="64"/>
        <v>24363.1</v>
      </c>
      <c r="I319" s="7">
        <f t="shared" si="79"/>
        <v>0</v>
      </c>
      <c r="J319" s="35">
        <f t="shared" si="80"/>
        <v>24363.1</v>
      </c>
      <c r="K319" s="7">
        <f t="shared" si="79"/>
        <v>-19.2</v>
      </c>
      <c r="L319" s="35">
        <f t="shared" si="77"/>
        <v>24343.899999999998</v>
      </c>
      <c r="M319" s="7">
        <f t="shared" si="79"/>
        <v>0</v>
      </c>
      <c r="N319" s="35">
        <f t="shared" si="78"/>
        <v>24343.899999999998</v>
      </c>
      <c r="O319" s="7">
        <f t="shared" si="79"/>
        <v>0</v>
      </c>
      <c r="P319" s="35">
        <f t="shared" si="74"/>
        <v>24343.899999999998</v>
      </c>
      <c r="Q319" s="7">
        <f t="shared" si="79"/>
        <v>0</v>
      </c>
      <c r="R319" s="35">
        <f t="shared" si="75"/>
        <v>24343.899999999998</v>
      </c>
      <c r="S319" s="7">
        <f t="shared" si="79"/>
        <v>0</v>
      </c>
      <c r="T319" s="35">
        <f t="shared" si="72"/>
        <v>24343.899999999998</v>
      </c>
    </row>
    <row r="320" spans="1:20" ht="20.25" customHeight="1">
      <c r="A320" s="12" t="s">
        <v>182</v>
      </c>
      <c r="B320" s="43" t="s">
        <v>481</v>
      </c>
      <c r="C320" s="8" t="s">
        <v>220</v>
      </c>
      <c r="D320" s="1" t="s">
        <v>211</v>
      </c>
      <c r="E320" s="113"/>
      <c r="F320" s="7">
        <f t="shared" si="79"/>
        <v>24363.1</v>
      </c>
      <c r="G320" s="7">
        <f t="shared" si="79"/>
        <v>0</v>
      </c>
      <c r="H320" s="35">
        <f t="shared" si="64"/>
        <v>24363.1</v>
      </c>
      <c r="I320" s="7">
        <f t="shared" si="79"/>
        <v>0</v>
      </c>
      <c r="J320" s="35">
        <f t="shared" si="80"/>
        <v>24363.1</v>
      </c>
      <c r="K320" s="7">
        <f t="shared" si="79"/>
        <v>-19.2</v>
      </c>
      <c r="L320" s="35">
        <f t="shared" si="77"/>
        <v>24343.899999999998</v>
      </c>
      <c r="M320" s="7">
        <f t="shared" si="79"/>
        <v>0</v>
      </c>
      <c r="N320" s="35">
        <f t="shared" si="78"/>
        <v>24343.899999999998</v>
      </c>
      <c r="O320" s="7">
        <f t="shared" si="79"/>
        <v>0</v>
      </c>
      <c r="P320" s="35">
        <f t="shared" si="74"/>
        <v>24343.899999999998</v>
      </c>
      <c r="Q320" s="7">
        <f t="shared" si="79"/>
        <v>0</v>
      </c>
      <c r="R320" s="35">
        <f t="shared" si="75"/>
        <v>24343.899999999998</v>
      </c>
      <c r="S320" s="7">
        <f t="shared" si="79"/>
        <v>0</v>
      </c>
      <c r="T320" s="35">
        <f t="shared" si="72"/>
        <v>24343.899999999998</v>
      </c>
    </row>
    <row r="321" spans="1:20" ht="39" customHeight="1">
      <c r="A321" s="61" t="str">
        <f ca="1">IF(ISERROR(MATCH(E321,Код_КВР,0)),"",INDIRECT(ADDRESS(MATCH(E321,Код_КВР,0)+1,2,,,"КВР")))</f>
        <v>Предоставление субсидий бюджетным, автономным учреждениям и иным некоммерческим организациям</v>
      </c>
      <c r="B321" s="43" t="s">
        <v>481</v>
      </c>
      <c r="C321" s="8" t="s">
        <v>220</v>
      </c>
      <c r="D321" s="1" t="s">
        <v>211</v>
      </c>
      <c r="E321" s="113">
        <v>600</v>
      </c>
      <c r="F321" s="7">
        <f t="shared" si="79"/>
        <v>24363.1</v>
      </c>
      <c r="G321" s="7">
        <f t="shared" si="79"/>
        <v>0</v>
      </c>
      <c r="H321" s="35">
        <f t="shared" si="64"/>
        <v>24363.1</v>
      </c>
      <c r="I321" s="7">
        <f t="shared" si="79"/>
        <v>0</v>
      </c>
      <c r="J321" s="35">
        <f t="shared" si="80"/>
        <v>24363.1</v>
      </c>
      <c r="K321" s="7">
        <f t="shared" si="79"/>
        <v>-19.2</v>
      </c>
      <c r="L321" s="35">
        <f t="shared" si="77"/>
        <v>24343.899999999998</v>
      </c>
      <c r="M321" s="7">
        <f t="shared" si="79"/>
        <v>0</v>
      </c>
      <c r="N321" s="35">
        <f t="shared" si="78"/>
        <v>24343.899999999998</v>
      </c>
      <c r="O321" s="7">
        <f t="shared" si="79"/>
        <v>0</v>
      </c>
      <c r="P321" s="35">
        <f t="shared" si="74"/>
        <v>24343.899999999998</v>
      </c>
      <c r="Q321" s="7">
        <f t="shared" si="79"/>
        <v>0</v>
      </c>
      <c r="R321" s="35">
        <f t="shared" si="75"/>
        <v>24343.899999999998</v>
      </c>
      <c r="S321" s="7">
        <f t="shared" si="79"/>
        <v>0</v>
      </c>
      <c r="T321" s="35">
        <f t="shared" si="72"/>
        <v>24343.899999999998</v>
      </c>
    </row>
    <row r="322" spans="1:20" ht="21" customHeight="1">
      <c r="A322" s="61" t="str">
        <f ca="1">IF(ISERROR(MATCH(E322,Код_КВР,0)),"",INDIRECT(ADDRESS(MATCH(E322,Код_КВР,0)+1,2,,,"КВР")))</f>
        <v>Субсидии бюджетным учреждениям</v>
      </c>
      <c r="B322" s="43" t="s">
        <v>481</v>
      </c>
      <c r="C322" s="8" t="s">
        <v>220</v>
      </c>
      <c r="D322" s="1" t="s">
        <v>211</v>
      </c>
      <c r="E322" s="113">
        <v>610</v>
      </c>
      <c r="F322" s="7">
        <f t="shared" si="79"/>
        <v>24363.1</v>
      </c>
      <c r="G322" s="7">
        <f t="shared" si="79"/>
        <v>0</v>
      </c>
      <c r="H322" s="35">
        <f t="shared" si="64"/>
        <v>24363.1</v>
      </c>
      <c r="I322" s="7">
        <f t="shared" si="79"/>
        <v>0</v>
      </c>
      <c r="J322" s="35">
        <f t="shared" si="80"/>
        <v>24363.1</v>
      </c>
      <c r="K322" s="7">
        <f t="shared" si="79"/>
        <v>-19.2</v>
      </c>
      <c r="L322" s="35">
        <f t="shared" si="77"/>
        <v>24343.899999999998</v>
      </c>
      <c r="M322" s="7">
        <f t="shared" si="79"/>
        <v>0</v>
      </c>
      <c r="N322" s="35">
        <f t="shared" si="78"/>
        <v>24343.899999999998</v>
      </c>
      <c r="O322" s="7">
        <f t="shared" si="79"/>
        <v>0</v>
      </c>
      <c r="P322" s="35">
        <f t="shared" si="74"/>
        <v>24343.899999999998</v>
      </c>
      <c r="Q322" s="7">
        <f t="shared" si="79"/>
        <v>0</v>
      </c>
      <c r="R322" s="35">
        <f t="shared" si="75"/>
        <v>24343.899999999998</v>
      </c>
      <c r="S322" s="7">
        <f t="shared" si="79"/>
        <v>0</v>
      </c>
      <c r="T322" s="35">
        <f t="shared" si="72"/>
        <v>24343.899999999998</v>
      </c>
    </row>
    <row r="323" spans="1:20" ht="53.25" customHeight="1">
      <c r="A323" s="61" t="str">
        <f ca="1">IF(ISERROR(MATCH(E323,Код_КВР,0)),"",INDIRECT(ADDRESS(MATCH(E323,Код_КВР,0)+1,2,,,"КВР")))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23" s="43" t="s">
        <v>481</v>
      </c>
      <c r="C323" s="8" t="s">
        <v>220</v>
      </c>
      <c r="D323" s="1" t="s">
        <v>211</v>
      </c>
      <c r="E323" s="113">
        <v>611</v>
      </c>
      <c r="F323" s="7">
        <f>прил.6!G1008</f>
        <v>24363.1</v>
      </c>
      <c r="G323" s="7">
        <f>прил.6!H1008</f>
        <v>0</v>
      </c>
      <c r="H323" s="35">
        <f t="shared" si="64"/>
        <v>24363.1</v>
      </c>
      <c r="I323" s="7">
        <f>прил.6!J1008</f>
        <v>0</v>
      </c>
      <c r="J323" s="35">
        <f t="shared" si="80"/>
        <v>24363.1</v>
      </c>
      <c r="K323" s="7">
        <f>прил.6!L1008</f>
        <v>-19.2</v>
      </c>
      <c r="L323" s="35">
        <f t="shared" si="77"/>
        <v>24343.899999999998</v>
      </c>
      <c r="M323" s="7">
        <f>прил.6!N1008</f>
        <v>0</v>
      </c>
      <c r="N323" s="35">
        <f t="shared" si="78"/>
        <v>24343.899999999998</v>
      </c>
      <c r="O323" s="7">
        <f>прил.6!P1008</f>
        <v>0</v>
      </c>
      <c r="P323" s="35">
        <f t="shared" si="74"/>
        <v>24343.899999999998</v>
      </c>
      <c r="Q323" s="7">
        <f>прил.6!R1008</f>
        <v>0</v>
      </c>
      <c r="R323" s="35">
        <f t="shared" si="75"/>
        <v>24343.899999999998</v>
      </c>
      <c r="S323" s="7">
        <f>прил.6!T1008</f>
        <v>0</v>
      </c>
      <c r="T323" s="35">
        <f t="shared" si="72"/>
        <v>24343.899999999998</v>
      </c>
    </row>
    <row r="324" spans="1:20" ht="18.75" customHeight="1">
      <c r="A324" s="61" t="str">
        <f ca="1">IF(ISERROR(MATCH(B324,Код_КЦСР,0)),"",INDIRECT(ADDRESS(MATCH(B324,Код_КЦСР,0)+1,2,,,"КЦСР")))</f>
        <v>Формирование и учет фондов библиотеки</v>
      </c>
      <c r="B324" s="43" t="s">
        <v>483</v>
      </c>
      <c r="C324" s="8"/>
      <c r="D324" s="1"/>
      <c r="E324" s="113"/>
      <c r="F324" s="7">
        <f t="shared" ref="F324:S328" si="81">F325</f>
        <v>5799.2</v>
      </c>
      <c r="G324" s="7">
        <f t="shared" si="81"/>
        <v>0</v>
      </c>
      <c r="H324" s="35">
        <f t="shared" si="64"/>
        <v>5799.2</v>
      </c>
      <c r="I324" s="7">
        <f t="shared" si="81"/>
        <v>0</v>
      </c>
      <c r="J324" s="35">
        <f t="shared" si="80"/>
        <v>5799.2</v>
      </c>
      <c r="K324" s="7">
        <f t="shared" si="81"/>
        <v>-1.7</v>
      </c>
      <c r="L324" s="35">
        <f t="shared" si="77"/>
        <v>5797.5</v>
      </c>
      <c r="M324" s="7">
        <f t="shared" si="81"/>
        <v>0</v>
      </c>
      <c r="N324" s="35">
        <f t="shared" si="78"/>
        <v>5797.5</v>
      </c>
      <c r="O324" s="7">
        <f t="shared" si="81"/>
        <v>0</v>
      </c>
      <c r="P324" s="35">
        <f t="shared" si="74"/>
        <v>5797.5</v>
      </c>
      <c r="Q324" s="7">
        <f t="shared" si="81"/>
        <v>0</v>
      </c>
      <c r="R324" s="35">
        <f t="shared" si="75"/>
        <v>5797.5</v>
      </c>
      <c r="S324" s="7">
        <f t="shared" si="81"/>
        <v>0</v>
      </c>
      <c r="T324" s="35">
        <f t="shared" si="72"/>
        <v>5797.5</v>
      </c>
    </row>
    <row r="325" spans="1:20" ht="21" customHeight="1">
      <c r="A325" s="61" t="str">
        <f ca="1">IF(ISERROR(MATCH(C325,Код_Раздел,0)),"",INDIRECT(ADDRESS(MATCH(C325,Код_Раздел,0)+1,2,,,"Раздел")))</f>
        <v>Культура, кинематография</v>
      </c>
      <c r="B325" s="43" t="s">
        <v>483</v>
      </c>
      <c r="C325" s="8" t="s">
        <v>220</v>
      </c>
      <c r="D325" s="1"/>
      <c r="E325" s="113"/>
      <c r="F325" s="7">
        <f t="shared" si="81"/>
        <v>5799.2</v>
      </c>
      <c r="G325" s="7">
        <f t="shared" si="81"/>
        <v>0</v>
      </c>
      <c r="H325" s="35">
        <f t="shared" si="64"/>
        <v>5799.2</v>
      </c>
      <c r="I325" s="7">
        <f t="shared" si="81"/>
        <v>0</v>
      </c>
      <c r="J325" s="35">
        <f t="shared" si="80"/>
        <v>5799.2</v>
      </c>
      <c r="K325" s="7">
        <f t="shared" si="81"/>
        <v>-1.7</v>
      </c>
      <c r="L325" s="35">
        <f t="shared" si="77"/>
        <v>5797.5</v>
      </c>
      <c r="M325" s="7">
        <f t="shared" si="81"/>
        <v>0</v>
      </c>
      <c r="N325" s="35">
        <f t="shared" si="78"/>
        <v>5797.5</v>
      </c>
      <c r="O325" s="7">
        <f t="shared" si="81"/>
        <v>0</v>
      </c>
      <c r="P325" s="35">
        <f t="shared" si="74"/>
        <v>5797.5</v>
      </c>
      <c r="Q325" s="7">
        <f t="shared" si="81"/>
        <v>0</v>
      </c>
      <c r="R325" s="35">
        <f t="shared" si="75"/>
        <v>5797.5</v>
      </c>
      <c r="S325" s="7">
        <f t="shared" si="81"/>
        <v>0</v>
      </c>
      <c r="T325" s="35">
        <f t="shared" si="72"/>
        <v>5797.5</v>
      </c>
    </row>
    <row r="326" spans="1:20" ht="19.5" customHeight="1">
      <c r="A326" s="12" t="s">
        <v>182</v>
      </c>
      <c r="B326" s="43" t="s">
        <v>483</v>
      </c>
      <c r="C326" s="8" t="s">
        <v>220</v>
      </c>
      <c r="D326" s="1" t="s">
        <v>211</v>
      </c>
      <c r="E326" s="113"/>
      <c r="F326" s="7">
        <f t="shared" si="81"/>
        <v>5799.2</v>
      </c>
      <c r="G326" s="7">
        <f t="shared" si="81"/>
        <v>0</v>
      </c>
      <c r="H326" s="35">
        <f t="shared" ref="H326:H401" si="82">F326+G326</f>
        <v>5799.2</v>
      </c>
      <c r="I326" s="7">
        <f t="shared" si="81"/>
        <v>0</v>
      </c>
      <c r="J326" s="35">
        <f t="shared" si="80"/>
        <v>5799.2</v>
      </c>
      <c r="K326" s="7">
        <f t="shared" si="81"/>
        <v>-1.7</v>
      </c>
      <c r="L326" s="35">
        <f t="shared" si="77"/>
        <v>5797.5</v>
      </c>
      <c r="M326" s="7">
        <f t="shared" si="81"/>
        <v>0</v>
      </c>
      <c r="N326" s="35">
        <f t="shared" si="78"/>
        <v>5797.5</v>
      </c>
      <c r="O326" s="7">
        <f t="shared" si="81"/>
        <v>0</v>
      </c>
      <c r="P326" s="35">
        <f t="shared" si="74"/>
        <v>5797.5</v>
      </c>
      <c r="Q326" s="7">
        <f t="shared" si="81"/>
        <v>0</v>
      </c>
      <c r="R326" s="35">
        <f t="shared" si="75"/>
        <v>5797.5</v>
      </c>
      <c r="S326" s="7">
        <f t="shared" si="81"/>
        <v>0</v>
      </c>
      <c r="T326" s="35">
        <f t="shared" si="72"/>
        <v>5797.5</v>
      </c>
    </row>
    <row r="327" spans="1:20" ht="36" customHeight="1">
      <c r="A327" s="61" t="str">
        <f ca="1">IF(ISERROR(MATCH(E327,Код_КВР,0)),"",INDIRECT(ADDRESS(MATCH(E327,Код_КВР,0)+1,2,,,"КВР")))</f>
        <v>Предоставление субсидий бюджетным, автономным учреждениям и иным некоммерческим организациям</v>
      </c>
      <c r="B327" s="43" t="s">
        <v>483</v>
      </c>
      <c r="C327" s="8" t="s">
        <v>220</v>
      </c>
      <c r="D327" s="1" t="s">
        <v>211</v>
      </c>
      <c r="E327" s="113">
        <v>600</v>
      </c>
      <c r="F327" s="7">
        <f t="shared" si="81"/>
        <v>5799.2</v>
      </c>
      <c r="G327" s="7">
        <f t="shared" si="81"/>
        <v>0</v>
      </c>
      <c r="H327" s="35">
        <f t="shared" si="82"/>
        <v>5799.2</v>
      </c>
      <c r="I327" s="7">
        <f t="shared" si="81"/>
        <v>0</v>
      </c>
      <c r="J327" s="35">
        <f t="shared" si="80"/>
        <v>5799.2</v>
      </c>
      <c r="K327" s="7">
        <f t="shared" si="81"/>
        <v>-1.7</v>
      </c>
      <c r="L327" s="35">
        <f t="shared" si="77"/>
        <v>5797.5</v>
      </c>
      <c r="M327" s="7">
        <f t="shared" si="81"/>
        <v>0</v>
      </c>
      <c r="N327" s="35">
        <f t="shared" si="78"/>
        <v>5797.5</v>
      </c>
      <c r="O327" s="7">
        <f t="shared" si="81"/>
        <v>0</v>
      </c>
      <c r="P327" s="35">
        <f t="shared" si="74"/>
        <v>5797.5</v>
      </c>
      <c r="Q327" s="7">
        <f t="shared" si="81"/>
        <v>0</v>
      </c>
      <c r="R327" s="35">
        <f t="shared" si="75"/>
        <v>5797.5</v>
      </c>
      <c r="S327" s="7">
        <f t="shared" si="81"/>
        <v>0</v>
      </c>
      <c r="T327" s="35">
        <f t="shared" si="72"/>
        <v>5797.5</v>
      </c>
    </row>
    <row r="328" spans="1:20" ht="18.75" customHeight="1">
      <c r="A328" s="61" t="str">
        <f ca="1">IF(ISERROR(MATCH(E328,Код_КВР,0)),"",INDIRECT(ADDRESS(MATCH(E328,Код_КВР,0)+1,2,,,"КВР")))</f>
        <v>Субсидии бюджетным учреждениям</v>
      </c>
      <c r="B328" s="43" t="s">
        <v>483</v>
      </c>
      <c r="C328" s="8" t="s">
        <v>220</v>
      </c>
      <c r="D328" s="1" t="s">
        <v>211</v>
      </c>
      <c r="E328" s="113">
        <v>610</v>
      </c>
      <c r="F328" s="7">
        <f t="shared" si="81"/>
        <v>5799.2</v>
      </c>
      <c r="G328" s="7">
        <f t="shared" si="81"/>
        <v>0</v>
      </c>
      <c r="H328" s="35">
        <f t="shared" si="82"/>
        <v>5799.2</v>
      </c>
      <c r="I328" s="7">
        <f t="shared" si="81"/>
        <v>0</v>
      </c>
      <c r="J328" s="35">
        <f t="shared" si="80"/>
        <v>5799.2</v>
      </c>
      <c r="K328" s="7">
        <f t="shared" si="81"/>
        <v>-1.7</v>
      </c>
      <c r="L328" s="35">
        <f t="shared" si="77"/>
        <v>5797.5</v>
      </c>
      <c r="M328" s="7">
        <f t="shared" si="81"/>
        <v>0</v>
      </c>
      <c r="N328" s="35">
        <f t="shared" si="78"/>
        <v>5797.5</v>
      </c>
      <c r="O328" s="7">
        <f t="shared" si="81"/>
        <v>0</v>
      </c>
      <c r="P328" s="35">
        <f t="shared" si="74"/>
        <v>5797.5</v>
      </c>
      <c r="Q328" s="7">
        <f t="shared" si="81"/>
        <v>0</v>
      </c>
      <c r="R328" s="35">
        <f t="shared" si="75"/>
        <v>5797.5</v>
      </c>
      <c r="S328" s="7">
        <f t="shared" si="81"/>
        <v>0</v>
      </c>
      <c r="T328" s="35">
        <f t="shared" si="72"/>
        <v>5797.5</v>
      </c>
    </row>
    <row r="329" spans="1:20" ht="51.75" customHeight="1">
      <c r="A329" s="61" t="str">
        <f ca="1">IF(ISERROR(MATCH(E329,Код_КВР,0)),"",INDIRECT(ADDRESS(MATCH(E329,Код_КВР,0)+1,2,,,"КВР")))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29" s="43" t="s">
        <v>483</v>
      </c>
      <c r="C329" s="8" t="s">
        <v>220</v>
      </c>
      <c r="D329" s="1" t="s">
        <v>211</v>
      </c>
      <c r="E329" s="113">
        <v>611</v>
      </c>
      <c r="F329" s="7">
        <f>прил.6!G1012</f>
        <v>5799.2</v>
      </c>
      <c r="G329" s="7">
        <f>прил.6!H1012</f>
        <v>0</v>
      </c>
      <c r="H329" s="35">
        <f t="shared" si="82"/>
        <v>5799.2</v>
      </c>
      <c r="I329" s="7">
        <f>прил.6!J1012</f>
        <v>0</v>
      </c>
      <c r="J329" s="35">
        <f t="shared" si="80"/>
        <v>5799.2</v>
      </c>
      <c r="K329" s="7">
        <f>прил.6!L1012</f>
        <v>-1.7</v>
      </c>
      <c r="L329" s="35">
        <f t="shared" si="77"/>
        <v>5797.5</v>
      </c>
      <c r="M329" s="7">
        <f>прил.6!N1012</f>
        <v>0</v>
      </c>
      <c r="N329" s="35">
        <f t="shared" si="78"/>
        <v>5797.5</v>
      </c>
      <c r="O329" s="7">
        <f>прил.6!P1012</f>
        <v>0</v>
      </c>
      <c r="P329" s="35">
        <f t="shared" si="74"/>
        <v>5797.5</v>
      </c>
      <c r="Q329" s="7">
        <f>прил.6!R1012</f>
        <v>0</v>
      </c>
      <c r="R329" s="35">
        <f t="shared" si="75"/>
        <v>5797.5</v>
      </c>
      <c r="S329" s="7">
        <f>прил.6!T1012</f>
        <v>0</v>
      </c>
      <c r="T329" s="35">
        <f t="shared" si="72"/>
        <v>5797.5</v>
      </c>
    </row>
    <row r="330" spans="1:20" ht="40.5" customHeight="1">
      <c r="A330" s="61" t="str">
        <f ca="1">IF(ISERROR(MATCH(B330,Код_КЦСР,0)),"",INDIRECT(ADDRESS(MATCH(B330,Код_КЦСР,0)+1,2,,,"КЦСР")))</f>
        <v>Обеспечение физической сохранности  и безопасности фонда библиотеки</v>
      </c>
      <c r="B330" s="43" t="s">
        <v>485</v>
      </c>
      <c r="C330" s="8"/>
      <c r="D330" s="1"/>
      <c r="E330" s="113"/>
      <c r="F330" s="7">
        <f t="shared" ref="F330:S334" si="83">F331</f>
        <v>2971.3</v>
      </c>
      <c r="G330" s="7">
        <f t="shared" si="83"/>
        <v>0</v>
      </c>
      <c r="H330" s="35">
        <f t="shared" si="82"/>
        <v>2971.3</v>
      </c>
      <c r="I330" s="7">
        <f t="shared" si="83"/>
        <v>0</v>
      </c>
      <c r="J330" s="35">
        <f t="shared" si="80"/>
        <v>2971.3</v>
      </c>
      <c r="K330" s="7">
        <f t="shared" si="83"/>
        <v>-1</v>
      </c>
      <c r="L330" s="35">
        <f t="shared" si="77"/>
        <v>2970.3</v>
      </c>
      <c r="M330" s="7">
        <f t="shared" si="83"/>
        <v>0</v>
      </c>
      <c r="N330" s="35">
        <f t="shared" si="78"/>
        <v>2970.3</v>
      </c>
      <c r="O330" s="7">
        <f t="shared" si="83"/>
        <v>0</v>
      </c>
      <c r="P330" s="35">
        <f t="shared" si="74"/>
        <v>2970.3</v>
      </c>
      <c r="Q330" s="7">
        <f t="shared" si="83"/>
        <v>0</v>
      </c>
      <c r="R330" s="35">
        <f t="shared" si="75"/>
        <v>2970.3</v>
      </c>
      <c r="S330" s="7">
        <f t="shared" si="83"/>
        <v>0</v>
      </c>
      <c r="T330" s="35">
        <f t="shared" si="72"/>
        <v>2970.3</v>
      </c>
    </row>
    <row r="331" spans="1:20" ht="18.75" customHeight="1">
      <c r="A331" s="61" t="str">
        <f ca="1">IF(ISERROR(MATCH(C331,Код_Раздел,0)),"",INDIRECT(ADDRESS(MATCH(C331,Код_Раздел,0)+1,2,,,"Раздел")))</f>
        <v>Культура, кинематография</v>
      </c>
      <c r="B331" s="43" t="s">
        <v>485</v>
      </c>
      <c r="C331" s="8" t="s">
        <v>220</v>
      </c>
      <c r="D331" s="1"/>
      <c r="E331" s="113"/>
      <c r="F331" s="7">
        <f t="shared" si="83"/>
        <v>2971.3</v>
      </c>
      <c r="G331" s="7">
        <f t="shared" si="83"/>
        <v>0</v>
      </c>
      <c r="H331" s="35">
        <f t="shared" si="82"/>
        <v>2971.3</v>
      </c>
      <c r="I331" s="7">
        <f t="shared" si="83"/>
        <v>0</v>
      </c>
      <c r="J331" s="35">
        <f t="shared" si="80"/>
        <v>2971.3</v>
      </c>
      <c r="K331" s="7">
        <f t="shared" si="83"/>
        <v>-1</v>
      </c>
      <c r="L331" s="35">
        <f t="shared" si="77"/>
        <v>2970.3</v>
      </c>
      <c r="M331" s="7">
        <f t="shared" si="83"/>
        <v>0</v>
      </c>
      <c r="N331" s="35">
        <f t="shared" si="78"/>
        <v>2970.3</v>
      </c>
      <c r="O331" s="7">
        <f t="shared" si="83"/>
        <v>0</v>
      </c>
      <c r="P331" s="35">
        <f t="shared" si="74"/>
        <v>2970.3</v>
      </c>
      <c r="Q331" s="7">
        <f t="shared" si="83"/>
        <v>0</v>
      </c>
      <c r="R331" s="35">
        <f t="shared" si="75"/>
        <v>2970.3</v>
      </c>
      <c r="S331" s="7">
        <f t="shared" si="83"/>
        <v>0</v>
      </c>
      <c r="T331" s="35">
        <f t="shared" si="72"/>
        <v>2970.3</v>
      </c>
    </row>
    <row r="332" spans="1:20" ht="18.75" customHeight="1">
      <c r="A332" s="12" t="s">
        <v>182</v>
      </c>
      <c r="B332" s="43" t="s">
        <v>485</v>
      </c>
      <c r="C332" s="8" t="s">
        <v>220</v>
      </c>
      <c r="D332" s="1" t="s">
        <v>211</v>
      </c>
      <c r="E332" s="113"/>
      <c r="F332" s="7">
        <f t="shared" si="83"/>
        <v>2971.3</v>
      </c>
      <c r="G332" s="7">
        <f t="shared" si="83"/>
        <v>0</v>
      </c>
      <c r="H332" s="35">
        <f t="shared" si="82"/>
        <v>2971.3</v>
      </c>
      <c r="I332" s="7">
        <f t="shared" si="83"/>
        <v>0</v>
      </c>
      <c r="J332" s="35">
        <f t="shared" si="80"/>
        <v>2971.3</v>
      </c>
      <c r="K332" s="7">
        <f t="shared" si="83"/>
        <v>-1</v>
      </c>
      <c r="L332" s="35">
        <f t="shared" si="77"/>
        <v>2970.3</v>
      </c>
      <c r="M332" s="7">
        <f t="shared" si="83"/>
        <v>0</v>
      </c>
      <c r="N332" s="35">
        <f t="shared" si="78"/>
        <v>2970.3</v>
      </c>
      <c r="O332" s="7">
        <f t="shared" si="83"/>
        <v>0</v>
      </c>
      <c r="P332" s="35">
        <f t="shared" si="74"/>
        <v>2970.3</v>
      </c>
      <c r="Q332" s="7">
        <f t="shared" si="83"/>
        <v>0</v>
      </c>
      <c r="R332" s="35">
        <f t="shared" si="75"/>
        <v>2970.3</v>
      </c>
      <c r="S332" s="7">
        <f t="shared" si="83"/>
        <v>0</v>
      </c>
      <c r="T332" s="35">
        <f t="shared" si="72"/>
        <v>2970.3</v>
      </c>
    </row>
    <row r="333" spans="1:20" ht="36.75" customHeight="1">
      <c r="A333" s="61" t="str">
        <f ca="1">IF(ISERROR(MATCH(E333,Код_КВР,0)),"",INDIRECT(ADDRESS(MATCH(E333,Код_КВР,0)+1,2,,,"КВР")))</f>
        <v>Предоставление субсидий бюджетным, автономным учреждениям и иным некоммерческим организациям</v>
      </c>
      <c r="B333" s="43" t="s">
        <v>485</v>
      </c>
      <c r="C333" s="8" t="s">
        <v>220</v>
      </c>
      <c r="D333" s="1" t="s">
        <v>211</v>
      </c>
      <c r="E333" s="113">
        <v>600</v>
      </c>
      <c r="F333" s="7">
        <f t="shared" si="83"/>
        <v>2971.3</v>
      </c>
      <c r="G333" s="7">
        <f t="shared" si="83"/>
        <v>0</v>
      </c>
      <c r="H333" s="35">
        <f t="shared" si="82"/>
        <v>2971.3</v>
      </c>
      <c r="I333" s="7">
        <f t="shared" si="83"/>
        <v>0</v>
      </c>
      <c r="J333" s="35">
        <f t="shared" si="80"/>
        <v>2971.3</v>
      </c>
      <c r="K333" s="7">
        <f t="shared" si="83"/>
        <v>-1</v>
      </c>
      <c r="L333" s="35">
        <f t="shared" si="77"/>
        <v>2970.3</v>
      </c>
      <c r="M333" s="7">
        <f t="shared" si="83"/>
        <v>0</v>
      </c>
      <c r="N333" s="35">
        <f t="shared" si="78"/>
        <v>2970.3</v>
      </c>
      <c r="O333" s="7">
        <f t="shared" si="83"/>
        <v>0</v>
      </c>
      <c r="P333" s="35">
        <f t="shared" si="74"/>
        <v>2970.3</v>
      </c>
      <c r="Q333" s="7">
        <f t="shared" si="83"/>
        <v>0</v>
      </c>
      <c r="R333" s="35">
        <f t="shared" si="75"/>
        <v>2970.3</v>
      </c>
      <c r="S333" s="7">
        <f t="shared" si="83"/>
        <v>0</v>
      </c>
      <c r="T333" s="35">
        <f t="shared" si="72"/>
        <v>2970.3</v>
      </c>
    </row>
    <row r="334" spans="1:20" ht="19.5" customHeight="1">
      <c r="A334" s="61" t="str">
        <f ca="1">IF(ISERROR(MATCH(E334,Код_КВР,0)),"",INDIRECT(ADDRESS(MATCH(E334,Код_КВР,0)+1,2,,,"КВР")))</f>
        <v>Субсидии бюджетным учреждениям</v>
      </c>
      <c r="B334" s="43" t="s">
        <v>485</v>
      </c>
      <c r="C334" s="8" t="s">
        <v>220</v>
      </c>
      <c r="D334" s="1" t="s">
        <v>211</v>
      </c>
      <c r="E334" s="113">
        <v>610</v>
      </c>
      <c r="F334" s="7">
        <f t="shared" si="83"/>
        <v>2971.3</v>
      </c>
      <c r="G334" s="7">
        <f t="shared" si="83"/>
        <v>0</v>
      </c>
      <c r="H334" s="35">
        <f t="shared" si="82"/>
        <v>2971.3</v>
      </c>
      <c r="I334" s="7">
        <f t="shared" si="83"/>
        <v>0</v>
      </c>
      <c r="J334" s="35">
        <f t="shared" si="80"/>
        <v>2971.3</v>
      </c>
      <c r="K334" s="7">
        <f t="shared" si="83"/>
        <v>-1</v>
      </c>
      <c r="L334" s="35">
        <f t="shared" si="77"/>
        <v>2970.3</v>
      </c>
      <c r="M334" s="7">
        <f t="shared" si="83"/>
        <v>0</v>
      </c>
      <c r="N334" s="35">
        <f t="shared" si="78"/>
        <v>2970.3</v>
      </c>
      <c r="O334" s="7">
        <f t="shared" si="83"/>
        <v>0</v>
      </c>
      <c r="P334" s="35">
        <f t="shared" si="74"/>
        <v>2970.3</v>
      </c>
      <c r="Q334" s="7">
        <f t="shared" si="83"/>
        <v>0</v>
      </c>
      <c r="R334" s="35">
        <f t="shared" si="75"/>
        <v>2970.3</v>
      </c>
      <c r="S334" s="7">
        <f t="shared" si="83"/>
        <v>0</v>
      </c>
      <c r="T334" s="35">
        <f t="shared" si="72"/>
        <v>2970.3</v>
      </c>
    </row>
    <row r="335" spans="1:20" ht="53.25" customHeight="1">
      <c r="A335" s="61" t="str">
        <f ca="1">IF(ISERROR(MATCH(E335,Код_КВР,0)),"",INDIRECT(ADDRESS(MATCH(E335,Код_КВР,0)+1,2,,,"КВР")))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35" s="43" t="s">
        <v>485</v>
      </c>
      <c r="C335" s="8" t="s">
        <v>220</v>
      </c>
      <c r="D335" s="1" t="s">
        <v>211</v>
      </c>
      <c r="E335" s="113">
        <v>611</v>
      </c>
      <c r="F335" s="7">
        <f>прил.6!G1016</f>
        <v>2971.3</v>
      </c>
      <c r="G335" s="7">
        <f>прил.6!H1016</f>
        <v>0</v>
      </c>
      <c r="H335" s="35">
        <f t="shared" si="82"/>
        <v>2971.3</v>
      </c>
      <c r="I335" s="7">
        <f>прил.6!J1016</f>
        <v>0</v>
      </c>
      <c r="J335" s="35">
        <f t="shared" si="80"/>
        <v>2971.3</v>
      </c>
      <c r="K335" s="7">
        <f>прил.6!L1016</f>
        <v>-1</v>
      </c>
      <c r="L335" s="35">
        <f t="shared" si="77"/>
        <v>2970.3</v>
      </c>
      <c r="M335" s="7">
        <f>прил.6!N1016</f>
        <v>0</v>
      </c>
      <c r="N335" s="35">
        <f t="shared" si="78"/>
        <v>2970.3</v>
      </c>
      <c r="O335" s="7">
        <f>прил.6!P1016</f>
        <v>0</v>
      </c>
      <c r="P335" s="35">
        <f t="shared" si="74"/>
        <v>2970.3</v>
      </c>
      <c r="Q335" s="7">
        <f>прил.6!R1016</f>
        <v>0</v>
      </c>
      <c r="R335" s="35">
        <f t="shared" si="75"/>
        <v>2970.3</v>
      </c>
      <c r="S335" s="7">
        <f>прил.6!T1016</f>
        <v>0</v>
      </c>
      <c r="T335" s="35">
        <f t="shared" si="72"/>
        <v>2970.3</v>
      </c>
    </row>
    <row r="336" spans="1:20" ht="33.75" customHeight="1">
      <c r="A336" s="61" t="str">
        <f ca="1">IF(ISERROR(MATCH(B336,Код_КЦСР,0)),"",INDIRECT(ADDRESS(MATCH(B336,Код_КЦСР,0)+1,2,,,"КЦСР")))</f>
        <v>Библиографическая обработка документов и организация  каталогов</v>
      </c>
      <c r="B336" s="43" t="s">
        <v>487</v>
      </c>
      <c r="C336" s="8"/>
      <c r="D336" s="1"/>
      <c r="E336" s="113"/>
      <c r="F336" s="7">
        <f t="shared" ref="F336:S340" si="84">F337</f>
        <v>4912.1000000000004</v>
      </c>
      <c r="G336" s="7">
        <f t="shared" si="84"/>
        <v>0</v>
      </c>
      <c r="H336" s="35">
        <f t="shared" si="82"/>
        <v>4912.1000000000004</v>
      </c>
      <c r="I336" s="7">
        <f t="shared" si="84"/>
        <v>0</v>
      </c>
      <c r="J336" s="35">
        <f t="shared" si="80"/>
        <v>4912.1000000000004</v>
      </c>
      <c r="K336" s="7">
        <f t="shared" si="84"/>
        <v>-1.2</v>
      </c>
      <c r="L336" s="35">
        <f t="shared" si="77"/>
        <v>4910.9000000000005</v>
      </c>
      <c r="M336" s="7">
        <f t="shared" si="84"/>
        <v>0</v>
      </c>
      <c r="N336" s="35">
        <f t="shared" si="78"/>
        <v>4910.9000000000005</v>
      </c>
      <c r="O336" s="7">
        <f t="shared" si="84"/>
        <v>0</v>
      </c>
      <c r="P336" s="35">
        <f t="shared" si="74"/>
        <v>4910.9000000000005</v>
      </c>
      <c r="Q336" s="7">
        <f t="shared" si="84"/>
        <v>0</v>
      </c>
      <c r="R336" s="35">
        <f t="shared" si="75"/>
        <v>4910.9000000000005</v>
      </c>
      <c r="S336" s="7">
        <f t="shared" si="84"/>
        <v>0</v>
      </c>
      <c r="T336" s="35">
        <f t="shared" si="72"/>
        <v>4910.9000000000005</v>
      </c>
    </row>
    <row r="337" spans="1:20" ht="19.5" customHeight="1">
      <c r="A337" s="61" t="str">
        <f ca="1">IF(ISERROR(MATCH(C337,Код_Раздел,0)),"",INDIRECT(ADDRESS(MATCH(C337,Код_Раздел,0)+1,2,,,"Раздел")))</f>
        <v>Культура, кинематография</v>
      </c>
      <c r="B337" s="43" t="s">
        <v>487</v>
      </c>
      <c r="C337" s="8" t="s">
        <v>220</v>
      </c>
      <c r="D337" s="1"/>
      <c r="E337" s="113"/>
      <c r="F337" s="7">
        <f t="shared" si="84"/>
        <v>4912.1000000000004</v>
      </c>
      <c r="G337" s="7">
        <f t="shared" si="84"/>
        <v>0</v>
      </c>
      <c r="H337" s="35">
        <f t="shared" si="82"/>
        <v>4912.1000000000004</v>
      </c>
      <c r="I337" s="7">
        <f t="shared" si="84"/>
        <v>0</v>
      </c>
      <c r="J337" s="35">
        <f t="shared" si="80"/>
        <v>4912.1000000000004</v>
      </c>
      <c r="K337" s="7">
        <f t="shared" si="84"/>
        <v>-1.2</v>
      </c>
      <c r="L337" s="35">
        <f t="shared" si="77"/>
        <v>4910.9000000000005</v>
      </c>
      <c r="M337" s="7">
        <f t="shared" si="84"/>
        <v>0</v>
      </c>
      <c r="N337" s="35">
        <f t="shared" si="78"/>
        <v>4910.9000000000005</v>
      </c>
      <c r="O337" s="7">
        <f t="shared" si="84"/>
        <v>0</v>
      </c>
      <c r="P337" s="35">
        <f t="shared" si="74"/>
        <v>4910.9000000000005</v>
      </c>
      <c r="Q337" s="7">
        <f t="shared" si="84"/>
        <v>0</v>
      </c>
      <c r="R337" s="35">
        <f t="shared" si="75"/>
        <v>4910.9000000000005</v>
      </c>
      <c r="S337" s="7">
        <f t="shared" si="84"/>
        <v>0</v>
      </c>
      <c r="T337" s="35">
        <f t="shared" si="72"/>
        <v>4910.9000000000005</v>
      </c>
    </row>
    <row r="338" spans="1:20" ht="19.5" customHeight="1">
      <c r="A338" s="12" t="s">
        <v>182</v>
      </c>
      <c r="B338" s="43" t="s">
        <v>487</v>
      </c>
      <c r="C338" s="8" t="s">
        <v>220</v>
      </c>
      <c r="D338" s="1" t="s">
        <v>211</v>
      </c>
      <c r="E338" s="113"/>
      <c r="F338" s="7">
        <f t="shared" si="84"/>
        <v>4912.1000000000004</v>
      </c>
      <c r="G338" s="7">
        <f t="shared" si="84"/>
        <v>0</v>
      </c>
      <c r="H338" s="35">
        <f t="shared" si="82"/>
        <v>4912.1000000000004</v>
      </c>
      <c r="I338" s="7">
        <f t="shared" si="84"/>
        <v>0</v>
      </c>
      <c r="J338" s="35">
        <f t="shared" si="80"/>
        <v>4912.1000000000004</v>
      </c>
      <c r="K338" s="7">
        <f t="shared" si="84"/>
        <v>-1.2</v>
      </c>
      <c r="L338" s="35">
        <f t="shared" si="77"/>
        <v>4910.9000000000005</v>
      </c>
      <c r="M338" s="7">
        <f t="shared" si="84"/>
        <v>0</v>
      </c>
      <c r="N338" s="35">
        <f t="shared" si="78"/>
        <v>4910.9000000000005</v>
      </c>
      <c r="O338" s="7">
        <f t="shared" si="84"/>
        <v>0</v>
      </c>
      <c r="P338" s="35">
        <f t="shared" si="74"/>
        <v>4910.9000000000005</v>
      </c>
      <c r="Q338" s="7">
        <f t="shared" si="84"/>
        <v>0</v>
      </c>
      <c r="R338" s="35">
        <f t="shared" si="75"/>
        <v>4910.9000000000005</v>
      </c>
      <c r="S338" s="7">
        <f t="shared" si="84"/>
        <v>0</v>
      </c>
      <c r="T338" s="35">
        <f t="shared" si="72"/>
        <v>4910.9000000000005</v>
      </c>
    </row>
    <row r="339" spans="1:20" ht="36.75" customHeight="1">
      <c r="A339" s="61" t="str">
        <f ca="1">IF(ISERROR(MATCH(E339,Код_КВР,0)),"",INDIRECT(ADDRESS(MATCH(E339,Код_КВР,0)+1,2,,,"КВР")))</f>
        <v>Предоставление субсидий бюджетным, автономным учреждениям и иным некоммерческим организациям</v>
      </c>
      <c r="B339" s="43" t="s">
        <v>487</v>
      </c>
      <c r="C339" s="8" t="s">
        <v>220</v>
      </c>
      <c r="D339" s="1" t="s">
        <v>211</v>
      </c>
      <c r="E339" s="113">
        <v>600</v>
      </c>
      <c r="F339" s="7">
        <f t="shared" si="84"/>
        <v>4912.1000000000004</v>
      </c>
      <c r="G339" s="7">
        <f t="shared" si="84"/>
        <v>0</v>
      </c>
      <c r="H339" s="35">
        <f t="shared" si="82"/>
        <v>4912.1000000000004</v>
      </c>
      <c r="I339" s="7">
        <f t="shared" si="84"/>
        <v>0</v>
      </c>
      <c r="J339" s="35">
        <f t="shared" si="80"/>
        <v>4912.1000000000004</v>
      </c>
      <c r="K339" s="7">
        <f t="shared" si="84"/>
        <v>-1.2</v>
      </c>
      <c r="L339" s="35">
        <f t="shared" si="77"/>
        <v>4910.9000000000005</v>
      </c>
      <c r="M339" s="7">
        <f t="shared" si="84"/>
        <v>0</v>
      </c>
      <c r="N339" s="35">
        <f t="shared" si="78"/>
        <v>4910.9000000000005</v>
      </c>
      <c r="O339" s="7">
        <f t="shared" si="84"/>
        <v>0</v>
      </c>
      <c r="P339" s="35">
        <f t="shared" si="74"/>
        <v>4910.9000000000005</v>
      </c>
      <c r="Q339" s="7">
        <f t="shared" si="84"/>
        <v>0</v>
      </c>
      <c r="R339" s="35">
        <f t="shared" si="75"/>
        <v>4910.9000000000005</v>
      </c>
      <c r="S339" s="7">
        <f t="shared" si="84"/>
        <v>0</v>
      </c>
      <c r="T339" s="35">
        <f t="shared" si="72"/>
        <v>4910.9000000000005</v>
      </c>
    </row>
    <row r="340" spans="1:20" ht="21" customHeight="1">
      <c r="A340" s="61" t="str">
        <f ca="1">IF(ISERROR(MATCH(E340,Код_КВР,0)),"",INDIRECT(ADDRESS(MATCH(E340,Код_КВР,0)+1,2,,,"КВР")))</f>
        <v>Субсидии бюджетным учреждениям</v>
      </c>
      <c r="B340" s="43" t="s">
        <v>487</v>
      </c>
      <c r="C340" s="8" t="s">
        <v>220</v>
      </c>
      <c r="D340" s="1" t="s">
        <v>211</v>
      </c>
      <c r="E340" s="113">
        <v>610</v>
      </c>
      <c r="F340" s="7">
        <f t="shared" si="84"/>
        <v>4912.1000000000004</v>
      </c>
      <c r="G340" s="7">
        <f t="shared" si="84"/>
        <v>0</v>
      </c>
      <c r="H340" s="35">
        <f t="shared" si="82"/>
        <v>4912.1000000000004</v>
      </c>
      <c r="I340" s="7">
        <f t="shared" si="84"/>
        <v>0</v>
      </c>
      <c r="J340" s="35">
        <f t="shared" si="80"/>
        <v>4912.1000000000004</v>
      </c>
      <c r="K340" s="7">
        <f t="shared" si="84"/>
        <v>-1.2</v>
      </c>
      <c r="L340" s="35">
        <f t="shared" si="77"/>
        <v>4910.9000000000005</v>
      </c>
      <c r="M340" s="7">
        <f t="shared" si="84"/>
        <v>0</v>
      </c>
      <c r="N340" s="35">
        <f t="shared" si="78"/>
        <v>4910.9000000000005</v>
      </c>
      <c r="O340" s="7">
        <f t="shared" si="84"/>
        <v>0</v>
      </c>
      <c r="P340" s="35">
        <f t="shared" si="74"/>
        <v>4910.9000000000005</v>
      </c>
      <c r="Q340" s="7">
        <f t="shared" si="84"/>
        <v>0</v>
      </c>
      <c r="R340" s="35">
        <f t="shared" si="75"/>
        <v>4910.9000000000005</v>
      </c>
      <c r="S340" s="7">
        <f t="shared" si="84"/>
        <v>0</v>
      </c>
      <c r="T340" s="35">
        <f t="shared" si="72"/>
        <v>4910.9000000000005</v>
      </c>
    </row>
    <row r="341" spans="1:20" ht="52.7" customHeight="1">
      <c r="A341" s="61" t="str">
        <f ca="1">IF(ISERROR(MATCH(E341,Код_КВР,0)),"",INDIRECT(ADDRESS(MATCH(E341,Код_КВР,0)+1,2,,,"КВР")))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1" s="43" t="s">
        <v>487</v>
      </c>
      <c r="C341" s="8" t="s">
        <v>220</v>
      </c>
      <c r="D341" s="1" t="s">
        <v>211</v>
      </c>
      <c r="E341" s="113">
        <v>611</v>
      </c>
      <c r="F341" s="7">
        <f>прил.6!G1020</f>
        <v>4912.1000000000004</v>
      </c>
      <c r="G341" s="7">
        <f>прил.6!H1020</f>
        <v>0</v>
      </c>
      <c r="H341" s="35">
        <f t="shared" si="82"/>
        <v>4912.1000000000004</v>
      </c>
      <c r="I341" s="7">
        <f>прил.6!J1020</f>
        <v>0</v>
      </c>
      <c r="J341" s="35">
        <f t="shared" si="80"/>
        <v>4912.1000000000004</v>
      </c>
      <c r="K341" s="7">
        <f>прил.6!L1020</f>
        <v>-1.2</v>
      </c>
      <c r="L341" s="35">
        <f t="shared" si="77"/>
        <v>4910.9000000000005</v>
      </c>
      <c r="M341" s="7">
        <f>прил.6!N1020</f>
        <v>0</v>
      </c>
      <c r="N341" s="35">
        <f t="shared" si="78"/>
        <v>4910.9000000000005</v>
      </c>
      <c r="O341" s="7">
        <f>прил.6!P1020</f>
        <v>0</v>
      </c>
      <c r="P341" s="35">
        <f t="shared" si="74"/>
        <v>4910.9000000000005</v>
      </c>
      <c r="Q341" s="7">
        <f>прил.6!R1020</f>
        <v>0</v>
      </c>
      <c r="R341" s="35">
        <f t="shared" si="75"/>
        <v>4910.9000000000005</v>
      </c>
      <c r="S341" s="7">
        <f>прил.6!T1020</f>
        <v>0</v>
      </c>
      <c r="T341" s="35">
        <f t="shared" si="72"/>
        <v>4910.9000000000005</v>
      </c>
    </row>
    <row r="342" spans="1:20" ht="56.25" customHeight="1">
      <c r="A342" s="61" t="str">
        <f ca="1">IF(ISERROR(MATCH(B342,Код_КЦСР,0)),"",INDIRECT(ADDRESS(MATCH(B342,Код_КЦСР,0)+1,2,,,"КЦСР")))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342" s="43" t="s">
        <v>666</v>
      </c>
      <c r="C342" s="8"/>
      <c r="D342" s="1"/>
      <c r="E342" s="113"/>
      <c r="F342" s="7"/>
      <c r="G342" s="7"/>
      <c r="H342" s="35"/>
      <c r="I342" s="7"/>
      <c r="J342" s="35"/>
      <c r="K342" s="7"/>
      <c r="L342" s="35"/>
      <c r="M342" s="7"/>
      <c r="N342" s="35"/>
      <c r="O342" s="7"/>
      <c r="P342" s="35"/>
      <c r="Q342" s="7">
        <f>Q343</f>
        <v>13039.6</v>
      </c>
      <c r="R342" s="35">
        <f t="shared" si="75"/>
        <v>13039.6</v>
      </c>
      <c r="S342" s="7">
        <f>S343</f>
        <v>-1043.2</v>
      </c>
      <c r="T342" s="35">
        <f t="shared" si="72"/>
        <v>11996.4</v>
      </c>
    </row>
    <row r="343" spans="1:20" ht="26.25" customHeight="1">
      <c r="A343" s="61" t="str">
        <f ca="1">IF(ISERROR(MATCH(C343,Код_Раздел,0)),"",INDIRECT(ADDRESS(MATCH(C343,Код_Раздел,0)+1,2,,,"Раздел")))</f>
        <v>Культура, кинематография</v>
      </c>
      <c r="B343" s="43" t="s">
        <v>666</v>
      </c>
      <c r="C343" s="8" t="s">
        <v>220</v>
      </c>
      <c r="D343" s="1"/>
      <c r="E343" s="113"/>
      <c r="F343" s="7"/>
      <c r="G343" s="7"/>
      <c r="H343" s="35"/>
      <c r="I343" s="7"/>
      <c r="J343" s="35"/>
      <c r="K343" s="7"/>
      <c r="L343" s="35"/>
      <c r="M343" s="7"/>
      <c r="N343" s="35"/>
      <c r="O343" s="7"/>
      <c r="P343" s="35"/>
      <c r="Q343" s="7">
        <f>Q344</f>
        <v>13039.6</v>
      </c>
      <c r="R343" s="35">
        <f t="shared" si="75"/>
        <v>13039.6</v>
      </c>
      <c r="S343" s="7">
        <f>S344</f>
        <v>-1043.2</v>
      </c>
      <c r="T343" s="35">
        <f t="shared" si="72"/>
        <v>11996.4</v>
      </c>
    </row>
    <row r="344" spans="1:20" ht="18.75" customHeight="1">
      <c r="A344" s="12" t="s">
        <v>182</v>
      </c>
      <c r="B344" s="43" t="s">
        <v>666</v>
      </c>
      <c r="C344" s="8" t="s">
        <v>220</v>
      </c>
      <c r="D344" s="1" t="s">
        <v>211</v>
      </c>
      <c r="E344" s="113"/>
      <c r="F344" s="7"/>
      <c r="G344" s="7"/>
      <c r="H344" s="35"/>
      <c r="I344" s="7"/>
      <c r="J344" s="35"/>
      <c r="K344" s="7"/>
      <c r="L344" s="35"/>
      <c r="M344" s="7"/>
      <c r="N344" s="35"/>
      <c r="O344" s="7"/>
      <c r="P344" s="35"/>
      <c r="Q344" s="7">
        <f>Q345</f>
        <v>13039.6</v>
      </c>
      <c r="R344" s="35">
        <f t="shared" si="75"/>
        <v>13039.6</v>
      </c>
      <c r="S344" s="7">
        <f>S345</f>
        <v>-1043.2</v>
      </c>
      <c r="T344" s="35">
        <f t="shared" si="72"/>
        <v>11996.4</v>
      </c>
    </row>
    <row r="345" spans="1:20" ht="38.25" customHeight="1">
      <c r="A345" s="61" t="str">
        <f ca="1">IF(ISERROR(MATCH(E345,Код_КВР,0)),"",INDIRECT(ADDRESS(MATCH(E345,Код_КВР,0)+1,2,,,"КВР")))</f>
        <v>Предоставление субсидий бюджетным, автономным учреждениям и иным некоммерческим организациям</v>
      </c>
      <c r="B345" s="43" t="s">
        <v>666</v>
      </c>
      <c r="C345" s="8" t="s">
        <v>220</v>
      </c>
      <c r="D345" s="1" t="s">
        <v>211</v>
      </c>
      <c r="E345" s="113">
        <v>600</v>
      </c>
      <c r="F345" s="7"/>
      <c r="G345" s="7"/>
      <c r="H345" s="35"/>
      <c r="I345" s="7"/>
      <c r="J345" s="35"/>
      <c r="K345" s="7"/>
      <c r="L345" s="35"/>
      <c r="M345" s="7"/>
      <c r="N345" s="35"/>
      <c r="O345" s="7"/>
      <c r="P345" s="35"/>
      <c r="Q345" s="7">
        <f>Q346</f>
        <v>13039.6</v>
      </c>
      <c r="R345" s="35">
        <f t="shared" si="75"/>
        <v>13039.6</v>
      </c>
      <c r="S345" s="7">
        <f>S346</f>
        <v>-1043.2</v>
      </c>
      <c r="T345" s="35">
        <f t="shared" si="72"/>
        <v>11996.4</v>
      </c>
    </row>
    <row r="346" spans="1:20" ht="24.75" customHeight="1">
      <c r="A346" s="61" t="str">
        <f ca="1">IF(ISERROR(MATCH(E346,Код_КВР,0)),"",INDIRECT(ADDRESS(MATCH(E346,Код_КВР,0)+1,2,,,"КВР")))</f>
        <v>Субсидии бюджетным учреждениям</v>
      </c>
      <c r="B346" s="43" t="s">
        <v>666</v>
      </c>
      <c r="C346" s="8" t="s">
        <v>220</v>
      </c>
      <c r="D346" s="1" t="s">
        <v>211</v>
      </c>
      <c r="E346" s="113">
        <v>610</v>
      </c>
      <c r="F346" s="7"/>
      <c r="G346" s="7"/>
      <c r="H346" s="35"/>
      <c r="I346" s="7"/>
      <c r="J346" s="35"/>
      <c r="K346" s="7"/>
      <c r="L346" s="35"/>
      <c r="M346" s="7"/>
      <c r="N346" s="35"/>
      <c r="O346" s="7"/>
      <c r="P346" s="35"/>
      <c r="Q346" s="7">
        <f>Q347</f>
        <v>13039.6</v>
      </c>
      <c r="R346" s="35">
        <f t="shared" si="75"/>
        <v>13039.6</v>
      </c>
      <c r="S346" s="7">
        <f>S347</f>
        <v>-1043.2</v>
      </c>
      <c r="T346" s="35">
        <f t="shared" si="72"/>
        <v>11996.4</v>
      </c>
    </row>
    <row r="347" spans="1:20" ht="52.7" customHeight="1">
      <c r="A347" s="61" t="str">
        <f ca="1">IF(ISERROR(MATCH(E347,Код_КВР,0)),"",INDIRECT(ADDRESS(MATCH(E347,Код_КВР,0)+1,2,,,"КВР")))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7" s="43" t="s">
        <v>666</v>
      </c>
      <c r="C347" s="8" t="s">
        <v>220</v>
      </c>
      <c r="D347" s="1" t="s">
        <v>211</v>
      </c>
      <c r="E347" s="113">
        <v>611</v>
      </c>
      <c r="F347" s="7"/>
      <c r="G347" s="7"/>
      <c r="H347" s="35"/>
      <c r="I347" s="7"/>
      <c r="J347" s="35"/>
      <c r="K347" s="7"/>
      <c r="L347" s="35"/>
      <c r="M347" s="7"/>
      <c r="N347" s="35"/>
      <c r="O347" s="7"/>
      <c r="P347" s="35"/>
      <c r="Q347" s="7">
        <f>прил.6!R1024</f>
        <v>13039.6</v>
      </c>
      <c r="R347" s="35">
        <f t="shared" si="75"/>
        <v>13039.6</v>
      </c>
      <c r="S347" s="7">
        <f>прил.6!T1024</f>
        <v>-1043.2</v>
      </c>
      <c r="T347" s="35">
        <f t="shared" si="72"/>
        <v>11996.4</v>
      </c>
    </row>
    <row r="348" spans="1:20">
      <c r="A348" s="61" t="str">
        <f ca="1">IF(ISERROR(MATCH(B348,Код_КЦСР,0)),"",INDIRECT(ADDRESS(MATCH(B348,Код_КЦСР,0)+1,2,,,"КЦСР")))</f>
        <v>Совершенствование культурно-досуговой деятельности</v>
      </c>
      <c r="B348" s="43" t="s">
        <v>489</v>
      </c>
      <c r="C348" s="8"/>
      <c r="D348" s="1"/>
      <c r="E348" s="113"/>
      <c r="F348" s="7">
        <f>F349+F355+F366+F372</f>
        <v>41179.599999999999</v>
      </c>
      <c r="G348" s="7">
        <f>G349+G355+G366+G372</f>
        <v>0</v>
      </c>
      <c r="H348" s="35">
        <f t="shared" si="82"/>
        <v>41179.599999999999</v>
      </c>
      <c r="I348" s="7">
        <f>I349+I355+I366+I372</f>
        <v>0</v>
      </c>
      <c r="J348" s="35">
        <f t="shared" si="80"/>
        <v>41179.599999999999</v>
      </c>
      <c r="K348" s="7">
        <f>K349+K355+K366+K372</f>
        <v>-61.7</v>
      </c>
      <c r="L348" s="35">
        <f t="shared" si="77"/>
        <v>41117.9</v>
      </c>
      <c r="M348" s="7">
        <f>M349+M355+M366+M372</f>
        <v>0</v>
      </c>
      <c r="N348" s="35">
        <f t="shared" si="78"/>
        <v>41117.9</v>
      </c>
      <c r="O348" s="7">
        <f>O349+O355+O366+O372</f>
        <v>0</v>
      </c>
      <c r="P348" s="35">
        <f t="shared" si="74"/>
        <v>41117.9</v>
      </c>
      <c r="Q348" s="7">
        <f>Q349+Q355+Q366+Q372+Q378</f>
        <v>-839</v>
      </c>
      <c r="R348" s="35">
        <f t="shared" si="75"/>
        <v>40278.9</v>
      </c>
      <c r="S348" s="7">
        <f>S349+S355+S366+S372+S378</f>
        <v>2638.1</v>
      </c>
      <c r="T348" s="35">
        <f t="shared" si="72"/>
        <v>42917</v>
      </c>
    </row>
    <row r="349" spans="1:20" ht="72" customHeight="1">
      <c r="A349" s="61" t="str">
        <f ca="1">IF(ISERROR(MATCH(B349,Код_КЦСР,0)),"",INDIRECT(ADDRESS(MATCH(B349,Код_КЦСР,0)+1,2,,,"КЦСР")))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49" s="43" t="s">
        <v>491</v>
      </c>
      <c r="C349" s="8"/>
      <c r="D349" s="1"/>
      <c r="E349" s="113"/>
      <c r="F349" s="7">
        <f t="shared" ref="F349:S353" si="85">F350</f>
        <v>450</v>
      </c>
      <c r="G349" s="7">
        <f t="shared" si="85"/>
        <v>0</v>
      </c>
      <c r="H349" s="35">
        <f t="shared" si="82"/>
        <v>450</v>
      </c>
      <c r="I349" s="7">
        <f t="shared" si="85"/>
        <v>0</v>
      </c>
      <c r="J349" s="35">
        <f t="shared" si="80"/>
        <v>450</v>
      </c>
      <c r="K349" s="7">
        <f t="shared" si="85"/>
        <v>0</v>
      </c>
      <c r="L349" s="35">
        <f t="shared" si="77"/>
        <v>450</v>
      </c>
      <c r="M349" s="7">
        <f t="shared" si="85"/>
        <v>0</v>
      </c>
      <c r="N349" s="35">
        <f t="shared" si="78"/>
        <v>450</v>
      </c>
      <c r="O349" s="7">
        <f t="shared" si="85"/>
        <v>0</v>
      </c>
      <c r="P349" s="35">
        <f t="shared" si="74"/>
        <v>450</v>
      </c>
      <c r="Q349" s="7">
        <f t="shared" si="85"/>
        <v>0</v>
      </c>
      <c r="R349" s="35">
        <f t="shared" si="75"/>
        <v>450</v>
      </c>
      <c r="S349" s="7">
        <f t="shared" si="85"/>
        <v>0</v>
      </c>
      <c r="T349" s="35">
        <f t="shared" si="72"/>
        <v>450</v>
      </c>
    </row>
    <row r="350" spans="1:20">
      <c r="A350" s="61" t="str">
        <f ca="1">IF(ISERROR(MATCH(C350,Код_Раздел,0)),"",INDIRECT(ADDRESS(MATCH(C350,Код_Раздел,0)+1,2,,,"Раздел")))</f>
        <v>Культура, кинематография</v>
      </c>
      <c r="B350" s="43" t="s">
        <v>491</v>
      </c>
      <c r="C350" s="8" t="s">
        <v>220</v>
      </c>
      <c r="D350" s="1"/>
      <c r="E350" s="113"/>
      <c r="F350" s="7">
        <f t="shared" si="85"/>
        <v>450</v>
      </c>
      <c r="G350" s="7">
        <f t="shared" si="85"/>
        <v>0</v>
      </c>
      <c r="H350" s="35">
        <f t="shared" si="82"/>
        <v>450</v>
      </c>
      <c r="I350" s="7">
        <f t="shared" si="85"/>
        <v>0</v>
      </c>
      <c r="J350" s="35">
        <f t="shared" si="80"/>
        <v>450</v>
      </c>
      <c r="K350" s="7">
        <f t="shared" si="85"/>
        <v>0</v>
      </c>
      <c r="L350" s="35">
        <f t="shared" si="77"/>
        <v>450</v>
      </c>
      <c r="M350" s="7">
        <f t="shared" si="85"/>
        <v>0</v>
      </c>
      <c r="N350" s="35">
        <f t="shared" si="78"/>
        <v>450</v>
      </c>
      <c r="O350" s="7">
        <f t="shared" si="85"/>
        <v>0</v>
      </c>
      <c r="P350" s="35">
        <f t="shared" si="74"/>
        <v>450</v>
      </c>
      <c r="Q350" s="7">
        <f t="shared" si="85"/>
        <v>0</v>
      </c>
      <c r="R350" s="35">
        <f t="shared" si="75"/>
        <v>450</v>
      </c>
      <c r="S350" s="7">
        <f t="shared" si="85"/>
        <v>0</v>
      </c>
      <c r="T350" s="35">
        <f t="shared" si="72"/>
        <v>450</v>
      </c>
    </row>
    <row r="351" spans="1:20">
      <c r="A351" s="12" t="s">
        <v>161</v>
      </c>
      <c r="B351" s="43" t="s">
        <v>491</v>
      </c>
      <c r="C351" s="8" t="s">
        <v>220</v>
      </c>
      <c r="D351" s="1" t="s">
        <v>214</v>
      </c>
      <c r="E351" s="113"/>
      <c r="F351" s="7">
        <f t="shared" si="85"/>
        <v>450</v>
      </c>
      <c r="G351" s="7">
        <f t="shared" si="85"/>
        <v>0</v>
      </c>
      <c r="H351" s="35">
        <f t="shared" si="82"/>
        <v>450</v>
      </c>
      <c r="I351" s="7">
        <f t="shared" si="85"/>
        <v>0</v>
      </c>
      <c r="J351" s="35">
        <f t="shared" si="80"/>
        <v>450</v>
      </c>
      <c r="K351" s="7">
        <f t="shared" si="85"/>
        <v>0</v>
      </c>
      <c r="L351" s="35">
        <f t="shared" si="77"/>
        <v>450</v>
      </c>
      <c r="M351" s="7">
        <f t="shared" si="85"/>
        <v>0</v>
      </c>
      <c r="N351" s="35">
        <f t="shared" si="78"/>
        <v>450</v>
      </c>
      <c r="O351" s="7">
        <f t="shared" si="85"/>
        <v>0</v>
      </c>
      <c r="P351" s="35">
        <f t="shared" si="74"/>
        <v>450</v>
      </c>
      <c r="Q351" s="7">
        <f t="shared" si="85"/>
        <v>0</v>
      </c>
      <c r="R351" s="35">
        <f t="shared" si="75"/>
        <v>450</v>
      </c>
      <c r="S351" s="7">
        <f t="shared" si="85"/>
        <v>0</v>
      </c>
      <c r="T351" s="35">
        <f t="shared" si="72"/>
        <v>450</v>
      </c>
    </row>
    <row r="352" spans="1:20" ht="33">
      <c r="A352" s="61" t="str">
        <f ca="1">IF(ISERROR(MATCH(E352,Код_КВР,0)),"",INDIRECT(ADDRESS(MATCH(E352,Код_КВР,0)+1,2,,,"КВР")))</f>
        <v>Предоставление субсидий бюджетным, автономным учреждениям и иным некоммерческим организациям</v>
      </c>
      <c r="B352" s="43" t="s">
        <v>491</v>
      </c>
      <c r="C352" s="8" t="s">
        <v>220</v>
      </c>
      <c r="D352" s="1" t="s">
        <v>214</v>
      </c>
      <c r="E352" s="113">
        <v>600</v>
      </c>
      <c r="F352" s="7">
        <f t="shared" si="85"/>
        <v>450</v>
      </c>
      <c r="G352" s="7">
        <f t="shared" si="85"/>
        <v>0</v>
      </c>
      <c r="H352" s="35">
        <f t="shared" si="82"/>
        <v>450</v>
      </c>
      <c r="I352" s="7">
        <f t="shared" si="85"/>
        <v>0</v>
      </c>
      <c r="J352" s="35">
        <f t="shared" si="80"/>
        <v>450</v>
      </c>
      <c r="K352" s="7">
        <f t="shared" si="85"/>
        <v>0</v>
      </c>
      <c r="L352" s="35">
        <f t="shared" si="77"/>
        <v>450</v>
      </c>
      <c r="M352" s="7">
        <f t="shared" si="85"/>
        <v>0</v>
      </c>
      <c r="N352" s="35">
        <f t="shared" si="78"/>
        <v>450</v>
      </c>
      <c r="O352" s="7">
        <f t="shared" si="85"/>
        <v>0</v>
      </c>
      <c r="P352" s="35">
        <f t="shared" si="74"/>
        <v>450</v>
      </c>
      <c r="Q352" s="7">
        <f t="shared" si="85"/>
        <v>0</v>
      </c>
      <c r="R352" s="35">
        <f t="shared" si="75"/>
        <v>450</v>
      </c>
      <c r="S352" s="7">
        <f t="shared" si="85"/>
        <v>0</v>
      </c>
      <c r="T352" s="35">
        <f t="shared" ref="T352:T415" si="86">R352+S352</f>
        <v>450</v>
      </c>
    </row>
    <row r="353" spans="1:20">
      <c r="A353" s="61" t="str">
        <f ca="1">IF(ISERROR(MATCH(E353,Код_КВР,0)),"",INDIRECT(ADDRESS(MATCH(E353,Код_КВР,0)+1,2,,,"КВР")))</f>
        <v>Субсидии бюджетным учреждениям</v>
      </c>
      <c r="B353" s="43" t="s">
        <v>491</v>
      </c>
      <c r="C353" s="8" t="s">
        <v>220</v>
      </c>
      <c r="D353" s="1" t="s">
        <v>214</v>
      </c>
      <c r="E353" s="113">
        <v>610</v>
      </c>
      <c r="F353" s="7">
        <f t="shared" si="85"/>
        <v>450</v>
      </c>
      <c r="G353" s="7">
        <f t="shared" si="85"/>
        <v>0</v>
      </c>
      <c r="H353" s="35">
        <f t="shared" si="82"/>
        <v>450</v>
      </c>
      <c r="I353" s="7">
        <f t="shared" si="85"/>
        <v>0</v>
      </c>
      <c r="J353" s="35">
        <f t="shared" si="80"/>
        <v>450</v>
      </c>
      <c r="K353" s="7">
        <f t="shared" si="85"/>
        <v>0</v>
      </c>
      <c r="L353" s="35">
        <f t="shared" si="77"/>
        <v>450</v>
      </c>
      <c r="M353" s="7">
        <f t="shared" si="85"/>
        <v>0</v>
      </c>
      <c r="N353" s="35">
        <f t="shared" si="78"/>
        <v>450</v>
      </c>
      <c r="O353" s="7">
        <f t="shared" si="85"/>
        <v>0</v>
      </c>
      <c r="P353" s="35">
        <f t="shared" si="74"/>
        <v>450</v>
      </c>
      <c r="Q353" s="7">
        <f t="shared" si="85"/>
        <v>0</v>
      </c>
      <c r="R353" s="35">
        <f t="shared" si="75"/>
        <v>450</v>
      </c>
      <c r="S353" s="7">
        <f t="shared" si="85"/>
        <v>0</v>
      </c>
      <c r="T353" s="35">
        <f t="shared" si="86"/>
        <v>450</v>
      </c>
    </row>
    <row r="354" spans="1:20">
      <c r="A354" s="61" t="str">
        <f ca="1">IF(ISERROR(MATCH(E354,Код_КВР,0)),"",INDIRECT(ADDRESS(MATCH(E354,Код_КВР,0)+1,2,,,"КВР")))</f>
        <v>Субсидии бюджетным учреждениям на иные цели</v>
      </c>
      <c r="B354" s="43" t="s">
        <v>491</v>
      </c>
      <c r="C354" s="8" t="s">
        <v>220</v>
      </c>
      <c r="D354" s="1" t="s">
        <v>214</v>
      </c>
      <c r="E354" s="113">
        <v>612</v>
      </c>
      <c r="F354" s="7">
        <f>прил.6!G1098</f>
        <v>450</v>
      </c>
      <c r="G354" s="7">
        <f>прил.6!H1098</f>
        <v>0</v>
      </c>
      <c r="H354" s="35">
        <f t="shared" si="82"/>
        <v>450</v>
      </c>
      <c r="I354" s="7">
        <f>прил.6!J1098</f>
        <v>0</v>
      </c>
      <c r="J354" s="35">
        <f t="shared" si="80"/>
        <v>450</v>
      </c>
      <c r="K354" s="7">
        <f>прил.6!L1098</f>
        <v>0</v>
      </c>
      <c r="L354" s="35">
        <f t="shared" si="77"/>
        <v>450</v>
      </c>
      <c r="M354" s="7">
        <f>прил.6!N1098</f>
        <v>0</v>
      </c>
      <c r="N354" s="35">
        <f t="shared" si="78"/>
        <v>450</v>
      </c>
      <c r="O354" s="7">
        <f>прил.6!P1098</f>
        <v>0</v>
      </c>
      <c r="P354" s="35">
        <f t="shared" si="74"/>
        <v>450</v>
      </c>
      <c r="Q354" s="7">
        <f>прил.6!R1098</f>
        <v>0</v>
      </c>
      <c r="R354" s="35">
        <f t="shared" si="75"/>
        <v>450</v>
      </c>
      <c r="S354" s="7">
        <f>прил.6!T1098</f>
        <v>0</v>
      </c>
      <c r="T354" s="35">
        <f t="shared" si="86"/>
        <v>450</v>
      </c>
    </row>
    <row r="355" spans="1:20" ht="97.5" customHeight="1">
      <c r="A355" s="61" t="str">
        <f ca="1">IF(ISERROR(MATCH(B355,Код_КЦСР,0)),"",INDIRECT(ADDRESS(MATCH(B355,Код_КЦСР,0)+1,2,,,"КЦСР")))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народа, организация и проведение конкурсов, фестивалей и смотров самодеятельного художественного творчества, выставок)</v>
      </c>
      <c r="B355" s="43" t="s">
        <v>495</v>
      </c>
      <c r="C355" s="8"/>
      <c r="D355" s="1"/>
      <c r="E355" s="113"/>
      <c r="F355" s="7">
        <f>F356+F361</f>
        <v>183</v>
      </c>
      <c r="G355" s="7">
        <f>G356+G361</f>
        <v>0</v>
      </c>
      <c r="H355" s="35">
        <f t="shared" si="82"/>
        <v>183</v>
      </c>
      <c r="I355" s="7">
        <f>I356+I361</f>
        <v>0</v>
      </c>
      <c r="J355" s="35">
        <f t="shared" si="80"/>
        <v>183</v>
      </c>
      <c r="K355" s="7">
        <f>K356+K361</f>
        <v>0</v>
      </c>
      <c r="L355" s="35">
        <f t="shared" si="77"/>
        <v>183</v>
      </c>
      <c r="M355" s="7">
        <f>M356+M361</f>
        <v>0</v>
      </c>
      <c r="N355" s="35">
        <f t="shared" si="78"/>
        <v>183</v>
      </c>
      <c r="O355" s="7">
        <f>O356+O361</f>
        <v>0</v>
      </c>
      <c r="P355" s="35">
        <f t="shared" si="74"/>
        <v>183</v>
      </c>
      <c r="Q355" s="7">
        <f>Q356+Q361</f>
        <v>0</v>
      </c>
      <c r="R355" s="35">
        <f t="shared" si="75"/>
        <v>183</v>
      </c>
      <c r="S355" s="7">
        <f>S356+S361</f>
        <v>0</v>
      </c>
      <c r="T355" s="35">
        <f t="shared" si="86"/>
        <v>183</v>
      </c>
    </row>
    <row r="356" spans="1:20" ht="20.25" customHeight="1">
      <c r="A356" s="61" t="str">
        <f ca="1">IF(ISERROR(MATCH(C356,Код_Раздел,0)),"",INDIRECT(ADDRESS(MATCH(C356,Код_Раздел,0)+1,2,,,"Раздел")))</f>
        <v>Образование</v>
      </c>
      <c r="B356" s="43" t="s">
        <v>495</v>
      </c>
      <c r="C356" s="8" t="s">
        <v>193</v>
      </c>
      <c r="D356" s="1"/>
      <c r="E356" s="113"/>
      <c r="F356" s="7">
        <f t="shared" ref="F356:S359" si="87">F357</f>
        <v>76</v>
      </c>
      <c r="G356" s="7">
        <f t="shared" si="87"/>
        <v>0</v>
      </c>
      <c r="H356" s="35">
        <f t="shared" si="82"/>
        <v>76</v>
      </c>
      <c r="I356" s="7">
        <f t="shared" si="87"/>
        <v>0</v>
      </c>
      <c r="J356" s="35">
        <f t="shared" si="80"/>
        <v>76</v>
      </c>
      <c r="K356" s="7">
        <f t="shared" si="87"/>
        <v>0</v>
      </c>
      <c r="L356" s="35">
        <f t="shared" si="77"/>
        <v>76</v>
      </c>
      <c r="M356" s="7">
        <f t="shared" si="87"/>
        <v>0</v>
      </c>
      <c r="N356" s="35">
        <f t="shared" si="78"/>
        <v>76</v>
      </c>
      <c r="O356" s="7">
        <f t="shared" si="87"/>
        <v>0</v>
      </c>
      <c r="P356" s="35">
        <f t="shared" si="74"/>
        <v>76</v>
      </c>
      <c r="Q356" s="7">
        <f t="shared" si="87"/>
        <v>0</v>
      </c>
      <c r="R356" s="35">
        <f t="shared" si="75"/>
        <v>76</v>
      </c>
      <c r="S356" s="7">
        <f t="shared" si="87"/>
        <v>0</v>
      </c>
      <c r="T356" s="35">
        <f t="shared" si="86"/>
        <v>76</v>
      </c>
    </row>
    <row r="357" spans="1:20" ht="19.5" customHeight="1">
      <c r="A357" s="12" t="s">
        <v>249</v>
      </c>
      <c r="B357" s="43" t="s">
        <v>495</v>
      </c>
      <c r="C357" s="8" t="s">
        <v>193</v>
      </c>
      <c r="D357" s="1" t="s">
        <v>217</v>
      </c>
      <c r="E357" s="113"/>
      <c r="F357" s="7">
        <f t="shared" si="87"/>
        <v>76</v>
      </c>
      <c r="G357" s="7">
        <f t="shared" si="87"/>
        <v>0</v>
      </c>
      <c r="H357" s="35">
        <f t="shared" si="82"/>
        <v>76</v>
      </c>
      <c r="I357" s="7">
        <f t="shared" si="87"/>
        <v>0</v>
      </c>
      <c r="J357" s="35">
        <f t="shared" si="80"/>
        <v>76</v>
      </c>
      <c r="K357" s="7">
        <f t="shared" si="87"/>
        <v>0</v>
      </c>
      <c r="L357" s="35">
        <f t="shared" si="77"/>
        <v>76</v>
      </c>
      <c r="M357" s="7">
        <f t="shared" si="87"/>
        <v>0</v>
      </c>
      <c r="N357" s="35">
        <f t="shared" si="78"/>
        <v>76</v>
      </c>
      <c r="O357" s="7">
        <f t="shared" si="87"/>
        <v>0</v>
      </c>
      <c r="P357" s="35">
        <f t="shared" si="74"/>
        <v>76</v>
      </c>
      <c r="Q357" s="7">
        <f t="shared" si="87"/>
        <v>0</v>
      </c>
      <c r="R357" s="35">
        <f t="shared" si="75"/>
        <v>76</v>
      </c>
      <c r="S357" s="7">
        <f t="shared" si="87"/>
        <v>0</v>
      </c>
      <c r="T357" s="35">
        <f t="shared" si="86"/>
        <v>76</v>
      </c>
    </row>
    <row r="358" spans="1:20" ht="35.25" customHeight="1">
      <c r="A358" s="61" t="str">
        <f ca="1">IF(ISERROR(MATCH(E358,Код_КВР,0)),"",INDIRECT(ADDRESS(MATCH(E358,Код_КВР,0)+1,2,,,"КВР")))</f>
        <v>Предоставление субсидий бюджетным, автономным учреждениям и иным некоммерческим организациям</v>
      </c>
      <c r="B358" s="43" t="s">
        <v>495</v>
      </c>
      <c r="C358" s="8" t="s">
        <v>193</v>
      </c>
      <c r="D358" s="1" t="s">
        <v>217</v>
      </c>
      <c r="E358" s="113">
        <v>600</v>
      </c>
      <c r="F358" s="7">
        <f t="shared" si="87"/>
        <v>76</v>
      </c>
      <c r="G358" s="7">
        <f t="shared" si="87"/>
        <v>0</v>
      </c>
      <c r="H358" s="35">
        <f t="shared" si="82"/>
        <v>76</v>
      </c>
      <c r="I358" s="7">
        <f t="shared" si="87"/>
        <v>0</v>
      </c>
      <c r="J358" s="35">
        <f t="shared" si="80"/>
        <v>76</v>
      </c>
      <c r="K358" s="7">
        <f t="shared" si="87"/>
        <v>0</v>
      </c>
      <c r="L358" s="35">
        <f t="shared" si="77"/>
        <v>76</v>
      </c>
      <c r="M358" s="7">
        <f t="shared" si="87"/>
        <v>0</v>
      </c>
      <c r="N358" s="35">
        <f t="shared" si="78"/>
        <v>76</v>
      </c>
      <c r="O358" s="7">
        <f t="shared" si="87"/>
        <v>0</v>
      </c>
      <c r="P358" s="35">
        <f t="shared" si="74"/>
        <v>76</v>
      </c>
      <c r="Q358" s="7">
        <f t="shared" si="87"/>
        <v>0</v>
      </c>
      <c r="R358" s="35">
        <f t="shared" si="75"/>
        <v>76</v>
      </c>
      <c r="S358" s="7">
        <f t="shared" si="87"/>
        <v>0</v>
      </c>
      <c r="T358" s="35">
        <f t="shared" si="86"/>
        <v>76</v>
      </c>
    </row>
    <row r="359" spans="1:20" ht="19.5" customHeight="1">
      <c r="A359" s="61" t="str">
        <f ca="1">IF(ISERROR(MATCH(E359,Код_КВР,0)),"",INDIRECT(ADDRESS(MATCH(E359,Код_КВР,0)+1,2,,,"КВР")))</f>
        <v>Субсидии бюджетным учреждениям</v>
      </c>
      <c r="B359" s="43" t="s">
        <v>495</v>
      </c>
      <c r="C359" s="8" t="s">
        <v>193</v>
      </c>
      <c r="D359" s="1" t="s">
        <v>217</v>
      </c>
      <c r="E359" s="113">
        <v>610</v>
      </c>
      <c r="F359" s="7">
        <f t="shared" si="87"/>
        <v>76</v>
      </c>
      <c r="G359" s="7">
        <f t="shared" si="87"/>
        <v>0</v>
      </c>
      <c r="H359" s="35">
        <f t="shared" si="82"/>
        <v>76</v>
      </c>
      <c r="I359" s="7">
        <f t="shared" si="87"/>
        <v>0</v>
      </c>
      <c r="J359" s="35">
        <f t="shared" si="80"/>
        <v>76</v>
      </c>
      <c r="K359" s="7">
        <f t="shared" si="87"/>
        <v>0</v>
      </c>
      <c r="L359" s="35">
        <f t="shared" si="77"/>
        <v>76</v>
      </c>
      <c r="M359" s="7">
        <f t="shared" si="87"/>
        <v>0</v>
      </c>
      <c r="N359" s="35">
        <f t="shared" si="78"/>
        <v>76</v>
      </c>
      <c r="O359" s="7">
        <f t="shared" si="87"/>
        <v>0</v>
      </c>
      <c r="P359" s="35">
        <f t="shared" si="74"/>
        <v>76</v>
      </c>
      <c r="Q359" s="7">
        <f t="shared" si="87"/>
        <v>0</v>
      </c>
      <c r="R359" s="35">
        <f t="shared" si="75"/>
        <v>76</v>
      </c>
      <c r="S359" s="7">
        <f t="shared" si="87"/>
        <v>0</v>
      </c>
      <c r="T359" s="35">
        <f t="shared" si="86"/>
        <v>76</v>
      </c>
    </row>
    <row r="360" spans="1:20" ht="19.5" customHeight="1">
      <c r="A360" s="61" t="str">
        <f ca="1">IF(ISERROR(MATCH(E360,Код_КВР,0)),"",INDIRECT(ADDRESS(MATCH(E360,Код_КВР,0)+1,2,,,"КВР")))</f>
        <v>Субсидии бюджетным учреждениям на иные цели</v>
      </c>
      <c r="B360" s="43" t="s">
        <v>495</v>
      </c>
      <c r="C360" s="8" t="s">
        <v>193</v>
      </c>
      <c r="D360" s="1" t="s">
        <v>217</v>
      </c>
      <c r="E360" s="113">
        <v>612</v>
      </c>
      <c r="F360" s="7">
        <f>прил.6!G952</f>
        <v>76</v>
      </c>
      <c r="G360" s="7">
        <f>прил.6!H952</f>
        <v>0</v>
      </c>
      <c r="H360" s="35">
        <f t="shared" si="82"/>
        <v>76</v>
      </c>
      <c r="I360" s="7">
        <f>прил.6!J952</f>
        <v>0</v>
      </c>
      <c r="J360" s="35">
        <f t="shared" si="80"/>
        <v>76</v>
      </c>
      <c r="K360" s="7">
        <f>прил.6!L952</f>
        <v>0</v>
      </c>
      <c r="L360" s="35">
        <f t="shared" si="77"/>
        <v>76</v>
      </c>
      <c r="M360" s="7">
        <f>прил.6!N952</f>
        <v>0</v>
      </c>
      <c r="N360" s="35">
        <f t="shared" si="78"/>
        <v>76</v>
      </c>
      <c r="O360" s="7">
        <f>прил.6!P952</f>
        <v>0</v>
      </c>
      <c r="P360" s="35">
        <f t="shared" si="74"/>
        <v>76</v>
      </c>
      <c r="Q360" s="7">
        <f>прил.6!R952</f>
        <v>0</v>
      </c>
      <c r="R360" s="35">
        <f t="shared" si="75"/>
        <v>76</v>
      </c>
      <c r="S360" s="7">
        <f>прил.6!T952</f>
        <v>0</v>
      </c>
      <c r="T360" s="35">
        <f t="shared" si="86"/>
        <v>76</v>
      </c>
    </row>
    <row r="361" spans="1:20" ht="20.25" customHeight="1">
      <c r="A361" s="61" t="str">
        <f ca="1">IF(ISERROR(MATCH(C361,Код_Раздел,0)),"",INDIRECT(ADDRESS(MATCH(C361,Код_Раздел,0)+1,2,,,"Раздел")))</f>
        <v>Культура, кинематография</v>
      </c>
      <c r="B361" s="43" t="s">
        <v>495</v>
      </c>
      <c r="C361" s="8" t="s">
        <v>220</v>
      </c>
      <c r="D361" s="1"/>
      <c r="E361" s="113"/>
      <c r="F361" s="7">
        <f t="shared" ref="F361:S364" si="88">F362</f>
        <v>107</v>
      </c>
      <c r="G361" s="7">
        <f t="shared" si="88"/>
        <v>0</v>
      </c>
      <c r="H361" s="35">
        <f t="shared" si="82"/>
        <v>107</v>
      </c>
      <c r="I361" s="7">
        <f t="shared" si="88"/>
        <v>0</v>
      </c>
      <c r="J361" s="35">
        <f t="shared" si="80"/>
        <v>107</v>
      </c>
      <c r="K361" s="7">
        <f t="shared" si="88"/>
        <v>0</v>
      </c>
      <c r="L361" s="35">
        <f t="shared" si="77"/>
        <v>107</v>
      </c>
      <c r="M361" s="7">
        <f t="shared" si="88"/>
        <v>0</v>
      </c>
      <c r="N361" s="35">
        <f t="shared" si="78"/>
        <v>107</v>
      </c>
      <c r="O361" s="7">
        <f t="shared" si="88"/>
        <v>0</v>
      </c>
      <c r="P361" s="35">
        <f t="shared" si="74"/>
        <v>107</v>
      </c>
      <c r="Q361" s="7">
        <f t="shared" si="88"/>
        <v>0</v>
      </c>
      <c r="R361" s="35">
        <f t="shared" si="75"/>
        <v>107</v>
      </c>
      <c r="S361" s="7">
        <f t="shared" si="88"/>
        <v>0</v>
      </c>
      <c r="T361" s="35">
        <f t="shared" si="86"/>
        <v>107</v>
      </c>
    </row>
    <row r="362" spans="1:20" ht="18.75" customHeight="1">
      <c r="A362" s="12" t="s">
        <v>161</v>
      </c>
      <c r="B362" s="43" t="s">
        <v>495</v>
      </c>
      <c r="C362" s="8" t="s">
        <v>220</v>
      </c>
      <c r="D362" s="1" t="s">
        <v>214</v>
      </c>
      <c r="E362" s="113"/>
      <c r="F362" s="7">
        <f t="shared" si="88"/>
        <v>107</v>
      </c>
      <c r="G362" s="7">
        <f t="shared" si="88"/>
        <v>0</v>
      </c>
      <c r="H362" s="35">
        <f t="shared" si="82"/>
        <v>107</v>
      </c>
      <c r="I362" s="7">
        <f t="shared" si="88"/>
        <v>0</v>
      </c>
      <c r="J362" s="35">
        <f t="shared" si="80"/>
        <v>107</v>
      </c>
      <c r="K362" s="7">
        <f t="shared" si="88"/>
        <v>0</v>
      </c>
      <c r="L362" s="35">
        <f t="shared" si="77"/>
        <v>107</v>
      </c>
      <c r="M362" s="7">
        <f t="shared" si="88"/>
        <v>0</v>
      </c>
      <c r="N362" s="35">
        <f t="shared" si="78"/>
        <v>107</v>
      </c>
      <c r="O362" s="7">
        <f t="shared" si="88"/>
        <v>0</v>
      </c>
      <c r="P362" s="35">
        <f t="shared" si="74"/>
        <v>107</v>
      </c>
      <c r="Q362" s="7">
        <f t="shared" si="88"/>
        <v>0</v>
      </c>
      <c r="R362" s="35">
        <f t="shared" si="75"/>
        <v>107</v>
      </c>
      <c r="S362" s="7">
        <f t="shared" si="88"/>
        <v>0</v>
      </c>
      <c r="T362" s="35">
        <f t="shared" si="86"/>
        <v>107</v>
      </c>
    </row>
    <row r="363" spans="1:20" ht="35.25" customHeight="1">
      <c r="A363" s="61" t="str">
        <f ca="1">IF(ISERROR(MATCH(E363,Код_КВР,0)),"",INDIRECT(ADDRESS(MATCH(E363,Код_КВР,0)+1,2,,,"КВР")))</f>
        <v>Предоставление субсидий бюджетным, автономным учреждениям и иным некоммерческим организациям</v>
      </c>
      <c r="B363" s="43" t="s">
        <v>495</v>
      </c>
      <c r="C363" s="8" t="s">
        <v>220</v>
      </c>
      <c r="D363" s="1" t="s">
        <v>214</v>
      </c>
      <c r="E363" s="113">
        <v>600</v>
      </c>
      <c r="F363" s="7">
        <f t="shared" si="88"/>
        <v>107</v>
      </c>
      <c r="G363" s="7">
        <f t="shared" si="88"/>
        <v>0</v>
      </c>
      <c r="H363" s="35">
        <f t="shared" si="82"/>
        <v>107</v>
      </c>
      <c r="I363" s="7">
        <f t="shared" si="88"/>
        <v>0</v>
      </c>
      <c r="J363" s="35">
        <f t="shared" si="80"/>
        <v>107</v>
      </c>
      <c r="K363" s="7">
        <f t="shared" si="88"/>
        <v>0</v>
      </c>
      <c r="L363" s="35">
        <f t="shared" si="77"/>
        <v>107</v>
      </c>
      <c r="M363" s="7">
        <f t="shared" si="88"/>
        <v>0</v>
      </c>
      <c r="N363" s="35">
        <f t="shared" si="78"/>
        <v>107</v>
      </c>
      <c r="O363" s="7">
        <f t="shared" si="88"/>
        <v>0</v>
      </c>
      <c r="P363" s="35">
        <f t="shared" si="74"/>
        <v>107</v>
      </c>
      <c r="Q363" s="7">
        <f t="shared" si="88"/>
        <v>0</v>
      </c>
      <c r="R363" s="35">
        <f t="shared" si="75"/>
        <v>107</v>
      </c>
      <c r="S363" s="7">
        <f t="shared" si="88"/>
        <v>0</v>
      </c>
      <c r="T363" s="35">
        <f t="shared" si="86"/>
        <v>107</v>
      </c>
    </row>
    <row r="364" spans="1:20" ht="18.75" customHeight="1">
      <c r="A364" s="61" t="str">
        <f ca="1">IF(ISERROR(MATCH(E364,Код_КВР,0)),"",INDIRECT(ADDRESS(MATCH(E364,Код_КВР,0)+1,2,,,"КВР")))</f>
        <v>Субсидии бюджетным учреждениям</v>
      </c>
      <c r="B364" s="43" t="s">
        <v>495</v>
      </c>
      <c r="C364" s="8" t="s">
        <v>220</v>
      </c>
      <c r="D364" s="1" t="s">
        <v>214</v>
      </c>
      <c r="E364" s="113">
        <v>610</v>
      </c>
      <c r="F364" s="7">
        <f t="shared" si="88"/>
        <v>107</v>
      </c>
      <c r="G364" s="7">
        <f t="shared" si="88"/>
        <v>0</v>
      </c>
      <c r="H364" s="35">
        <f t="shared" si="82"/>
        <v>107</v>
      </c>
      <c r="I364" s="7">
        <f t="shared" si="88"/>
        <v>0</v>
      </c>
      <c r="J364" s="35">
        <f t="shared" si="80"/>
        <v>107</v>
      </c>
      <c r="K364" s="7">
        <f t="shared" si="88"/>
        <v>0</v>
      </c>
      <c r="L364" s="35">
        <f t="shared" si="77"/>
        <v>107</v>
      </c>
      <c r="M364" s="7">
        <f t="shared" si="88"/>
        <v>0</v>
      </c>
      <c r="N364" s="35">
        <f t="shared" si="78"/>
        <v>107</v>
      </c>
      <c r="O364" s="7">
        <f t="shared" si="88"/>
        <v>0</v>
      </c>
      <c r="P364" s="35">
        <f t="shared" si="74"/>
        <v>107</v>
      </c>
      <c r="Q364" s="7">
        <f t="shared" si="88"/>
        <v>0</v>
      </c>
      <c r="R364" s="35">
        <f t="shared" si="75"/>
        <v>107</v>
      </c>
      <c r="S364" s="7">
        <f t="shared" si="88"/>
        <v>0</v>
      </c>
      <c r="T364" s="35">
        <f t="shared" si="86"/>
        <v>107</v>
      </c>
    </row>
    <row r="365" spans="1:20" ht="21" customHeight="1">
      <c r="A365" s="61" t="str">
        <f ca="1">IF(ISERROR(MATCH(E365,Код_КВР,0)),"",INDIRECT(ADDRESS(MATCH(E365,Код_КВР,0)+1,2,,,"КВР")))</f>
        <v>Субсидии бюджетным учреждениям на иные цели</v>
      </c>
      <c r="B365" s="43" t="s">
        <v>495</v>
      </c>
      <c r="C365" s="8" t="s">
        <v>220</v>
      </c>
      <c r="D365" s="1" t="s">
        <v>214</v>
      </c>
      <c r="E365" s="113">
        <v>612</v>
      </c>
      <c r="F365" s="7">
        <f>прил.6!G1102</f>
        <v>107</v>
      </c>
      <c r="G365" s="7">
        <f>прил.6!H1102</f>
        <v>0</v>
      </c>
      <c r="H365" s="35">
        <f t="shared" si="82"/>
        <v>107</v>
      </c>
      <c r="I365" s="7">
        <f>прил.6!J1102</f>
        <v>0</v>
      </c>
      <c r="J365" s="35">
        <f t="shared" si="80"/>
        <v>107</v>
      </c>
      <c r="K365" s="7">
        <f>прил.6!L1102</f>
        <v>0</v>
      </c>
      <c r="L365" s="35">
        <f t="shared" si="77"/>
        <v>107</v>
      </c>
      <c r="M365" s="7">
        <f>прил.6!N1102</f>
        <v>0</v>
      </c>
      <c r="N365" s="35">
        <f t="shared" si="78"/>
        <v>107</v>
      </c>
      <c r="O365" s="7">
        <f>прил.6!P1102</f>
        <v>0</v>
      </c>
      <c r="P365" s="35">
        <f t="shared" si="74"/>
        <v>107</v>
      </c>
      <c r="Q365" s="7">
        <f>прил.6!R1102</f>
        <v>0</v>
      </c>
      <c r="R365" s="35">
        <f t="shared" si="75"/>
        <v>107</v>
      </c>
      <c r="S365" s="7">
        <f>прил.6!T1102</f>
        <v>0</v>
      </c>
      <c r="T365" s="35">
        <f t="shared" si="86"/>
        <v>107</v>
      </c>
    </row>
    <row r="366" spans="1:20" ht="19.5" customHeight="1">
      <c r="A366" s="61" t="str">
        <f ca="1">IF(ISERROR(MATCH(B366,Код_КЦСР,0)),"",INDIRECT(ADDRESS(MATCH(B366,Код_КЦСР,0)+1,2,,,"КЦСР")))</f>
        <v>Оказание муниципальных услуг</v>
      </c>
      <c r="B366" s="43" t="s">
        <v>496</v>
      </c>
      <c r="C366" s="8"/>
      <c r="D366" s="1"/>
      <c r="E366" s="113"/>
      <c r="F366" s="7">
        <f t="shared" ref="F366:S370" si="89">F367</f>
        <v>37417.199999999997</v>
      </c>
      <c r="G366" s="7">
        <f t="shared" si="89"/>
        <v>0</v>
      </c>
      <c r="H366" s="35">
        <f t="shared" si="82"/>
        <v>37417.199999999997</v>
      </c>
      <c r="I366" s="7">
        <f t="shared" si="89"/>
        <v>0</v>
      </c>
      <c r="J366" s="35">
        <f t="shared" si="80"/>
        <v>37417.199999999997</v>
      </c>
      <c r="K366" s="7">
        <f t="shared" si="89"/>
        <v>-59.5</v>
      </c>
      <c r="L366" s="35">
        <f t="shared" si="77"/>
        <v>37357.699999999997</v>
      </c>
      <c r="M366" s="7">
        <f t="shared" si="89"/>
        <v>0</v>
      </c>
      <c r="N366" s="35">
        <f t="shared" si="78"/>
        <v>37357.699999999997</v>
      </c>
      <c r="O366" s="7">
        <f t="shared" si="89"/>
        <v>0</v>
      </c>
      <c r="P366" s="35">
        <f t="shared" si="74"/>
        <v>37357.699999999997</v>
      </c>
      <c r="Q366" s="7">
        <f t="shared" si="89"/>
        <v>-1463.7</v>
      </c>
      <c r="R366" s="35">
        <f t="shared" si="75"/>
        <v>35894</v>
      </c>
      <c r="S366" s="7">
        <f t="shared" si="89"/>
        <v>0</v>
      </c>
      <c r="T366" s="35">
        <f t="shared" si="86"/>
        <v>35894</v>
      </c>
    </row>
    <row r="367" spans="1:20" ht="18.75" customHeight="1">
      <c r="A367" s="61" t="str">
        <f ca="1">IF(ISERROR(MATCH(C367,Код_Раздел,0)),"",INDIRECT(ADDRESS(MATCH(C367,Код_Раздел,0)+1,2,,,"Раздел")))</f>
        <v>Культура, кинематография</v>
      </c>
      <c r="B367" s="43" t="s">
        <v>496</v>
      </c>
      <c r="C367" s="8" t="s">
        <v>220</v>
      </c>
      <c r="D367" s="1"/>
      <c r="E367" s="113"/>
      <c r="F367" s="7">
        <f t="shared" si="89"/>
        <v>37417.199999999997</v>
      </c>
      <c r="G367" s="7">
        <f t="shared" si="89"/>
        <v>0</v>
      </c>
      <c r="H367" s="35">
        <f t="shared" si="82"/>
        <v>37417.199999999997</v>
      </c>
      <c r="I367" s="7">
        <f t="shared" si="89"/>
        <v>0</v>
      </c>
      <c r="J367" s="35">
        <f t="shared" si="80"/>
        <v>37417.199999999997</v>
      </c>
      <c r="K367" s="7">
        <f t="shared" si="89"/>
        <v>-59.5</v>
      </c>
      <c r="L367" s="35">
        <f t="shared" si="77"/>
        <v>37357.699999999997</v>
      </c>
      <c r="M367" s="7">
        <f t="shared" si="89"/>
        <v>0</v>
      </c>
      <c r="N367" s="35">
        <f t="shared" si="78"/>
        <v>37357.699999999997</v>
      </c>
      <c r="O367" s="7">
        <f t="shared" si="89"/>
        <v>0</v>
      </c>
      <c r="P367" s="35">
        <f t="shared" si="74"/>
        <v>37357.699999999997</v>
      </c>
      <c r="Q367" s="7">
        <f t="shared" si="89"/>
        <v>-1463.7</v>
      </c>
      <c r="R367" s="35">
        <f t="shared" si="75"/>
        <v>35894</v>
      </c>
      <c r="S367" s="7">
        <f t="shared" si="89"/>
        <v>0</v>
      </c>
      <c r="T367" s="35">
        <f t="shared" si="86"/>
        <v>35894</v>
      </c>
    </row>
    <row r="368" spans="1:20" ht="18.75" customHeight="1">
      <c r="A368" s="12" t="s">
        <v>182</v>
      </c>
      <c r="B368" s="43" t="s">
        <v>496</v>
      </c>
      <c r="C368" s="8" t="s">
        <v>220</v>
      </c>
      <c r="D368" s="1" t="s">
        <v>211</v>
      </c>
      <c r="E368" s="113"/>
      <c r="F368" s="7">
        <f t="shared" si="89"/>
        <v>37417.199999999997</v>
      </c>
      <c r="G368" s="7">
        <f t="shared" si="89"/>
        <v>0</v>
      </c>
      <c r="H368" s="35">
        <f t="shared" si="82"/>
        <v>37417.199999999997</v>
      </c>
      <c r="I368" s="7">
        <f t="shared" si="89"/>
        <v>0</v>
      </c>
      <c r="J368" s="35">
        <f t="shared" si="80"/>
        <v>37417.199999999997</v>
      </c>
      <c r="K368" s="7">
        <f t="shared" si="89"/>
        <v>-59.5</v>
      </c>
      <c r="L368" s="35">
        <f t="shared" si="77"/>
        <v>37357.699999999997</v>
      </c>
      <c r="M368" s="7">
        <f t="shared" si="89"/>
        <v>0</v>
      </c>
      <c r="N368" s="35">
        <f t="shared" si="78"/>
        <v>37357.699999999997</v>
      </c>
      <c r="O368" s="7">
        <f t="shared" si="89"/>
        <v>0</v>
      </c>
      <c r="P368" s="35">
        <f t="shared" si="74"/>
        <v>37357.699999999997</v>
      </c>
      <c r="Q368" s="7">
        <f t="shared" si="89"/>
        <v>-1463.7</v>
      </c>
      <c r="R368" s="35">
        <f t="shared" si="75"/>
        <v>35894</v>
      </c>
      <c r="S368" s="7">
        <f t="shared" si="89"/>
        <v>0</v>
      </c>
      <c r="T368" s="35">
        <f t="shared" si="86"/>
        <v>35894</v>
      </c>
    </row>
    <row r="369" spans="1:20" ht="35.25" customHeight="1">
      <c r="A369" s="61" t="str">
        <f ca="1">IF(ISERROR(MATCH(E369,Код_КВР,0)),"",INDIRECT(ADDRESS(MATCH(E369,Код_КВР,0)+1,2,,,"КВР")))</f>
        <v>Предоставление субсидий бюджетным, автономным учреждениям и иным некоммерческим организациям</v>
      </c>
      <c r="B369" s="43" t="s">
        <v>496</v>
      </c>
      <c r="C369" s="8" t="s">
        <v>220</v>
      </c>
      <c r="D369" s="1" t="s">
        <v>211</v>
      </c>
      <c r="E369" s="113">
        <v>600</v>
      </c>
      <c r="F369" s="7">
        <f t="shared" si="89"/>
        <v>37417.199999999997</v>
      </c>
      <c r="G369" s="7">
        <f t="shared" si="89"/>
        <v>0</v>
      </c>
      <c r="H369" s="35">
        <f t="shared" si="82"/>
        <v>37417.199999999997</v>
      </c>
      <c r="I369" s="7">
        <f t="shared" si="89"/>
        <v>0</v>
      </c>
      <c r="J369" s="35">
        <f t="shared" si="80"/>
        <v>37417.199999999997</v>
      </c>
      <c r="K369" s="7">
        <f t="shared" si="89"/>
        <v>-59.5</v>
      </c>
      <c r="L369" s="35">
        <f t="shared" si="77"/>
        <v>37357.699999999997</v>
      </c>
      <c r="M369" s="7">
        <f t="shared" si="89"/>
        <v>0</v>
      </c>
      <c r="N369" s="35">
        <f t="shared" si="78"/>
        <v>37357.699999999997</v>
      </c>
      <c r="O369" s="7">
        <f t="shared" si="89"/>
        <v>0</v>
      </c>
      <c r="P369" s="35">
        <f t="shared" si="74"/>
        <v>37357.699999999997</v>
      </c>
      <c r="Q369" s="7">
        <f t="shared" si="89"/>
        <v>-1463.7</v>
      </c>
      <c r="R369" s="35">
        <f t="shared" si="75"/>
        <v>35894</v>
      </c>
      <c r="S369" s="7">
        <f t="shared" si="89"/>
        <v>0</v>
      </c>
      <c r="T369" s="35">
        <f t="shared" si="86"/>
        <v>35894</v>
      </c>
    </row>
    <row r="370" spans="1:20" ht="20.25" customHeight="1">
      <c r="A370" s="61" t="str">
        <f ca="1">IF(ISERROR(MATCH(E370,Код_КВР,0)),"",INDIRECT(ADDRESS(MATCH(E370,Код_КВР,0)+1,2,,,"КВР")))</f>
        <v>Субсидии бюджетным учреждениям</v>
      </c>
      <c r="B370" s="43" t="s">
        <v>496</v>
      </c>
      <c r="C370" s="8" t="s">
        <v>220</v>
      </c>
      <c r="D370" s="1" t="s">
        <v>211</v>
      </c>
      <c r="E370" s="113">
        <v>610</v>
      </c>
      <c r="F370" s="7">
        <f t="shared" si="89"/>
        <v>37417.199999999997</v>
      </c>
      <c r="G370" s="7">
        <f t="shared" si="89"/>
        <v>0</v>
      </c>
      <c r="H370" s="35">
        <f t="shared" si="82"/>
        <v>37417.199999999997</v>
      </c>
      <c r="I370" s="7">
        <f t="shared" si="89"/>
        <v>0</v>
      </c>
      <c r="J370" s="35">
        <f t="shared" si="80"/>
        <v>37417.199999999997</v>
      </c>
      <c r="K370" s="7">
        <f t="shared" si="89"/>
        <v>-59.5</v>
      </c>
      <c r="L370" s="35">
        <f t="shared" si="77"/>
        <v>37357.699999999997</v>
      </c>
      <c r="M370" s="7">
        <f t="shared" si="89"/>
        <v>0</v>
      </c>
      <c r="N370" s="35">
        <f t="shared" si="78"/>
        <v>37357.699999999997</v>
      </c>
      <c r="O370" s="7">
        <f t="shared" si="89"/>
        <v>0</v>
      </c>
      <c r="P370" s="35">
        <f t="shared" si="74"/>
        <v>37357.699999999997</v>
      </c>
      <c r="Q370" s="7">
        <f t="shared" si="89"/>
        <v>-1463.7</v>
      </c>
      <c r="R370" s="35">
        <f t="shared" si="75"/>
        <v>35894</v>
      </c>
      <c r="S370" s="7">
        <f t="shared" si="89"/>
        <v>0</v>
      </c>
      <c r="T370" s="35">
        <f t="shared" si="86"/>
        <v>35894</v>
      </c>
    </row>
    <row r="371" spans="1:20" ht="53.25" customHeight="1">
      <c r="A371" s="61" t="str">
        <f ca="1">IF(ISERROR(MATCH(E371,Код_КВР,0)),"",INDIRECT(ADDRESS(MATCH(E371,Код_КВР,0)+1,2,,,"КВР")))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1" s="43" t="s">
        <v>496</v>
      </c>
      <c r="C371" s="8" t="s">
        <v>220</v>
      </c>
      <c r="D371" s="1" t="s">
        <v>211</v>
      </c>
      <c r="E371" s="113">
        <v>611</v>
      </c>
      <c r="F371" s="7">
        <f>прил.6!G1029</f>
        <v>37417.199999999997</v>
      </c>
      <c r="G371" s="7">
        <f>прил.6!H1029</f>
        <v>0</v>
      </c>
      <c r="H371" s="35">
        <f t="shared" si="82"/>
        <v>37417.199999999997</v>
      </c>
      <c r="I371" s="7">
        <f>прил.6!J1029</f>
        <v>0</v>
      </c>
      <c r="J371" s="35">
        <f t="shared" si="80"/>
        <v>37417.199999999997</v>
      </c>
      <c r="K371" s="7">
        <f>прил.6!L1029</f>
        <v>-59.5</v>
      </c>
      <c r="L371" s="35">
        <f t="shared" si="77"/>
        <v>37357.699999999997</v>
      </c>
      <c r="M371" s="7">
        <f>прил.6!N1029</f>
        <v>0</v>
      </c>
      <c r="N371" s="35">
        <f t="shared" si="78"/>
        <v>37357.699999999997</v>
      </c>
      <c r="O371" s="7">
        <f>прил.6!P1029</f>
        <v>0</v>
      </c>
      <c r="P371" s="35">
        <f t="shared" si="74"/>
        <v>37357.699999999997</v>
      </c>
      <c r="Q371" s="7">
        <f>прил.6!R1029</f>
        <v>-1463.7</v>
      </c>
      <c r="R371" s="35">
        <f t="shared" si="75"/>
        <v>35894</v>
      </c>
      <c r="S371" s="7">
        <f>прил.6!T1029</f>
        <v>0</v>
      </c>
      <c r="T371" s="35">
        <f t="shared" si="86"/>
        <v>35894</v>
      </c>
    </row>
    <row r="372" spans="1:20" ht="36.75" customHeight="1">
      <c r="A372" s="61" t="str">
        <f ca="1">IF(ISERROR(MATCH(B372,Код_КЦСР,0)),"",INDIRECT(ADDRESS(MATCH(B372,Код_КЦСР,0)+1,2,,,"КЦСР")))</f>
        <v>Сохранение нематериального культурного наследия народов традиционной народной культуры</v>
      </c>
      <c r="B372" s="43" t="s">
        <v>497</v>
      </c>
      <c r="C372" s="8"/>
      <c r="D372" s="1"/>
      <c r="E372" s="113"/>
      <c r="F372" s="7">
        <f t="shared" ref="F372:S376" si="90">F373</f>
        <v>3129.4</v>
      </c>
      <c r="G372" s="7">
        <f t="shared" si="90"/>
        <v>0</v>
      </c>
      <c r="H372" s="35">
        <f t="shared" si="82"/>
        <v>3129.4</v>
      </c>
      <c r="I372" s="7">
        <f t="shared" si="90"/>
        <v>0</v>
      </c>
      <c r="J372" s="35">
        <f t="shared" si="80"/>
        <v>3129.4</v>
      </c>
      <c r="K372" s="7">
        <f t="shared" si="90"/>
        <v>-2.2000000000000002</v>
      </c>
      <c r="L372" s="35">
        <f t="shared" si="77"/>
        <v>3127.2000000000003</v>
      </c>
      <c r="M372" s="7">
        <f t="shared" si="90"/>
        <v>0</v>
      </c>
      <c r="N372" s="35">
        <f t="shared" si="78"/>
        <v>3127.2000000000003</v>
      </c>
      <c r="O372" s="7">
        <f t="shared" si="90"/>
        <v>0</v>
      </c>
      <c r="P372" s="35">
        <f t="shared" si="74"/>
        <v>3127.2000000000003</v>
      </c>
      <c r="Q372" s="7">
        <f t="shared" si="90"/>
        <v>0</v>
      </c>
      <c r="R372" s="35">
        <f t="shared" si="75"/>
        <v>3127.2000000000003</v>
      </c>
      <c r="S372" s="7">
        <f t="shared" si="90"/>
        <v>0</v>
      </c>
      <c r="T372" s="35">
        <f t="shared" si="86"/>
        <v>3127.2000000000003</v>
      </c>
    </row>
    <row r="373" spans="1:20" ht="19.5" customHeight="1">
      <c r="A373" s="61" t="str">
        <f ca="1">IF(ISERROR(MATCH(C373,Код_Раздел,0)),"",INDIRECT(ADDRESS(MATCH(C373,Код_Раздел,0)+1,2,,,"Раздел")))</f>
        <v>Культура, кинематография</v>
      </c>
      <c r="B373" s="43" t="s">
        <v>497</v>
      </c>
      <c r="C373" s="8" t="s">
        <v>220</v>
      </c>
      <c r="D373" s="1"/>
      <c r="E373" s="113"/>
      <c r="F373" s="7">
        <f t="shared" si="90"/>
        <v>3129.4</v>
      </c>
      <c r="G373" s="7">
        <f t="shared" si="90"/>
        <v>0</v>
      </c>
      <c r="H373" s="35">
        <f t="shared" si="82"/>
        <v>3129.4</v>
      </c>
      <c r="I373" s="7">
        <f t="shared" si="90"/>
        <v>0</v>
      </c>
      <c r="J373" s="35">
        <f t="shared" si="80"/>
        <v>3129.4</v>
      </c>
      <c r="K373" s="7">
        <f t="shared" si="90"/>
        <v>-2.2000000000000002</v>
      </c>
      <c r="L373" s="35">
        <f t="shared" si="77"/>
        <v>3127.2000000000003</v>
      </c>
      <c r="M373" s="7">
        <f t="shared" si="90"/>
        <v>0</v>
      </c>
      <c r="N373" s="35">
        <f t="shared" si="78"/>
        <v>3127.2000000000003</v>
      </c>
      <c r="O373" s="7">
        <f t="shared" si="90"/>
        <v>0</v>
      </c>
      <c r="P373" s="35">
        <f t="shared" si="74"/>
        <v>3127.2000000000003</v>
      </c>
      <c r="Q373" s="7">
        <f t="shared" si="90"/>
        <v>0</v>
      </c>
      <c r="R373" s="35">
        <f t="shared" si="75"/>
        <v>3127.2000000000003</v>
      </c>
      <c r="S373" s="7">
        <f t="shared" si="90"/>
        <v>0</v>
      </c>
      <c r="T373" s="35">
        <f t="shared" si="86"/>
        <v>3127.2000000000003</v>
      </c>
    </row>
    <row r="374" spans="1:20" ht="22.5" customHeight="1">
      <c r="A374" s="12" t="s">
        <v>182</v>
      </c>
      <c r="B374" s="43" t="s">
        <v>497</v>
      </c>
      <c r="C374" s="8" t="s">
        <v>220</v>
      </c>
      <c r="D374" s="1" t="s">
        <v>211</v>
      </c>
      <c r="E374" s="113"/>
      <c r="F374" s="7">
        <f t="shared" si="90"/>
        <v>3129.4</v>
      </c>
      <c r="G374" s="7">
        <f t="shared" si="90"/>
        <v>0</v>
      </c>
      <c r="H374" s="35">
        <f t="shared" si="82"/>
        <v>3129.4</v>
      </c>
      <c r="I374" s="7">
        <f t="shared" si="90"/>
        <v>0</v>
      </c>
      <c r="J374" s="35">
        <f t="shared" si="80"/>
        <v>3129.4</v>
      </c>
      <c r="K374" s="7">
        <f t="shared" si="90"/>
        <v>-2.2000000000000002</v>
      </c>
      <c r="L374" s="35">
        <f t="shared" si="77"/>
        <v>3127.2000000000003</v>
      </c>
      <c r="M374" s="7">
        <f t="shared" si="90"/>
        <v>0</v>
      </c>
      <c r="N374" s="35">
        <f t="shared" si="78"/>
        <v>3127.2000000000003</v>
      </c>
      <c r="O374" s="7">
        <f t="shared" si="90"/>
        <v>0</v>
      </c>
      <c r="P374" s="35">
        <f t="shared" si="74"/>
        <v>3127.2000000000003</v>
      </c>
      <c r="Q374" s="7">
        <f t="shared" si="90"/>
        <v>0</v>
      </c>
      <c r="R374" s="35">
        <f t="shared" si="75"/>
        <v>3127.2000000000003</v>
      </c>
      <c r="S374" s="7">
        <f t="shared" si="90"/>
        <v>0</v>
      </c>
      <c r="T374" s="35">
        <f t="shared" si="86"/>
        <v>3127.2000000000003</v>
      </c>
    </row>
    <row r="375" spans="1:20" ht="36.75" customHeight="1">
      <c r="A375" s="61" t="str">
        <f ca="1">IF(ISERROR(MATCH(E375,Код_КВР,0)),"",INDIRECT(ADDRESS(MATCH(E375,Код_КВР,0)+1,2,,,"КВР")))</f>
        <v>Предоставление субсидий бюджетным, автономным учреждениям и иным некоммерческим организациям</v>
      </c>
      <c r="B375" s="43" t="s">
        <v>497</v>
      </c>
      <c r="C375" s="8" t="s">
        <v>220</v>
      </c>
      <c r="D375" s="1" t="s">
        <v>211</v>
      </c>
      <c r="E375" s="113">
        <v>600</v>
      </c>
      <c r="F375" s="7">
        <f t="shared" si="90"/>
        <v>3129.4</v>
      </c>
      <c r="G375" s="7">
        <f t="shared" si="90"/>
        <v>0</v>
      </c>
      <c r="H375" s="35">
        <f t="shared" si="82"/>
        <v>3129.4</v>
      </c>
      <c r="I375" s="7">
        <f t="shared" si="90"/>
        <v>0</v>
      </c>
      <c r="J375" s="35">
        <f t="shared" si="80"/>
        <v>3129.4</v>
      </c>
      <c r="K375" s="7">
        <f t="shared" si="90"/>
        <v>-2.2000000000000002</v>
      </c>
      <c r="L375" s="35">
        <f t="shared" si="77"/>
        <v>3127.2000000000003</v>
      </c>
      <c r="M375" s="7">
        <f t="shared" si="90"/>
        <v>0</v>
      </c>
      <c r="N375" s="35">
        <f t="shared" si="78"/>
        <v>3127.2000000000003</v>
      </c>
      <c r="O375" s="7">
        <f t="shared" si="90"/>
        <v>0</v>
      </c>
      <c r="P375" s="35">
        <f t="shared" si="74"/>
        <v>3127.2000000000003</v>
      </c>
      <c r="Q375" s="7">
        <f t="shared" si="90"/>
        <v>0</v>
      </c>
      <c r="R375" s="35">
        <f t="shared" si="75"/>
        <v>3127.2000000000003</v>
      </c>
      <c r="S375" s="7">
        <f t="shared" si="90"/>
        <v>0</v>
      </c>
      <c r="T375" s="35">
        <f t="shared" si="86"/>
        <v>3127.2000000000003</v>
      </c>
    </row>
    <row r="376" spans="1:20" ht="22.5" customHeight="1">
      <c r="A376" s="61" t="str">
        <f ca="1">IF(ISERROR(MATCH(E376,Код_КВР,0)),"",INDIRECT(ADDRESS(MATCH(E376,Код_КВР,0)+1,2,,,"КВР")))</f>
        <v>Субсидии бюджетным учреждениям</v>
      </c>
      <c r="B376" s="43" t="s">
        <v>497</v>
      </c>
      <c r="C376" s="8" t="s">
        <v>220</v>
      </c>
      <c r="D376" s="1" t="s">
        <v>211</v>
      </c>
      <c r="E376" s="113">
        <v>610</v>
      </c>
      <c r="F376" s="7">
        <f t="shared" si="90"/>
        <v>3129.4</v>
      </c>
      <c r="G376" s="7">
        <f t="shared" si="90"/>
        <v>0</v>
      </c>
      <c r="H376" s="35">
        <f t="shared" si="82"/>
        <v>3129.4</v>
      </c>
      <c r="I376" s="7">
        <f t="shared" si="90"/>
        <v>0</v>
      </c>
      <c r="J376" s="35">
        <f t="shared" si="80"/>
        <v>3129.4</v>
      </c>
      <c r="K376" s="7">
        <f t="shared" si="90"/>
        <v>-2.2000000000000002</v>
      </c>
      <c r="L376" s="35">
        <f t="shared" si="77"/>
        <v>3127.2000000000003</v>
      </c>
      <c r="M376" s="7">
        <f t="shared" si="90"/>
        <v>0</v>
      </c>
      <c r="N376" s="35">
        <f t="shared" si="78"/>
        <v>3127.2000000000003</v>
      </c>
      <c r="O376" s="7">
        <f t="shared" si="90"/>
        <v>0</v>
      </c>
      <c r="P376" s="35">
        <f t="shared" si="74"/>
        <v>3127.2000000000003</v>
      </c>
      <c r="Q376" s="7">
        <f t="shared" si="90"/>
        <v>0</v>
      </c>
      <c r="R376" s="35">
        <f t="shared" si="75"/>
        <v>3127.2000000000003</v>
      </c>
      <c r="S376" s="7">
        <f t="shared" si="90"/>
        <v>0</v>
      </c>
      <c r="T376" s="35">
        <f t="shared" si="86"/>
        <v>3127.2000000000003</v>
      </c>
    </row>
    <row r="377" spans="1:20" ht="51.75" customHeight="1">
      <c r="A377" s="61" t="str">
        <f ca="1">IF(ISERROR(MATCH(E377,Код_КВР,0)),"",INDIRECT(ADDRESS(MATCH(E377,Код_КВР,0)+1,2,,,"КВР")))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7" s="43" t="s">
        <v>497</v>
      </c>
      <c r="C377" s="8" t="s">
        <v>220</v>
      </c>
      <c r="D377" s="1" t="s">
        <v>211</v>
      </c>
      <c r="E377" s="113">
        <v>611</v>
      </c>
      <c r="F377" s="7">
        <f>прил.6!G1033</f>
        <v>3129.4</v>
      </c>
      <c r="G377" s="7">
        <f>прил.6!H1033</f>
        <v>0</v>
      </c>
      <c r="H377" s="35">
        <f t="shared" si="82"/>
        <v>3129.4</v>
      </c>
      <c r="I377" s="7">
        <f>прил.6!J1033</f>
        <v>0</v>
      </c>
      <c r="J377" s="35">
        <f t="shared" si="80"/>
        <v>3129.4</v>
      </c>
      <c r="K377" s="7">
        <f>прил.6!L1033</f>
        <v>-2.2000000000000002</v>
      </c>
      <c r="L377" s="35">
        <f t="shared" si="77"/>
        <v>3127.2000000000003</v>
      </c>
      <c r="M377" s="7">
        <f>прил.6!N1033</f>
        <v>0</v>
      </c>
      <c r="N377" s="35">
        <f t="shared" si="78"/>
        <v>3127.2000000000003</v>
      </c>
      <c r="O377" s="7">
        <f>прил.6!P1033</f>
        <v>0</v>
      </c>
      <c r="P377" s="35">
        <f t="shared" si="74"/>
        <v>3127.2000000000003</v>
      </c>
      <c r="Q377" s="7">
        <f>прил.6!R1033</f>
        <v>0</v>
      </c>
      <c r="R377" s="35">
        <f t="shared" si="75"/>
        <v>3127.2000000000003</v>
      </c>
      <c r="S377" s="7">
        <f>прил.6!T1033</f>
        <v>0</v>
      </c>
      <c r="T377" s="35">
        <f t="shared" si="86"/>
        <v>3127.2000000000003</v>
      </c>
    </row>
    <row r="378" spans="1:20" ht="58.5" customHeight="1">
      <c r="A378" s="61" t="str">
        <f ca="1">IF(ISERROR(MATCH(B378,Код_КЦСР,0)),"",INDIRECT(ADDRESS(MATCH(B378,Код_КЦСР,0)+1,2,,,"КЦСР")))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378" s="43" t="s">
        <v>667</v>
      </c>
      <c r="C378" s="8"/>
      <c r="D378" s="1"/>
      <c r="E378" s="113"/>
      <c r="F378" s="7"/>
      <c r="G378" s="7"/>
      <c r="H378" s="35"/>
      <c r="I378" s="7"/>
      <c r="J378" s="35"/>
      <c r="K378" s="7"/>
      <c r="L378" s="35"/>
      <c r="M378" s="7"/>
      <c r="N378" s="35"/>
      <c r="O378" s="7"/>
      <c r="P378" s="35"/>
      <c r="Q378" s="7">
        <f>Q379</f>
        <v>624.70000000000005</v>
      </c>
      <c r="R378" s="35">
        <f t="shared" ref="R378:R383" si="91">P378+Q378</f>
        <v>624.70000000000005</v>
      </c>
      <c r="S378" s="7">
        <f>S379</f>
        <v>2638.1</v>
      </c>
      <c r="T378" s="35">
        <f t="shared" si="86"/>
        <v>3262.8</v>
      </c>
    </row>
    <row r="379" spans="1:20" ht="23.25" customHeight="1">
      <c r="A379" s="61" t="str">
        <f ca="1">IF(ISERROR(MATCH(C379,Код_Раздел,0)),"",INDIRECT(ADDRESS(MATCH(C379,Код_Раздел,0)+1,2,,,"Раздел")))</f>
        <v>Культура, кинематография</v>
      </c>
      <c r="B379" s="43" t="s">
        <v>667</v>
      </c>
      <c r="C379" s="8" t="s">
        <v>220</v>
      </c>
      <c r="D379" s="1"/>
      <c r="E379" s="113"/>
      <c r="F379" s="7"/>
      <c r="G379" s="7"/>
      <c r="H379" s="35"/>
      <c r="I379" s="7"/>
      <c r="J379" s="35"/>
      <c r="K379" s="7"/>
      <c r="L379" s="35"/>
      <c r="M379" s="7"/>
      <c r="N379" s="35"/>
      <c r="O379" s="7"/>
      <c r="P379" s="35"/>
      <c r="Q379" s="7">
        <f>Q380</f>
        <v>624.70000000000005</v>
      </c>
      <c r="R379" s="35">
        <f t="shared" si="91"/>
        <v>624.70000000000005</v>
      </c>
      <c r="S379" s="7">
        <f>S380</f>
        <v>2638.1</v>
      </c>
      <c r="T379" s="35">
        <f t="shared" si="86"/>
        <v>3262.8</v>
      </c>
    </row>
    <row r="380" spans="1:20" ht="19.5" customHeight="1">
      <c r="A380" s="12" t="s">
        <v>182</v>
      </c>
      <c r="B380" s="43" t="s">
        <v>667</v>
      </c>
      <c r="C380" s="8" t="s">
        <v>220</v>
      </c>
      <c r="D380" s="1" t="s">
        <v>211</v>
      </c>
      <c r="E380" s="113"/>
      <c r="F380" s="7"/>
      <c r="G380" s="7"/>
      <c r="H380" s="35"/>
      <c r="I380" s="7"/>
      <c r="J380" s="35"/>
      <c r="K380" s="7"/>
      <c r="L380" s="35"/>
      <c r="M380" s="7"/>
      <c r="N380" s="35"/>
      <c r="O380" s="7"/>
      <c r="P380" s="35"/>
      <c r="Q380" s="7">
        <f>Q381</f>
        <v>624.70000000000005</v>
      </c>
      <c r="R380" s="35">
        <f t="shared" si="91"/>
        <v>624.70000000000005</v>
      </c>
      <c r="S380" s="7">
        <f>S381</f>
        <v>2638.1</v>
      </c>
      <c r="T380" s="35">
        <f t="shared" si="86"/>
        <v>3262.8</v>
      </c>
    </row>
    <row r="381" spans="1:20" ht="32.25" customHeight="1">
      <c r="A381" s="61" t="str">
        <f ca="1">IF(ISERROR(MATCH(E381,Код_КВР,0)),"",INDIRECT(ADDRESS(MATCH(E381,Код_КВР,0)+1,2,,,"КВР")))</f>
        <v>Предоставление субсидий бюджетным, автономным учреждениям и иным некоммерческим организациям</v>
      </c>
      <c r="B381" s="43" t="s">
        <v>667</v>
      </c>
      <c r="C381" s="8" t="s">
        <v>220</v>
      </c>
      <c r="D381" s="1" t="s">
        <v>211</v>
      </c>
      <c r="E381" s="113">
        <v>600</v>
      </c>
      <c r="F381" s="7"/>
      <c r="G381" s="7"/>
      <c r="H381" s="35"/>
      <c r="I381" s="7"/>
      <c r="J381" s="35"/>
      <c r="K381" s="7"/>
      <c r="L381" s="35"/>
      <c r="M381" s="7"/>
      <c r="N381" s="35"/>
      <c r="O381" s="7"/>
      <c r="P381" s="35"/>
      <c r="Q381" s="7">
        <f>Q382</f>
        <v>624.70000000000005</v>
      </c>
      <c r="R381" s="35">
        <f t="shared" si="91"/>
        <v>624.70000000000005</v>
      </c>
      <c r="S381" s="7">
        <f>S382</f>
        <v>2638.1</v>
      </c>
      <c r="T381" s="35">
        <f t="shared" si="86"/>
        <v>3262.8</v>
      </c>
    </row>
    <row r="382" spans="1:20" ht="28.5" customHeight="1">
      <c r="A382" s="61" t="str">
        <f ca="1">IF(ISERROR(MATCH(E382,Код_КВР,0)),"",INDIRECT(ADDRESS(MATCH(E382,Код_КВР,0)+1,2,,,"КВР")))</f>
        <v>Субсидии бюджетным учреждениям</v>
      </c>
      <c r="B382" s="43" t="s">
        <v>667</v>
      </c>
      <c r="C382" s="8" t="s">
        <v>220</v>
      </c>
      <c r="D382" s="1" t="s">
        <v>211</v>
      </c>
      <c r="E382" s="113">
        <v>610</v>
      </c>
      <c r="F382" s="7"/>
      <c r="G382" s="7"/>
      <c r="H382" s="35"/>
      <c r="I382" s="7"/>
      <c r="J382" s="35"/>
      <c r="K382" s="7"/>
      <c r="L382" s="35"/>
      <c r="M382" s="7"/>
      <c r="N382" s="35"/>
      <c r="O382" s="7"/>
      <c r="P382" s="35"/>
      <c r="Q382" s="7">
        <f>Q383</f>
        <v>624.70000000000005</v>
      </c>
      <c r="R382" s="35">
        <f t="shared" si="91"/>
        <v>624.70000000000005</v>
      </c>
      <c r="S382" s="7">
        <f>S383</f>
        <v>2638.1</v>
      </c>
      <c r="T382" s="35">
        <f t="shared" si="86"/>
        <v>3262.8</v>
      </c>
    </row>
    <row r="383" spans="1:20" ht="51.75" customHeight="1">
      <c r="A383" s="61" t="str">
        <f ca="1">IF(ISERROR(MATCH(E383,Код_КВР,0)),"",INDIRECT(ADDRESS(MATCH(E383,Код_КВР,0)+1,2,,,"КВР")))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3" s="43" t="s">
        <v>667</v>
      </c>
      <c r="C383" s="8" t="s">
        <v>220</v>
      </c>
      <c r="D383" s="1" t="s">
        <v>211</v>
      </c>
      <c r="E383" s="113">
        <v>611</v>
      </c>
      <c r="F383" s="7"/>
      <c r="G383" s="7"/>
      <c r="H383" s="35"/>
      <c r="I383" s="7"/>
      <c r="J383" s="35"/>
      <c r="K383" s="7"/>
      <c r="L383" s="35"/>
      <c r="M383" s="7"/>
      <c r="N383" s="35"/>
      <c r="O383" s="7"/>
      <c r="P383" s="35"/>
      <c r="Q383" s="7">
        <f>прил.6!R1037</f>
        <v>624.70000000000005</v>
      </c>
      <c r="R383" s="35">
        <f t="shared" si="91"/>
        <v>624.70000000000005</v>
      </c>
      <c r="S383" s="7">
        <f>прил.6!T1037</f>
        <v>2638.1</v>
      </c>
      <c r="T383" s="35">
        <f t="shared" si="86"/>
        <v>3262.8</v>
      </c>
    </row>
    <row r="384" spans="1:20" ht="21" customHeight="1">
      <c r="A384" s="61" t="str">
        <f ca="1">IF(ISERROR(MATCH(B384,Код_КЦСР,0)),"",INDIRECT(ADDRESS(MATCH(B384,Код_КЦСР,0)+1,2,,,"КЦСР")))</f>
        <v>Развитие исполнительских искусств</v>
      </c>
      <c r="B384" s="43" t="s">
        <v>499</v>
      </c>
      <c r="C384" s="8"/>
      <c r="D384" s="1"/>
      <c r="E384" s="113"/>
      <c r="F384" s="7">
        <f>F385+F391+F399</f>
        <v>102326.7</v>
      </c>
      <c r="G384" s="7">
        <f>G385+G391+G399</f>
        <v>0</v>
      </c>
      <c r="H384" s="35">
        <f t="shared" si="82"/>
        <v>102326.7</v>
      </c>
      <c r="I384" s="7">
        <f>I385+I391+I399</f>
        <v>-512.79999999999995</v>
      </c>
      <c r="J384" s="35">
        <f t="shared" si="80"/>
        <v>101813.9</v>
      </c>
      <c r="K384" s="7">
        <f>K385+K391+K399</f>
        <v>-72.900000000000006</v>
      </c>
      <c r="L384" s="35">
        <f t="shared" si="77"/>
        <v>101741</v>
      </c>
      <c r="M384" s="7">
        <f>M385+M391+M399</f>
        <v>0</v>
      </c>
      <c r="N384" s="35">
        <f t="shared" si="78"/>
        <v>101741</v>
      </c>
      <c r="O384" s="7">
        <f>O385+O391+O399</f>
        <v>140.19999999999999</v>
      </c>
      <c r="P384" s="35">
        <f t="shared" ref="P384:P465" si="92">N384+O384</f>
        <v>101881.2</v>
      </c>
      <c r="Q384" s="7">
        <f>Q385+Q391+Q399+Q407</f>
        <v>-4255.5999999999995</v>
      </c>
      <c r="R384" s="35">
        <f t="shared" ref="R384:R465" si="93">P384+Q384</f>
        <v>97625.599999999991</v>
      </c>
      <c r="S384" s="7">
        <f>S385+S391+S399+S407</f>
        <v>-1109.2</v>
      </c>
      <c r="T384" s="35">
        <f t="shared" si="86"/>
        <v>96516.4</v>
      </c>
    </row>
    <row r="385" spans="1:20" ht="69.75" customHeight="1">
      <c r="A385" s="61" t="str">
        <f ca="1">IF(ISERROR(MATCH(B385,Код_КЦСР,0)),"",INDIRECT(ADDRESS(MATCH(B385,Код_КЦСР,0)+1,2,,,"КЦСР")))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85" s="43" t="s">
        <v>501</v>
      </c>
      <c r="C385" s="8"/>
      <c r="D385" s="1"/>
      <c r="E385" s="113"/>
      <c r="F385" s="7">
        <f t="shared" ref="F385:S389" si="94">F386</f>
        <v>612</v>
      </c>
      <c r="G385" s="7">
        <f t="shared" si="94"/>
        <v>0</v>
      </c>
      <c r="H385" s="35">
        <f t="shared" si="82"/>
        <v>612</v>
      </c>
      <c r="I385" s="7">
        <f t="shared" si="94"/>
        <v>0</v>
      </c>
      <c r="J385" s="35">
        <f t="shared" si="80"/>
        <v>612</v>
      </c>
      <c r="K385" s="7">
        <f t="shared" si="94"/>
        <v>0</v>
      </c>
      <c r="L385" s="35">
        <f t="shared" si="77"/>
        <v>612</v>
      </c>
      <c r="M385" s="7">
        <f t="shared" si="94"/>
        <v>0</v>
      </c>
      <c r="N385" s="35">
        <f t="shared" si="78"/>
        <v>612</v>
      </c>
      <c r="O385" s="7">
        <f t="shared" si="94"/>
        <v>0</v>
      </c>
      <c r="P385" s="35">
        <f t="shared" si="92"/>
        <v>612</v>
      </c>
      <c r="Q385" s="7">
        <f t="shared" si="94"/>
        <v>0</v>
      </c>
      <c r="R385" s="35">
        <f t="shared" si="93"/>
        <v>612</v>
      </c>
      <c r="S385" s="7">
        <f t="shared" si="94"/>
        <v>0</v>
      </c>
      <c r="T385" s="35">
        <f t="shared" si="86"/>
        <v>612</v>
      </c>
    </row>
    <row r="386" spans="1:20" ht="20.25" customHeight="1">
      <c r="A386" s="61" t="str">
        <f ca="1">IF(ISERROR(MATCH(C386,Код_Раздел,0)),"",INDIRECT(ADDRESS(MATCH(C386,Код_Раздел,0)+1,2,,,"Раздел")))</f>
        <v>Культура, кинематография</v>
      </c>
      <c r="B386" s="43" t="s">
        <v>501</v>
      </c>
      <c r="C386" s="8" t="s">
        <v>220</v>
      </c>
      <c r="D386" s="1"/>
      <c r="E386" s="113"/>
      <c r="F386" s="7">
        <f t="shared" si="94"/>
        <v>612</v>
      </c>
      <c r="G386" s="7">
        <f t="shared" si="94"/>
        <v>0</v>
      </c>
      <c r="H386" s="35">
        <f t="shared" si="82"/>
        <v>612</v>
      </c>
      <c r="I386" s="7">
        <f t="shared" si="94"/>
        <v>0</v>
      </c>
      <c r="J386" s="35">
        <f t="shared" si="80"/>
        <v>612</v>
      </c>
      <c r="K386" s="7">
        <f t="shared" si="94"/>
        <v>0</v>
      </c>
      <c r="L386" s="35">
        <f t="shared" si="77"/>
        <v>612</v>
      </c>
      <c r="M386" s="7">
        <f t="shared" si="94"/>
        <v>0</v>
      </c>
      <c r="N386" s="35">
        <f t="shared" si="78"/>
        <v>612</v>
      </c>
      <c r="O386" s="7">
        <f t="shared" si="94"/>
        <v>0</v>
      </c>
      <c r="P386" s="35">
        <f t="shared" si="92"/>
        <v>612</v>
      </c>
      <c r="Q386" s="7">
        <f t="shared" si="94"/>
        <v>0</v>
      </c>
      <c r="R386" s="35">
        <f t="shared" si="93"/>
        <v>612</v>
      </c>
      <c r="S386" s="7">
        <f t="shared" si="94"/>
        <v>0</v>
      </c>
      <c r="T386" s="35">
        <f t="shared" si="86"/>
        <v>612</v>
      </c>
    </row>
    <row r="387" spans="1:20" ht="18.75" customHeight="1">
      <c r="A387" s="12" t="s">
        <v>161</v>
      </c>
      <c r="B387" s="43" t="s">
        <v>501</v>
      </c>
      <c r="C387" s="8" t="s">
        <v>220</v>
      </c>
      <c r="D387" s="1" t="s">
        <v>214</v>
      </c>
      <c r="E387" s="113"/>
      <c r="F387" s="7">
        <f t="shared" si="94"/>
        <v>612</v>
      </c>
      <c r="G387" s="7">
        <f t="shared" si="94"/>
        <v>0</v>
      </c>
      <c r="H387" s="35">
        <f t="shared" si="82"/>
        <v>612</v>
      </c>
      <c r="I387" s="7">
        <f t="shared" si="94"/>
        <v>0</v>
      </c>
      <c r="J387" s="35">
        <f t="shared" si="80"/>
        <v>612</v>
      </c>
      <c r="K387" s="7">
        <f t="shared" si="94"/>
        <v>0</v>
      </c>
      <c r="L387" s="35">
        <f t="shared" si="77"/>
        <v>612</v>
      </c>
      <c r="M387" s="7">
        <f t="shared" si="94"/>
        <v>0</v>
      </c>
      <c r="N387" s="35">
        <f t="shared" si="78"/>
        <v>612</v>
      </c>
      <c r="O387" s="7">
        <f t="shared" si="94"/>
        <v>0</v>
      </c>
      <c r="P387" s="35">
        <f t="shared" si="92"/>
        <v>612</v>
      </c>
      <c r="Q387" s="7">
        <f t="shared" si="94"/>
        <v>0</v>
      </c>
      <c r="R387" s="35">
        <f t="shared" si="93"/>
        <v>612</v>
      </c>
      <c r="S387" s="7">
        <f t="shared" si="94"/>
        <v>0</v>
      </c>
      <c r="T387" s="35">
        <f t="shared" si="86"/>
        <v>612</v>
      </c>
    </row>
    <row r="388" spans="1:20" ht="35.25" customHeight="1">
      <c r="A388" s="61" t="str">
        <f ca="1">IF(ISERROR(MATCH(E388,Код_КВР,0)),"",INDIRECT(ADDRESS(MATCH(E388,Код_КВР,0)+1,2,,,"КВР")))</f>
        <v>Предоставление субсидий бюджетным, автономным учреждениям и иным некоммерческим организациям</v>
      </c>
      <c r="B388" s="43" t="s">
        <v>501</v>
      </c>
      <c r="C388" s="8" t="s">
        <v>220</v>
      </c>
      <c r="D388" s="1" t="s">
        <v>214</v>
      </c>
      <c r="E388" s="113">
        <v>600</v>
      </c>
      <c r="F388" s="7">
        <f t="shared" si="94"/>
        <v>612</v>
      </c>
      <c r="G388" s="7">
        <f t="shared" si="94"/>
        <v>0</v>
      </c>
      <c r="H388" s="35">
        <f t="shared" si="82"/>
        <v>612</v>
      </c>
      <c r="I388" s="7">
        <f t="shared" si="94"/>
        <v>0</v>
      </c>
      <c r="J388" s="35">
        <f t="shared" si="80"/>
        <v>612</v>
      </c>
      <c r="K388" s="7">
        <f t="shared" si="94"/>
        <v>0</v>
      </c>
      <c r="L388" s="35">
        <f t="shared" si="77"/>
        <v>612</v>
      </c>
      <c r="M388" s="7">
        <f t="shared" si="94"/>
        <v>0</v>
      </c>
      <c r="N388" s="35">
        <f t="shared" si="78"/>
        <v>612</v>
      </c>
      <c r="O388" s="7">
        <f t="shared" si="94"/>
        <v>0</v>
      </c>
      <c r="P388" s="35">
        <f t="shared" si="92"/>
        <v>612</v>
      </c>
      <c r="Q388" s="7">
        <f t="shared" si="94"/>
        <v>0</v>
      </c>
      <c r="R388" s="35">
        <f t="shared" si="93"/>
        <v>612</v>
      </c>
      <c r="S388" s="7">
        <f t="shared" si="94"/>
        <v>0</v>
      </c>
      <c r="T388" s="35">
        <f t="shared" si="86"/>
        <v>612</v>
      </c>
    </row>
    <row r="389" spans="1:20" ht="19.5" customHeight="1">
      <c r="A389" s="61" t="str">
        <f ca="1">IF(ISERROR(MATCH(E389,Код_КВР,0)),"",INDIRECT(ADDRESS(MATCH(E389,Код_КВР,0)+1,2,,,"КВР")))</f>
        <v>Субсидии автономным учреждениям</v>
      </c>
      <c r="B389" s="43" t="s">
        <v>501</v>
      </c>
      <c r="C389" s="8" t="s">
        <v>220</v>
      </c>
      <c r="D389" s="1" t="s">
        <v>214</v>
      </c>
      <c r="E389" s="113">
        <v>620</v>
      </c>
      <c r="F389" s="7">
        <f t="shared" si="94"/>
        <v>612</v>
      </c>
      <c r="G389" s="7">
        <f t="shared" si="94"/>
        <v>0</v>
      </c>
      <c r="H389" s="35">
        <f t="shared" si="82"/>
        <v>612</v>
      </c>
      <c r="I389" s="7">
        <f t="shared" si="94"/>
        <v>0</v>
      </c>
      <c r="J389" s="35">
        <f t="shared" si="80"/>
        <v>612</v>
      </c>
      <c r="K389" s="7">
        <f t="shared" si="94"/>
        <v>0</v>
      </c>
      <c r="L389" s="35">
        <f t="shared" si="77"/>
        <v>612</v>
      </c>
      <c r="M389" s="7">
        <f t="shared" si="94"/>
        <v>0</v>
      </c>
      <c r="N389" s="35">
        <f t="shared" si="78"/>
        <v>612</v>
      </c>
      <c r="O389" s="7">
        <f t="shared" si="94"/>
        <v>0</v>
      </c>
      <c r="P389" s="35">
        <f t="shared" si="92"/>
        <v>612</v>
      </c>
      <c r="Q389" s="7">
        <f t="shared" si="94"/>
        <v>0</v>
      </c>
      <c r="R389" s="35">
        <f t="shared" si="93"/>
        <v>612</v>
      </c>
      <c r="S389" s="7">
        <f t="shared" si="94"/>
        <v>0</v>
      </c>
      <c r="T389" s="35">
        <f t="shared" si="86"/>
        <v>612</v>
      </c>
    </row>
    <row r="390" spans="1:20" ht="20.25" customHeight="1">
      <c r="A390" s="61" t="str">
        <f ca="1">IF(ISERROR(MATCH(E390,Код_КВР,0)),"",INDIRECT(ADDRESS(MATCH(E390,Код_КВР,0)+1,2,,,"КВР")))</f>
        <v>Субсидии автономным учреждениям на иные цели</v>
      </c>
      <c r="B390" s="43" t="s">
        <v>501</v>
      </c>
      <c r="C390" s="8" t="s">
        <v>220</v>
      </c>
      <c r="D390" s="1" t="s">
        <v>214</v>
      </c>
      <c r="E390" s="113">
        <v>622</v>
      </c>
      <c r="F390" s="7">
        <f>прил.6!G1107</f>
        <v>612</v>
      </c>
      <c r="G390" s="7">
        <f>прил.6!H1107</f>
        <v>0</v>
      </c>
      <c r="H390" s="35">
        <f t="shared" si="82"/>
        <v>612</v>
      </c>
      <c r="I390" s="7">
        <f>прил.6!J1107</f>
        <v>0</v>
      </c>
      <c r="J390" s="35">
        <f t="shared" si="80"/>
        <v>612</v>
      </c>
      <c r="K390" s="7">
        <f>прил.6!L1107</f>
        <v>0</v>
      </c>
      <c r="L390" s="35">
        <f t="shared" si="77"/>
        <v>612</v>
      </c>
      <c r="M390" s="7">
        <f>прил.6!N1107</f>
        <v>0</v>
      </c>
      <c r="N390" s="35">
        <f t="shared" si="78"/>
        <v>612</v>
      </c>
      <c r="O390" s="7">
        <f>прил.6!P1107</f>
        <v>0</v>
      </c>
      <c r="P390" s="35">
        <f t="shared" si="92"/>
        <v>612</v>
      </c>
      <c r="Q390" s="7">
        <f>прил.6!R1107</f>
        <v>0</v>
      </c>
      <c r="R390" s="35">
        <f t="shared" si="93"/>
        <v>612</v>
      </c>
      <c r="S390" s="7">
        <f>прил.6!T1107</f>
        <v>0</v>
      </c>
      <c r="T390" s="35">
        <f t="shared" si="86"/>
        <v>612</v>
      </c>
    </row>
    <row r="391" spans="1:20" ht="55.5" customHeight="1">
      <c r="A391" s="61" t="str">
        <f ca="1">IF(ISERROR(MATCH(B391,Код_КЦСР,0)),"",INDIRECT(ADDRESS(MATCH(B391,Код_КЦСР,0)+1,2,,,"КЦСР")))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91" s="43" t="s">
        <v>502</v>
      </c>
      <c r="C391" s="8"/>
      <c r="D391" s="1"/>
      <c r="E391" s="113"/>
      <c r="F391" s="7">
        <f t="shared" ref="F391:S393" si="95">F392</f>
        <v>1300</v>
      </c>
      <c r="G391" s="7">
        <f t="shared" si="95"/>
        <v>0</v>
      </c>
      <c r="H391" s="35">
        <f t="shared" si="82"/>
        <v>1300</v>
      </c>
      <c r="I391" s="7">
        <f t="shared" si="95"/>
        <v>0</v>
      </c>
      <c r="J391" s="35">
        <f t="shared" si="80"/>
        <v>1300</v>
      </c>
      <c r="K391" s="7">
        <f t="shared" si="95"/>
        <v>0</v>
      </c>
      <c r="L391" s="35">
        <f t="shared" si="77"/>
        <v>1300</v>
      </c>
      <c r="M391" s="7">
        <f t="shared" si="95"/>
        <v>0</v>
      </c>
      <c r="N391" s="35">
        <f t="shared" si="78"/>
        <v>1300</v>
      </c>
      <c r="O391" s="7">
        <f t="shared" si="95"/>
        <v>0</v>
      </c>
      <c r="P391" s="35">
        <f t="shared" si="92"/>
        <v>1300</v>
      </c>
      <c r="Q391" s="7">
        <f t="shared" si="95"/>
        <v>0</v>
      </c>
      <c r="R391" s="35">
        <f t="shared" si="93"/>
        <v>1300</v>
      </c>
      <c r="S391" s="7">
        <f t="shared" si="95"/>
        <v>0</v>
      </c>
      <c r="T391" s="35">
        <f t="shared" si="86"/>
        <v>1300</v>
      </c>
    </row>
    <row r="392" spans="1:20" ht="22.5" customHeight="1">
      <c r="A392" s="61" t="str">
        <f ca="1">IF(ISERROR(MATCH(C392,Код_Раздел,0)),"",INDIRECT(ADDRESS(MATCH(C392,Код_Раздел,0)+1,2,,,"Раздел")))</f>
        <v>Культура, кинематография</v>
      </c>
      <c r="B392" s="43" t="s">
        <v>502</v>
      </c>
      <c r="C392" s="8" t="s">
        <v>220</v>
      </c>
      <c r="D392" s="1"/>
      <c r="E392" s="113"/>
      <c r="F392" s="7">
        <f t="shared" si="95"/>
        <v>1300</v>
      </c>
      <c r="G392" s="7">
        <f t="shared" si="95"/>
        <v>0</v>
      </c>
      <c r="H392" s="35">
        <f t="shared" si="82"/>
        <v>1300</v>
      </c>
      <c r="I392" s="7">
        <f t="shared" si="95"/>
        <v>0</v>
      </c>
      <c r="J392" s="35">
        <f t="shared" si="80"/>
        <v>1300</v>
      </c>
      <c r="K392" s="7">
        <f t="shared" si="95"/>
        <v>0</v>
      </c>
      <c r="L392" s="35">
        <f t="shared" ref="L392:L473" si="96">J392+K392</f>
        <v>1300</v>
      </c>
      <c r="M392" s="7">
        <f t="shared" si="95"/>
        <v>0</v>
      </c>
      <c r="N392" s="35">
        <f t="shared" ref="N392:N473" si="97">L392+M392</f>
        <v>1300</v>
      </c>
      <c r="O392" s="7">
        <f t="shared" si="95"/>
        <v>0</v>
      </c>
      <c r="P392" s="35">
        <f t="shared" si="92"/>
        <v>1300</v>
      </c>
      <c r="Q392" s="7">
        <f t="shared" si="95"/>
        <v>0</v>
      </c>
      <c r="R392" s="35">
        <f t="shared" si="93"/>
        <v>1300</v>
      </c>
      <c r="S392" s="7">
        <f t="shared" si="95"/>
        <v>0</v>
      </c>
      <c r="T392" s="35">
        <f t="shared" si="86"/>
        <v>1300</v>
      </c>
    </row>
    <row r="393" spans="1:20" ht="20.25" customHeight="1">
      <c r="A393" s="12" t="s">
        <v>161</v>
      </c>
      <c r="B393" s="43" t="s">
        <v>502</v>
      </c>
      <c r="C393" s="8" t="s">
        <v>220</v>
      </c>
      <c r="D393" s="1" t="s">
        <v>214</v>
      </c>
      <c r="E393" s="113"/>
      <c r="F393" s="7">
        <f t="shared" si="95"/>
        <v>1300</v>
      </c>
      <c r="G393" s="7">
        <f t="shared" si="95"/>
        <v>0</v>
      </c>
      <c r="H393" s="35">
        <f t="shared" si="82"/>
        <v>1300</v>
      </c>
      <c r="I393" s="7">
        <f t="shared" si="95"/>
        <v>0</v>
      </c>
      <c r="J393" s="35">
        <f t="shared" si="80"/>
        <v>1300</v>
      </c>
      <c r="K393" s="7">
        <f t="shared" si="95"/>
        <v>0</v>
      </c>
      <c r="L393" s="35">
        <f t="shared" si="96"/>
        <v>1300</v>
      </c>
      <c r="M393" s="7">
        <f t="shared" si="95"/>
        <v>0</v>
      </c>
      <c r="N393" s="35">
        <f t="shared" si="97"/>
        <v>1300</v>
      </c>
      <c r="O393" s="7">
        <f t="shared" si="95"/>
        <v>0</v>
      </c>
      <c r="P393" s="35">
        <f t="shared" si="92"/>
        <v>1300</v>
      </c>
      <c r="Q393" s="7">
        <f t="shared" si="95"/>
        <v>0</v>
      </c>
      <c r="R393" s="35">
        <f t="shared" si="93"/>
        <v>1300</v>
      </c>
      <c r="S393" s="7">
        <f t="shared" si="95"/>
        <v>0</v>
      </c>
      <c r="T393" s="35">
        <f t="shared" si="86"/>
        <v>1300</v>
      </c>
    </row>
    <row r="394" spans="1:20" ht="33.75" customHeight="1">
      <c r="A394" s="61" t="str">
        <f ca="1">IF(ISERROR(MATCH(E394,Код_КВР,0)),"",INDIRECT(ADDRESS(MATCH(E394,Код_КВР,0)+1,2,,,"КВР")))</f>
        <v>Предоставление субсидий бюджетным, автономным учреждениям и иным некоммерческим организациям</v>
      </c>
      <c r="B394" s="43" t="s">
        <v>502</v>
      </c>
      <c r="C394" s="8" t="s">
        <v>220</v>
      </c>
      <c r="D394" s="1" t="s">
        <v>214</v>
      </c>
      <c r="E394" s="113">
        <v>600</v>
      </c>
      <c r="F394" s="7">
        <f>F395+F397</f>
        <v>1300</v>
      </c>
      <c r="G394" s="7">
        <f>G395+G397</f>
        <v>0</v>
      </c>
      <c r="H394" s="35">
        <f t="shared" si="82"/>
        <v>1300</v>
      </c>
      <c r="I394" s="7">
        <f>I395+I397</f>
        <v>0</v>
      </c>
      <c r="J394" s="35">
        <f t="shared" ref="J394:J475" si="98">H394+I394</f>
        <v>1300</v>
      </c>
      <c r="K394" s="7">
        <f>K395+K397</f>
        <v>0</v>
      </c>
      <c r="L394" s="35">
        <f t="shared" si="96"/>
        <v>1300</v>
      </c>
      <c r="M394" s="7">
        <f>M395+M397</f>
        <v>0</v>
      </c>
      <c r="N394" s="35">
        <f t="shared" si="97"/>
        <v>1300</v>
      </c>
      <c r="O394" s="7">
        <f>O395+O397</f>
        <v>0</v>
      </c>
      <c r="P394" s="35">
        <f t="shared" si="92"/>
        <v>1300</v>
      </c>
      <c r="Q394" s="7">
        <f>Q395+Q397</f>
        <v>0</v>
      </c>
      <c r="R394" s="35">
        <f t="shared" si="93"/>
        <v>1300</v>
      </c>
      <c r="S394" s="7">
        <f>S395+S397</f>
        <v>0</v>
      </c>
      <c r="T394" s="35">
        <f t="shared" si="86"/>
        <v>1300</v>
      </c>
    </row>
    <row r="395" spans="1:20">
      <c r="A395" s="61" t="str">
        <f ca="1">IF(ISERROR(MATCH(E395,Код_КВР,0)),"",INDIRECT(ADDRESS(MATCH(E395,Код_КВР,0)+1,2,,,"КВР")))</f>
        <v>Субсидии бюджетным учреждениям</v>
      </c>
      <c r="B395" s="43" t="s">
        <v>502</v>
      </c>
      <c r="C395" s="8" t="s">
        <v>220</v>
      </c>
      <c r="D395" s="1" t="s">
        <v>214</v>
      </c>
      <c r="E395" s="113">
        <v>610</v>
      </c>
      <c r="F395" s="7">
        <f>F396</f>
        <v>200</v>
      </c>
      <c r="G395" s="7">
        <f>G396</f>
        <v>0</v>
      </c>
      <c r="H395" s="35">
        <f t="shared" si="82"/>
        <v>200</v>
      </c>
      <c r="I395" s="7">
        <f>I396</f>
        <v>0</v>
      </c>
      <c r="J395" s="35">
        <f t="shared" si="98"/>
        <v>200</v>
      </c>
      <c r="K395" s="7">
        <f>K396</f>
        <v>0</v>
      </c>
      <c r="L395" s="35">
        <f t="shared" si="96"/>
        <v>200</v>
      </c>
      <c r="M395" s="7">
        <f>M396</f>
        <v>0</v>
      </c>
      <c r="N395" s="35">
        <f t="shared" si="97"/>
        <v>200</v>
      </c>
      <c r="O395" s="7">
        <f>O396</f>
        <v>0</v>
      </c>
      <c r="P395" s="35">
        <f t="shared" si="92"/>
        <v>200</v>
      </c>
      <c r="Q395" s="7">
        <f>Q396</f>
        <v>0</v>
      </c>
      <c r="R395" s="35">
        <f t="shared" si="93"/>
        <v>200</v>
      </c>
      <c r="S395" s="7">
        <f>S396</f>
        <v>0</v>
      </c>
      <c r="T395" s="35">
        <f t="shared" si="86"/>
        <v>200</v>
      </c>
    </row>
    <row r="396" spans="1:20" ht="19.5" customHeight="1">
      <c r="A396" s="61" t="str">
        <f ca="1">IF(ISERROR(MATCH(E396,Код_КВР,0)),"",INDIRECT(ADDRESS(MATCH(E396,Код_КВР,0)+1,2,,,"КВР")))</f>
        <v>Субсидии бюджетным учреждениям на иные цели</v>
      </c>
      <c r="B396" s="43" t="s">
        <v>502</v>
      </c>
      <c r="C396" s="8" t="s">
        <v>220</v>
      </c>
      <c r="D396" s="1" t="s">
        <v>214</v>
      </c>
      <c r="E396" s="113">
        <v>612</v>
      </c>
      <c r="F396" s="7">
        <f>прил.6!G1111</f>
        <v>200</v>
      </c>
      <c r="G396" s="7">
        <f>прил.6!H1111</f>
        <v>0</v>
      </c>
      <c r="H396" s="35">
        <f t="shared" si="82"/>
        <v>200</v>
      </c>
      <c r="I396" s="7">
        <f>прил.6!J1111</f>
        <v>0</v>
      </c>
      <c r="J396" s="35">
        <f t="shared" si="98"/>
        <v>200</v>
      </c>
      <c r="K396" s="7">
        <f>прил.6!L1111</f>
        <v>0</v>
      </c>
      <c r="L396" s="35">
        <f t="shared" si="96"/>
        <v>200</v>
      </c>
      <c r="M396" s="7">
        <f>прил.6!N1111</f>
        <v>0</v>
      </c>
      <c r="N396" s="35">
        <f t="shared" si="97"/>
        <v>200</v>
      </c>
      <c r="O396" s="7">
        <f>прил.6!P1111</f>
        <v>0</v>
      </c>
      <c r="P396" s="35">
        <f t="shared" si="92"/>
        <v>200</v>
      </c>
      <c r="Q396" s="7">
        <f>прил.6!R1111</f>
        <v>0</v>
      </c>
      <c r="R396" s="35">
        <f t="shared" si="93"/>
        <v>200</v>
      </c>
      <c r="S396" s="7">
        <f>прил.6!T1111</f>
        <v>0</v>
      </c>
      <c r="T396" s="35">
        <f t="shared" si="86"/>
        <v>200</v>
      </c>
    </row>
    <row r="397" spans="1:20" ht="19.5" customHeight="1">
      <c r="A397" s="61" t="str">
        <f ca="1">IF(ISERROR(MATCH(E397,Код_КВР,0)),"",INDIRECT(ADDRESS(MATCH(E397,Код_КВР,0)+1,2,,,"КВР")))</f>
        <v>Субсидии автономным учреждениям</v>
      </c>
      <c r="B397" s="43" t="s">
        <v>502</v>
      </c>
      <c r="C397" s="8" t="s">
        <v>220</v>
      </c>
      <c r="D397" s="1" t="s">
        <v>214</v>
      </c>
      <c r="E397" s="113">
        <v>620</v>
      </c>
      <c r="F397" s="7">
        <f>F398</f>
        <v>1100</v>
      </c>
      <c r="G397" s="7">
        <f>G398</f>
        <v>0</v>
      </c>
      <c r="H397" s="35">
        <f t="shared" si="82"/>
        <v>1100</v>
      </c>
      <c r="I397" s="7">
        <f>I398</f>
        <v>0</v>
      </c>
      <c r="J397" s="35">
        <f t="shared" si="98"/>
        <v>1100</v>
      </c>
      <c r="K397" s="7">
        <f>K398</f>
        <v>0</v>
      </c>
      <c r="L397" s="35">
        <f t="shared" si="96"/>
        <v>1100</v>
      </c>
      <c r="M397" s="7">
        <f>M398</f>
        <v>0</v>
      </c>
      <c r="N397" s="35">
        <f t="shared" si="97"/>
        <v>1100</v>
      </c>
      <c r="O397" s="7">
        <f>O398</f>
        <v>0</v>
      </c>
      <c r="P397" s="35">
        <f t="shared" si="92"/>
        <v>1100</v>
      </c>
      <c r="Q397" s="7">
        <f>Q398</f>
        <v>0</v>
      </c>
      <c r="R397" s="35">
        <f t="shared" si="93"/>
        <v>1100</v>
      </c>
      <c r="S397" s="7">
        <f>S398</f>
        <v>0</v>
      </c>
      <c r="T397" s="35">
        <f t="shared" si="86"/>
        <v>1100</v>
      </c>
    </row>
    <row r="398" spans="1:20" ht="18.75" customHeight="1">
      <c r="A398" s="61" t="str">
        <f ca="1">IF(ISERROR(MATCH(E398,Код_КВР,0)),"",INDIRECT(ADDRESS(MATCH(E398,Код_КВР,0)+1,2,,,"КВР")))</f>
        <v>Субсидии автономным учреждениям на иные цели</v>
      </c>
      <c r="B398" s="43" t="s">
        <v>502</v>
      </c>
      <c r="C398" s="8" t="s">
        <v>220</v>
      </c>
      <c r="D398" s="1" t="s">
        <v>214</v>
      </c>
      <c r="E398" s="113">
        <v>622</v>
      </c>
      <c r="F398" s="7">
        <f>прил.6!G1113</f>
        <v>1100</v>
      </c>
      <c r="G398" s="7">
        <f>прил.6!H1113</f>
        <v>0</v>
      </c>
      <c r="H398" s="35">
        <f t="shared" si="82"/>
        <v>1100</v>
      </c>
      <c r="I398" s="7">
        <f>прил.6!J1113</f>
        <v>0</v>
      </c>
      <c r="J398" s="35">
        <f t="shared" si="98"/>
        <v>1100</v>
      </c>
      <c r="K398" s="7">
        <f>прил.6!L1113</f>
        <v>0</v>
      </c>
      <c r="L398" s="35">
        <f t="shared" si="96"/>
        <v>1100</v>
      </c>
      <c r="M398" s="7">
        <f>прил.6!N1113</f>
        <v>0</v>
      </c>
      <c r="N398" s="35">
        <f t="shared" si="97"/>
        <v>1100</v>
      </c>
      <c r="O398" s="7">
        <f>прил.6!P1113</f>
        <v>0</v>
      </c>
      <c r="P398" s="35">
        <f t="shared" si="92"/>
        <v>1100</v>
      </c>
      <c r="Q398" s="7">
        <f>прил.6!R1113</f>
        <v>0</v>
      </c>
      <c r="R398" s="35">
        <f t="shared" si="93"/>
        <v>1100</v>
      </c>
      <c r="S398" s="7">
        <f>прил.6!T1113</f>
        <v>0</v>
      </c>
      <c r="T398" s="35">
        <f t="shared" si="86"/>
        <v>1100</v>
      </c>
    </row>
    <row r="399" spans="1:20" ht="22.5" customHeight="1">
      <c r="A399" s="61" t="str">
        <f ca="1">IF(ISERROR(MATCH(B399,Код_КЦСР,0)),"",INDIRECT(ADDRESS(MATCH(B399,Код_КЦСР,0)+1,2,,,"КЦСР")))</f>
        <v>Оказание муниципальных услуг</v>
      </c>
      <c r="B399" s="43" t="s">
        <v>503</v>
      </c>
      <c r="C399" s="8"/>
      <c r="D399" s="1"/>
      <c r="E399" s="113"/>
      <c r="F399" s="7">
        <f t="shared" ref="F399:S401" si="99">F400</f>
        <v>100414.7</v>
      </c>
      <c r="G399" s="7">
        <f t="shared" si="99"/>
        <v>0</v>
      </c>
      <c r="H399" s="35">
        <f t="shared" si="82"/>
        <v>100414.7</v>
      </c>
      <c r="I399" s="7">
        <f t="shared" si="99"/>
        <v>-512.79999999999995</v>
      </c>
      <c r="J399" s="35">
        <f t="shared" si="98"/>
        <v>99901.9</v>
      </c>
      <c r="K399" s="7">
        <f t="shared" si="99"/>
        <v>-72.900000000000006</v>
      </c>
      <c r="L399" s="35">
        <f t="shared" si="96"/>
        <v>99829</v>
      </c>
      <c r="M399" s="7">
        <f t="shared" si="99"/>
        <v>0</v>
      </c>
      <c r="N399" s="35">
        <f t="shared" si="97"/>
        <v>99829</v>
      </c>
      <c r="O399" s="7">
        <f t="shared" si="99"/>
        <v>140.19999999999999</v>
      </c>
      <c r="P399" s="35">
        <f t="shared" si="92"/>
        <v>99969.2</v>
      </c>
      <c r="Q399" s="7">
        <f t="shared" si="99"/>
        <v>-8874.4</v>
      </c>
      <c r="R399" s="35">
        <f t="shared" si="93"/>
        <v>91094.8</v>
      </c>
      <c r="S399" s="7">
        <f t="shared" si="99"/>
        <v>0</v>
      </c>
      <c r="T399" s="35">
        <f t="shared" si="86"/>
        <v>91094.8</v>
      </c>
    </row>
    <row r="400" spans="1:20" ht="18.75" customHeight="1">
      <c r="A400" s="61" t="str">
        <f ca="1">IF(ISERROR(MATCH(C400,Код_Раздел,0)),"",INDIRECT(ADDRESS(MATCH(C400,Код_Раздел,0)+1,2,,,"Раздел")))</f>
        <v>Культура, кинематография</v>
      </c>
      <c r="B400" s="43" t="s">
        <v>503</v>
      </c>
      <c r="C400" s="8" t="s">
        <v>220</v>
      </c>
      <c r="D400" s="1"/>
      <c r="E400" s="113"/>
      <c r="F400" s="7">
        <f t="shared" si="99"/>
        <v>100414.7</v>
      </c>
      <c r="G400" s="7">
        <f t="shared" si="99"/>
        <v>0</v>
      </c>
      <c r="H400" s="35">
        <f t="shared" si="82"/>
        <v>100414.7</v>
      </c>
      <c r="I400" s="7">
        <f t="shared" si="99"/>
        <v>-512.79999999999995</v>
      </c>
      <c r="J400" s="35">
        <f t="shared" si="98"/>
        <v>99901.9</v>
      </c>
      <c r="K400" s="7">
        <f t="shared" si="99"/>
        <v>-72.900000000000006</v>
      </c>
      <c r="L400" s="35">
        <f t="shared" si="96"/>
        <v>99829</v>
      </c>
      <c r="M400" s="7">
        <f t="shared" si="99"/>
        <v>0</v>
      </c>
      <c r="N400" s="35">
        <f t="shared" si="97"/>
        <v>99829</v>
      </c>
      <c r="O400" s="7">
        <f t="shared" si="99"/>
        <v>140.19999999999999</v>
      </c>
      <c r="P400" s="35">
        <f t="shared" si="92"/>
        <v>99969.2</v>
      </c>
      <c r="Q400" s="7">
        <f t="shared" si="99"/>
        <v>-8874.4</v>
      </c>
      <c r="R400" s="35">
        <f t="shared" si="93"/>
        <v>91094.8</v>
      </c>
      <c r="S400" s="7">
        <f t="shared" si="99"/>
        <v>0</v>
      </c>
      <c r="T400" s="35">
        <f t="shared" si="86"/>
        <v>91094.8</v>
      </c>
    </row>
    <row r="401" spans="1:20" ht="18.75" customHeight="1">
      <c r="A401" s="12" t="s">
        <v>182</v>
      </c>
      <c r="B401" s="43" t="s">
        <v>503</v>
      </c>
      <c r="C401" s="8" t="s">
        <v>220</v>
      </c>
      <c r="D401" s="1" t="s">
        <v>211</v>
      </c>
      <c r="E401" s="113"/>
      <c r="F401" s="7">
        <f t="shared" si="99"/>
        <v>100414.7</v>
      </c>
      <c r="G401" s="7">
        <f t="shared" si="99"/>
        <v>0</v>
      </c>
      <c r="H401" s="35">
        <f t="shared" si="82"/>
        <v>100414.7</v>
      </c>
      <c r="I401" s="7">
        <f t="shared" si="99"/>
        <v>-512.79999999999995</v>
      </c>
      <c r="J401" s="35">
        <f t="shared" si="98"/>
        <v>99901.9</v>
      </c>
      <c r="K401" s="7">
        <f t="shared" si="99"/>
        <v>-72.900000000000006</v>
      </c>
      <c r="L401" s="35">
        <f t="shared" si="96"/>
        <v>99829</v>
      </c>
      <c r="M401" s="7">
        <f t="shared" si="99"/>
        <v>0</v>
      </c>
      <c r="N401" s="35">
        <f t="shared" si="97"/>
        <v>99829</v>
      </c>
      <c r="O401" s="7">
        <f t="shared" si="99"/>
        <v>140.19999999999999</v>
      </c>
      <c r="P401" s="35">
        <f t="shared" si="92"/>
        <v>99969.2</v>
      </c>
      <c r="Q401" s="7">
        <f t="shared" si="99"/>
        <v>-8874.4</v>
      </c>
      <c r="R401" s="35">
        <f t="shared" si="93"/>
        <v>91094.8</v>
      </c>
      <c r="S401" s="7">
        <f t="shared" si="99"/>
        <v>0</v>
      </c>
      <c r="T401" s="35">
        <f t="shared" si="86"/>
        <v>91094.8</v>
      </c>
    </row>
    <row r="402" spans="1:20" ht="35.25" customHeight="1">
      <c r="A402" s="61" t="str">
        <f ca="1">IF(ISERROR(MATCH(E402,Код_КВР,0)),"",INDIRECT(ADDRESS(MATCH(E402,Код_КВР,0)+1,2,,,"КВР")))</f>
        <v>Предоставление субсидий бюджетным, автономным учреждениям и иным некоммерческим организациям</v>
      </c>
      <c r="B402" s="43" t="s">
        <v>503</v>
      </c>
      <c r="C402" s="8" t="s">
        <v>220</v>
      </c>
      <c r="D402" s="1" t="s">
        <v>211</v>
      </c>
      <c r="E402" s="113">
        <v>600</v>
      </c>
      <c r="F402" s="7">
        <f>F403+F405</f>
        <v>100414.7</v>
      </c>
      <c r="G402" s="7">
        <f>G403+G405</f>
        <v>0</v>
      </c>
      <c r="H402" s="35">
        <f t="shared" ref="H402:H483" si="100">F402+G402</f>
        <v>100414.7</v>
      </c>
      <c r="I402" s="7">
        <f>I403+I405</f>
        <v>-512.79999999999995</v>
      </c>
      <c r="J402" s="35">
        <f t="shared" si="98"/>
        <v>99901.9</v>
      </c>
      <c r="K402" s="7">
        <f>K403+K405</f>
        <v>-72.900000000000006</v>
      </c>
      <c r="L402" s="35">
        <f t="shared" si="96"/>
        <v>99829</v>
      </c>
      <c r="M402" s="7">
        <f>M403+M405</f>
        <v>0</v>
      </c>
      <c r="N402" s="35">
        <f t="shared" si="97"/>
        <v>99829</v>
      </c>
      <c r="O402" s="7">
        <f>O403+O405</f>
        <v>140.19999999999999</v>
      </c>
      <c r="P402" s="35">
        <f t="shared" si="92"/>
        <v>99969.2</v>
      </c>
      <c r="Q402" s="7">
        <f>Q403+Q405</f>
        <v>-8874.4</v>
      </c>
      <c r="R402" s="35">
        <f t="shared" si="93"/>
        <v>91094.8</v>
      </c>
      <c r="S402" s="7">
        <f>S403+S405</f>
        <v>0</v>
      </c>
      <c r="T402" s="35">
        <f t="shared" si="86"/>
        <v>91094.8</v>
      </c>
    </row>
    <row r="403" spans="1:20" ht="21" customHeight="1">
      <c r="A403" s="61" t="str">
        <f ca="1">IF(ISERROR(MATCH(E403,Код_КВР,0)),"",INDIRECT(ADDRESS(MATCH(E403,Код_КВР,0)+1,2,,,"КВР")))</f>
        <v>Субсидии бюджетным учреждениям</v>
      </c>
      <c r="B403" s="43" t="s">
        <v>503</v>
      </c>
      <c r="C403" s="8" t="s">
        <v>220</v>
      </c>
      <c r="D403" s="1" t="s">
        <v>211</v>
      </c>
      <c r="E403" s="113">
        <v>610</v>
      </c>
      <c r="F403" s="7">
        <f>F404</f>
        <v>88342.5</v>
      </c>
      <c r="G403" s="7">
        <f>G404</f>
        <v>0</v>
      </c>
      <c r="H403" s="35">
        <f t="shared" si="100"/>
        <v>88342.5</v>
      </c>
      <c r="I403" s="7">
        <f>I404</f>
        <v>-512.79999999999995</v>
      </c>
      <c r="J403" s="35">
        <f t="shared" si="98"/>
        <v>87829.7</v>
      </c>
      <c r="K403" s="7">
        <f>K404</f>
        <v>-50.9</v>
      </c>
      <c r="L403" s="35">
        <f t="shared" si="96"/>
        <v>87778.8</v>
      </c>
      <c r="M403" s="7">
        <f>M404</f>
        <v>0</v>
      </c>
      <c r="N403" s="35">
        <f t="shared" si="97"/>
        <v>87778.8</v>
      </c>
      <c r="O403" s="7">
        <f>O404</f>
        <v>140.19999999999999</v>
      </c>
      <c r="P403" s="35">
        <f t="shared" si="92"/>
        <v>87919</v>
      </c>
      <c r="Q403" s="7">
        <f>Q404</f>
        <v>-8874.4</v>
      </c>
      <c r="R403" s="35">
        <f t="shared" si="93"/>
        <v>79044.600000000006</v>
      </c>
      <c r="S403" s="7">
        <f>S404</f>
        <v>0</v>
      </c>
      <c r="T403" s="35">
        <f t="shared" si="86"/>
        <v>79044.600000000006</v>
      </c>
    </row>
    <row r="404" spans="1:20" ht="55.5" customHeight="1">
      <c r="A404" s="61" t="str">
        <f ca="1">IF(ISERROR(MATCH(E404,Код_КВР,0)),"",INDIRECT(ADDRESS(MATCH(E404,Код_КВР,0)+1,2,,,"КВР")))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4" s="43" t="s">
        <v>503</v>
      </c>
      <c r="C404" s="8" t="s">
        <v>220</v>
      </c>
      <c r="D404" s="1" t="s">
        <v>211</v>
      </c>
      <c r="E404" s="113">
        <v>611</v>
      </c>
      <c r="F404" s="7">
        <f>прил.6!G1042</f>
        <v>88342.5</v>
      </c>
      <c r="G404" s="7">
        <f>прил.6!H1042</f>
        <v>0</v>
      </c>
      <c r="H404" s="35">
        <f t="shared" si="100"/>
        <v>88342.5</v>
      </c>
      <c r="I404" s="7">
        <f>прил.6!J1042</f>
        <v>-512.79999999999995</v>
      </c>
      <c r="J404" s="35">
        <f t="shared" si="98"/>
        <v>87829.7</v>
      </c>
      <c r="K404" s="7">
        <f>прил.6!L1042</f>
        <v>-50.9</v>
      </c>
      <c r="L404" s="35">
        <f t="shared" si="96"/>
        <v>87778.8</v>
      </c>
      <c r="M404" s="7">
        <f>прил.6!N1042</f>
        <v>0</v>
      </c>
      <c r="N404" s="35">
        <f t="shared" si="97"/>
        <v>87778.8</v>
      </c>
      <c r="O404" s="7">
        <f>прил.6!P1042</f>
        <v>140.19999999999999</v>
      </c>
      <c r="P404" s="35">
        <f t="shared" si="92"/>
        <v>87919</v>
      </c>
      <c r="Q404" s="7">
        <f>прил.6!R1042</f>
        <v>-8874.4</v>
      </c>
      <c r="R404" s="35">
        <f t="shared" si="93"/>
        <v>79044.600000000006</v>
      </c>
      <c r="S404" s="7">
        <f>прил.6!T1042</f>
        <v>0</v>
      </c>
      <c r="T404" s="35">
        <f t="shared" si="86"/>
        <v>79044.600000000006</v>
      </c>
    </row>
    <row r="405" spans="1:20" ht="21" customHeight="1">
      <c r="A405" s="61" t="str">
        <f ca="1">IF(ISERROR(MATCH(E405,Код_КВР,0)),"",INDIRECT(ADDRESS(MATCH(E405,Код_КВР,0)+1,2,,,"КВР")))</f>
        <v>Субсидии автономным учреждениям</v>
      </c>
      <c r="B405" s="43" t="s">
        <v>503</v>
      </c>
      <c r="C405" s="8" t="s">
        <v>220</v>
      </c>
      <c r="D405" s="1" t="s">
        <v>211</v>
      </c>
      <c r="E405" s="113">
        <v>620</v>
      </c>
      <c r="F405" s="7">
        <f>F406</f>
        <v>12072.2</v>
      </c>
      <c r="G405" s="7">
        <f>G406</f>
        <v>0</v>
      </c>
      <c r="H405" s="35">
        <f t="shared" si="100"/>
        <v>12072.2</v>
      </c>
      <c r="I405" s="7">
        <f>I406</f>
        <v>0</v>
      </c>
      <c r="J405" s="35">
        <f t="shared" si="98"/>
        <v>12072.2</v>
      </c>
      <c r="K405" s="7">
        <f>K406</f>
        <v>-22</v>
      </c>
      <c r="L405" s="35">
        <f t="shared" si="96"/>
        <v>12050.2</v>
      </c>
      <c r="M405" s="7">
        <f>M406</f>
        <v>0</v>
      </c>
      <c r="N405" s="35">
        <f t="shared" si="97"/>
        <v>12050.2</v>
      </c>
      <c r="O405" s="7">
        <f>O406</f>
        <v>0</v>
      </c>
      <c r="P405" s="35">
        <f t="shared" si="92"/>
        <v>12050.2</v>
      </c>
      <c r="Q405" s="7">
        <f>Q406</f>
        <v>0</v>
      </c>
      <c r="R405" s="35">
        <f t="shared" si="93"/>
        <v>12050.2</v>
      </c>
      <c r="S405" s="7">
        <f>S406</f>
        <v>0</v>
      </c>
      <c r="T405" s="35">
        <f t="shared" si="86"/>
        <v>12050.2</v>
      </c>
    </row>
    <row r="406" spans="1:20" ht="52.7" customHeight="1">
      <c r="A406" s="61" t="str">
        <f ca="1">IF(ISERROR(MATCH(E406,Код_КВР,0)),"",INDIRECT(ADDRESS(MATCH(E406,Код_КВР,0)+1,2,,,"КВР")))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6" s="43" t="s">
        <v>503</v>
      </c>
      <c r="C406" s="8" t="s">
        <v>220</v>
      </c>
      <c r="D406" s="1" t="s">
        <v>211</v>
      </c>
      <c r="E406" s="113">
        <v>621</v>
      </c>
      <c r="F406" s="7">
        <f>прил.6!G1044</f>
        <v>12072.2</v>
      </c>
      <c r="G406" s="7">
        <f>прил.6!H1044</f>
        <v>0</v>
      </c>
      <c r="H406" s="35">
        <f t="shared" si="100"/>
        <v>12072.2</v>
      </c>
      <c r="I406" s="7">
        <f>прил.6!J1044</f>
        <v>0</v>
      </c>
      <c r="J406" s="35">
        <f t="shared" si="98"/>
        <v>12072.2</v>
      </c>
      <c r="K406" s="7">
        <f>прил.6!L1044</f>
        <v>-22</v>
      </c>
      <c r="L406" s="35">
        <f t="shared" si="96"/>
        <v>12050.2</v>
      </c>
      <c r="M406" s="7">
        <f>прил.6!N1044</f>
        <v>0</v>
      </c>
      <c r="N406" s="35">
        <f t="shared" si="97"/>
        <v>12050.2</v>
      </c>
      <c r="O406" s="7">
        <f>прил.6!P1044</f>
        <v>0</v>
      </c>
      <c r="P406" s="35">
        <f t="shared" si="92"/>
        <v>12050.2</v>
      </c>
      <c r="Q406" s="7">
        <f>прил.6!R1044</f>
        <v>0</v>
      </c>
      <c r="R406" s="35">
        <f t="shared" si="93"/>
        <v>12050.2</v>
      </c>
      <c r="S406" s="7">
        <f>прил.6!T1044</f>
        <v>0</v>
      </c>
      <c r="T406" s="35">
        <f t="shared" si="86"/>
        <v>12050.2</v>
      </c>
    </row>
    <row r="407" spans="1:20" ht="52.7" customHeight="1">
      <c r="A407" s="61" t="str">
        <f ca="1">IF(ISERROR(MATCH(B407,Код_КЦСР,0)),"",INDIRECT(ADDRESS(MATCH(B407,Код_КЦСР,0)+1,2,,,"КЦСР")))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407" s="43" t="s">
        <v>668</v>
      </c>
      <c r="C407" s="8"/>
      <c r="D407" s="1"/>
      <c r="E407" s="113"/>
      <c r="F407" s="7"/>
      <c r="G407" s="7"/>
      <c r="H407" s="35"/>
      <c r="I407" s="7"/>
      <c r="J407" s="35"/>
      <c r="K407" s="7"/>
      <c r="L407" s="35"/>
      <c r="M407" s="7"/>
      <c r="N407" s="35"/>
      <c r="O407" s="7"/>
      <c r="P407" s="35"/>
      <c r="Q407" s="7">
        <f>Q408</f>
        <v>4618.8</v>
      </c>
      <c r="R407" s="35">
        <f t="shared" si="93"/>
        <v>4618.8</v>
      </c>
      <c r="S407" s="7">
        <f>S408</f>
        <v>-1109.2</v>
      </c>
      <c r="T407" s="35">
        <f t="shared" si="86"/>
        <v>3509.6000000000004</v>
      </c>
    </row>
    <row r="408" spans="1:20" ht="16.5" customHeight="1">
      <c r="A408" s="61" t="str">
        <f ca="1">IF(ISERROR(MATCH(C408,Код_Раздел,0)),"",INDIRECT(ADDRESS(MATCH(C408,Код_Раздел,0)+1,2,,,"Раздел")))</f>
        <v>Культура, кинематография</v>
      </c>
      <c r="B408" s="43" t="s">
        <v>668</v>
      </c>
      <c r="C408" s="8" t="s">
        <v>220</v>
      </c>
      <c r="D408" s="1"/>
      <c r="E408" s="113"/>
      <c r="F408" s="7"/>
      <c r="G408" s="7"/>
      <c r="H408" s="35"/>
      <c r="I408" s="7"/>
      <c r="J408" s="35"/>
      <c r="K408" s="7"/>
      <c r="L408" s="35"/>
      <c r="M408" s="7"/>
      <c r="N408" s="35"/>
      <c r="O408" s="7"/>
      <c r="P408" s="35"/>
      <c r="Q408" s="7">
        <f>Q409</f>
        <v>4618.8</v>
      </c>
      <c r="R408" s="35">
        <f t="shared" si="93"/>
        <v>4618.8</v>
      </c>
      <c r="S408" s="7">
        <f>S409</f>
        <v>-1109.2</v>
      </c>
      <c r="T408" s="35">
        <f t="shared" si="86"/>
        <v>3509.6000000000004</v>
      </c>
    </row>
    <row r="409" spans="1:20" ht="21" customHeight="1">
      <c r="A409" s="12" t="s">
        <v>182</v>
      </c>
      <c r="B409" s="43" t="s">
        <v>668</v>
      </c>
      <c r="C409" s="8" t="s">
        <v>220</v>
      </c>
      <c r="D409" s="1" t="s">
        <v>211</v>
      </c>
      <c r="E409" s="113"/>
      <c r="F409" s="7"/>
      <c r="G409" s="7"/>
      <c r="H409" s="35"/>
      <c r="I409" s="7"/>
      <c r="J409" s="35"/>
      <c r="K409" s="7"/>
      <c r="L409" s="35"/>
      <c r="M409" s="7"/>
      <c r="N409" s="35"/>
      <c r="O409" s="7"/>
      <c r="P409" s="35"/>
      <c r="Q409" s="7">
        <f>Q410</f>
        <v>4618.8</v>
      </c>
      <c r="R409" s="35">
        <f t="shared" si="93"/>
        <v>4618.8</v>
      </c>
      <c r="S409" s="7">
        <f>S410</f>
        <v>-1109.2</v>
      </c>
      <c r="T409" s="35">
        <f t="shared" si="86"/>
        <v>3509.6000000000004</v>
      </c>
    </row>
    <row r="410" spans="1:20" ht="36" customHeight="1">
      <c r="A410" s="61" t="str">
        <f ca="1">IF(ISERROR(MATCH(E410,Код_КВР,0)),"",INDIRECT(ADDRESS(MATCH(E410,Код_КВР,0)+1,2,,,"КВР")))</f>
        <v>Предоставление субсидий бюджетным, автономным учреждениям и иным некоммерческим организациям</v>
      </c>
      <c r="B410" s="43" t="s">
        <v>668</v>
      </c>
      <c r="C410" s="8" t="s">
        <v>220</v>
      </c>
      <c r="D410" s="1" t="s">
        <v>211</v>
      </c>
      <c r="E410" s="113">
        <v>600</v>
      </c>
      <c r="F410" s="7"/>
      <c r="G410" s="7"/>
      <c r="H410" s="35"/>
      <c r="I410" s="7"/>
      <c r="J410" s="35"/>
      <c r="K410" s="7"/>
      <c r="L410" s="35"/>
      <c r="M410" s="7"/>
      <c r="N410" s="35"/>
      <c r="O410" s="7"/>
      <c r="P410" s="35"/>
      <c r="Q410" s="7">
        <f>Q411</f>
        <v>4618.8</v>
      </c>
      <c r="R410" s="35">
        <f t="shared" si="93"/>
        <v>4618.8</v>
      </c>
      <c r="S410" s="7">
        <f>S411</f>
        <v>-1109.2</v>
      </c>
      <c r="T410" s="35">
        <f t="shared" si="86"/>
        <v>3509.6000000000004</v>
      </c>
    </row>
    <row r="411" spans="1:20" ht="26.25" customHeight="1">
      <c r="A411" s="61" t="str">
        <f ca="1">IF(ISERROR(MATCH(E411,Код_КВР,0)),"",INDIRECT(ADDRESS(MATCH(E411,Код_КВР,0)+1,2,,,"КВР")))</f>
        <v>Субсидии бюджетным учреждениям</v>
      </c>
      <c r="B411" s="43" t="s">
        <v>668</v>
      </c>
      <c r="C411" s="8" t="s">
        <v>220</v>
      </c>
      <c r="D411" s="1" t="s">
        <v>211</v>
      </c>
      <c r="E411" s="113">
        <v>610</v>
      </c>
      <c r="F411" s="7"/>
      <c r="G411" s="7"/>
      <c r="H411" s="35"/>
      <c r="I411" s="7"/>
      <c r="J411" s="35"/>
      <c r="K411" s="7"/>
      <c r="L411" s="35"/>
      <c r="M411" s="7"/>
      <c r="N411" s="35"/>
      <c r="O411" s="7"/>
      <c r="P411" s="35"/>
      <c r="Q411" s="7">
        <f>Q412</f>
        <v>4618.8</v>
      </c>
      <c r="R411" s="35">
        <f t="shared" si="93"/>
        <v>4618.8</v>
      </c>
      <c r="S411" s="7">
        <f>S412</f>
        <v>-1109.2</v>
      </c>
      <c r="T411" s="35">
        <f t="shared" si="86"/>
        <v>3509.6000000000004</v>
      </c>
    </row>
    <row r="412" spans="1:20" ht="52.7" customHeight="1">
      <c r="A412" s="61" t="str">
        <f ca="1">IF(ISERROR(MATCH(E412,Код_КВР,0)),"",INDIRECT(ADDRESS(MATCH(E412,Код_КВР,0)+1,2,,,"КВР")))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2" s="43" t="s">
        <v>668</v>
      </c>
      <c r="C412" s="8" t="s">
        <v>220</v>
      </c>
      <c r="D412" s="1" t="s">
        <v>211</v>
      </c>
      <c r="E412" s="113">
        <v>611</v>
      </c>
      <c r="F412" s="7"/>
      <c r="G412" s="7"/>
      <c r="H412" s="35"/>
      <c r="I412" s="7"/>
      <c r="J412" s="35"/>
      <c r="K412" s="7"/>
      <c r="L412" s="35"/>
      <c r="M412" s="7"/>
      <c r="N412" s="35"/>
      <c r="O412" s="7"/>
      <c r="P412" s="35"/>
      <c r="Q412" s="7">
        <f>прил.6!R1048</f>
        <v>4618.8</v>
      </c>
      <c r="R412" s="35">
        <f t="shared" si="93"/>
        <v>4618.8</v>
      </c>
      <c r="S412" s="7">
        <f>прил.6!T1048</f>
        <v>-1109.2</v>
      </c>
      <c r="T412" s="35">
        <f t="shared" si="86"/>
        <v>3509.6000000000004</v>
      </c>
    </row>
    <row r="413" spans="1:20" ht="20.25" customHeight="1">
      <c r="A413" s="61" t="str">
        <f ca="1">IF(ISERROR(MATCH(B413,Код_КЦСР,0)),"",INDIRECT(ADDRESS(MATCH(B413,Код_КЦСР,0)+1,2,,,"КЦСР")))</f>
        <v>Формирование постиндустриального образа города Череповца</v>
      </c>
      <c r="B413" s="43" t="s">
        <v>504</v>
      </c>
      <c r="C413" s="8"/>
      <c r="D413" s="1"/>
      <c r="E413" s="113"/>
      <c r="F413" s="7">
        <f>F414+F425+F426</f>
        <v>8113.8</v>
      </c>
      <c r="G413" s="7">
        <f>G414+G425+G426</f>
        <v>0</v>
      </c>
      <c r="H413" s="35">
        <f t="shared" si="100"/>
        <v>8113.8</v>
      </c>
      <c r="I413" s="7">
        <f>I414+I425+I426</f>
        <v>0</v>
      </c>
      <c r="J413" s="35">
        <f t="shared" si="98"/>
        <v>8113.8</v>
      </c>
      <c r="K413" s="7">
        <f>K414+K425+K426</f>
        <v>0</v>
      </c>
      <c r="L413" s="35">
        <f t="shared" si="96"/>
        <v>8113.8</v>
      </c>
      <c r="M413" s="7">
        <f>M414+M425+M426</f>
        <v>0</v>
      </c>
      <c r="N413" s="35">
        <f t="shared" si="97"/>
        <v>8113.8</v>
      </c>
      <c r="O413" s="7">
        <f>O414+O425+O426</f>
        <v>0</v>
      </c>
      <c r="P413" s="35">
        <f t="shared" si="92"/>
        <v>8113.8</v>
      </c>
      <c r="Q413" s="7">
        <f>Q414+Q425+Q426</f>
        <v>0</v>
      </c>
      <c r="R413" s="35">
        <f t="shared" si="93"/>
        <v>8113.8</v>
      </c>
      <c r="S413" s="7">
        <f>S414+S425+S426</f>
        <v>0</v>
      </c>
      <c r="T413" s="35">
        <f t="shared" si="86"/>
        <v>8113.8</v>
      </c>
    </row>
    <row r="414" spans="1:20" ht="87" customHeight="1">
      <c r="A414" s="61" t="str">
        <f ca="1">IF(ISERROR(MATCH(B414,Код_КЦСР,0)),"",INDIRECT(ADDRESS(MATCH(B414,Код_КЦСР,0)+1,2,,,"КЦСР")))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414" s="43" t="s">
        <v>506</v>
      </c>
      <c r="C414" s="8"/>
      <c r="D414" s="1"/>
      <c r="E414" s="113"/>
      <c r="F414" s="7">
        <f t="shared" ref="F414:S418" si="101">F415</f>
        <v>2570</v>
      </c>
      <c r="G414" s="7">
        <f t="shared" si="101"/>
        <v>0</v>
      </c>
      <c r="H414" s="35">
        <f t="shared" si="100"/>
        <v>2570</v>
      </c>
      <c r="I414" s="7">
        <f t="shared" si="101"/>
        <v>0</v>
      </c>
      <c r="J414" s="35">
        <f t="shared" si="98"/>
        <v>2570</v>
      </c>
      <c r="K414" s="7">
        <f t="shared" si="101"/>
        <v>0</v>
      </c>
      <c r="L414" s="35">
        <f t="shared" si="96"/>
        <v>2570</v>
      </c>
      <c r="M414" s="7">
        <f t="shared" si="101"/>
        <v>0</v>
      </c>
      <c r="N414" s="35">
        <f t="shared" si="97"/>
        <v>2570</v>
      </c>
      <c r="O414" s="7">
        <f t="shared" si="101"/>
        <v>0</v>
      </c>
      <c r="P414" s="35">
        <f t="shared" si="92"/>
        <v>2570</v>
      </c>
      <c r="Q414" s="7">
        <f t="shared" si="101"/>
        <v>0</v>
      </c>
      <c r="R414" s="35">
        <f t="shared" si="93"/>
        <v>2570</v>
      </c>
      <c r="S414" s="7">
        <f t="shared" si="101"/>
        <v>0</v>
      </c>
      <c r="T414" s="35">
        <f t="shared" si="86"/>
        <v>2570</v>
      </c>
    </row>
    <row r="415" spans="1:20" ht="22.5" customHeight="1">
      <c r="A415" s="61" t="str">
        <f ca="1">IF(ISERROR(MATCH(C415,Код_Раздел,0)),"",INDIRECT(ADDRESS(MATCH(C415,Код_Раздел,0)+1,2,,,"Раздел")))</f>
        <v>Культура, кинематография</v>
      </c>
      <c r="B415" s="43" t="s">
        <v>506</v>
      </c>
      <c r="C415" s="8" t="s">
        <v>220</v>
      </c>
      <c r="D415" s="1"/>
      <c r="E415" s="113"/>
      <c r="F415" s="7">
        <f t="shared" si="101"/>
        <v>2570</v>
      </c>
      <c r="G415" s="7">
        <f t="shared" si="101"/>
        <v>0</v>
      </c>
      <c r="H415" s="35">
        <f t="shared" si="100"/>
        <v>2570</v>
      </c>
      <c r="I415" s="7">
        <f t="shared" si="101"/>
        <v>0</v>
      </c>
      <c r="J415" s="35">
        <f t="shared" si="98"/>
        <v>2570</v>
      </c>
      <c r="K415" s="7">
        <f t="shared" si="101"/>
        <v>0</v>
      </c>
      <c r="L415" s="35">
        <f t="shared" si="96"/>
        <v>2570</v>
      </c>
      <c r="M415" s="7">
        <f t="shared" si="101"/>
        <v>0</v>
      </c>
      <c r="N415" s="35">
        <f t="shared" si="97"/>
        <v>2570</v>
      </c>
      <c r="O415" s="7">
        <f t="shared" si="101"/>
        <v>0</v>
      </c>
      <c r="P415" s="35">
        <f t="shared" si="92"/>
        <v>2570</v>
      </c>
      <c r="Q415" s="7">
        <f t="shared" si="101"/>
        <v>0</v>
      </c>
      <c r="R415" s="35">
        <f t="shared" si="93"/>
        <v>2570</v>
      </c>
      <c r="S415" s="7">
        <f t="shared" si="101"/>
        <v>0</v>
      </c>
      <c r="T415" s="35">
        <f t="shared" si="86"/>
        <v>2570</v>
      </c>
    </row>
    <row r="416" spans="1:20" ht="19.5" customHeight="1">
      <c r="A416" s="12" t="s">
        <v>161</v>
      </c>
      <c r="B416" s="43" t="s">
        <v>506</v>
      </c>
      <c r="C416" s="8" t="s">
        <v>220</v>
      </c>
      <c r="D416" s="1" t="s">
        <v>214</v>
      </c>
      <c r="E416" s="113"/>
      <c r="F416" s="7">
        <f t="shared" si="101"/>
        <v>2570</v>
      </c>
      <c r="G416" s="7">
        <f t="shared" si="101"/>
        <v>0</v>
      </c>
      <c r="H416" s="35">
        <f t="shared" si="100"/>
        <v>2570</v>
      </c>
      <c r="I416" s="7">
        <f t="shared" si="101"/>
        <v>0</v>
      </c>
      <c r="J416" s="35">
        <f t="shared" si="98"/>
        <v>2570</v>
      </c>
      <c r="K416" s="7">
        <f t="shared" si="101"/>
        <v>0</v>
      </c>
      <c r="L416" s="35">
        <f t="shared" si="96"/>
        <v>2570</v>
      </c>
      <c r="M416" s="7">
        <f t="shared" si="101"/>
        <v>0</v>
      </c>
      <c r="N416" s="35">
        <f t="shared" si="97"/>
        <v>2570</v>
      </c>
      <c r="O416" s="7">
        <f t="shared" si="101"/>
        <v>0</v>
      </c>
      <c r="P416" s="35">
        <f t="shared" si="92"/>
        <v>2570</v>
      </c>
      <c r="Q416" s="7">
        <f t="shared" si="101"/>
        <v>0</v>
      </c>
      <c r="R416" s="35">
        <f t="shared" si="93"/>
        <v>2570</v>
      </c>
      <c r="S416" s="7">
        <f t="shared" si="101"/>
        <v>0</v>
      </c>
      <c r="T416" s="35">
        <f t="shared" ref="T416:T479" si="102">R416+S416</f>
        <v>2570</v>
      </c>
    </row>
    <row r="417" spans="1:20" ht="37.5" customHeight="1">
      <c r="A417" s="61" t="str">
        <f ca="1">IF(ISERROR(MATCH(E417,Код_КВР,0)),"",INDIRECT(ADDRESS(MATCH(E417,Код_КВР,0)+1,2,,,"КВР")))</f>
        <v>Предоставление субсидий бюджетным, автономным учреждениям и иным некоммерческим организациям</v>
      </c>
      <c r="B417" s="43" t="s">
        <v>506</v>
      </c>
      <c r="C417" s="8" t="s">
        <v>220</v>
      </c>
      <c r="D417" s="1" t="s">
        <v>214</v>
      </c>
      <c r="E417" s="113">
        <v>600</v>
      </c>
      <c r="F417" s="7">
        <f t="shared" si="101"/>
        <v>2570</v>
      </c>
      <c r="G417" s="7">
        <f t="shared" si="101"/>
        <v>0</v>
      </c>
      <c r="H417" s="35">
        <f t="shared" si="100"/>
        <v>2570</v>
      </c>
      <c r="I417" s="7">
        <f t="shared" si="101"/>
        <v>0</v>
      </c>
      <c r="J417" s="35">
        <f t="shared" si="98"/>
        <v>2570</v>
      </c>
      <c r="K417" s="7">
        <f t="shared" si="101"/>
        <v>0</v>
      </c>
      <c r="L417" s="35">
        <f t="shared" si="96"/>
        <v>2570</v>
      </c>
      <c r="M417" s="7">
        <f t="shared" si="101"/>
        <v>0</v>
      </c>
      <c r="N417" s="35">
        <f t="shared" si="97"/>
        <v>2570</v>
      </c>
      <c r="O417" s="7">
        <f t="shared" si="101"/>
        <v>0</v>
      </c>
      <c r="P417" s="35">
        <f t="shared" si="92"/>
        <v>2570</v>
      </c>
      <c r="Q417" s="7">
        <f t="shared" si="101"/>
        <v>0</v>
      </c>
      <c r="R417" s="35">
        <f t="shared" si="93"/>
        <v>2570</v>
      </c>
      <c r="S417" s="7">
        <f t="shared" si="101"/>
        <v>0</v>
      </c>
      <c r="T417" s="35">
        <f t="shared" si="102"/>
        <v>2570</v>
      </c>
    </row>
    <row r="418" spans="1:20" ht="22.5" customHeight="1">
      <c r="A418" s="61" t="str">
        <f ca="1">IF(ISERROR(MATCH(E418,Код_КВР,0)),"",INDIRECT(ADDRESS(MATCH(E418,Код_КВР,0)+1,2,,,"КВР")))</f>
        <v>Субсидии бюджетным учреждениям</v>
      </c>
      <c r="B418" s="43" t="s">
        <v>506</v>
      </c>
      <c r="C418" s="8" t="s">
        <v>220</v>
      </c>
      <c r="D418" s="1" t="s">
        <v>214</v>
      </c>
      <c r="E418" s="113">
        <v>610</v>
      </c>
      <c r="F418" s="7">
        <f t="shared" si="101"/>
        <v>2570</v>
      </c>
      <c r="G418" s="7">
        <f t="shared" si="101"/>
        <v>0</v>
      </c>
      <c r="H418" s="35">
        <f t="shared" si="100"/>
        <v>2570</v>
      </c>
      <c r="I418" s="7">
        <f t="shared" si="101"/>
        <v>0</v>
      </c>
      <c r="J418" s="35">
        <f t="shared" si="98"/>
        <v>2570</v>
      </c>
      <c r="K418" s="7">
        <f t="shared" si="101"/>
        <v>0</v>
      </c>
      <c r="L418" s="35">
        <f t="shared" si="96"/>
        <v>2570</v>
      </c>
      <c r="M418" s="7">
        <f t="shared" si="101"/>
        <v>0</v>
      </c>
      <c r="N418" s="35">
        <f t="shared" si="97"/>
        <v>2570</v>
      </c>
      <c r="O418" s="7">
        <f t="shared" si="101"/>
        <v>0</v>
      </c>
      <c r="P418" s="35">
        <f t="shared" si="92"/>
        <v>2570</v>
      </c>
      <c r="Q418" s="7">
        <f t="shared" si="101"/>
        <v>0</v>
      </c>
      <c r="R418" s="35">
        <f t="shared" si="93"/>
        <v>2570</v>
      </c>
      <c r="S418" s="7">
        <f t="shared" si="101"/>
        <v>0</v>
      </c>
      <c r="T418" s="35">
        <f t="shared" si="102"/>
        <v>2570</v>
      </c>
    </row>
    <row r="419" spans="1:20" ht="22.5" customHeight="1">
      <c r="A419" s="61" t="str">
        <f ca="1">IF(ISERROR(MATCH(E419,Код_КВР,0)),"",INDIRECT(ADDRESS(MATCH(E419,Код_КВР,0)+1,2,,,"КВР")))</f>
        <v>Субсидии бюджетным учреждениям на иные цели</v>
      </c>
      <c r="B419" s="43" t="s">
        <v>506</v>
      </c>
      <c r="C419" s="8" t="s">
        <v>220</v>
      </c>
      <c r="D419" s="1" t="s">
        <v>214</v>
      </c>
      <c r="E419" s="113">
        <v>612</v>
      </c>
      <c r="F419" s="7">
        <f>прил.6!G1118</f>
        <v>2570</v>
      </c>
      <c r="G419" s="7">
        <f>прил.6!H1118</f>
        <v>0</v>
      </c>
      <c r="H419" s="35">
        <f t="shared" si="100"/>
        <v>2570</v>
      </c>
      <c r="I419" s="7">
        <f>прил.6!J1118</f>
        <v>0</v>
      </c>
      <c r="J419" s="35">
        <f t="shared" si="98"/>
        <v>2570</v>
      </c>
      <c r="K419" s="7">
        <f>прил.6!L1118</f>
        <v>0</v>
      </c>
      <c r="L419" s="35">
        <f t="shared" si="96"/>
        <v>2570</v>
      </c>
      <c r="M419" s="7">
        <f>прил.6!N1118</f>
        <v>0</v>
      </c>
      <c r="N419" s="35">
        <f t="shared" si="97"/>
        <v>2570</v>
      </c>
      <c r="O419" s="7">
        <f>прил.6!P1118</f>
        <v>0</v>
      </c>
      <c r="P419" s="35">
        <f t="shared" si="92"/>
        <v>2570</v>
      </c>
      <c r="Q419" s="7">
        <f>прил.6!R1118</f>
        <v>0</v>
      </c>
      <c r="R419" s="35">
        <f t="shared" si="93"/>
        <v>2570</v>
      </c>
      <c r="S419" s="7">
        <f>прил.6!T1118</f>
        <v>0</v>
      </c>
      <c r="T419" s="35">
        <f t="shared" si="102"/>
        <v>2570</v>
      </c>
    </row>
    <row r="420" spans="1:20" ht="90.75" customHeight="1">
      <c r="A420" s="61" t="str">
        <f ca="1">IF(ISERROR(MATCH(B420,Код_КЦСР,0)),"",INDIRECT(ADDRESS(MATCH(B420,Код_КЦСР,0)+1,2,,,"КЦСР")))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v>
      </c>
      <c r="B420" s="43" t="s">
        <v>507</v>
      </c>
      <c r="C420" s="8"/>
      <c r="D420" s="1"/>
      <c r="E420" s="113"/>
      <c r="F420" s="7">
        <f t="shared" ref="F420:S424" si="103">F421</f>
        <v>160</v>
      </c>
      <c r="G420" s="7">
        <f t="shared" si="103"/>
        <v>0</v>
      </c>
      <c r="H420" s="35">
        <f t="shared" si="100"/>
        <v>160</v>
      </c>
      <c r="I420" s="7">
        <f t="shared" si="103"/>
        <v>0</v>
      </c>
      <c r="J420" s="35">
        <f t="shared" si="98"/>
        <v>160</v>
      </c>
      <c r="K420" s="7">
        <f t="shared" si="103"/>
        <v>0</v>
      </c>
      <c r="L420" s="35">
        <f t="shared" si="96"/>
        <v>160</v>
      </c>
      <c r="M420" s="7">
        <f t="shared" si="103"/>
        <v>0</v>
      </c>
      <c r="N420" s="35">
        <f t="shared" si="97"/>
        <v>160</v>
      </c>
      <c r="O420" s="7">
        <f t="shared" si="103"/>
        <v>0</v>
      </c>
      <c r="P420" s="35">
        <f t="shared" si="92"/>
        <v>160</v>
      </c>
      <c r="Q420" s="7">
        <f t="shared" si="103"/>
        <v>0</v>
      </c>
      <c r="R420" s="35">
        <f t="shared" si="93"/>
        <v>160</v>
      </c>
      <c r="S420" s="7">
        <f t="shared" si="103"/>
        <v>0</v>
      </c>
      <c r="T420" s="35">
        <f t="shared" si="102"/>
        <v>160</v>
      </c>
    </row>
    <row r="421" spans="1:20">
      <c r="A421" s="61" t="str">
        <f ca="1">IF(ISERROR(MATCH(C421,Код_Раздел,0)),"",INDIRECT(ADDRESS(MATCH(C421,Код_Раздел,0)+1,2,,,"Раздел")))</f>
        <v>Культура, кинематография</v>
      </c>
      <c r="B421" s="43" t="s">
        <v>507</v>
      </c>
      <c r="C421" s="8" t="s">
        <v>220</v>
      </c>
      <c r="D421" s="1"/>
      <c r="E421" s="113"/>
      <c r="F421" s="7">
        <f t="shared" si="103"/>
        <v>160</v>
      </c>
      <c r="G421" s="7">
        <f t="shared" si="103"/>
        <v>0</v>
      </c>
      <c r="H421" s="35">
        <f t="shared" si="100"/>
        <v>160</v>
      </c>
      <c r="I421" s="7">
        <f t="shared" si="103"/>
        <v>0</v>
      </c>
      <c r="J421" s="35">
        <f t="shared" si="98"/>
        <v>160</v>
      </c>
      <c r="K421" s="7">
        <f t="shared" si="103"/>
        <v>0</v>
      </c>
      <c r="L421" s="35">
        <f t="shared" si="96"/>
        <v>160</v>
      </c>
      <c r="M421" s="7">
        <f t="shared" si="103"/>
        <v>0</v>
      </c>
      <c r="N421" s="35">
        <f t="shared" si="97"/>
        <v>160</v>
      </c>
      <c r="O421" s="7">
        <f t="shared" si="103"/>
        <v>0</v>
      </c>
      <c r="P421" s="35">
        <f t="shared" si="92"/>
        <v>160</v>
      </c>
      <c r="Q421" s="7">
        <f t="shared" si="103"/>
        <v>0</v>
      </c>
      <c r="R421" s="35">
        <f t="shared" si="93"/>
        <v>160</v>
      </c>
      <c r="S421" s="7">
        <f t="shared" si="103"/>
        <v>0</v>
      </c>
      <c r="T421" s="35">
        <f t="shared" si="102"/>
        <v>160</v>
      </c>
    </row>
    <row r="422" spans="1:20">
      <c r="A422" s="12" t="s">
        <v>161</v>
      </c>
      <c r="B422" s="43" t="s">
        <v>507</v>
      </c>
      <c r="C422" s="8" t="s">
        <v>220</v>
      </c>
      <c r="D422" s="1" t="s">
        <v>214</v>
      </c>
      <c r="E422" s="113"/>
      <c r="F422" s="7">
        <f t="shared" si="103"/>
        <v>160</v>
      </c>
      <c r="G422" s="7">
        <f t="shared" si="103"/>
        <v>0</v>
      </c>
      <c r="H422" s="35">
        <f t="shared" si="100"/>
        <v>160</v>
      </c>
      <c r="I422" s="7">
        <f t="shared" si="103"/>
        <v>0</v>
      </c>
      <c r="J422" s="35">
        <f t="shared" si="98"/>
        <v>160</v>
      </c>
      <c r="K422" s="7">
        <f t="shared" si="103"/>
        <v>0</v>
      </c>
      <c r="L422" s="35">
        <f t="shared" si="96"/>
        <v>160</v>
      </c>
      <c r="M422" s="7">
        <f t="shared" si="103"/>
        <v>0</v>
      </c>
      <c r="N422" s="35">
        <f t="shared" si="97"/>
        <v>160</v>
      </c>
      <c r="O422" s="7">
        <f t="shared" si="103"/>
        <v>0</v>
      </c>
      <c r="P422" s="35">
        <f t="shared" si="92"/>
        <v>160</v>
      </c>
      <c r="Q422" s="7">
        <f t="shared" si="103"/>
        <v>0</v>
      </c>
      <c r="R422" s="35">
        <f t="shared" si="93"/>
        <v>160</v>
      </c>
      <c r="S422" s="7">
        <f t="shared" si="103"/>
        <v>0</v>
      </c>
      <c r="T422" s="35">
        <f t="shared" si="102"/>
        <v>160</v>
      </c>
    </row>
    <row r="423" spans="1:20" ht="33">
      <c r="A423" s="61" t="str">
        <f ca="1">IF(ISERROR(MATCH(E423,Код_КВР,0)),"",INDIRECT(ADDRESS(MATCH(E423,Код_КВР,0)+1,2,,,"КВР")))</f>
        <v>Предоставление субсидий бюджетным, автономным учреждениям и иным некоммерческим организациям</v>
      </c>
      <c r="B423" s="43" t="s">
        <v>507</v>
      </c>
      <c r="C423" s="8" t="s">
        <v>220</v>
      </c>
      <c r="D423" s="1" t="s">
        <v>214</v>
      </c>
      <c r="E423" s="113">
        <v>600</v>
      </c>
      <c r="F423" s="7">
        <f t="shared" si="103"/>
        <v>160</v>
      </c>
      <c r="G423" s="7">
        <f t="shared" si="103"/>
        <v>0</v>
      </c>
      <c r="H423" s="35">
        <f t="shared" si="100"/>
        <v>160</v>
      </c>
      <c r="I423" s="7">
        <f t="shared" si="103"/>
        <v>0</v>
      </c>
      <c r="J423" s="35">
        <f t="shared" si="98"/>
        <v>160</v>
      </c>
      <c r="K423" s="7">
        <f t="shared" si="103"/>
        <v>0</v>
      </c>
      <c r="L423" s="35">
        <f t="shared" si="96"/>
        <v>160</v>
      </c>
      <c r="M423" s="7">
        <f t="shared" si="103"/>
        <v>0</v>
      </c>
      <c r="N423" s="35">
        <f t="shared" si="97"/>
        <v>160</v>
      </c>
      <c r="O423" s="7">
        <f t="shared" si="103"/>
        <v>0</v>
      </c>
      <c r="P423" s="35">
        <f t="shared" si="92"/>
        <v>160</v>
      </c>
      <c r="Q423" s="7">
        <f t="shared" si="103"/>
        <v>0</v>
      </c>
      <c r="R423" s="35">
        <f t="shared" si="93"/>
        <v>160</v>
      </c>
      <c r="S423" s="7">
        <f t="shared" si="103"/>
        <v>0</v>
      </c>
      <c r="T423" s="35">
        <f t="shared" si="102"/>
        <v>160</v>
      </c>
    </row>
    <row r="424" spans="1:20">
      <c r="A424" s="61" t="str">
        <f ca="1">IF(ISERROR(MATCH(E424,Код_КВР,0)),"",INDIRECT(ADDRESS(MATCH(E424,Код_КВР,0)+1,2,,,"КВР")))</f>
        <v>Субсидии бюджетным учреждениям</v>
      </c>
      <c r="B424" s="43" t="s">
        <v>507</v>
      </c>
      <c r="C424" s="8" t="s">
        <v>220</v>
      </c>
      <c r="D424" s="1" t="s">
        <v>214</v>
      </c>
      <c r="E424" s="113">
        <v>610</v>
      </c>
      <c r="F424" s="7">
        <f t="shared" si="103"/>
        <v>160</v>
      </c>
      <c r="G424" s="7">
        <f t="shared" si="103"/>
        <v>0</v>
      </c>
      <c r="H424" s="35">
        <f t="shared" si="100"/>
        <v>160</v>
      </c>
      <c r="I424" s="7">
        <f t="shared" si="103"/>
        <v>0</v>
      </c>
      <c r="J424" s="35">
        <f t="shared" si="98"/>
        <v>160</v>
      </c>
      <c r="K424" s="7">
        <f t="shared" si="103"/>
        <v>0</v>
      </c>
      <c r="L424" s="35">
        <f t="shared" si="96"/>
        <v>160</v>
      </c>
      <c r="M424" s="7">
        <f t="shared" si="103"/>
        <v>0</v>
      </c>
      <c r="N424" s="35">
        <f t="shared" si="97"/>
        <v>160</v>
      </c>
      <c r="O424" s="7">
        <f t="shared" si="103"/>
        <v>0</v>
      </c>
      <c r="P424" s="35">
        <f t="shared" si="92"/>
        <v>160</v>
      </c>
      <c r="Q424" s="7">
        <f t="shared" si="103"/>
        <v>0</v>
      </c>
      <c r="R424" s="35">
        <f t="shared" si="93"/>
        <v>160</v>
      </c>
      <c r="S424" s="7">
        <f t="shared" si="103"/>
        <v>0</v>
      </c>
      <c r="T424" s="35">
        <f t="shared" si="102"/>
        <v>160</v>
      </c>
    </row>
    <row r="425" spans="1:20">
      <c r="A425" s="61" t="str">
        <f ca="1">IF(ISERROR(MATCH(E425,Код_КВР,0)),"",INDIRECT(ADDRESS(MATCH(E425,Код_КВР,0)+1,2,,,"КВР")))</f>
        <v>Субсидии бюджетным учреждениям на иные цели</v>
      </c>
      <c r="B425" s="43" t="s">
        <v>507</v>
      </c>
      <c r="C425" s="8" t="s">
        <v>220</v>
      </c>
      <c r="D425" s="1" t="s">
        <v>214</v>
      </c>
      <c r="E425" s="113">
        <v>612</v>
      </c>
      <c r="F425" s="7">
        <f>прил.6!G1122</f>
        <v>160</v>
      </c>
      <c r="G425" s="7">
        <f>прил.6!H1122</f>
        <v>0</v>
      </c>
      <c r="H425" s="35">
        <f t="shared" si="100"/>
        <v>160</v>
      </c>
      <c r="I425" s="7">
        <f>прил.6!J1122</f>
        <v>0</v>
      </c>
      <c r="J425" s="35">
        <f t="shared" si="98"/>
        <v>160</v>
      </c>
      <c r="K425" s="7">
        <f>прил.6!L1122</f>
        <v>0</v>
      </c>
      <c r="L425" s="35">
        <f t="shared" si="96"/>
        <v>160</v>
      </c>
      <c r="M425" s="7">
        <f>прил.6!N1122</f>
        <v>0</v>
      </c>
      <c r="N425" s="35">
        <f t="shared" si="97"/>
        <v>160</v>
      </c>
      <c r="O425" s="7">
        <f>прил.6!P1122</f>
        <v>0</v>
      </c>
      <c r="P425" s="35">
        <f t="shared" si="92"/>
        <v>160</v>
      </c>
      <c r="Q425" s="7">
        <f>прил.6!R1122</f>
        <v>0</v>
      </c>
      <c r="R425" s="35">
        <f t="shared" si="93"/>
        <v>160</v>
      </c>
      <c r="S425" s="7">
        <f>прил.6!T1122</f>
        <v>0</v>
      </c>
      <c r="T425" s="35">
        <f t="shared" si="102"/>
        <v>160</v>
      </c>
    </row>
    <row r="426" spans="1:20" ht="33">
      <c r="A426" s="61" t="str">
        <f ca="1">IF(ISERROR(MATCH(B426,Код_КЦСР,0)),"",INDIRECT(ADDRESS(MATCH(B426,Код_КЦСР,0)+1,2,,,"КЦСР")))</f>
        <v xml:space="preserve">Организация и проведение городских культурно- массовых мероприятий </v>
      </c>
      <c r="B426" s="43" t="s">
        <v>508</v>
      </c>
      <c r="C426" s="8"/>
      <c r="D426" s="1"/>
      <c r="E426" s="113"/>
      <c r="F426" s="7">
        <f t="shared" ref="F426:S430" si="104">F427</f>
        <v>5383.8</v>
      </c>
      <c r="G426" s="7">
        <f t="shared" si="104"/>
        <v>0</v>
      </c>
      <c r="H426" s="35">
        <f t="shared" si="100"/>
        <v>5383.8</v>
      </c>
      <c r="I426" s="7">
        <f t="shared" si="104"/>
        <v>0</v>
      </c>
      <c r="J426" s="35">
        <f t="shared" si="98"/>
        <v>5383.8</v>
      </c>
      <c r="K426" s="7">
        <f t="shared" si="104"/>
        <v>0</v>
      </c>
      <c r="L426" s="35">
        <f t="shared" si="96"/>
        <v>5383.8</v>
      </c>
      <c r="M426" s="7">
        <f t="shared" si="104"/>
        <v>0</v>
      </c>
      <c r="N426" s="35">
        <f t="shared" si="97"/>
        <v>5383.8</v>
      </c>
      <c r="O426" s="7">
        <f t="shared" si="104"/>
        <v>0</v>
      </c>
      <c r="P426" s="35">
        <f t="shared" si="92"/>
        <v>5383.8</v>
      </c>
      <c r="Q426" s="7">
        <f t="shared" si="104"/>
        <v>0</v>
      </c>
      <c r="R426" s="35">
        <f t="shared" si="93"/>
        <v>5383.8</v>
      </c>
      <c r="S426" s="7">
        <f t="shared" si="104"/>
        <v>0</v>
      </c>
      <c r="T426" s="35">
        <f t="shared" si="102"/>
        <v>5383.8</v>
      </c>
    </row>
    <row r="427" spans="1:20">
      <c r="A427" s="61" t="str">
        <f ca="1">IF(ISERROR(MATCH(C427,Код_Раздел,0)),"",INDIRECT(ADDRESS(MATCH(C427,Код_Раздел,0)+1,2,,,"Раздел")))</f>
        <v>Культура, кинематография</v>
      </c>
      <c r="B427" s="43" t="s">
        <v>508</v>
      </c>
      <c r="C427" s="8" t="s">
        <v>220</v>
      </c>
      <c r="D427" s="1"/>
      <c r="E427" s="113"/>
      <c r="F427" s="7">
        <f t="shared" si="104"/>
        <v>5383.8</v>
      </c>
      <c r="G427" s="7">
        <f t="shared" si="104"/>
        <v>0</v>
      </c>
      <c r="H427" s="35">
        <f t="shared" si="100"/>
        <v>5383.8</v>
      </c>
      <c r="I427" s="7">
        <f t="shared" si="104"/>
        <v>0</v>
      </c>
      <c r="J427" s="35">
        <f t="shared" si="98"/>
        <v>5383.8</v>
      </c>
      <c r="K427" s="7">
        <f t="shared" si="104"/>
        <v>0</v>
      </c>
      <c r="L427" s="35">
        <f t="shared" si="96"/>
        <v>5383.8</v>
      </c>
      <c r="M427" s="7">
        <f t="shared" si="104"/>
        <v>0</v>
      </c>
      <c r="N427" s="35">
        <f t="shared" si="97"/>
        <v>5383.8</v>
      </c>
      <c r="O427" s="7">
        <f t="shared" si="104"/>
        <v>0</v>
      </c>
      <c r="P427" s="35">
        <f t="shared" si="92"/>
        <v>5383.8</v>
      </c>
      <c r="Q427" s="7">
        <f t="shared" si="104"/>
        <v>0</v>
      </c>
      <c r="R427" s="35">
        <f t="shared" si="93"/>
        <v>5383.8</v>
      </c>
      <c r="S427" s="7">
        <f t="shared" si="104"/>
        <v>0</v>
      </c>
      <c r="T427" s="35">
        <f t="shared" si="102"/>
        <v>5383.8</v>
      </c>
    </row>
    <row r="428" spans="1:20">
      <c r="A428" s="12" t="s">
        <v>182</v>
      </c>
      <c r="B428" s="43" t="s">
        <v>508</v>
      </c>
      <c r="C428" s="8" t="s">
        <v>220</v>
      </c>
      <c r="D428" s="1" t="s">
        <v>211</v>
      </c>
      <c r="E428" s="113"/>
      <c r="F428" s="7">
        <f t="shared" si="104"/>
        <v>5383.8</v>
      </c>
      <c r="G428" s="7">
        <f t="shared" si="104"/>
        <v>0</v>
      </c>
      <c r="H428" s="35">
        <f t="shared" si="100"/>
        <v>5383.8</v>
      </c>
      <c r="I428" s="7">
        <f t="shared" si="104"/>
        <v>0</v>
      </c>
      <c r="J428" s="35">
        <f t="shared" si="98"/>
        <v>5383.8</v>
      </c>
      <c r="K428" s="7">
        <f t="shared" si="104"/>
        <v>0</v>
      </c>
      <c r="L428" s="35">
        <f t="shared" si="96"/>
        <v>5383.8</v>
      </c>
      <c r="M428" s="7">
        <f t="shared" si="104"/>
        <v>0</v>
      </c>
      <c r="N428" s="35">
        <f t="shared" si="97"/>
        <v>5383.8</v>
      </c>
      <c r="O428" s="7">
        <f t="shared" si="104"/>
        <v>0</v>
      </c>
      <c r="P428" s="35">
        <f t="shared" si="92"/>
        <v>5383.8</v>
      </c>
      <c r="Q428" s="7">
        <f t="shared" si="104"/>
        <v>0</v>
      </c>
      <c r="R428" s="35">
        <f t="shared" si="93"/>
        <v>5383.8</v>
      </c>
      <c r="S428" s="7">
        <f t="shared" si="104"/>
        <v>0</v>
      </c>
      <c r="T428" s="35">
        <f t="shared" si="102"/>
        <v>5383.8</v>
      </c>
    </row>
    <row r="429" spans="1:20" ht="33">
      <c r="A429" s="61" t="str">
        <f ca="1">IF(ISERROR(MATCH(E429,Код_КВР,0)),"",INDIRECT(ADDRESS(MATCH(E429,Код_КВР,0)+1,2,,,"КВР")))</f>
        <v>Предоставление субсидий бюджетным, автономным учреждениям и иным некоммерческим организациям</v>
      </c>
      <c r="B429" s="43" t="s">
        <v>508</v>
      </c>
      <c r="C429" s="8" t="s">
        <v>220</v>
      </c>
      <c r="D429" s="1" t="s">
        <v>211</v>
      </c>
      <c r="E429" s="113">
        <v>600</v>
      </c>
      <c r="F429" s="7">
        <f t="shared" si="104"/>
        <v>5383.8</v>
      </c>
      <c r="G429" s="7">
        <f t="shared" si="104"/>
        <v>0</v>
      </c>
      <c r="H429" s="35">
        <f t="shared" si="100"/>
        <v>5383.8</v>
      </c>
      <c r="I429" s="7">
        <f t="shared" si="104"/>
        <v>0</v>
      </c>
      <c r="J429" s="35">
        <f t="shared" si="98"/>
        <v>5383.8</v>
      </c>
      <c r="K429" s="7">
        <f t="shared" si="104"/>
        <v>0</v>
      </c>
      <c r="L429" s="35">
        <f t="shared" si="96"/>
        <v>5383.8</v>
      </c>
      <c r="M429" s="7">
        <f t="shared" si="104"/>
        <v>0</v>
      </c>
      <c r="N429" s="35">
        <f t="shared" si="97"/>
        <v>5383.8</v>
      </c>
      <c r="O429" s="7">
        <f t="shared" si="104"/>
        <v>0</v>
      </c>
      <c r="P429" s="35">
        <f t="shared" si="92"/>
        <v>5383.8</v>
      </c>
      <c r="Q429" s="7">
        <f t="shared" si="104"/>
        <v>0</v>
      </c>
      <c r="R429" s="35">
        <f t="shared" si="93"/>
        <v>5383.8</v>
      </c>
      <c r="S429" s="7">
        <f t="shared" si="104"/>
        <v>0</v>
      </c>
      <c r="T429" s="35">
        <f t="shared" si="102"/>
        <v>5383.8</v>
      </c>
    </row>
    <row r="430" spans="1:20">
      <c r="A430" s="61" t="str">
        <f ca="1">IF(ISERROR(MATCH(E430,Код_КВР,0)),"",INDIRECT(ADDRESS(MATCH(E430,Код_КВР,0)+1,2,,,"КВР")))</f>
        <v>Субсидии бюджетным учреждениям</v>
      </c>
      <c r="B430" s="43" t="s">
        <v>508</v>
      </c>
      <c r="C430" s="8" t="s">
        <v>220</v>
      </c>
      <c r="D430" s="1" t="s">
        <v>211</v>
      </c>
      <c r="E430" s="113">
        <v>610</v>
      </c>
      <c r="F430" s="7">
        <f t="shared" si="104"/>
        <v>5383.8</v>
      </c>
      <c r="G430" s="7">
        <f t="shared" si="104"/>
        <v>0</v>
      </c>
      <c r="H430" s="35">
        <f t="shared" si="100"/>
        <v>5383.8</v>
      </c>
      <c r="I430" s="7">
        <f t="shared" si="104"/>
        <v>0</v>
      </c>
      <c r="J430" s="35">
        <f t="shared" si="98"/>
        <v>5383.8</v>
      </c>
      <c r="K430" s="7">
        <f t="shared" si="104"/>
        <v>0</v>
      </c>
      <c r="L430" s="35">
        <f t="shared" si="96"/>
        <v>5383.8</v>
      </c>
      <c r="M430" s="7">
        <f t="shared" si="104"/>
        <v>0</v>
      </c>
      <c r="N430" s="35">
        <f t="shared" si="97"/>
        <v>5383.8</v>
      </c>
      <c r="O430" s="7">
        <f t="shared" si="104"/>
        <v>0</v>
      </c>
      <c r="P430" s="35">
        <f t="shared" si="92"/>
        <v>5383.8</v>
      </c>
      <c r="Q430" s="7">
        <f t="shared" si="104"/>
        <v>0</v>
      </c>
      <c r="R430" s="35">
        <f t="shared" si="93"/>
        <v>5383.8</v>
      </c>
      <c r="S430" s="7">
        <f t="shared" si="104"/>
        <v>0</v>
      </c>
      <c r="T430" s="35">
        <f t="shared" si="102"/>
        <v>5383.8</v>
      </c>
    </row>
    <row r="431" spans="1:20" ht="49.5">
      <c r="A431" s="61" t="str">
        <f ca="1">IF(ISERROR(MATCH(E431,Код_КВР,0)),"",INDIRECT(ADDRESS(MATCH(E431,Код_КВР,0)+1,2,,,"КВР")))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31" s="43" t="s">
        <v>508</v>
      </c>
      <c r="C431" s="8" t="s">
        <v>220</v>
      </c>
      <c r="D431" s="1" t="s">
        <v>211</v>
      </c>
      <c r="E431" s="113">
        <v>611</v>
      </c>
      <c r="F431" s="7">
        <f>прил.6!G1053</f>
        <v>5383.8</v>
      </c>
      <c r="G431" s="7">
        <f>прил.6!H1053</f>
        <v>0</v>
      </c>
      <c r="H431" s="35">
        <f t="shared" si="100"/>
        <v>5383.8</v>
      </c>
      <c r="I431" s="7">
        <f>прил.6!J1053</f>
        <v>0</v>
      </c>
      <c r="J431" s="35">
        <f t="shared" si="98"/>
        <v>5383.8</v>
      </c>
      <c r="K431" s="7">
        <f>прил.6!L1053</f>
        <v>0</v>
      </c>
      <c r="L431" s="35">
        <f t="shared" si="96"/>
        <v>5383.8</v>
      </c>
      <c r="M431" s="7">
        <f>прил.6!N1053</f>
        <v>0</v>
      </c>
      <c r="N431" s="35">
        <f t="shared" si="97"/>
        <v>5383.8</v>
      </c>
      <c r="O431" s="7">
        <f>прил.6!P1053</f>
        <v>0</v>
      </c>
      <c r="P431" s="35">
        <f t="shared" si="92"/>
        <v>5383.8</v>
      </c>
      <c r="Q431" s="7">
        <f>прил.6!R1053</f>
        <v>0</v>
      </c>
      <c r="R431" s="35">
        <f t="shared" si="93"/>
        <v>5383.8</v>
      </c>
      <c r="S431" s="7">
        <f>прил.6!T1053</f>
        <v>0</v>
      </c>
      <c r="T431" s="35">
        <f t="shared" si="102"/>
        <v>5383.8</v>
      </c>
    </row>
    <row r="432" spans="1:20" ht="18.75" customHeight="1">
      <c r="A432" s="61" t="str">
        <f ca="1">IF(ISERROR(MATCH(B432,Код_КЦСР,0)),"",INDIRECT(ADDRESS(MATCH(B432,Код_КЦСР,0)+1,2,,,"КЦСР")))</f>
        <v xml:space="preserve">Индустрия отдыха на территориях парков культуры и отдыха </v>
      </c>
      <c r="B432" s="43" t="s">
        <v>510</v>
      </c>
      <c r="C432" s="8"/>
      <c r="D432" s="1"/>
      <c r="E432" s="113"/>
      <c r="F432" s="7">
        <f t="shared" ref="F432:S437" si="105">F433</f>
        <v>4501.2</v>
      </c>
      <c r="G432" s="7">
        <f t="shared" si="105"/>
        <v>0</v>
      </c>
      <c r="H432" s="35">
        <f t="shared" si="100"/>
        <v>4501.2</v>
      </c>
      <c r="I432" s="7">
        <f t="shared" si="105"/>
        <v>0</v>
      </c>
      <c r="J432" s="35">
        <f t="shared" si="98"/>
        <v>4501.2</v>
      </c>
      <c r="K432" s="7">
        <f t="shared" si="105"/>
        <v>0</v>
      </c>
      <c r="L432" s="35">
        <f t="shared" si="96"/>
        <v>4501.2</v>
      </c>
      <c r="M432" s="7">
        <f t="shared" si="105"/>
        <v>0</v>
      </c>
      <c r="N432" s="35">
        <f t="shared" si="97"/>
        <v>4501.2</v>
      </c>
      <c r="O432" s="7">
        <f t="shared" si="105"/>
        <v>0</v>
      </c>
      <c r="P432" s="35">
        <f t="shared" si="92"/>
        <v>4501.2</v>
      </c>
      <c r="Q432" s="7">
        <f t="shared" si="105"/>
        <v>0</v>
      </c>
      <c r="R432" s="35">
        <f t="shared" si="93"/>
        <v>4501.2</v>
      </c>
      <c r="S432" s="7">
        <f t="shared" si="105"/>
        <v>0</v>
      </c>
      <c r="T432" s="35">
        <f t="shared" si="102"/>
        <v>4501.2</v>
      </c>
    </row>
    <row r="433" spans="1:20" ht="35.25" customHeight="1">
      <c r="A433" s="61" t="str">
        <f ca="1">IF(ISERROR(MATCH(B433,Код_КЦСР,0)),"",INDIRECT(ADDRESS(MATCH(B433,Код_КЦСР,0)+1,2,,,"КЦСР")))</f>
        <v>Работа по организации досуга населения на базе парков культуры и отдыха</v>
      </c>
      <c r="B433" s="43" t="s">
        <v>512</v>
      </c>
      <c r="C433" s="8"/>
      <c r="D433" s="1"/>
      <c r="E433" s="113"/>
      <c r="F433" s="7">
        <f t="shared" si="105"/>
        <v>4501.2</v>
      </c>
      <c r="G433" s="7">
        <f t="shared" si="105"/>
        <v>0</v>
      </c>
      <c r="H433" s="35">
        <f t="shared" si="100"/>
        <v>4501.2</v>
      </c>
      <c r="I433" s="7">
        <f t="shared" si="105"/>
        <v>0</v>
      </c>
      <c r="J433" s="35">
        <f t="shared" si="98"/>
        <v>4501.2</v>
      </c>
      <c r="K433" s="7">
        <f t="shared" si="105"/>
        <v>0</v>
      </c>
      <c r="L433" s="35">
        <f t="shared" si="96"/>
        <v>4501.2</v>
      </c>
      <c r="M433" s="7">
        <f t="shared" si="105"/>
        <v>0</v>
      </c>
      <c r="N433" s="35">
        <f t="shared" si="97"/>
        <v>4501.2</v>
      </c>
      <c r="O433" s="7">
        <f t="shared" si="105"/>
        <v>0</v>
      </c>
      <c r="P433" s="35">
        <f t="shared" si="92"/>
        <v>4501.2</v>
      </c>
      <c r="Q433" s="7">
        <f t="shared" si="105"/>
        <v>0</v>
      </c>
      <c r="R433" s="35">
        <f t="shared" si="93"/>
        <v>4501.2</v>
      </c>
      <c r="S433" s="7">
        <f t="shared" si="105"/>
        <v>0</v>
      </c>
      <c r="T433" s="35">
        <f t="shared" si="102"/>
        <v>4501.2</v>
      </c>
    </row>
    <row r="434" spans="1:20" ht="19.5" customHeight="1">
      <c r="A434" s="61" t="str">
        <f ca="1">IF(ISERROR(MATCH(C434,Код_Раздел,0)),"",INDIRECT(ADDRESS(MATCH(C434,Код_Раздел,0)+1,2,,,"Раздел")))</f>
        <v>Культура, кинематография</v>
      </c>
      <c r="B434" s="43" t="s">
        <v>512</v>
      </c>
      <c r="C434" s="8" t="s">
        <v>220</v>
      </c>
      <c r="D434" s="1"/>
      <c r="E434" s="113"/>
      <c r="F434" s="7">
        <f t="shared" si="105"/>
        <v>4501.2</v>
      </c>
      <c r="G434" s="7">
        <f t="shared" si="105"/>
        <v>0</v>
      </c>
      <c r="H434" s="35">
        <f t="shared" si="100"/>
        <v>4501.2</v>
      </c>
      <c r="I434" s="7">
        <f t="shared" si="105"/>
        <v>0</v>
      </c>
      <c r="J434" s="35">
        <f t="shared" si="98"/>
        <v>4501.2</v>
      </c>
      <c r="K434" s="7">
        <f t="shared" si="105"/>
        <v>0</v>
      </c>
      <c r="L434" s="35">
        <f t="shared" si="96"/>
        <v>4501.2</v>
      </c>
      <c r="M434" s="7">
        <f t="shared" si="105"/>
        <v>0</v>
      </c>
      <c r="N434" s="35">
        <f t="shared" si="97"/>
        <v>4501.2</v>
      </c>
      <c r="O434" s="7">
        <f t="shared" si="105"/>
        <v>0</v>
      </c>
      <c r="P434" s="35">
        <f t="shared" si="92"/>
        <v>4501.2</v>
      </c>
      <c r="Q434" s="7">
        <f t="shared" si="105"/>
        <v>0</v>
      </c>
      <c r="R434" s="35">
        <f t="shared" si="93"/>
        <v>4501.2</v>
      </c>
      <c r="S434" s="7">
        <f t="shared" si="105"/>
        <v>0</v>
      </c>
      <c r="T434" s="35">
        <f t="shared" si="102"/>
        <v>4501.2</v>
      </c>
    </row>
    <row r="435" spans="1:20" ht="19.5" customHeight="1">
      <c r="A435" s="12" t="s">
        <v>182</v>
      </c>
      <c r="B435" s="43" t="s">
        <v>512</v>
      </c>
      <c r="C435" s="8" t="s">
        <v>220</v>
      </c>
      <c r="D435" s="1" t="s">
        <v>211</v>
      </c>
      <c r="E435" s="113"/>
      <c r="F435" s="7">
        <f t="shared" si="105"/>
        <v>4501.2</v>
      </c>
      <c r="G435" s="7">
        <f t="shared" si="105"/>
        <v>0</v>
      </c>
      <c r="H435" s="35">
        <f t="shared" si="100"/>
        <v>4501.2</v>
      </c>
      <c r="I435" s="7">
        <f t="shared" si="105"/>
        <v>0</v>
      </c>
      <c r="J435" s="35">
        <f t="shared" si="98"/>
        <v>4501.2</v>
      </c>
      <c r="K435" s="7">
        <f t="shared" si="105"/>
        <v>0</v>
      </c>
      <c r="L435" s="35">
        <f t="shared" si="96"/>
        <v>4501.2</v>
      </c>
      <c r="M435" s="7">
        <f t="shared" si="105"/>
        <v>0</v>
      </c>
      <c r="N435" s="35">
        <f t="shared" si="97"/>
        <v>4501.2</v>
      </c>
      <c r="O435" s="7">
        <f t="shared" si="105"/>
        <v>0</v>
      </c>
      <c r="P435" s="35">
        <f t="shared" si="92"/>
        <v>4501.2</v>
      </c>
      <c r="Q435" s="7">
        <f t="shared" si="105"/>
        <v>0</v>
      </c>
      <c r="R435" s="35">
        <f t="shared" si="93"/>
        <v>4501.2</v>
      </c>
      <c r="S435" s="7">
        <f t="shared" si="105"/>
        <v>0</v>
      </c>
      <c r="T435" s="35">
        <f t="shared" si="102"/>
        <v>4501.2</v>
      </c>
    </row>
    <row r="436" spans="1:20" ht="35.25" customHeight="1">
      <c r="A436" s="61" t="str">
        <f ca="1">IF(ISERROR(MATCH(E436,Код_КВР,0)),"",INDIRECT(ADDRESS(MATCH(E436,Код_КВР,0)+1,2,,,"КВР")))</f>
        <v>Предоставление субсидий бюджетным, автономным учреждениям и иным некоммерческим организациям</v>
      </c>
      <c r="B436" s="43" t="s">
        <v>512</v>
      </c>
      <c r="C436" s="8" t="s">
        <v>220</v>
      </c>
      <c r="D436" s="1" t="s">
        <v>211</v>
      </c>
      <c r="E436" s="113">
        <v>600</v>
      </c>
      <c r="F436" s="7">
        <f t="shared" si="105"/>
        <v>4501.2</v>
      </c>
      <c r="G436" s="7">
        <f t="shared" si="105"/>
        <v>0</v>
      </c>
      <c r="H436" s="35">
        <f t="shared" si="100"/>
        <v>4501.2</v>
      </c>
      <c r="I436" s="7">
        <f t="shared" si="105"/>
        <v>0</v>
      </c>
      <c r="J436" s="35">
        <f t="shared" si="98"/>
        <v>4501.2</v>
      </c>
      <c r="K436" s="7">
        <f t="shared" si="105"/>
        <v>0</v>
      </c>
      <c r="L436" s="35">
        <f t="shared" si="96"/>
        <v>4501.2</v>
      </c>
      <c r="M436" s="7">
        <f t="shared" si="105"/>
        <v>0</v>
      </c>
      <c r="N436" s="35">
        <f t="shared" si="97"/>
        <v>4501.2</v>
      </c>
      <c r="O436" s="7">
        <f t="shared" si="105"/>
        <v>0</v>
      </c>
      <c r="P436" s="35">
        <f t="shared" si="92"/>
        <v>4501.2</v>
      </c>
      <c r="Q436" s="7">
        <f t="shared" si="105"/>
        <v>0</v>
      </c>
      <c r="R436" s="35">
        <f t="shared" si="93"/>
        <v>4501.2</v>
      </c>
      <c r="S436" s="7">
        <f t="shared" si="105"/>
        <v>0</v>
      </c>
      <c r="T436" s="35">
        <f t="shared" si="102"/>
        <v>4501.2</v>
      </c>
    </row>
    <row r="437" spans="1:20" ht="19.5" customHeight="1">
      <c r="A437" s="61" t="str">
        <f ca="1">IF(ISERROR(MATCH(E437,Код_КВР,0)),"",INDIRECT(ADDRESS(MATCH(E437,Код_КВР,0)+1,2,,,"КВР")))</f>
        <v>Субсидии автономным учреждениям</v>
      </c>
      <c r="B437" s="43" t="s">
        <v>512</v>
      </c>
      <c r="C437" s="8" t="s">
        <v>220</v>
      </c>
      <c r="D437" s="1" t="s">
        <v>211</v>
      </c>
      <c r="E437" s="113">
        <v>620</v>
      </c>
      <c r="F437" s="7">
        <f t="shared" si="105"/>
        <v>4501.2</v>
      </c>
      <c r="G437" s="7">
        <f t="shared" si="105"/>
        <v>0</v>
      </c>
      <c r="H437" s="35">
        <f t="shared" si="100"/>
        <v>4501.2</v>
      </c>
      <c r="I437" s="7">
        <f t="shared" si="105"/>
        <v>0</v>
      </c>
      <c r="J437" s="35">
        <f t="shared" si="98"/>
        <v>4501.2</v>
      </c>
      <c r="K437" s="7">
        <f t="shared" si="105"/>
        <v>0</v>
      </c>
      <c r="L437" s="35">
        <f t="shared" si="96"/>
        <v>4501.2</v>
      </c>
      <c r="M437" s="7">
        <f t="shared" si="105"/>
        <v>0</v>
      </c>
      <c r="N437" s="35">
        <f t="shared" si="97"/>
        <v>4501.2</v>
      </c>
      <c r="O437" s="7">
        <f t="shared" si="105"/>
        <v>0</v>
      </c>
      <c r="P437" s="35">
        <f t="shared" si="92"/>
        <v>4501.2</v>
      </c>
      <c r="Q437" s="7">
        <f t="shared" si="105"/>
        <v>0</v>
      </c>
      <c r="R437" s="35">
        <f t="shared" si="93"/>
        <v>4501.2</v>
      </c>
      <c r="S437" s="7">
        <f t="shared" si="105"/>
        <v>0</v>
      </c>
      <c r="T437" s="35">
        <f t="shared" si="102"/>
        <v>4501.2</v>
      </c>
    </row>
    <row r="438" spans="1:20" ht="52.7" customHeight="1">
      <c r="A438" s="61" t="str">
        <f ca="1">IF(ISERROR(MATCH(E438,Код_КВР,0)),"",INDIRECT(ADDRESS(MATCH(E438,Код_КВР,0)+1,2,,,"КВР")))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38" s="43" t="s">
        <v>512</v>
      </c>
      <c r="C438" s="8" t="s">
        <v>220</v>
      </c>
      <c r="D438" s="1" t="s">
        <v>211</v>
      </c>
      <c r="E438" s="113">
        <v>621</v>
      </c>
      <c r="F438" s="7">
        <f>прил.6!G1058</f>
        <v>4501.2</v>
      </c>
      <c r="G438" s="7">
        <f>прил.6!H1058</f>
        <v>0</v>
      </c>
      <c r="H438" s="35">
        <f t="shared" si="100"/>
        <v>4501.2</v>
      </c>
      <c r="I438" s="7">
        <f>прил.6!J1058</f>
        <v>0</v>
      </c>
      <c r="J438" s="35">
        <f t="shared" si="98"/>
        <v>4501.2</v>
      </c>
      <c r="K438" s="7">
        <f>прил.6!L1058</f>
        <v>0</v>
      </c>
      <c r="L438" s="35">
        <f t="shared" si="96"/>
        <v>4501.2</v>
      </c>
      <c r="M438" s="7">
        <f>прил.6!N1058</f>
        <v>0</v>
      </c>
      <c r="N438" s="35">
        <f t="shared" si="97"/>
        <v>4501.2</v>
      </c>
      <c r="O438" s="7">
        <f>прил.6!P1058</f>
        <v>0</v>
      </c>
      <c r="P438" s="35">
        <f t="shared" si="92"/>
        <v>4501.2</v>
      </c>
      <c r="Q438" s="7">
        <f>прил.6!R1058</f>
        <v>0</v>
      </c>
      <c r="R438" s="35">
        <f t="shared" si="93"/>
        <v>4501.2</v>
      </c>
      <c r="S438" s="7">
        <f>прил.6!T1058</f>
        <v>0</v>
      </c>
      <c r="T438" s="35">
        <f t="shared" si="102"/>
        <v>4501.2</v>
      </c>
    </row>
    <row r="439" spans="1:20" ht="33">
      <c r="A439" s="61" t="str">
        <f ca="1">IF(ISERROR(MATCH(B439,Код_КЦСР,0)),"",INDIRECT(ADDRESS(MATCH(B439,Код_КЦСР,0)+1,2,,,"КЦСР")))</f>
        <v>Дополнительное образование в сфере культуры и искусства, поддержка юных дарований</v>
      </c>
      <c r="B439" s="43" t="s">
        <v>514</v>
      </c>
      <c r="C439" s="8"/>
      <c r="D439" s="1"/>
      <c r="E439" s="113"/>
      <c r="F439" s="7">
        <f>F446</f>
        <v>60888.1</v>
      </c>
      <c r="G439" s="7">
        <f>G446</f>
        <v>0</v>
      </c>
      <c r="H439" s="35">
        <f t="shared" si="100"/>
        <v>60888.1</v>
      </c>
      <c r="I439" s="7">
        <f>I446</f>
        <v>0</v>
      </c>
      <c r="J439" s="35">
        <f t="shared" si="98"/>
        <v>60888.1</v>
      </c>
      <c r="K439" s="7">
        <f>K446</f>
        <v>-50.9</v>
      </c>
      <c r="L439" s="35">
        <f t="shared" si="96"/>
        <v>60837.2</v>
      </c>
      <c r="M439" s="7">
        <f>M446</f>
        <v>0</v>
      </c>
      <c r="N439" s="35">
        <f t="shared" si="97"/>
        <v>60837.2</v>
      </c>
      <c r="O439" s="7">
        <f>O446</f>
        <v>0</v>
      </c>
      <c r="P439" s="35">
        <f t="shared" si="92"/>
        <v>60837.2</v>
      </c>
      <c r="Q439" s="7">
        <f>Q446+Q452+Q440</f>
        <v>488.5</v>
      </c>
      <c r="R439" s="35">
        <f t="shared" si="93"/>
        <v>61325.7</v>
      </c>
      <c r="S439" s="7">
        <f>S446+S452+S440</f>
        <v>216.9</v>
      </c>
      <c r="T439" s="35">
        <f t="shared" si="102"/>
        <v>61542.6</v>
      </c>
    </row>
    <row r="440" spans="1:20" ht="55.5" customHeight="1">
      <c r="A440" s="61" t="str">
        <f ca="1">IF(ISERROR(MATCH(B440,Код_КЦСР,0)),"",INDIRECT(ADDRESS(MATCH(B440,Код_КЦСР,0)+1,2,,,"КЦСР")))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440" s="43" t="s">
        <v>516</v>
      </c>
      <c r="C440" s="8"/>
      <c r="D440" s="1"/>
      <c r="E440" s="113"/>
      <c r="F440" s="7"/>
      <c r="G440" s="7"/>
      <c r="H440" s="35"/>
      <c r="I440" s="7"/>
      <c r="J440" s="35"/>
      <c r="K440" s="7"/>
      <c r="L440" s="35"/>
      <c r="M440" s="7"/>
      <c r="N440" s="35"/>
      <c r="O440" s="7"/>
      <c r="P440" s="35"/>
      <c r="Q440" s="7">
        <f>Q441</f>
        <v>7.9</v>
      </c>
      <c r="R440" s="35">
        <f t="shared" si="93"/>
        <v>7.9</v>
      </c>
      <c r="S440" s="7">
        <f>S441</f>
        <v>0</v>
      </c>
      <c r="T440" s="35">
        <f t="shared" si="102"/>
        <v>7.9</v>
      </c>
    </row>
    <row r="441" spans="1:20">
      <c r="A441" s="61" t="str">
        <f ca="1">IF(ISERROR(MATCH(C441,Код_Раздел,0)),"",INDIRECT(ADDRESS(MATCH(C441,Код_Раздел,0)+1,2,,,"Раздел")))</f>
        <v>Образование</v>
      </c>
      <c r="B441" s="43" t="s">
        <v>516</v>
      </c>
      <c r="C441" s="8" t="s">
        <v>193</v>
      </c>
      <c r="D441" s="1"/>
      <c r="E441" s="113"/>
      <c r="F441" s="7"/>
      <c r="G441" s="7"/>
      <c r="H441" s="35"/>
      <c r="I441" s="7"/>
      <c r="J441" s="35"/>
      <c r="K441" s="7"/>
      <c r="L441" s="35"/>
      <c r="M441" s="7"/>
      <c r="N441" s="35"/>
      <c r="O441" s="7"/>
      <c r="P441" s="35"/>
      <c r="Q441" s="7">
        <f>Q442</f>
        <v>7.9</v>
      </c>
      <c r="R441" s="35">
        <f t="shared" si="93"/>
        <v>7.9</v>
      </c>
      <c r="S441" s="7">
        <f>S442</f>
        <v>0</v>
      </c>
      <c r="T441" s="35">
        <f t="shared" si="102"/>
        <v>7.9</v>
      </c>
    </row>
    <row r="442" spans="1:20">
      <c r="A442" s="12" t="s">
        <v>249</v>
      </c>
      <c r="B442" s="43" t="s">
        <v>516</v>
      </c>
      <c r="C442" s="8" t="s">
        <v>193</v>
      </c>
      <c r="D442" s="1" t="s">
        <v>217</v>
      </c>
      <c r="E442" s="113"/>
      <c r="F442" s="7"/>
      <c r="G442" s="7"/>
      <c r="H442" s="35"/>
      <c r="I442" s="7"/>
      <c r="J442" s="35"/>
      <c r="K442" s="7"/>
      <c r="L442" s="35"/>
      <c r="M442" s="7"/>
      <c r="N442" s="35"/>
      <c r="O442" s="7"/>
      <c r="P442" s="35"/>
      <c r="Q442" s="7">
        <f>Q443</f>
        <v>7.9</v>
      </c>
      <c r="R442" s="35">
        <f t="shared" si="93"/>
        <v>7.9</v>
      </c>
      <c r="S442" s="7">
        <f>S443</f>
        <v>0</v>
      </c>
      <c r="T442" s="35">
        <f t="shared" si="102"/>
        <v>7.9</v>
      </c>
    </row>
    <row r="443" spans="1:20" ht="33">
      <c r="A443" s="61" t="str">
        <f ca="1">IF(ISERROR(MATCH(E443,Код_КВР,0)),"",INDIRECT(ADDRESS(MATCH(E443,Код_КВР,0)+1,2,,,"КВР")))</f>
        <v>Предоставление субсидий бюджетным, автономным учреждениям и иным некоммерческим организациям</v>
      </c>
      <c r="B443" s="43" t="s">
        <v>516</v>
      </c>
      <c r="C443" s="8" t="s">
        <v>193</v>
      </c>
      <c r="D443" s="1" t="s">
        <v>217</v>
      </c>
      <c r="E443" s="113">
        <v>600</v>
      </c>
      <c r="F443" s="7"/>
      <c r="G443" s="7"/>
      <c r="H443" s="35"/>
      <c r="I443" s="7"/>
      <c r="J443" s="35"/>
      <c r="K443" s="7"/>
      <c r="L443" s="35"/>
      <c r="M443" s="7"/>
      <c r="N443" s="35"/>
      <c r="O443" s="7"/>
      <c r="P443" s="35"/>
      <c r="Q443" s="7">
        <f>Q444</f>
        <v>7.9</v>
      </c>
      <c r="R443" s="35">
        <f t="shared" si="93"/>
        <v>7.9</v>
      </c>
      <c r="S443" s="7">
        <f>S444</f>
        <v>0</v>
      </c>
      <c r="T443" s="35">
        <f t="shared" si="102"/>
        <v>7.9</v>
      </c>
    </row>
    <row r="444" spans="1:20">
      <c r="A444" s="61" t="str">
        <f ca="1">IF(ISERROR(MATCH(E444,Код_КВР,0)),"",INDIRECT(ADDRESS(MATCH(E444,Код_КВР,0)+1,2,,,"КВР")))</f>
        <v>Субсидии бюджетным учреждениям</v>
      </c>
      <c r="B444" s="43" t="s">
        <v>516</v>
      </c>
      <c r="C444" s="8" t="s">
        <v>193</v>
      </c>
      <c r="D444" s="1" t="s">
        <v>217</v>
      </c>
      <c r="E444" s="113">
        <v>610</v>
      </c>
      <c r="F444" s="7"/>
      <c r="G444" s="7"/>
      <c r="H444" s="35"/>
      <c r="I444" s="7"/>
      <c r="J444" s="35"/>
      <c r="K444" s="7"/>
      <c r="L444" s="35"/>
      <c r="M444" s="7"/>
      <c r="N444" s="35"/>
      <c r="O444" s="7"/>
      <c r="P444" s="35"/>
      <c r="Q444" s="7">
        <f>Q445</f>
        <v>7.9</v>
      </c>
      <c r="R444" s="35">
        <f t="shared" si="93"/>
        <v>7.9</v>
      </c>
      <c r="S444" s="7">
        <f>S445</f>
        <v>0</v>
      </c>
      <c r="T444" s="35">
        <f t="shared" si="102"/>
        <v>7.9</v>
      </c>
    </row>
    <row r="445" spans="1:20">
      <c r="A445" s="61" t="str">
        <f ca="1">IF(ISERROR(MATCH(E445,Код_КВР,0)),"",INDIRECT(ADDRESS(MATCH(E445,Код_КВР,0)+1,2,,,"КВР")))</f>
        <v>Субсидии бюджетным учреждениям на иные цели</v>
      </c>
      <c r="B445" s="43" t="s">
        <v>516</v>
      </c>
      <c r="C445" s="8" t="s">
        <v>193</v>
      </c>
      <c r="D445" s="1" t="s">
        <v>217</v>
      </c>
      <c r="E445" s="113">
        <v>612</v>
      </c>
      <c r="F445" s="7"/>
      <c r="G445" s="7"/>
      <c r="H445" s="35"/>
      <c r="I445" s="7"/>
      <c r="J445" s="35"/>
      <c r="K445" s="7"/>
      <c r="L445" s="35"/>
      <c r="M445" s="7"/>
      <c r="N445" s="35"/>
      <c r="O445" s="7"/>
      <c r="P445" s="35"/>
      <c r="Q445" s="7">
        <f>прил.6!R957</f>
        <v>7.9</v>
      </c>
      <c r="R445" s="35">
        <f t="shared" si="93"/>
        <v>7.9</v>
      </c>
      <c r="S445" s="7">
        <f>прил.6!T957</f>
        <v>0</v>
      </c>
      <c r="T445" s="35">
        <f t="shared" si="102"/>
        <v>7.9</v>
      </c>
    </row>
    <row r="446" spans="1:20" ht="19.5" customHeight="1">
      <c r="A446" s="61" t="str">
        <f ca="1">IF(ISERROR(MATCH(B446,Код_КЦСР,0)),"",INDIRECT(ADDRESS(MATCH(B446,Код_КЦСР,0)+1,2,,,"КЦСР")))</f>
        <v>Оказание муниципальных услуг</v>
      </c>
      <c r="B446" s="43" t="s">
        <v>517</v>
      </c>
      <c r="C446" s="8"/>
      <c r="D446" s="1"/>
      <c r="E446" s="113"/>
      <c r="F446" s="7">
        <f t="shared" ref="F446:S450" si="106">F447</f>
        <v>60888.1</v>
      </c>
      <c r="G446" s="7">
        <f t="shared" si="106"/>
        <v>0</v>
      </c>
      <c r="H446" s="35">
        <f t="shared" si="100"/>
        <v>60888.1</v>
      </c>
      <c r="I446" s="7">
        <f t="shared" si="106"/>
        <v>0</v>
      </c>
      <c r="J446" s="35">
        <f t="shared" si="98"/>
        <v>60888.1</v>
      </c>
      <c r="K446" s="7">
        <f t="shared" si="106"/>
        <v>-50.9</v>
      </c>
      <c r="L446" s="35">
        <f t="shared" si="96"/>
        <v>60837.2</v>
      </c>
      <c r="M446" s="7">
        <f t="shared" si="106"/>
        <v>0</v>
      </c>
      <c r="N446" s="35">
        <f t="shared" si="97"/>
        <v>60837.2</v>
      </c>
      <c r="O446" s="7">
        <f t="shared" si="106"/>
        <v>0</v>
      </c>
      <c r="P446" s="35">
        <f t="shared" si="92"/>
        <v>60837.2</v>
      </c>
      <c r="Q446" s="7">
        <f t="shared" si="106"/>
        <v>330.6</v>
      </c>
      <c r="R446" s="35">
        <f t="shared" si="93"/>
        <v>61167.799999999996</v>
      </c>
      <c r="S446" s="7">
        <f t="shared" si="106"/>
        <v>216.9</v>
      </c>
      <c r="T446" s="35">
        <f t="shared" si="102"/>
        <v>61384.7</v>
      </c>
    </row>
    <row r="447" spans="1:20" ht="17.25" customHeight="1">
      <c r="A447" s="61" t="str">
        <f ca="1">IF(ISERROR(MATCH(C447,Код_Раздел,0)),"",INDIRECT(ADDRESS(MATCH(C447,Код_Раздел,0)+1,2,,,"Раздел")))</f>
        <v>Образование</v>
      </c>
      <c r="B447" s="43" t="s">
        <v>517</v>
      </c>
      <c r="C447" s="8" t="s">
        <v>193</v>
      </c>
      <c r="D447" s="1"/>
      <c r="E447" s="113"/>
      <c r="F447" s="7">
        <f t="shared" si="106"/>
        <v>60888.1</v>
      </c>
      <c r="G447" s="7">
        <f t="shared" si="106"/>
        <v>0</v>
      </c>
      <c r="H447" s="35">
        <f t="shared" si="100"/>
        <v>60888.1</v>
      </c>
      <c r="I447" s="7">
        <f t="shared" si="106"/>
        <v>0</v>
      </c>
      <c r="J447" s="35">
        <f t="shared" si="98"/>
        <v>60888.1</v>
      </c>
      <c r="K447" s="7">
        <f t="shared" si="106"/>
        <v>-50.9</v>
      </c>
      <c r="L447" s="35">
        <f t="shared" si="96"/>
        <v>60837.2</v>
      </c>
      <c r="M447" s="7">
        <f t="shared" si="106"/>
        <v>0</v>
      </c>
      <c r="N447" s="35">
        <f t="shared" si="97"/>
        <v>60837.2</v>
      </c>
      <c r="O447" s="7">
        <f t="shared" si="106"/>
        <v>0</v>
      </c>
      <c r="P447" s="35">
        <f t="shared" si="92"/>
        <v>60837.2</v>
      </c>
      <c r="Q447" s="7">
        <f t="shared" si="106"/>
        <v>330.6</v>
      </c>
      <c r="R447" s="35">
        <f t="shared" si="93"/>
        <v>61167.799999999996</v>
      </c>
      <c r="S447" s="7">
        <f t="shared" si="106"/>
        <v>216.9</v>
      </c>
      <c r="T447" s="35">
        <f t="shared" si="102"/>
        <v>61384.7</v>
      </c>
    </row>
    <row r="448" spans="1:20" ht="20.25" customHeight="1">
      <c r="A448" s="12" t="s">
        <v>248</v>
      </c>
      <c r="B448" s="43" t="s">
        <v>517</v>
      </c>
      <c r="C448" s="8" t="s">
        <v>193</v>
      </c>
      <c r="D448" s="1" t="s">
        <v>212</v>
      </c>
      <c r="E448" s="113"/>
      <c r="F448" s="7">
        <f t="shared" si="106"/>
        <v>60888.1</v>
      </c>
      <c r="G448" s="7">
        <f t="shared" si="106"/>
        <v>0</v>
      </c>
      <c r="H448" s="35">
        <f t="shared" si="100"/>
        <v>60888.1</v>
      </c>
      <c r="I448" s="7">
        <f t="shared" si="106"/>
        <v>0</v>
      </c>
      <c r="J448" s="35">
        <f t="shared" si="98"/>
        <v>60888.1</v>
      </c>
      <c r="K448" s="7">
        <f t="shared" si="106"/>
        <v>-50.9</v>
      </c>
      <c r="L448" s="35">
        <f t="shared" si="96"/>
        <v>60837.2</v>
      </c>
      <c r="M448" s="7">
        <f t="shared" si="106"/>
        <v>0</v>
      </c>
      <c r="N448" s="35">
        <f t="shared" si="97"/>
        <v>60837.2</v>
      </c>
      <c r="O448" s="7">
        <f t="shared" si="106"/>
        <v>0</v>
      </c>
      <c r="P448" s="35">
        <f t="shared" si="92"/>
        <v>60837.2</v>
      </c>
      <c r="Q448" s="7">
        <f t="shared" si="106"/>
        <v>330.6</v>
      </c>
      <c r="R448" s="35">
        <f t="shared" si="93"/>
        <v>61167.799999999996</v>
      </c>
      <c r="S448" s="7">
        <f t="shared" si="106"/>
        <v>216.9</v>
      </c>
      <c r="T448" s="35">
        <f t="shared" si="102"/>
        <v>61384.7</v>
      </c>
    </row>
    <row r="449" spans="1:20" ht="36" customHeight="1">
      <c r="A449" s="61" t="str">
        <f ca="1">IF(ISERROR(MATCH(E449,Код_КВР,0)),"",INDIRECT(ADDRESS(MATCH(E449,Код_КВР,0)+1,2,,,"КВР")))</f>
        <v>Предоставление субсидий бюджетным, автономным учреждениям и иным некоммерческим организациям</v>
      </c>
      <c r="B449" s="43" t="s">
        <v>517</v>
      </c>
      <c r="C449" s="8" t="s">
        <v>193</v>
      </c>
      <c r="D449" s="1" t="s">
        <v>212</v>
      </c>
      <c r="E449" s="113">
        <v>600</v>
      </c>
      <c r="F449" s="7">
        <f t="shared" si="106"/>
        <v>60888.1</v>
      </c>
      <c r="G449" s="7">
        <f t="shared" si="106"/>
        <v>0</v>
      </c>
      <c r="H449" s="35">
        <f t="shared" si="100"/>
        <v>60888.1</v>
      </c>
      <c r="I449" s="7">
        <f t="shared" si="106"/>
        <v>0</v>
      </c>
      <c r="J449" s="35">
        <f t="shared" si="98"/>
        <v>60888.1</v>
      </c>
      <c r="K449" s="7">
        <f t="shared" si="106"/>
        <v>-50.9</v>
      </c>
      <c r="L449" s="35">
        <f t="shared" si="96"/>
        <v>60837.2</v>
      </c>
      <c r="M449" s="7">
        <f t="shared" si="106"/>
        <v>0</v>
      </c>
      <c r="N449" s="35">
        <f t="shared" si="97"/>
        <v>60837.2</v>
      </c>
      <c r="O449" s="7">
        <f t="shared" si="106"/>
        <v>0</v>
      </c>
      <c r="P449" s="35">
        <f t="shared" si="92"/>
        <v>60837.2</v>
      </c>
      <c r="Q449" s="7">
        <f t="shared" si="106"/>
        <v>330.6</v>
      </c>
      <c r="R449" s="35">
        <f t="shared" si="93"/>
        <v>61167.799999999996</v>
      </c>
      <c r="S449" s="7">
        <f t="shared" si="106"/>
        <v>216.9</v>
      </c>
      <c r="T449" s="35">
        <f t="shared" si="102"/>
        <v>61384.7</v>
      </c>
    </row>
    <row r="450" spans="1:20" ht="20.25" customHeight="1">
      <c r="A450" s="61" t="str">
        <f ca="1">IF(ISERROR(MATCH(E450,Код_КВР,0)),"",INDIRECT(ADDRESS(MATCH(E450,Код_КВР,0)+1,2,,,"КВР")))</f>
        <v>Субсидии бюджетным учреждениям</v>
      </c>
      <c r="B450" s="43" t="s">
        <v>517</v>
      </c>
      <c r="C450" s="8" t="s">
        <v>193</v>
      </c>
      <c r="D450" s="1" t="s">
        <v>212</v>
      </c>
      <c r="E450" s="113">
        <v>610</v>
      </c>
      <c r="F450" s="7">
        <f t="shared" si="106"/>
        <v>60888.1</v>
      </c>
      <c r="G450" s="7">
        <f t="shared" si="106"/>
        <v>0</v>
      </c>
      <c r="H450" s="35">
        <f t="shared" si="100"/>
        <v>60888.1</v>
      </c>
      <c r="I450" s="7">
        <f t="shared" si="106"/>
        <v>0</v>
      </c>
      <c r="J450" s="35">
        <f t="shared" si="98"/>
        <v>60888.1</v>
      </c>
      <c r="K450" s="7">
        <f t="shared" si="106"/>
        <v>-50.9</v>
      </c>
      <c r="L450" s="35">
        <f t="shared" si="96"/>
        <v>60837.2</v>
      </c>
      <c r="M450" s="7">
        <f t="shared" si="106"/>
        <v>0</v>
      </c>
      <c r="N450" s="35">
        <f t="shared" si="97"/>
        <v>60837.2</v>
      </c>
      <c r="O450" s="7">
        <f t="shared" si="106"/>
        <v>0</v>
      </c>
      <c r="P450" s="35">
        <f t="shared" si="92"/>
        <v>60837.2</v>
      </c>
      <c r="Q450" s="7">
        <f t="shared" si="106"/>
        <v>330.6</v>
      </c>
      <c r="R450" s="35">
        <f t="shared" si="93"/>
        <v>61167.799999999996</v>
      </c>
      <c r="S450" s="7">
        <f t="shared" si="106"/>
        <v>216.9</v>
      </c>
      <c r="T450" s="35">
        <f t="shared" si="102"/>
        <v>61384.7</v>
      </c>
    </row>
    <row r="451" spans="1:20" ht="51.75" customHeight="1">
      <c r="A451" s="61" t="str">
        <f ca="1">IF(ISERROR(MATCH(E451,Код_КВР,0)),"",INDIRECT(ADDRESS(MATCH(E451,Код_КВР,0)+1,2,,,"КВР")))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51" s="43" t="s">
        <v>517</v>
      </c>
      <c r="C451" s="8" t="s">
        <v>193</v>
      </c>
      <c r="D451" s="1" t="s">
        <v>212</v>
      </c>
      <c r="E451" s="113">
        <v>611</v>
      </c>
      <c r="F451" s="7">
        <f>прил.6!G935</f>
        <v>60888.1</v>
      </c>
      <c r="G451" s="7">
        <f>прил.6!H935</f>
        <v>0</v>
      </c>
      <c r="H451" s="35">
        <f t="shared" si="100"/>
        <v>60888.1</v>
      </c>
      <c r="I451" s="7">
        <f>прил.6!J935</f>
        <v>0</v>
      </c>
      <c r="J451" s="35">
        <f t="shared" si="98"/>
        <v>60888.1</v>
      </c>
      <c r="K451" s="7">
        <f>прил.6!L935</f>
        <v>-50.9</v>
      </c>
      <c r="L451" s="35">
        <f t="shared" si="96"/>
        <v>60837.2</v>
      </c>
      <c r="M451" s="7">
        <f>прил.6!N935</f>
        <v>0</v>
      </c>
      <c r="N451" s="35">
        <f t="shared" si="97"/>
        <v>60837.2</v>
      </c>
      <c r="O451" s="7">
        <f>прил.6!P935</f>
        <v>0</v>
      </c>
      <c r="P451" s="35">
        <f t="shared" si="92"/>
        <v>60837.2</v>
      </c>
      <c r="Q451" s="7">
        <f>прил.6!R935</f>
        <v>330.6</v>
      </c>
      <c r="R451" s="35">
        <f t="shared" si="93"/>
        <v>61167.799999999996</v>
      </c>
      <c r="S451" s="7">
        <f>прил.6!T935</f>
        <v>216.9</v>
      </c>
      <c r="T451" s="35">
        <f t="shared" si="102"/>
        <v>61384.7</v>
      </c>
    </row>
    <row r="452" spans="1:20" ht="54" customHeight="1">
      <c r="A452" s="61" t="str">
        <f ca="1">IF(ISERROR(MATCH(B452,Код_КЦСР,0)),"",INDIRECT(ADDRESS(MATCH(B452,Код_КЦСР,0)+1,2,,,"КЦСР")))</f>
        <v>Реализация мероприятий федеральной целевой программы «Культура России» (2012-2018 годы) за счет субсидий из федерального бюджета</v>
      </c>
      <c r="B452" s="43" t="s">
        <v>640</v>
      </c>
      <c r="C452" s="8"/>
      <c r="D452" s="1"/>
      <c r="E452" s="113"/>
      <c r="F452" s="7"/>
      <c r="G452" s="7"/>
      <c r="H452" s="35"/>
      <c r="I452" s="7"/>
      <c r="J452" s="35"/>
      <c r="K452" s="7"/>
      <c r="L452" s="35"/>
      <c r="M452" s="7"/>
      <c r="N452" s="35"/>
      <c r="O452" s="7"/>
      <c r="P452" s="35"/>
      <c r="Q452" s="7">
        <f>Q453</f>
        <v>150</v>
      </c>
      <c r="R452" s="35">
        <f t="shared" si="93"/>
        <v>150</v>
      </c>
      <c r="S452" s="7">
        <f>S453</f>
        <v>0</v>
      </c>
      <c r="T452" s="35">
        <f t="shared" si="102"/>
        <v>150</v>
      </c>
    </row>
    <row r="453" spans="1:20">
      <c r="A453" s="61" t="str">
        <f ca="1">IF(ISERROR(MATCH(C453,Код_Раздел,0)),"",INDIRECT(ADDRESS(MATCH(C453,Код_Раздел,0)+1,2,,,"Раздел")))</f>
        <v>Образование</v>
      </c>
      <c r="B453" s="43" t="s">
        <v>640</v>
      </c>
      <c r="C453" s="8" t="s">
        <v>193</v>
      </c>
      <c r="D453" s="1"/>
      <c r="E453" s="113"/>
      <c r="F453" s="7"/>
      <c r="G453" s="7"/>
      <c r="H453" s="35"/>
      <c r="I453" s="7"/>
      <c r="J453" s="35"/>
      <c r="K453" s="7"/>
      <c r="L453" s="35"/>
      <c r="M453" s="7"/>
      <c r="N453" s="35"/>
      <c r="O453" s="7"/>
      <c r="P453" s="35"/>
      <c r="Q453" s="7">
        <f>Q454</f>
        <v>150</v>
      </c>
      <c r="R453" s="35">
        <f t="shared" si="93"/>
        <v>150</v>
      </c>
      <c r="S453" s="7">
        <f>S454</f>
        <v>0</v>
      </c>
      <c r="T453" s="35">
        <f t="shared" si="102"/>
        <v>150</v>
      </c>
    </row>
    <row r="454" spans="1:20">
      <c r="A454" s="12" t="s">
        <v>249</v>
      </c>
      <c r="B454" s="43" t="s">
        <v>640</v>
      </c>
      <c r="C454" s="8" t="s">
        <v>193</v>
      </c>
      <c r="D454" s="1" t="s">
        <v>217</v>
      </c>
      <c r="E454" s="113"/>
      <c r="F454" s="7"/>
      <c r="G454" s="7"/>
      <c r="H454" s="35"/>
      <c r="I454" s="7"/>
      <c r="J454" s="35"/>
      <c r="K454" s="7"/>
      <c r="L454" s="35"/>
      <c r="M454" s="7"/>
      <c r="N454" s="35"/>
      <c r="O454" s="7"/>
      <c r="P454" s="35"/>
      <c r="Q454" s="7">
        <f>Q455</f>
        <v>150</v>
      </c>
      <c r="R454" s="35">
        <f t="shared" si="93"/>
        <v>150</v>
      </c>
      <c r="S454" s="7">
        <f>S455</f>
        <v>0</v>
      </c>
      <c r="T454" s="35">
        <f t="shared" si="102"/>
        <v>150</v>
      </c>
    </row>
    <row r="455" spans="1:20" ht="33">
      <c r="A455" s="61" t="str">
        <f ca="1">IF(ISERROR(MATCH(E455,Код_КВР,0)),"",INDIRECT(ADDRESS(MATCH(E455,Код_КВР,0)+1,2,,,"КВР")))</f>
        <v>Предоставление субсидий бюджетным, автономным учреждениям и иным некоммерческим организациям</v>
      </c>
      <c r="B455" s="43" t="s">
        <v>640</v>
      </c>
      <c r="C455" s="8" t="s">
        <v>193</v>
      </c>
      <c r="D455" s="1" t="s">
        <v>217</v>
      </c>
      <c r="E455" s="113">
        <v>600</v>
      </c>
      <c r="F455" s="7"/>
      <c r="G455" s="7"/>
      <c r="H455" s="35"/>
      <c r="I455" s="7"/>
      <c r="J455" s="35"/>
      <c r="K455" s="7"/>
      <c r="L455" s="35"/>
      <c r="M455" s="7"/>
      <c r="N455" s="35"/>
      <c r="O455" s="7"/>
      <c r="P455" s="35"/>
      <c r="Q455" s="7">
        <f>Q456</f>
        <v>150</v>
      </c>
      <c r="R455" s="35">
        <f t="shared" si="93"/>
        <v>150</v>
      </c>
      <c r="S455" s="7">
        <f>S456</f>
        <v>0</v>
      </c>
      <c r="T455" s="35">
        <f t="shared" si="102"/>
        <v>150</v>
      </c>
    </row>
    <row r="456" spans="1:20">
      <c r="A456" s="61" t="str">
        <f ca="1">IF(ISERROR(MATCH(E456,Код_КВР,0)),"",INDIRECT(ADDRESS(MATCH(E456,Код_КВР,0)+1,2,,,"КВР")))</f>
        <v>Субсидии бюджетным учреждениям</v>
      </c>
      <c r="B456" s="43" t="s">
        <v>640</v>
      </c>
      <c r="C456" s="8" t="s">
        <v>193</v>
      </c>
      <c r="D456" s="1" t="s">
        <v>217</v>
      </c>
      <c r="E456" s="113">
        <v>610</v>
      </c>
      <c r="F456" s="7"/>
      <c r="G456" s="7"/>
      <c r="H456" s="35"/>
      <c r="I456" s="7"/>
      <c r="J456" s="35"/>
      <c r="K456" s="7"/>
      <c r="L456" s="35"/>
      <c r="M456" s="7"/>
      <c r="N456" s="35"/>
      <c r="O456" s="7"/>
      <c r="P456" s="35"/>
      <c r="Q456" s="7">
        <f>Q457</f>
        <v>150</v>
      </c>
      <c r="R456" s="35">
        <f t="shared" si="93"/>
        <v>150</v>
      </c>
      <c r="S456" s="7">
        <f>S457</f>
        <v>0</v>
      </c>
      <c r="T456" s="35">
        <f t="shared" si="102"/>
        <v>150</v>
      </c>
    </row>
    <row r="457" spans="1:20" ht="24" customHeight="1">
      <c r="A457" s="61" t="str">
        <f ca="1">IF(ISERROR(MATCH(E457,Код_КВР,0)),"",INDIRECT(ADDRESS(MATCH(E457,Код_КВР,0)+1,2,,,"КВР")))</f>
        <v>Субсидии бюджетным учреждениям на иные цели</v>
      </c>
      <c r="B457" s="43" t="s">
        <v>640</v>
      </c>
      <c r="C457" s="8" t="s">
        <v>193</v>
      </c>
      <c r="D457" s="1" t="s">
        <v>217</v>
      </c>
      <c r="E457" s="113">
        <v>612</v>
      </c>
      <c r="F457" s="7"/>
      <c r="G457" s="7"/>
      <c r="H457" s="35"/>
      <c r="I457" s="7"/>
      <c r="J457" s="35"/>
      <c r="K457" s="7"/>
      <c r="L457" s="35"/>
      <c r="M457" s="7"/>
      <c r="N457" s="35"/>
      <c r="O457" s="7"/>
      <c r="P457" s="35"/>
      <c r="Q457" s="7">
        <f>прил.6!R961</f>
        <v>150</v>
      </c>
      <c r="R457" s="35">
        <f t="shared" si="93"/>
        <v>150</v>
      </c>
      <c r="S457" s="7">
        <f>прил.6!T961</f>
        <v>0</v>
      </c>
      <c r="T457" s="35">
        <f t="shared" si="102"/>
        <v>150</v>
      </c>
    </row>
    <row r="458" spans="1:20" ht="33">
      <c r="A458" s="61" t="str">
        <f ca="1">IF(ISERROR(MATCH(B458,Код_КЦСР,0)),"",INDIRECT(ADDRESS(MATCH(B458,Код_КЦСР,0)+1,2,,,"КЦСР")))</f>
        <v>Работа по организации и ведению бухгалтерского (бюджетного) учета и отчетности</v>
      </c>
      <c r="B458" s="43" t="s">
        <v>518</v>
      </c>
      <c r="C458" s="8"/>
      <c r="D458" s="1"/>
      <c r="E458" s="113"/>
      <c r="F458" s="7">
        <f t="shared" ref="F458:S462" si="107">F459</f>
        <v>7747.3</v>
      </c>
      <c r="G458" s="7">
        <f t="shared" si="107"/>
        <v>0</v>
      </c>
      <c r="H458" s="35">
        <f t="shared" si="100"/>
        <v>7747.3</v>
      </c>
      <c r="I458" s="7">
        <f t="shared" si="107"/>
        <v>0</v>
      </c>
      <c r="J458" s="35">
        <f t="shared" si="98"/>
        <v>7747.3</v>
      </c>
      <c r="K458" s="7">
        <f t="shared" si="107"/>
        <v>-1.8</v>
      </c>
      <c r="L458" s="35">
        <f t="shared" si="96"/>
        <v>7745.5</v>
      </c>
      <c r="M458" s="7">
        <f t="shared" si="107"/>
        <v>0</v>
      </c>
      <c r="N458" s="35">
        <f t="shared" si="97"/>
        <v>7745.5</v>
      </c>
      <c r="O458" s="7">
        <f t="shared" si="107"/>
        <v>0</v>
      </c>
      <c r="P458" s="35">
        <f t="shared" si="92"/>
        <v>7745.5</v>
      </c>
      <c r="Q458" s="7">
        <f t="shared" si="107"/>
        <v>0</v>
      </c>
      <c r="R458" s="35">
        <f t="shared" si="93"/>
        <v>7745.5</v>
      </c>
      <c r="S458" s="7">
        <f t="shared" si="107"/>
        <v>-141.9</v>
      </c>
      <c r="T458" s="35">
        <f t="shared" si="102"/>
        <v>7603.6</v>
      </c>
    </row>
    <row r="459" spans="1:20">
      <c r="A459" s="61" t="str">
        <f ca="1">IF(ISERROR(MATCH(C459,Код_Раздел,0)),"",INDIRECT(ADDRESS(MATCH(C459,Код_Раздел,0)+1,2,,,"Раздел")))</f>
        <v>Культура, кинематография</v>
      </c>
      <c r="B459" s="43" t="s">
        <v>518</v>
      </c>
      <c r="C459" s="8" t="s">
        <v>220</v>
      </c>
      <c r="D459" s="1"/>
      <c r="E459" s="113"/>
      <c r="F459" s="7">
        <f t="shared" si="107"/>
        <v>7747.3</v>
      </c>
      <c r="G459" s="7">
        <f t="shared" si="107"/>
        <v>0</v>
      </c>
      <c r="H459" s="35">
        <f t="shared" si="100"/>
        <v>7747.3</v>
      </c>
      <c r="I459" s="7">
        <f t="shared" si="107"/>
        <v>0</v>
      </c>
      <c r="J459" s="35">
        <f t="shared" si="98"/>
        <v>7747.3</v>
      </c>
      <c r="K459" s="7">
        <f t="shared" si="107"/>
        <v>-1.8</v>
      </c>
      <c r="L459" s="35">
        <f t="shared" si="96"/>
        <v>7745.5</v>
      </c>
      <c r="M459" s="7">
        <f t="shared" si="107"/>
        <v>0</v>
      </c>
      <c r="N459" s="35">
        <f t="shared" si="97"/>
        <v>7745.5</v>
      </c>
      <c r="O459" s="7">
        <f t="shared" si="107"/>
        <v>0</v>
      </c>
      <c r="P459" s="35">
        <f t="shared" si="92"/>
        <v>7745.5</v>
      </c>
      <c r="Q459" s="7">
        <f t="shared" si="107"/>
        <v>0</v>
      </c>
      <c r="R459" s="35">
        <f t="shared" si="93"/>
        <v>7745.5</v>
      </c>
      <c r="S459" s="7">
        <f t="shared" si="107"/>
        <v>-141.9</v>
      </c>
      <c r="T459" s="35">
        <f t="shared" si="102"/>
        <v>7603.6</v>
      </c>
    </row>
    <row r="460" spans="1:20">
      <c r="A460" s="12" t="s">
        <v>161</v>
      </c>
      <c r="B460" s="43" t="s">
        <v>518</v>
      </c>
      <c r="C460" s="8" t="s">
        <v>220</v>
      </c>
      <c r="D460" s="1" t="s">
        <v>214</v>
      </c>
      <c r="E460" s="113"/>
      <c r="F460" s="7">
        <f t="shared" si="107"/>
        <v>7747.3</v>
      </c>
      <c r="G460" s="7">
        <f t="shared" si="107"/>
        <v>0</v>
      </c>
      <c r="H460" s="35">
        <f t="shared" si="100"/>
        <v>7747.3</v>
      </c>
      <c r="I460" s="7">
        <f t="shared" si="107"/>
        <v>0</v>
      </c>
      <c r="J460" s="35">
        <f t="shared" si="98"/>
        <v>7747.3</v>
      </c>
      <c r="K460" s="7">
        <f t="shared" si="107"/>
        <v>-1.8</v>
      </c>
      <c r="L460" s="35">
        <f t="shared" si="96"/>
        <v>7745.5</v>
      </c>
      <c r="M460" s="7">
        <f t="shared" si="107"/>
        <v>0</v>
      </c>
      <c r="N460" s="35">
        <f t="shared" si="97"/>
        <v>7745.5</v>
      </c>
      <c r="O460" s="7">
        <f t="shared" si="107"/>
        <v>0</v>
      </c>
      <c r="P460" s="35">
        <f t="shared" si="92"/>
        <v>7745.5</v>
      </c>
      <c r="Q460" s="7">
        <f t="shared" si="107"/>
        <v>0</v>
      </c>
      <c r="R460" s="35">
        <f t="shared" si="93"/>
        <v>7745.5</v>
      </c>
      <c r="S460" s="7">
        <f t="shared" si="107"/>
        <v>-141.9</v>
      </c>
      <c r="T460" s="35">
        <f t="shared" si="102"/>
        <v>7603.6</v>
      </c>
    </row>
    <row r="461" spans="1:20" ht="33">
      <c r="A461" s="61" t="str">
        <f ca="1">IF(ISERROR(MATCH(E461,Код_КВР,0)),"",INDIRECT(ADDRESS(MATCH(E461,Код_КВР,0)+1,2,,,"КВР")))</f>
        <v>Предоставление субсидий бюджетным, автономным учреждениям и иным некоммерческим организациям</v>
      </c>
      <c r="B461" s="43" t="s">
        <v>518</v>
      </c>
      <c r="C461" s="8" t="s">
        <v>220</v>
      </c>
      <c r="D461" s="1" t="s">
        <v>214</v>
      </c>
      <c r="E461" s="113">
        <v>600</v>
      </c>
      <c r="F461" s="7">
        <f t="shared" si="107"/>
        <v>7747.3</v>
      </c>
      <c r="G461" s="7">
        <f t="shared" si="107"/>
        <v>0</v>
      </c>
      <c r="H461" s="35">
        <f t="shared" si="100"/>
        <v>7747.3</v>
      </c>
      <c r="I461" s="7">
        <f t="shared" si="107"/>
        <v>0</v>
      </c>
      <c r="J461" s="35">
        <f t="shared" si="98"/>
        <v>7747.3</v>
      </c>
      <c r="K461" s="7">
        <f t="shared" si="107"/>
        <v>-1.8</v>
      </c>
      <c r="L461" s="35">
        <f t="shared" si="96"/>
        <v>7745.5</v>
      </c>
      <c r="M461" s="7">
        <f t="shared" si="107"/>
        <v>0</v>
      </c>
      <c r="N461" s="35">
        <f t="shared" si="97"/>
        <v>7745.5</v>
      </c>
      <c r="O461" s="7">
        <f t="shared" si="107"/>
        <v>0</v>
      </c>
      <c r="P461" s="35">
        <f t="shared" si="92"/>
        <v>7745.5</v>
      </c>
      <c r="Q461" s="7">
        <f t="shared" si="107"/>
        <v>0</v>
      </c>
      <c r="R461" s="35">
        <f t="shared" si="93"/>
        <v>7745.5</v>
      </c>
      <c r="S461" s="7">
        <f t="shared" si="107"/>
        <v>-141.9</v>
      </c>
      <c r="T461" s="35">
        <f t="shared" si="102"/>
        <v>7603.6</v>
      </c>
    </row>
    <row r="462" spans="1:20">
      <c r="A462" s="61" t="str">
        <f ca="1">IF(ISERROR(MATCH(E462,Код_КВР,0)),"",INDIRECT(ADDRESS(MATCH(E462,Код_КВР,0)+1,2,,,"КВР")))</f>
        <v>Субсидии бюджетным учреждениям</v>
      </c>
      <c r="B462" s="43" t="s">
        <v>518</v>
      </c>
      <c r="C462" s="8" t="s">
        <v>220</v>
      </c>
      <c r="D462" s="1" t="s">
        <v>214</v>
      </c>
      <c r="E462" s="113">
        <v>610</v>
      </c>
      <c r="F462" s="7">
        <f t="shared" si="107"/>
        <v>7747.3</v>
      </c>
      <c r="G462" s="7">
        <f t="shared" si="107"/>
        <v>0</v>
      </c>
      <c r="H462" s="35">
        <f t="shared" si="100"/>
        <v>7747.3</v>
      </c>
      <c r="I462" s="7">
        <f t="shared" si="107"/>
        <v>0</v>
      </c>
      <c r="J462" s="35">
        <f t="shared" si="98"/>
        <v>7747.3</v>
      </c>
      <c r="K462" s="7">
        <f t="shared" si="107"/>
        <v>-1.8</v>
      </c>
      <c r="L462" s="35">
        <f t="shared" si="96"/>
        <v>7745.5</v>
      </c>
      <c r="M462" s="7">
        <f t="shared" si="107"/>
        <v>0</v>
      </c>
      <c r="N462" s="35">
        <f t="shared" si="97"/>
        <v>7745.5</v>
      </c>
      <c r="O462" s="7">
        <f t="shared" si="107"/>
        <v>0</v>
      </c>
      <c r="P462" s="35">
        <f t="shared" si="92"/>
        <v>7745.5</v>
      </c>
      <c r="Q462" s="7">
        <f t="shared" si="107"/>
        <v>0</v>
      </c>
      <c r="R462" s="35">
        <f t="shared" si="93"/>
        <v>7745.5</v>
      </c>
      <c r="S462" s="7">
        <f t="shared" si="107"/>
        <v>-141.9</v>
      </c>
      <c r="T462" s="35">
        <f t="shared" si="102"/>
        <v>7603.6</v>
      </c>
    </row>
    <row r="463" spans="1:20" ht="55.5" customHeight="1">
      <c r="A463" s="61" t="str">
        <f ca="1">IF(ISERROR(MATCH(E463,Код_КВР,0)),"",INDIRECT(ADDRESS(MATCH(E463,Код_КВР,0)+1,2,,,"КВР")))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63" s="43" t="s">
        <v>518</v>
      </c>
      <c r="C463" s="8" t="s">
        <v>220</v>
      </c>
      <c r="D463" s="1" t="s">
        <v>214</v>
      </c>
      <c r="E463" s="113">
        <v>611</v>
      </c>
      <c r="F463" s="7">
        <f>прил.6!G1126</f>
        <v>7747.3</v>
      </c>
      <c r="G463" s="7">
        <f>прил.6!H1126</f>
        <v>0</v>
      </c>
      <c r="H463" s="35">
        <f t="shared" si="100"/>
        <v>7747.3</v>
      </c>
      <c r="I463" s="7">
        <f>прил.6!J1126</f>
        <v>0</v>
      </c>
      <c r="J463" s="35">
        <f t="shared" si="98"/>
        <v>7747.3</v>
      </c>
      <c r="K463" s="7">
        <f>прил.6!L1126</f>
        <v>-1.8</v>
      </c>
      <c r="L463" s="35">
        <f t="shared" si="96"/>
        <v>7745.5</v>
      </c>
      <c r="M463" s="7">
        <f>прил.6!N1126</f>
        <v>0</v>
      </c>
      <c r="N463" s="35">
        <f t="shared" si="97"/>
        <v>7745.5</v>
      </c>
      <c r="O463" s="7">
        <f>прил.6!P1126</f>
        <v>0</v>
      </c>
      <c r="P463" s="35">
        <f t="shared" si="92"/>
        <v>7745.5</v>
      </c>
      <c r="Q463" s="7">
        <f>прил.6!R1126</f>
        <v>0</v>
      </c>
      <c r="R463" s="35">
        <f t="shared" si="93"/>
        <v>7745.5</v>
      </c>
      <c r="S463" s="7">
        <f>прил.6!T1126</f>
        <v>-141.9</v>
      </c>
      <c r="T463" s="35">
        <f t="shared" si="102"/>
        <v>7603.6</v>
      </c>
    </row>
    <row r="464" spans="1:20" ht="49.5">
      <c r="A464" s="61" t="str">
        <f ca="1">IF(ISERROR(MATCH(B464,Код_КЦСР,0)),"",INDIRECT(ADDRESS(MATCH(B464,Код_КЦСР,0)+1,2,,,"КЦСР")))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464" s="43" t="s">
        <v>520</v>
      </c>
      <c r="C464" s="8"/>
      <c r="D464" s="1"/>
      <c r="E464" s="113"/>
      <c r="F464" s="7">
        <f>F465+F471+F479+F487+F493+F504</f>
        <v>332650.89999999997</v>
      </c>
      <c r="G464" s="7">
        <f>G465+G471+G479+G487+G493+G504</f>
        <v>0</v>
      </c>
      <c r="H464" s="35">
        <f t="shared" si="100"/>
        <v>332650.89999999997</v>
      </c>
      <c r="I464" s="7">
        <f>I465+I471+I479+I487+I493+I504</f>
        <v>0</v>
      </c>
      <c r="J464" s="35">
        <f t="shared" si="98"/>
        <v>332650.89999999997</v>
      </c>
      <c r="K464" s="7">
        <f>K465+K471+K479+K487+K493+K504</f>
        <v>-80.7</v>
      </c>
      <c r="L464" s="35">
        <f t="shared" si="96"/>
        <v>332570.19999999995</v>
      </c>
      <c r="M464" s="7">
        <f>M465+M471+M479+M487+M493+M504</f>
        <v>0</v>
      </c>
      <c r="N464" s="35">
        <f t="shared" si="97"/>
        <v>332570.19999999995</v>
      </c>
      <c r="O464" s="7">
        <f>O465+O471+O479+O487+O493+O504</f>
        <v>-3959.5</v>
      </c>
      <c r="P464" s="35">
        <f t="shared" si="92"/>
        <v>328610.69999999995</v>
      </c>
      <c r="Q464" s="7">
        <f>Q465+Q471+Q479+Q487+Q493+Q504</f>
        <v>-9775</v>
      </c>
      <c r="R464" s="35">
        <f t="shared" si="93"/>
        <v>318835.69999999995</v>
      </c>
      <c r="S464" s="7">
        <f>S465+S471+S479+S487+S493+S504</f>
        <v>0</v>
      </c>
      <c r="T464" s="35">
        <f t="shared" si="102"/>
        <v>318835.69999999995</v>
      </c>
    </row>
    <row r="465" spans="1:20">
      <c r="A465" s="61" t="str">
        <f ca="1">IF(ISERROR(MATCH(B465,Код_КЦСР,0)),"",INDIRECT(ADDRESS(MATCH(B465,Код_КЦСР,0)+1,2,,,"КЦСР")))</f>
        <v>Обеспечение доступа к спортивным объектам</v>
      </c>
      <c r="B465" s="43" t="s">
        <v>522</v>
      </c>
      <c r="C465" s="8"/>
      <c r="D465" s="1"/>
      <c r="E465" s="113"/>
      <c r="F465" s="7">
        <f t="shared" ref="F465:S469" si="108">F466</f>
        <v>176820.9</v>
      </c>
      <c r="G465" s="7">
        <f t="shared" si="108"/>
        <v>-10908.8</v>
      </c>
      <c r="H465" s="35">
        <f t="shared" si="100"/>
        <v>165912.1</v>
      </c>
      <c r="I465" s="7">
        <f t="shared" si="108"/>
        <v>0</v>
      </c>
      <c r="J465" s="35">
        <f t="shared" si="98"/>
        <v>165912.1</v>
      </c>
      <c r="K465" s="7">
        <f t="shared" si="108"/>
        <v>0</v>
      </c>
      <c r="L465" s="35">
        <f t="shared" si="96"/>
        <v>165912.1</v>
      </c>
      <c r="M465" s="7">
        <f t="shared" si="108"/>
        <v>0</v>
      </c>
      <c r="N465" s="35">
        <f t="shared" si="97"/>
        <v>165912.1</v>
      </c>
      <c r="O465" s="7">
        <f t="shared" si="108"/>
        <v>0</v>
      </c>
      <c r="P465" s="35">
        <f t="shared" si="92"/>
        <v>165912.1</v>
      </c>
      <c r="Q465" s="7">
        <f t="shared" si="108"/>
        <v>-29775</v>
      </c>
      <c r="R465" s="35">
        <f t="shared" si="93"/>
        <v>136137.1</v>
      </c>
      <c r="S465" s="7">
        <f t="shared" si="108"/>
        <v>0</v>
      </c>
      <c r="T465" s="35">
        <f t="shared" si="102"/>
        <v>136137.1</v>
      </c>
    </row>
    <row r="466" spans="1:20">
      <c r="A466" s="61" t="str">
        <f ca="1">IF(ISERROR(MATCH(C466,Код_Раздел,0)),"",INDIRECT(ADDRESS(MATCH(C466,Код_Раздел,0)+1,2,,,"Раздел")))</f>
        <v>Физическая культура и спорт</v>
      </c>
      <c r="B466" s="43" t="s">
        <v>522</v>
      </c>
      <c r="C466" s="8" t="s">
        <v>222</v>
      </c>
      <c r="D466" s="1"/>
      <c r="E466" s="113"/>
      <c r="F466" s="7">
        <f t="shared" si="108"/>
        <v>176820.9</v>
      </c>
      <c r="G466" s="7">
        <f t="shared" si="108"/>
        <v>-10908.8</v>
      </c>
      <c r="H466" s="35">
        <f t="shared" si="100"/>
        <v>165912.1</v>
      </c>
      <c r="I466" s="7">
        <f t="shared" si="108"/>
        <v>0</v>
      </c>
      <c r="J466" s="35">
        <f t="shared" si="98"/>
        <v>165912.1</v>
      </c>
      <c r="K466" s="7">
        <f t="shared" si="108"/>
        <v>0</v>
      </c>
      <c r="L466" s="35">
        <f t="shared" si="96"/>
        <v>165912.1</v>
      </c>
      <c r="M466" s="7">
        <f t="shared" si="108"/>
        <v>0</v>
      </c>
      <c r="N466" s="35">
        <f t="shared" si="97"/>
        <v>165912.1</v>
      </c>
      <c r="O466" s="7">
        <f t="shared" si="108"/>
        <v>0</v>
      </c>
      <c r="P466" s="35">
        <f t="shared" ref="P466:P529" si="109">N466+O466</f>
        <v>165912.1</v>
      </c>
      <c r="Q466" s="7">
        <f t="shared" si="108"/>
        <v>-29775</v>
      </c>
      <c r="R466" s="35">
        <f t="shared" ref="R466:R529" si="110">P466+Q466</f>
        <v>136137.1</v>
      </c>
      <c r="S466" s="7">
        <f t="shared" si="108"/>
        <v>0</v>
      </c>
      <c r="T466" s="35">
        <f t="shared" si="102"/>
        <v>136137.1</v>
      </c>
    </row>
    <row r="467" spans="1:20" ht="18.75" customHeight="1">
      <c r="A467" s="12" t="s">
        <v>184</v>
      </c>
      <c r="B467" s="43" t="s">
        <v>522</v>
      </c>
      <c r="C467" s="8" t="s">
        <v>222</v>
      </c>
      <c r="D467" s="1" t="s">
        <v>211</v>
      </c>
      <c r="E467" s="113"/>
      <c r="F467" s="7">
        <f t="shared" si="108"/>
        <v>176820.9</v>
      </c>
      <c r="G467" s="7">
        <f t="shared" si="108"/>
        <v>-10908.8</v>
      </c>
      <c r="H467" s="35">
        <f t="shared" si="100"/>
        <v>165912.1</v>
      </c>
      <c r="I467" s="7">
        <f t="shared" si="108"/>
        <v>0</v>
      </c>
      <c r="J467" s="35">
        <f t="shared" si="98"/>
        <v>165912.1</v>
      </c>
      <c r="K467" s="7">
        <f t="shared" si="108"/>
        <v>0</v>
      </c>
      <c r="L467" s="35">
        <f t="shared" si="96"/>
        <v>165912.1</v>
      </c>
      <c r="M467" s="7">
        <f t="shared" si="108"/>
        <v>0</v>
      </c>
      <c r="N467" s="35">
        <f t="shared" si="97"/>
        <v>165912.1</v>
      </c>
      <c r="O467" s="7">
        <f t="shared" si="108"/>
        <v>0</v>
      </c>
      <c r="P467" s="35">
        <f t="shared" si="109"/>
        <v>165912.1</v>
      </c>
      <c r="Q467" s="7">
        <f t="shared" si="108"/>
        <v>-29775</v>
      </c>
      <c r="R467" s="35">
        <f t="shared" si="110"/>
        <v>136137.1</v>
      </c>
      <c r="S467" s="7">
        <f t="shared" si="108"/>
        <v>0</v>
      </c>
      <c r="T467" s="35">
        <f t="shared" si="102"/>
        <v>136137.1</v>
      </c>
    </row>
    <row r="468" spans="1:20" ht="33">
      <c r="A468" s="61" t="str">
        <f ca="1">IF(ISERROR(MATCH(E468,Код_КВР,0)),"",INDIRECT(ADDRESS(MATCH(E468,Код_КВР,0)+1,2,,,"КВР")))</f>
        <v>Предоставление субсидий бюджетным, автономным учреждениям и иным некоммерческим организациям</v>
      </c>
      <c r="B468" s="43" t="s">
        <v>522</v>
      </c>
      <c r="C468" s="8" t="s">
        <v>222</v>
      </c>
      <c r="D468" s="1" t="s">
        <v>211</v>
      </c>
      <c r="E468" s="113">
        <v>600</v>
      </c>
      <c r="F468" s="7">
        <f t="shared" si="108"/>
        <v>176820.9</v>
      </c>
      <c r="G468" s="7">
        <f t="shared" si="108"/>
        <v>-10908.8</v>
      </c>
      <c r="H468" s="35">
        <f t="shared" si="100"/>
        <v>165912.1</v>
      </c>
      <c r="I468" s="7">
        <f t="shared" si="108"/>
        <v>0</v>
      </c>
      <c r="J468" s="35">
        <f t="shared" si="98"/>
        <v>165912.1</v>
      </c>
      <c r="K468" s="7">
        <f t="shared" si="108"/>
        <v>0</v>
      </c>
      <c r="L468" s="35">
        <f t="shared" si="96"/>
        <v>165912.1</v>
      </c>
      <c r="M468" s="7">
        <f t="shared" si="108"/>
        <v>0</v>
      </c>
      <c r="N468" s="35">
        <f t="shared" si="97"/>
        <v>165912.1</v>
      </c>
      <c r="O468" s="7">
        <f t="shared" si="108"/>
        <v>0</v>
      </c>
      <c r="P468" s="35">
        <f t="shared" si="109"/>
        <v>165912.1</v>
      </c>
      <c r="Q468" s="7">
        <f t="shared" si="108"/>
        <v>-29775</v>
      </c>
      <c r="R468" s="35">
        <f t="shared" si="110"/>
        <v>136137.1</v>
      </c>
      <c r="S468" s="7">
        <f t="shared" si="108"/>
        <v>0</v>
      </c>
      <c r="T468" s="35">
        <f t="shared" si="102"/>
        <v>136137.1</v>
      </c>
    </row>
    <row r="469" spans="1:20">
      <c r="A469" s="61" t="str">
        <f ca="1">IF(ISERROR(MATCH(E469,Код_КВР,0)),"",INDIRECT(ADDRESS(MATCH(E469,Код_КВР,0)+1,2,,,"КВР")))</f>
        <v>Субсидии автономным учреждениям</v>
      </c>
      <c r="B469" s="43" t="s">
        <v>522</v>
      </c>
      <c r="C469" s="8" t="s">
        <v>222</v>
      </c>
      <c r="D469" s="1" t="s">
        <v>211</v>
      </c>
      <c r="E469" s="113">
        <v>620</v>
      </c>
      <c r="F469" s="7">
        <f t="shared" si="108"/>
        <v>176820.9</v>
      </c>
      <c r="G469" s="7">
        <f t="shared" si="108"/>
        <v>-10908.8</v>
      </c>
      <c r="H469" s="35">
        <f t="shared" si="100"/>
        <v>165912.1</v>
      </c>
      <c r="I469" s="7">
        <f t="shared" si="108"/>
        <v>0</v>
      </c>
      <c r="J469" s="35">
        <f t="shared" si="98"/>
        <v>165912.1</v>
      </c>
      <c r="K469" s="7">
        <f t="shared" si="108"/>
        <v>0</v>
      </c>
      <c r="L469" s="35">
        <f t="shared" si="96"/>
        <v>165912.1</v>
      </c>
      <c r="M469" s="7">
        <f t="shared" si="108"/>
        <v>0</v>
      </c>
      <c r="N469" s="35">
        <f t="shared" si="97"/>
        <v>165912.1</v>
      </c>
      <c r="O469" s="7">
        <f t="shared" si="108"/>
        <v>0</v>
      </c>
      <c r="P469" s="35">
        <f t="shared" si="109"/>
        <v>165912.1</v>
      </c>
      <c r="Q469" s="7">
        <f t="shared" si="108"/>
        <v>-29775</v>
      </c>
      <c r="R469" s="35">
        <f t="shared" si="110"/>
        <v>136137.1</v>
      </c>
      <c r="S469" s="7">
        <f t="shared" si="108"/>
        <v>0</v>
      </c>
      <c r="T469" s="35">
        <f t="shared" si="102"/>
        <v>136137.1</v>
      </c>
    </row>
    <row r="470" spans="1:20" ht="49.5">
      <c r="A470" s="61" t="str">
        <f ca="1">IF(ISERROR(MATCH(E470,Код_КВР,0)),"",INDIRECT(ADDRESS(MATCH(E470,Код_КВР,0)+1,2,,,"КВР")))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70" s="43" t="s">
        <v>522</v>
      </c>
      <c r="C470" s="8" t="s">
        <v>222</v>
      </c>
      <c r="D470" s="1" t="s">
        <v>211</v>
      </c>
      <c r="E470" s="113">
        <v>621</v>
      </c>
      <c r="F470" s="7">
        <f>прил.6!G1244</f>
        <v>176820.9</v>
      </c>
      <c r="G470" s="7">
        <f>прил.6!H1244</f>
        <v>-10908.8</v>
      </c>
      <c r="H470" s="35">
        <f t="shared" si="100"/>
        <v>165912.1</v>
      </c>
      <c r="I470" s="7">
        <f>прил.6!J1244</f>
        <v>0</v>
      </c>
      <c r="J470" s="35">
        <f t="shared" si="98"/>
        <v>165912.1</v>
      </c>
      <c r="K470" s="7">
        <f>прил.6!L1244</f>
        <v>0</v>
      </c>
      <c r="L470" s="35">
        <f t="shared" si="96"/>
        <v>165912.1</v>
      </c>
      <c r="M470" s="7">
        <f>прил.6!N1244</f>
        <v>0</v>
      </c>
      <c r="N470" s="35">
        <f t="shared" si="97"/>
        <v>165912.1</v>
      </c>
      <c r="O470" s="7">
        <f>прил.6!P1244</f>
        <v>0</v>
      </c>
      <c r="P470" s="35">
        <f t="shared" si="109"/>
        <v>165912.1</v>
      </c>
      <c r="Q470" s="7">
        <f>прил.6!R1244</f>
        <v>-29775</v>
      </c>
      <c r="R470" s="35">
        <f t="shared" si="110"/>
        <v>136137.1</v>
      </c>
      <c r="S470" s="7">
        <f>прил.6!T1244</f>
        <v>0</v>
      </c>
      <c r="T470" s="35">
        <f t="shared" si="102"/>
        <v>136137.1</v>
      </c>
    </row>
    <row r="471" spans="1:20" ht="49.5">
      <c r="A471" s="61" t="str">
        <f ca="1">IF(ISERROR(MATCH(B471,Код_КЦСР,0)),"",INDIRECT(ADDRESS(MATCH(B471,Код_КЦСР,0)+1,2,,,"КЦСР")))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всероссийского, международного)</v>
      </c>
      <c r="B471" s="43" t="s">
        <v>524</v>
      </c>
      <c r="C471" s="8"/>
      <c r="D471" s="1"/>
      <c r="E471" s="113"/>
      <c r="F471" s="7">
        <f t="shared" ref="F471:S473" si="111">F472</f>
        <v>18569.3</v>
      </c>
      <c r="G471" s="7">
        <f t="shared" si="111"/>
        <v>0</v>
      </c>
      <c r="H471" s="35">
        <f t="shared" si="100"/>
        <v>18569.3</v>
      </c>
      <c r="I471" s="7">
        <f t="shared" si="111"/>
        <v>0</v>
      </c>
      <c r="J471" s="35">
        <f t="shared" si="98"/>
        <v>18569.3</v>
      </c>
      <c r="K471" s="7">
        <f t="shared" si="111"/>
        <v>0</v>
      </c>
      <c r="L471" s="35">
        <f t="shared" si="96"/>
        <v>18569.3</v>
      </c>
      <c r="M471" s="7">
        <f t="shared" si="111"/>
        <v>0</v>
      </c>
      <c r="N471" s="35">
        <f t="shared" si="97"/>
        <v>18569.3</v>
      </c>
      <c r="O471" s="7">
        <f t="shared" si="111"/>
        <v>-3162</v>
      </c>
      <c r="P471" s="35">
        <f t="shared" si="109"/>
        <v>15407.3</v>
      </c>
      <c r="Q471" s="7">
        <f t="shared" si="111"/>
        <v>150</v>
      </c>
      <c r="R471" s="35">
        <f t="shared" si="110"/>
        <v>15557.3</v>
      </c>
      <c r="S471" s="7">
        <f t="shared" si="111"/>
        <v>0</v>
      </c>
      <c r="T471" s="35">
        <f t="shared" si="102"/>
        <v>15557.3</v>
      </c>
    </row>
    <row r="472" spans="1:20">
      <c r="A472" s="61" t="str">
        <f ca="1">IF(ISERROR(MATCH(C472,Код_Раздел,0)),"",INDIRECT(ADDRESS(MATCH(C472,Код_Раздел,0)+1,2,,,"Раздел")))</f>
        <v>Физическая культура и спорт</v>
      </c>
      <c r="B472" s="43" t="s">
        <v>524</v>
      </c>
      <c r="C472" s="8" t="s">
        <v>222</v>
      </c>
      <c r="D472" s="1"/>
      <c r="E472" s="113"/>
      <c r="F472" s="7">
        <f t="shared" si="111"/>
        <v>18569.3</v>
      </c>
      <c r="G472" s="7">
        <f t="shared" si="111"/>
        <v>0</v>
      </c>
      <c r="H472" s="35">
        <f t="shared" si="100"/>
        <v>18569.3</v>
      </c>
      <c r="I472" s="7">
        <f t="shared" si="111"/>
        <v>0</v>
      </c>
      <c r="J472" s="35">
        <f t="shared" si="98"/>
        <v>18569.3</v>
      </c>
      <c r="K472" s="7">
        <f t="shared" si="111"/>
        <v>0</v>
      </c>
      <c r="L472" s="35">
        <f t="shared" si="96"/>
        <v>18569.3</v>
      </c>
      <c r="M472" s="7">
        <f t="shared" si="111"/>
        <v>0</v>
      </c>
      <c r="N472" s="35">
        <f t="shared" si="97"/>
        <v>18569.3</v>
      </c>
      <c r="O472" s="7">
        <f t="shared" si="111"/>
        <v>-3162</v>
      </c>
      <c r="P472" s="35">
        <f t="shared" si="109"/>
        <v>15407.3</v>
      </c>
      <c r="Q472" s="7">
        <f t="shared" si="111"/>
        <v>150</v>
      </c>
      <c r="R472" s="35">
        <f t="shared" si="110"/>
        <v>15557.3</v>
      </c>
      <c r="S472" s="7">
        <f t="shared" si="111"/>
        <v>0</v>
      </c>
      <c r="T472" s="35">
        <f t="shared" si="102"/>
        <v>15557.3</v>
      </c>
    </row>
    <row r="473" spans="1:20">
      <c r="A473" s="12" t="s">
        <v>184</v>
      </c>
      <c r="B473" s="43" t="s">
        <v>524</v>
      </c>
      <c r="C473" s="8" t="s">
        <v>222</v>
      </c>
      <c r="D473" s="1" t="s">
        <v>211</v>
      </c>
      <c r="E473" s="113"/>
      <c r="F473" s="7">
        <f t="shared" si="111"/>
        <v>18569.3</v>
      </c>
      <c r="G473" s="7">
        <f t="shared" si="111"/>
        <v>0</v>
      </c>
      <c r="H473" s="35">
        <f t="shared" si="100"/>
        <v>18569.3</v>
      </c>
      <c r="I473" s="7">
        <f t="shared" si="111"/>
        <v>0</v>
      </c>
      <c r="J473" s="35">
        <f t="shared" si="98"/>
        <v>18569.3</v>
      </c>
      <c r="K473" s="7">
        <f t="shared" si="111"/>
        <v>0</v>
      </c>
      <c r="L473" s="35">
        <f t="shared" si="96"/>
        <v>18569.3</v>
      </c>
      <c r="M473" s="7">
        <f t="shared" si="111"/>
        <v>0</v>
      </c>
      <c r="N473" s="35">
        <f t="shared" si="97"/>
        <v>18569.3</v>
      </c>
      <c r="O473" s="7">
        <f t="shared" si="111"/>
        <v>-3162</v>
      </c>
      <c r="P473" s="35">
        <f t="shared" si="109"/>
        <v>15407.3</v>
      </c>
      <c r="Q473" s="7">
        <f t="shared" si="111"/>
        <v>150</v>
      </c>
      <c r="R473" s="35">
        <f t="shared" si="110"/>
        <v>15557.3</v>
      </c>
      <c r="S473" s="7">
        <f t="shared" si="111"/>
        <v>0</v>
      </c>
      <c r="T473" s="35">
        <f t="shared" si="102"/>
        <v>15557.3</v>
      </c>
    </row>
    <row r="474" spans="1:20" ht="33">
      <c r="A474" s="61" t="str">
        <f ca="1">IF(ISERROR(MATCH(E474,Код_КВР,0)),"",INDIRECT(ADDRESS(MATCH(E474,Код_КВР,0)+1,2,,,"КВР")))</f>
        <v>Предоставление субсидий бюджетным, автономным учреждениям и иным некоммерческим организациям</v>
      </c>
      <c r="B474" s="43" t="s">
        <v>524</v>
      </c>
      <c r="C474" s="8" t="s">
        <v>222</v>
      </c>
      <c r="D474" s="1" t="s">
        <v>211</v>
      </c>
      <c r="E474" s="113">
        <v>600</v>
      </c>
      <c r="F474" s="7">
        <f>F475+F477</f>
        <v>18569.3</v>
      </c>
      <c r="G474" s="7">
        <f>G475+G477</f>
        <v>0</v>
      </c>
      <c r="H474" s="35">
        <f t="shared" si="100"/>
        <v>18569.3</v>
      </c>
      <c r="I474" s="7">
        <f>I475+I477</f>
        <v>0</v>
      </c>
      <c r="J474" s="35">
        <f t="shared" si="98"/>
        <v>18569.3</v>
      </c>
      <c r="K474" s="7">
        <f>K475+K477</f>
        <v>0</v>
      </c>
      <c r="L474" s="35">
        <f t="shared" ref="L474:L537" si="112">J474+K474</f>
        <v>18569.3</v>
      </c>
      <c r="M474" s="7">
        <f>M475+M477</f>
        <v>0</v>
      </c>
      <c r="N474" s="35">
        <f t="shared" ref="N474:N537" si="113">L474+M474</f>
        <v>18569.3</v>
      </c>
      <c r="O474" s="7">
        <f>O475+O477</f>
        <v>-3162</v>
      </c>
      <c r="P474" s="35">
        <f t="shared" si="109"/>
        <v>15407.3</v>
      </c>
      <c r="Q474" s="7">
        <f>Q475+Q477</f>
        <v>150</v>
      </c>
      <c r="R474" s="35">
        <f t="shared" si="110"/>
        <v>15557.3</v>
      </c>
      <c r="S474" s="7">
        <f>S475+S477</f>
        <v>0</v>
      </c>
      <c r="T474" s="35">
        <f t="shared" si="102"/>
        <v>15557.3</v>
      </c>
    </row>
    <row r="475" spans="1:20">
      <c r="A475" s="61" t="str">
        <f ca="1">IF(ISERROR(MATCH(E475,Код_КВР,0)),"",INDIRECT(ADDRESS(MATCH(E475,Код_КВР,0)+1,2,,,"КВР")))</f>
        <v>Субсидии бюджетным учреждениям</v>
      </c>
      <c r="B475" s="43" t="s">
        <v>524</v>
      </c>
      <c r="C475" s="8" t="s">
        <v>222</v>
      </c>
      <c r="D475" s="1" t="s">
        <v>211</v>
      </c>
      <c r="E475" s="113">
        <v>610</v>
      </c>
      <c r="F475" s="7">
        <f>F476</f>
        <v>15637.3</v>
      </c>
      <c r="G475" s="7">
        <f>G476</f>
        <v>0</v>
      </c>
      <c r="H475" s="35">
        <f t="shared" si="100"/>
        <v>15637.3</v>
      </c>
      <c r="I475" s="7">
        <f>I476</f>
        <v>0</v>
      </c>
      <c r="J475" s="35">
        <f t="shared" si="98"/>
        <v>15637.3</v>
      </c>
      <c r="K475" s="7">
        <f>K476</f>
        <v>0</v>
      </c>
      <c r="L475" s="35">
        <f t="shared" si="112"/>
        <v>15637.3</v>
      </c>
      <c r="M475" s="7">
        <f>M476</f>
        <v>0</v>
      </c>
      <c r="N475" s="35">
        <f t="shared" si="113"/>
        <v>15637.3</v>
      </c>
      <c r="O475" s="7">
        <f>O476</f>
        <v>-2986.3</v>
      </c>
      <c r="P475" s="35">
        <f t="shared" si="109"/>
        <v>12651</v>
      </c>
      <c r="Q475" s="7">
        <f>Q476</f>
        <v>-304.5</v>
      </c>
      <c r="R475" s="35">
        <f t="shared" si="110"/>
        <v>12346.5</v>
      </c>
      <c r="S475" s="7">
        <f>S476</f>
        <v>-509.7</v>
      </c>
      <c r="T475" s="35">
        <f t="shared" si="102"/>
        <v>11836.8</v>
      </c>
    </row>
    <row r="476" spans="1:20" ht="53.25" customHeight="1">
      <c r="A476" s="61" t="str">
        <f ca="1">IF(ISERROR(MATCH(E476,Код_КВР,0)),"",INDIRECT(ADDRESS(MATCH(E476,Код_КВР,0)+1,2,,,"КВР")))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76" s="43" t="s">
        <v>524</v>
      </c>
      <c r="C476" s="8" t="s">
        <v>222</v>
      </c>
      <c r="D476" s="1" t="s">
        <v>211</v>
      </c>
      <c r="E476" s="113">
        <v>611</v>
      </c>
      <c r="F476" s="7">
        <f>прил.6!G1248</f>
        <v>15637.3</v>
      </c>
      <c r="G476" s="7">
        <f>прил.6!H1248</f>
        <v>0</v>
      </c>
      <c r="H476" s="35">
        <f t="shared" si="100"/>
        <v>15637.3</v>
      </c>
      <c r="I476" s="7">
        <f>прил.6!J1248</f>
        <v>0</v>
      </c>
      <c r="J476" s="35">
        <f t="shared" ref="J476:J540" si="114">H476+I476</f>
        <v>15637.3</v>
      </c>
      <c r="K476" s="7">
        <f>прил.6!L1248</f>
        <v>0</v>
      </c>
      <c r="L476" s="35">
        <f t="shared" si="112"/>
        <v>15637.3</v>
      </c>
      <c r="M476" s="7">
        <f>прил.6!N1248</f>
        <v>0</v>
      </c>
      <c r="N476" s="35">
        <f t="shared" si="113"/>
        <v>15637.3</v>
      </c>
      <c r="O476" s="7">
        <f>прил.6!P1248</f>
        <v>-2986.3</v>
      </c>
      <c r="P476" s="35">
        <f t="shared" si="109"/>
        <v>12651</v>
      </c>
      <c r="Q476" s="7">
        <f>прил.6!R1248</f>
        <v>-304.5</v>
      </c>
      <c r="R476" s="35">
        <f t="shared" si="110"/>
        <v>12346.5</v>
      </c>
      <c r="S476" s="7">
        <f>прил.6!T1248</f>
        <v>-509.7</v>
      </c>
      <c r="T476" s="35">
        <f t="shared" si="102"/>
        <v>11836.8</v>
      </c>
    </row>
    <row r="477" spans="1:20">
      <c r="A477" s="61" t="str">
        <f ca="1">IF(ISERROR(MATCH(E477,Код_КВР,0)),"",INDIRECT(ADDRESS(MATCH(E477,Код_КВР,0)+1,2,,,"КВР")))</f>
        <v>Субсидии автономным учреждениям</v>
      </c>
      <c r="B477" s="43" t="s">
        <v>524</v>
      </c>
      <c r="C477" s="8" t="s">
        <v>222</v>
      </c>
      <c r="D477" s="1" t="s">
        <v>211</v>
      </c>
      <c r="E477" s="113">
        <v>620</v>
      </c>
      <c r="F477" s="7">
        <f>F478</f>
        <v>2932</v>
      </c>
      <c r="G477" s="7">
        <f>G478</f>
        <v>0</v>
      </c>
      <c r="H477" s="35">
        <f t="shared" si="100"/>
        <v>2932</v>
      </c>
      <c r="I477" s="7">
        <f>I478</f>
        <v>0</v>
      </c>
      <c r="J477" s="35">
        <f t="shared" si="114"/>
        <v>2932</v>
      </c>
      <c r="K477" s="7">
        <f>K478</f>
        <v>0</v>
      </c>
      <c r="L477" s="35">
        <f t="shared" si="112"/>
        <v>2932</v>
      </c>
      <c r="M477" s="7">
        <f>M478</f>
        <v>0</v>
      </c>
      <c r="N477" s="35">
        <f t="shared" si="113"/>
        <v>2932</v>
      </c>
      <c r="O477" s="7">
        <f>O478</f>
        <v>-175.7</v>
      </c>
      <c r="P477" s="35">
        <f t="shared" si="109"/>
        <v>2756.3</v>
      </c>
      <c r="Q477" s="7">
        <f>Q478</f>
        <v>454.5</v>
      </c>
      <c r="R477" s="35">
        <f t="shared" si="110"/>
        <v>3210.8</v>
      </c>
      <c r="S477" s="7">
        <f>S478</f>
        <v>509.7</v>
      </c>
      <c r="T477" s="35">
        <f t="shared" si="102"/>
        <v>3720.5</v>
      </c>
    </row>
    <row r="478" spans="1:20" ht="53.25" customHeight="1">
      <c r="A478" s="61" t="str">
        <f ca="1">IF(ISERROR(MATCH(E478,Код_КВР,0)),"",INDIRECT(ADDRESS(MATCH(E478,Код_КВР,0)+1,2,,,"КВР")))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78" s="43" t="s">
        <v>524</v>
      </c>
      <c r="C478" s="8" t="s">
        <v>222</v>
      </c>
      <c r="D478" s="1" t="s">
        <v>211</v>
      </c>
      <c r="E478" s="113">
        <v>621</v>
      </c>
      <c r="F478" s="7">
        <f>прил.6!G1250</f>
        <v>2932</v>
      </c>
      <c r="G478" s="7">
        <f>прил.6!H1250</f>
        <v>0</v>
      </c>
      <c r="H478" s="35">
        <f t="shared" si="100"/>
        <v>2932</v>
      </c>
      <c r="I478" s="7">
        <f>прил.6!J1250</f>
        <v>0</v>
      </c>
      <c r="J478" s="35">
        <f t="shared" si="114"/>
        <v>2932</v>
      </c>
      <c r="K478" s="7">
        <f>прил.6!L1250</f>
        <v>0</v>
      </c>
      <c r="L478" s="35">
        <f t="shared" si="112"/>
        <v>2932</v>
      </c>
      <c r="M478" s="7">
        <f>прил.6!N1250</f>
        <v>0</v>
      </c>
      <c r="N478" s="35">
        <f t="shared" si="113"/>
        <v>2932</v>
      </c>
      <c r="O478" s="7">
        <f>прил.6!P1250</f>
        <v>-175.7</v>
      </c>
      <c r="P478" s="35">
        <f t="shared" si="109"/>
        <v>2756.3</v>
      </c>
      <c r="Q478" s="7">
        <f>прил.6!R1250</f>
        <v>454.5</v>
      </c>
      <c r="R478" s="35">
        <f t="shared" si="110"/>
        <v>3210.8</v>
      </c>
      <c r="S478" s="7">
        <f>прил.6!T1250</f>
        <v>509.7</v>
      </c>
      <c r="T478" s="35">
        <f t="shared" si="102"/>
        <v>3720.5</v>
      </c>
    </row>
    <row r="479" spans="1:20">
      <c r="A479" s="61" t="str">
        <f ca="1">IF(ISERROR(MATCH(B479,Код_КЦСР,0)),"",INDIRECT(ADDRESS(MATCH(B479,Код_КЦСР,0)+1,2,,,"КЦСР")))</f>
        <v>Реализация  дополнительных общеобразовательных программ</v>
      </c>
      <c r="B479" s="43" t="s">
        <v>525</v>
      </c>
      <c r="C479" s="8"/>
      <c r="D479" s="1"/>
      <c r="E479" s="113"/>
      <c r="F479" s="7">
        <f t="shared" ref="F479:S481" si="115">F480</f>
        <v>115476.5</v>
      </c>
      <c r="G479" s="7">
        <f t="shared" si="115"/>
        <v>908.8</v>
      </c>
      <c r="H479" s="35">
        <f t="shared" si="100"/>
        <v>116385.3</v>
      </c>
      <c r="I479" s="7">
        <f t="shared" si="115"/>
        <v>0</v>
      </c>
      <c r="J479" s="35">
        <f t="shared" si="114"/>
        <v>116385.3</v>
      </c>
      <c r="K479" s="7">
        <f t="shared" si="115"/>
        <v>-80.7</v>
      </c>
      <c r="L479" s="35">
        <f t="shared" si="112"/>
        <v>116304.6</v>
      </c>
      <c r="M479" s="7">
        <f t="shared" si="115"/>
        <v>0</v>
      </c>
      <c r="N479" s="35">
        <f t="shared" si="113"/>
        <v>116304.6</v>
      </c>
      <c r="O479" s="7">
        <f t="shared" si="115"/>
        <v>0</v>
      </c>
      <c r="P479" s="35">
        <f t="shared" si="109"/>
        <v>116304.6</v>
      </c>
      <c r="Q479" s="7">
        <f t="shared" si="115"/>
        <v>0</v>
      </c>
      <c r="R479" s="35">
        <f t="shared" si="110"/>
        <v>116304.6</v>
      </c>
      <c r="S479" s="7">
        <f t="shared" si="115"/>
        <v>0</v>
      </c>
      <c r="T479" s="35">
        <f t="shared" si="102"/>
        <v>116304.6</v>
      </c>
    </row>
    <row r="480" spans="1:20">
      <c r="A480" s="61" t="str">
        <f ca="1">IF(ISERROR(MATCH(C480,Код_Раздел,0)),"",INDIRECT(ADDRESS(MATCH(C480,Код_Раздел,0)+1,2,,,"Раздел")))</f>
        <v>Образование</v>
      </c>
      <c r="B480" s="43" t="s">
        <v>525</v>
      </c>
      <c r="C480" s="8" t="s">
        <v>193</v>
      </c>
      <c r="D480" s="1"/>
      <c r="E480" s="113"/>
      <c r="F480" s="7">
        <f t="shared" si="115"/>
        <v>115476.5</v>
      </c>
      <c r="G480" s="7">
        <f t="shared" si="115"/>
        <v>908.8</v>
      </c>
      <c r="H480" s="35">
        <f t="shared" si="100"/>
        <v>116385.3</v>
      </c>
      <c r="I480" s="7">
        <f t="shared" si="115"/>
        <v>0</v>
      </c>
      <c r="J480" s="35">
        <f t="shared" si="114"/>
        <v>116385.3</v>
      </c>
      <c r="K480" s="7">
        <f t="shared" si="115"/>
        <v>-80.7</v>
      </c>
      <c r="L480" s="35">
        <f t="shared" si="112"/>
        <v>116304.6</v>
      </c>
      <c r="M480" s="7">
        <f t="shared" si="115"/>
        <v>0</v>
      </c>
      <c r="N480" s="35">
        <f t="shared" si="113"/>
        <v>116304.6</v>
      </c>
      <c r="O480" s="7">
        <f t="shared" si="115"/>
        <v>0</v>
      </c>
      <c r="P480" s="35">
        <f t="shared" si="109"/>
        <v>116304.6</v>
      </c>
      <c r="Q480" s="7">
        <f t="shared" si="115"/>
        <v>0</v>
      </c>
      <c r="R480" s="35">
        <f t="shared" si="110"/>
        <v>116304.6</v>
      </c>
      <c r="S480" s="7">
        <f t="shared" si="115"/>
        <v>0</v>
      </c>
      <c r="T480" s="35">
        <f t="shared" ref="T480:T543" si="116">R480+S480</f>
        <v>116304.6</v>
      </c>
    </row>
    <row r="481" spans="1:20">
      <c r="A481" s="12" t="s">
        <v>248</v>
      </c>
      <c r="B481" s="43" t="s">
        <v>525</v>
      </c>
      <c r="C481" s="8" t="s">
        <v>193</v>
      </c>
      <c r="D481" s="1" t="s">
        <v>212</v>
      </c>
      <c r="E481" s="113"/>
      <c r="F481" s="7">
        <f t="shared" si="115"/>
        <v>115476.5</v>
      </c>
      <c r="G481" s="7">
        <f t="shared" si="115"/>
        <v>908.8</v>
      </c>
      <c r="H481" s="35">
        <f t="shared" si="100"/>
        <v>116385.3</v>
      </c>
      <c r="I481" s="7">
        <f t="shared" si="115"/>
        <v>0</v>
      </c>
      <c r="J481" s="35">
        <f t="shared" si="114"/>
        <v>116385.3</v>
      </c>
      <c r="K481" s="7">
        <f t="shared" si="115"/>
        <v>-80.7</v>
      </c>
      <c r="L481" s="35">
        <f t="shared" si="112"/>
        <v>116304.6</v>
      </c>
      <c r="M481" s="7">
        <f t="shared" si="115"/>
        <v>0</v>
      </c>
      <c r="N481" s="35">
        <f t="shared" si="113"/>
        <v>116304.6</v>
      </c>
      <c r="O481" s="7">
        <f t="shared" si="115"/>
        <v>0</v>
      </c>
      <c r="P481" s="35">
        <f t="shared" si="109"/>
        <v>116304.6</v>
      </c>
      <c r="Q481" s="7">
        <f t="shared" si="115"/>
        <v>0</v>
      </c>
      <c r="R481" s="35">
        <f t="shared" si="110"/>
        <v>116304.6</v>
      </c>
      <c r="S481" s="7">
        <f t="shared" si="115"/>
        <v>0</v>
      </c>
      <c r="T481" s="35">
        <f t="shared" si="116"/>
        <v>116304.6</v>
      </c>
    </row>
    <row r="482" spans="1:20" ht="33">
      <c r="A482" s="61" t="str">
        <f ca="1">IF(ISERROR(MATCH(E482,Код_КВР,0)),"",INDIRECT(ADDRESS(MATCH(E482,Код_КВР,0)+1,2,,,"КВР")))</f>
        <v>Предоставление субсидий бюджетным, автономным учреждениям и иным некоммерческим организациям</v>
      </c>
      <c r="B482" s="43" t="s">
        <v>525</v>
      </c>
      <c r="C482" s="8" t="s">
        <v>193</v>
      </c>
      <c r="D482" s="1" t="s">
        <v>212</v>
      </c>
      <c r="E482" s="113">
        <v>600</v>
      </c>
      <c r="F482" s="7">
        <f>F483+F485</f>
        <v>115476.5</v>
      </c>
      <c r="G482" s="7">
        <f>G483+G485</f>
        <v>908.8</v>
      </c>
      <c r="H482" s="35">
        <f t="shared" si="100"/>
        <v>116385.3</v>
      </c>
      <c r="I482" s="7">
        <f>I483+I485</f>
        <v>0</v>
      </c>
      <c r="J482" s="35">
        <f t="shared" si="114"/>
        <v>116385.3</v>
      </c>
      <c r="K482" s="7">
        <f>K483+K485</f>
        <v>-80.7</v>
      </c>
      <c r="L482" s="35">
        <f t="shared" si="112"/>
        <v>116304.6</v>
      </c>
      <c r="M482" s="7">
        <f>M483+M485</f>
        <v>0</v>
      </c>
      <c r="N482" s="35">
        <f t="shared" si="113"/>
        <v>116304.6</v>
      </c>
      <c r="O482" s="7">
        <f>O483+O485</f>
        <v>0</v>
      </c>
      <c r="P482" s="35">
        <f t="shared" si="109"/>
        <v>116304.6</v>
      </c>
      <c r="Q482" s="7">
        <f>Q483+Q485</f>
        <v>0</v>
      </c>
      <c r="R482" s="35">
        <f t="shared" si="110"/>
        <v>116304.6</v>
      </c>
      <c r="S482" s="7">
        <f>S483+S485</f>
        <v>0</v>
      </c>
      <c r="T482" s="35">
        <f t="shared" si="116"/>
        <v>116304.6</v>
      </c>
    </row>
    <row r="483" spans="1:20">
      <c r="A483" s="61" t="str">
        <f ca="1">IF(ISERROR(MATCH(E483,Код_КВР,0)),"",INDIRECT(ADDRESS(MATCH(E483,Код_КВР,0)+1,2,,,"КВР")))</f>
        <v>Субсидии бюджетным учреждениям</v>
      </c>
      <c r="B483" s="43" t="s">
        <v>525</v>
      </c>
      <c r="C483" s="8" t="s">
        <v>193</v>
      </c>
      <c r="D483" s="1" t="s">
        <v>212</v>
      </c>
      <c r="E483" s="113">
        <v>610</v>
      </c>
      <c r="F483" s="7">
        <f>F484</f>
        <v>98039.6</v>
      </c>
      <c r="G483" s="7">
        <f>G484</f>
        <v>908.8</v>
      </c>
      <c r="H483" s="35">
        <f t="shared" si="100"/>
        <v>98948.400000000009</v>
      </c>
      <c r="I483" s="7">
        <f>I484</f>
        <v>0</v>
      </c>
      <c r="J483" s="35">
        <f t="shared" si="114"/>
        <v>98948.400000000009</v>
      </c>
      <c r="K483" s="7">
        <f>K484</f>
        <v>-73.2</v>
      </c>
      <c r="L483" s="35">
        <f t="shared" si="112"/>
        <v>98875.200000000012</v>
      </c>
      <c r="M483" s="7">
        <f>M484</f>
        <v>0</v>
      </c>
      <c r="N483" s="35">
        <f t="shared" si="113"/>
        <v>98875.200000000012</v>
      </c>
      <c r="O483" s="7">
        <f>O484</f>
        <v>0</v>
      </c>
      <c r="P483" s="35">
        <f t="shared" si="109"/>
        <v>98875.200000000012</v>
      </c>
      <c r="Q483" s="7">
        <f>Q484</f>
        <v>-854.3</v>
      </c>
      <c r="R483" s="35">
        <f t="shared" si="110"/>
        <v>98020.900000000009</v>
      </c>
      <c r="S483" s="7">
        <f>S484</f>
        <v>-5561.5</v>
      </c>
      <c r="T483" s="35">
        <f t="shared" si="116"/>
        <v>92459.400000000009</v>
      </c>
    </row>
    <row r="484" spans="1:20" ht="56.25" customHeight="1">
      <c r="A484" s="61" t="str">
        <f ca="1">IF(ISERROR(MATCH(E484,Код_КВР,0)),"",INDIRECT(ADDRESS(MATCH(E484,Код_КВР,0)+1,2,,,"КВР")))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84" s="43" t="s">
        <v>525</v>
      </c>
      <c r="C484" s="8" t="s">
        <v>193</v>
      </c>
      <c r="D484" s="1" t="s">
        <v>212</v>
      </c>
      <c r="E484" s="113">
        <v>611</v>
      </c>
      <c r="F484" s="7">
        <f>прил.6!G1207</f>
        <v>98039.6</v>
      </c>
      <c r="G484" s="7">
        <f>прил.6!H1207</f>
        <v>908.8</v>
      </c>
      <c r="H484" s="35">
        <f t="shared" ref="H484:H548" si="117">F484+G484</f>
        <v>98948.400000000009</v>
      </c>
      <c r="I484" s="7">
        <f>прил.6!J1207</f>
        <v>0</v>
      </c>
      <c r="J484" s="35">
        <f t="shared" si="114"/>
        <v>98948.400000000009</v>
      </c>
      <c r="K484" s="7">
        <f>прил.6!L1207</f>
        <v>-73.2</v>
      </c>
      <c r="L484" s="35">
        <f t="shared" si="112"/>
        <v>98875.200000000012</v>
      </c>
      <c r="M484" s="7">
        <f>прил.6!N1207</f>
        <v>0</v>
      </c>
      <c r="N484" s="35">
        <f t="shared" si="113"/>
        <v>98875.200000000012</v>
      </c>
      <c r="O484" s="7">
        <f>прил.6!P1207</f>
        <v>0</v>
      </c>
      <c r="P484" s="35">
        <f t="shared" si="109"/>
        <v>98875.200000000012</v>
      </c>
      <c r="Q484" s="7">
        <f>прил.6!R1207</f>
        <v>-854.3</v>
      </c>
      <c r="R484" s="35">
        <f t="shared" si="110"/>
        <v>98020.900000000009</v>
      </c>
      <c r="S484" s="7">
        <f>прил.6!T1207</f>
        <v>-5561.5</v>
      </c>
      <c r="T484" s="35">
        <f t="shared" si="116"/>
        <v>92459.400000000009</v>
      </c>
    </row>
    <row r="485" spans="1:20">
      <c r="A485" s="61" t="str">
        <f ca="1">IF(ISERROR(MATCH(E485,Код_КВР,0)),"",INDIRECT(ADDRESS(MATCH(E485,Код_КВР,0)+1,2,,,"КВР")))</f>
        <v>Субсидии автономным учреждениям</v>
      </c>
      <c r="B485" s="43" t="s">
        <v>525</v>
      </c>
      <c r="C485" s="8" t="s">
        <v>193</v>
      </c>
      <c r="D485" s="1" t="s">
        <v>212</v>
      </c>
      <c r="E485" s="113">
        <v>620</v>
      </c>
      <c r="F485" s="7">
        <f>F486</f>
        <v>17436.900000000001</v>
      </c>
      <c r="G485" s="7">
        <f>G486</f>
        <v>0</v>
      </c>
      <c r="H485" s="35">
        <f t="shared" si="117"/>
        <v>17436.900000000001</v>
      </c>
      <c r="I485" s="7">
        <f>I486</f>
        <v>0</v>
      </c>
      <c r="J485" s="35">
        <f t="shared" si="114"/>
        <v>17436.900000000001</v>
      </c>
      <c r="K485" s="7">
        <f>K486</f>
        <v>-7.5</v>
      </c>
      <c r="L485" s="35">
        <f t="shared" si="112"/>
        <v>17429.400000000001</v>
      </c>
      <c r="M485" s="7">
        <f>M486</f>
        <v>0</v>
      </c>
      <c r="N485" s="35">
        <f t="shared" si="113"/>
        <v>17429.400000000001</v>
      </c>
      <c r="O485" s="7">
        <f>O486</f>
        <v>0</v>
      </c>
      <c r="P485" s="35">
        <f t="shared" si="109"/>
        <v>17429.400000000001</v>
      </c>
      <c r="Q485" s="7">
        <f>Q486</f>
        <v>854.3</v>
      </c>
      <c r="R485" s="35">
        <f t="shared" si="110"/>
        <v>18283.7</v>
      </c>
      <c r="S485" s="7">
        <f>S486</f>
        <v>5561.5</v>
      </c>
      <c r="T485" s="35">
        <f t="shared" si="116"/>
        <v>23845.200000000001</v>
      </c>
    </row>
    <row r="486" spans="1:20" ht="54" customHeight="1">
      <c r="A486" s="61" t="str">
        <f ca="1">IF(ISERROR(MATCH(E486,Код_КВР,0)),"",INDIRECT(ADDRESS(MATCH(E486,Код_КВР,0)+1,2,,,"КВР")))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86" s="43" t="s">
        <v>525</v>
      </c>
      <c r="C486" s="8" t="s">
        <v>193</v>
      </c>
      <c r="D486" s="1" t="s">
        <v>212</v>
      </c>
      <c r="E486" s="113">
        <v>621</v>
      </c>
      <c r="F486" s="7">
        <f>прил.6!G1209</f>
        <v>17436.900000000001</v>
      </c>
      <c r="G486" s="7">
        <f>прил.6!H1209</f>
        <v>0</v>
      </c>
      <c r="H486" s="35">
        <f t="shared" si="117"/>
        <v>17436.900000000001</v>
      </c>
      <c r="I486" s="7">
        <f>прил.6!J1209</f>
        <v>0</v>
      </c>
      <c r="J486" s="35">
        <f t="shared" si="114"/>
        <v>17436.900000000001</v>
      </c>
      <c r="K486" s="7">
        <f>прил.6!L1209</f>
        <v>-7.5</v>
      </c>
      <c r="L486" s="35">
        <f t="shared" si="112"/>
        <v>17429.400000000001</v>
      </c>
      <c r="M486" s="7">
        <f>прил.6!N1209</f>
        <v>0</v>
      </c>
      <c r="N486" s="35">
        <f t="shared" si="113"/>
        <v>17429.400000000001</v>
      </c>
      <c r="O486" s="7">
        <f>прил.6!P1209</f>
        <v>0</v>
      </c>
      <c r="P486" s="35">
        <f t="shared" si="109"/>
        <v>17429.400000000001</v>
      </c>
      <c r="Q486" s="7">
        <f>прил.6!R1209</f>
        <v>854.3</v>
      </c>
      <c r="R486" s="35">
        <f t="shared" si="110"/>
        <v>18283.7</v>
      </c>
      <c r="S486" s="7">
        <f>прил.6!T1209</f>
        <v>5561.5</v>
      </c>
      <c r="T486" s="35">
        <f t="shared" si="116"/>
        <v>23845.200000000001</v>
      </c>
    </row>
    <row r="487" spans="1:20" ht="33">
      <c r="A487" s="61" t="str">
        <f ca="1">IF(ISERROR(MATCH(B487,Код_КЦСР,0)),"",INDIRECT(ADDRESS(MATCH(B487,Код_КЦСР,0)+1,2,,,"КЦСР")))</f>
        <v>Организация и ведение бухгалтерского (бюджетного) учета и отчетности</v>
      </c>
      <c r="B487" s="43" t="s">
        <v>526</v>
      </c>
      <c r="C487" s="8"/>
      <c r="D487" s="1"/>
      <c r="E487" s="113"/>
      <c r="F487" s="7">
        <f t="shared" ref="F487:S491" si="118">F488</f>
        <v>3827.4</v>
      </c>
      <c r="G487" s="7">
        <f t="shared" si="118"/>
        <v>0</v>
      </c>
      <c r="H487" s="35">
        <f t="shared" si="117"/>
        <v>3827.4</v>
      </c>
      <c r="I487" s="7">
        <f t="shared" si="118"/>
        <v>0</v>
      </c>
      <c r="J487" s="35">
        <f t="shared" si="114"/>
        <v>3827.4</v>
      </c>
      <c r="K487" s="7">
        <f t="shared" si="118"/>
        <v>0</v>
      </c>
      <c r="L487" s="35">
        <f t="shared" si="112"/>
        <v>3827.4</v>
      </c>
      <c r="M487" s="7">
        <f t="shared" si="118"/>
        <v>0</v>
      </c>
      <c r="N487" s="35">
        <f t="shared" si="113"/>
        <v>3827.4</v>
      </c>
      <c r="O487" s="7">
        <f t="shared" si="118"/>
        <v>0</v>
      </c>
      <c r="P487" s="35">
        <f t="shared" si="109"/>
        <v>3827.4</v>
      </c>
      <c r="Q487" s="7">
        <f t="shared" si="118"/>
        <v>0</v>
      </c>
      <c r="R487" s="35">
        <f t="shared" si="110"/>
        <v>3827.4</v>
      </c>
      <c r="S487" s="7">
        <f t="shared" si="118"/>
        <v>0</v>
      </c>
      <c r="T487" s="35">
        <f t="shared" si="116"/>
        <v>3827.4</v>
      </c>
    </row>
    <row r="488" spans="1:20">
      <c r="A488" s="61" t="str">
        <f ca="1">IF(ISERROR(MATCH(C488,Код_Раздел,0)),"",INDIRECT(ADDRESS(MATCH(C488,Код_Раздел,0)+1,2,,,"Раздел")))</f>
        <v>Физическая культура и спорт</v>
      </c>
      <c r="B488" s="43" t="s">
        <v>526</v>
      </c>
      <c r="C488" s="8" t="s">
        <v>222</v>
      </c>
      <c r="D488" s="1"/>
      <c r="E488" s="113"/>
      <c r="F488" s="7">
        <f t="shared" si="118"/>
        <v>3827.4</v>
      </c>
      <c r="G488" s="7">
        <f t="shared" si="118"/>
        <v>0</v>
      </c>
      <c r="H488" s="35">
        <f t="shared" si="117"/>
        <v>3827.4</v>
      </c>
      <c r="I488" s="7">
        <f t="shared" si="118"/>
        <v>0</v>
      </c>
      <c r="J488" s="35">
        <f t="shared" si="114"/>
        <v>3827.4</v>
      </c>
      <c r="K488" s="7">
        <f t="shared" si="118"/>
        <v>0</v>
      </c>
      <c r="L488" s="35">
        <f t="shared" si="112"/>
        <v>3827.4</v>
      </c>
      <c r="M488" s="7">
        <f t="shared" si="118"/>
        <v>0</v>
      </c>
      <c r="N488" s="35">
        <f t="shared" si="113"/>
        <v>3827.4</v>
      </c>
      <c r="O488" s="7">
        <f t="shared" si="118"/>
        <v>0</v>
      </c>
      <c r="P488" s="35">
        <f t="shared" si="109"/>
        <v>3827.4</v>
      </c>
      <c r="Q488" s="7">
        <f t="shared" si="118"/>
        <v>0</v>
      </c>
      <c r="R488" s="35">
        <f t="shared" si="110"/>
        <v>3827.4</v>
      </c>
      <c r="S488" s="7">
        <f t="shared" si="118"/>
        <v>0</v>
      </c>
      <c r="T488" s="35">
        <f t="shared" si="116"/>
        <v>3827.4</v>
      </c>
    </row>
    <row r="489" spans="1:20">
      <c r="A489" s="12" t="s">
        <v>190</v>
      </c>
      <c r="B489" s="43" t="s">
        <v>526</v>
      </c>
      <c r="C489" s="8" t="s">
        <v>222</v>
      </c>
      <c r="D489" s="1" t="s">
        <v>219</v>
      </c>
      <c r="E489" s="113"/>
      <c r="F489" s="7">
        <f t="shared" si="118"/>
        <v>3827.4</v>
      </c>
      <c r="G489" s="7">
        <f t="shared" si="118"/>
        <v>0</v>
      </c>
      <c r="H489" s="35">
        <f t="shared" si="117"/>
        <v>3827.4</v>
      </c>
      <c r="I489" s="7">
        <f t="shared" si="118"/>
        <v>0</v>
      </c>
      <c r="J489" s="35">
        <f t="shared" si="114"/>
        <v>3827.4</v>
      </c>
      <c r="K489" s="7">
        <f t="shared" si="118"/>
        <v>0</v>
      </c>
      <c r="L489" s="35">
        <f t="shared" si="112"/>
        <v>3827.4</v>
      </c>
      <c r="M489" s="7">
        <f t="shared" si="118"/>
        <v>0</v>
      </c>
      <c r="N489" s="35">
        <f t="shared" si="113"/>
        <v>3827.4</v>
      </c>
      <c r="O489" s="7">
        <f t="shared" si="118"/>
        <v>0</v>
      </c>
      <c r="P489" s="35">
        <f t="shared" si="109"/>
        <v>3827.4</v>
      </c>
      <c r="Q489" s="7">
        <f t="shared" si="118"/>
        <v>0</v>
      </c>
      <c r="R489" s="35">
        <f t="shared" si="110"/>
        <v>3827.4</v>
      </c>
      <c r="S489" s="7">
        <f t="shared" si="118"/>
        <v>0</v>
      </c>
      <c r="T489" s="35">
        <f t="shared" si="116"/>
        <v>3827.4</v>
      </c>
    </row>
    <row r="490" spans="1:20" ht="33">
      <c r="A490" s="61" t="str">
        <f ca="1">IF(ISERROR(MATCH(E490,Код_КВР,0)),"",INDIRECT(ADDRESS(MATCH(E490,Код_КВР,0)+1,2,,,"КВР")))</f>
        <v>Предоставление субсидий бюджетным, автономным учреждениям и иным некоммерческим организациям</v>
      </c>
      <c r="B490" s="43" t="s">
        <v>526</v>
      </c>
      <c r="C490" s="8" t="s">
        <v>222</v>
      </c>
      <c r="D490" s="1" t="s">
        <v>219</v>
      </c>
      <c r="E490" s="113">
        <v>600</v>
      </c>
      <c r="F490" s="7">
        <f t="shared" si="118"/>
        <v>3827.4</v>
      </c>
      <c r="G490" s="7">
        <f t="shared" si="118"/>
        <v>0</v>
      </c>
      <c r="H490" s="35">
        <f t="shared" si="117"/>
        <v>3827.4</v>
      </c>
      <c r="I490" s="7">
        <f t="shared" si="118"/>
        <v>0</v>
      </c>
      <c r="J490" s="35">
        <f t="shared" si="114"/>
        <v>3827.4</v>
      </c>
      <c r="K490" s="7">
        <f t="shared" si="118"/>
        <v>0</v>
      </c>
      <c r="L490" s="35">
        <f t="shared" si="112"/>
        <v>3827.4</v>
      </c>
      <c r="M490" s="7">
        <f t="shared" si="118"/>
        <v>0</v>
      </c>
      <c r="N490" s="35">
        <f t="shared" si="113"/>
        <v>3827.4</v>
      </c>
      <c r="O490" s="7">
        <f t="shared" si="118"/>
        <v>0</v>
      </c>
      <c r="P490" s="35">
        <f t="shared" si="109"/>
        <v>3827.4</v>
      </c>
      <c r="Q490" s="7">
        <f t="shared" si="118"/>
        <v>0</v>
      </c>
      <c r="R490" s="35">
        <f t="shared" si="110"/>
        <v>3827.4</v>
      </c>
      <c r="S490" s="7">
        <f t="shared" si="118"/>
        <v>0</v>
      </c>
      <c r="T490" s="35">
        <f t="shared" si="116"/>
        <v>3827.4</v>
      </c>
    </row>
    <row r="491" spans="1:20">
      <c r="A491" s="61" t="str">
        <f ca="1">IF(ISERROR(MATCH(E491,Код_КВР,0)),"",INDIRECT(ADDRESS(MATCH(E491,Код_КВР,0)+1,2,,,"КВР")))</f>
        <v>Субсидии бюджетным учреждениям</v>
      </c>
      <c r="B491" s="43" t="s">
        <v>526</v>
      </c>
      <c r="C491" s="8" t="s">
        <v>222</v>
      </c>
      <c r="D491" s="1" t="s">
        <v>219</v>
      </c>
      <c r="E491" s="113">
        <v>610</v>
      </c>
      <c r="F491" s="7">
        <f t="shared" si="118"/>
        <v>3827.4</v>
      </c>
      <c r="G491" s="7">
        <f t="shared" si="118"/>
        <v>0</v>
      </c>
      <c r="H491" s="35">
        <f t="shared" si="117"/>
        <v>3827.4</v>
      </c>
      <c r="I491" s="7">
        <f t="shared" si="118"/>
        <v>0</v>
      </c>
      <c r="J491" s="35">
        <f t="shared" si="114"/>
        <v>3827.4</v>
      </c>
      <c r="K491" s="7">
        <f t="shared" si="118"/>
        <v>0</v>
      </c>
      <c r="L491" s="35">
        <f t="shared" si="112"/>
        <v>3827.4</v>
      </c>
      <c r="M491" s="7">
        <f t="shared" si="118"/>
        <v>0</v>
      </c>
      <c r="N491" s="35">
        <f t="shared" si="113"/>
        <v>3827.4</v>
      </c>
      <c r="O491" s="7">
        <f t="shared" si="118"/>
        <v>0</v>
      </c>
      <c r="P491" s="35">
        <f t="shared" si="109"/>
        <v>3827.4</v>
      </c>
      <c r="Q491" s="7">
        <f t="shared" si="118"/>
        <v>0</v>
      </c>
      <c r="R491" s="35">
        <f t="shared" si="110"/>
        <v>3827.4</v>
      </c>
      <c r="S491" s="7">
        <f t="shared" si="118"/>
        <v>0</v>
      </c>
      <c r="T491" s="35">
        <f t="shared" si="116"/>
        <v>3827.4</v>
      </c>
    </row>
    <row r="492" spans="1:20" ht="52.7" customHeight="1">
      <c r="A492" s="61" t="str">
        <f ca="1">IF(ISERROR(MATCH(E492,Код_КВР,0)),"",INDIRECT(ADDRESS(MATCH(E492,Код_КВР,0)+1,2,,,"КВР")))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92" s="43" t="s">
        <v>526</v>
      </c>
      <c r="C492" s="8" t="s">
        <v>222</v>
      </c>
      <c r="D492" s="1" t="s">
        <v>219</v>
      </c>
      <c r="E492" s="113">
        <v>611</v>
      </c>
      <c r="F492" s="7">
        <f>прил.6!G1286</f>
        <v>3827.4</v>
      </c>
      <c r="G492" s="7">
        <f>прил.6!H1286</f>
        <v>0</v>
      </c>
      <c r="H492" s="35">
        <f t="shared" si="117"/>
        <v>3827.4</v>
      </c>
      <c r="I492" s="7">
        <f>прил.6!J1286</f>
        <v>0</v>
      </c>
      <c r="J492" s="35">
        <f t="shared" si="114"/>
        <v>3827.4</v>
      </c>
      <c r="K492" s="7">
        <f>прил.6!L1286</f>
        <v>0</v>
      </c>
      <c r="L492" s="35">
        <f t="shared" si="112"/>
        <v>3827.4</v>
      </c>
      <c r="M492" s="7">
        <f>прил.6!N1286</f>
        <v>0</v>
      </c>
      <c r="N492" s="35">
        <f t="shared" si="113"/>
        <v>3827.4</v>
      </c>
      <c r="O492" s="7">
        <f>прил.6!P1286</f>
        <v>0</v>
      </c>
      <c r="P492" s="35">
        <f t="shared" si="109"/>
        <v>3827.4</v>
      </c>
      <c r="Q492" s="7">
        <f>прил.6!R1286</f>
        <v>0</v>
      </c>
      <c r="R492" s="35">
        <f t="shared" si="110"/>
        <v>3827.4</v>
      </c>
      <c r="S492" s="7">
        <f>прил.6!T1286</f>
        <v>0</v>
      </c>
      <c r="T492" s="35">
        <f t="shared" si="116"/>
        <v>3827.4</v>
      </c>
    </row>
    <row r="493" spans="1:20">
      <c r="A493" s="61" t="str">
        <f ca="1">IF(ISERROR(MATCH(B493,Код_КЦСР,0)),"",INDIRECT(ADDRESS(MATCH(B493,Код_КЦСР,0)+1,2,,,"КЦСР")))</f>
        <v>Популяризация физической культуры и спорта</v>
      </c>
      <c r="B493" s="43" t="s">
        <v>527</v>
      </c>
      <c r="C493" s="8"/>
      <c r="D493" s="1"/>
      <c r="E493" s="113"/>
      <c r="F493" s="7">
        <f>F494</f>
        <v>4638.1000000000004</v>
      </c>
      <c r="G493" s="7">
        <f>G494</f>
        <v>0</v>
      </c>
      <c r="H493" s="35">
        <f t="shared" si="117"/>
        <v>4638.1000000000004</v>
      </c>
      <c r="I493" s="7">
        <f>I494</f>
        <v>0</v>
      </c>
      <c r="J493" s="35">
        <f t="shared" si="114"/>
        <v>4638.1000000000004</v>
      </c>
      <c r="K493" s="7">
        <f>K494</f>
        <v>0</v>
      </c>
      <c r="L493" s="35">
        <f t="shared" si="112"/>
        <v>4638.1000000000004</v>
      </c>
      <c r="M493" s="7">
        <f>M494</f>
        <v>0</v>
      </c>
      <c r="N493" s="35">
        <f t="shared" si="113"/>
        <v>4638.1000000000004</v>
      </c>
      <c r="O493" s="7">
        <f>O494</f>
        <v>-797.5</v>
      </c>
      <c r="P493" s="35">
        <f t="shared" si="109"/>
        <v>3840.6000000000004</v>
      </c>
      <c r="Q493" s="7">
        <f>Q494</f>
        <v>-149.99999999999994</v>
      </c>
      <c r="R493" s="35">
        <f t="shared" si="110"/>
        <v>3690.6000000000004</v>
      </c>
      <c r="S493" s="7">
        <f>S494</f>
        <v>0</v>
      </c>
      <c r="T493" s="35">
        <f t="shared" si="116"/>
        <v>3690.6000000000004</v>
      </c>
    </row>
    <row r="494" spans="1:20">
      <c r="A494" s="61" t="str">
        <f ca="1">IF(ISERROR(MATCH(C494,Код_Раздел,0)),"",INDIRECT(ADDRESS(MATCH(C494,Код_Раздел,0)+1,2,,,"Раздел")))</f>
        <v>Физическая культура и спорт</v>
      </c>
      <c r="B494" s="43" t="s">
        <v>527</v>
      </c>
      <c r="C494" s="8" t="s">
        <v>222</v>
      </c>
      <c r="D494" s="1"/>
      <c r="E494" s="113"/>
      <c r="F494" s="7">
        <f>F495</f>
        <v>4638.1000000000004</v>
      </c>
      <c r="G494" s="7">
        <f>G495</f>
        <v>0</v>
      </c>
      <c r="H494" s="35">
        <f t="shared" si="117"/>
        <v>4638.1000000000004</v>
      </c>
      <c r="I494" s="7">
        <f>I495</f>
        <v>0</v>
      </c>
      <c r="J494" s="35">
        <f t="shared" si="114"/>
        <v>4638.1000000000004</v>
      </c>
      <c r="K494" s="7">
        <f>K495</f>
        <v>0</v>
      </c>
      <c r="L494" s="35">
        <f t="shared" si="112"/>
        <v>4638.1000000000004</v>
      </c>
      <c r="M494" s="7">
        <f>M495</f>
        <v>0</v>
      </c>
      <c r="N494" s="35">
        <f t="shared" si="113"/>
        <v>4638.1000000000004</v>
      </c>
      <c r="O494" s="7">
        <f>O495</f>
        <v>-797.5</v>
      </c>
      <c r="P494" s="35">
        <f t="shared" si="109"/>
        <v>3840.6000000000004</v>
      </c>
      <c r="Q494" s="7">
        <f>Q495</f>
        <v>-149.99999999999994</v>
      </c>
      <c r="R494" s="35">
        <f t="shared" si="110"/>
        <v>3690.6000000000004</v>
      </c>
      <c r="S494" s="7">
        <f>S495</f>
        <v>0</v>
      </c>
      <c r="T494" s="35">
        <f t="shared" si="116"/>
        <v>3690.6000000000004</v>
      </c>
    </row>
    <row r="495" spans="1:20">
      <c r="A495" s="12" t="s">
        <v>184</v>
      </c>
      <c r="B495" s="43" t="s">
        <v>527</v>
      </c>
      <c r="C495" s="8" t="s">
        <v>222</v>
      </c>
      <c r="D495" s="1" t="s">
        <v>211</v>
      </c>
      <c r="E495" s="113"/>
      <c r="F495" s="7">
        <f>F496+F499</f>
        <v>4638.1000000000004</v>
      </c>
      <c r="G495" s="7">
        <f>G496+G499</f>
        <v>0</v>
      </c>
      <c r="H495" s="35">
        <f t="shared" si="117"/>
        <v>4638.1000000000004</v>
      </c>
      <c r="I495" s="7">
        <f>I496+I499</f>
        <v>0</v>
      </c>
      <c r="J495" s="35">
        <f t="shared" si="114"/>
        <v>4638.1000000000004</v>
      </c>
      <c r="K495" s="7">
        <f>K496+K499</f>
        <v>0</v>
      </c>
      <c r="L495" s="35">
        <f t="shared" si="112"/>
        <v>4638.1000000000004</v>
      </c>
      <c r="M495" s="7">
        <f>M496+M499</f>
        <v>0</v>
      </c>
      <c r="N495" s="35">
        <f t="shared" si="113"/>
        <v>4638.1000000000004</v>
      </c>
      <c r="O495" s="7">
        <f>O496+O499</f>
        <v>-797.5</v>
      </c>
      <c r="P495" s="35">
        <f t="shared" si="109"/>
        <v>3840.6000000000004</v>
      </c>
      <c r="Q495" s="7">
        <f>Q496+Q499</f>
        <v>-149.99999999999994</v>
      </c>
      <c r="R495" s="35">
        <f t="shared" si="110"/>
        <v>3690.6000000000004</v>
      </c>
      <c r="S495" s="7">
        <f>S496+S499</f>
        <v>0</v>
      </c>
      <c r="T495" s="35">
        <f t="shared" si="116"/>
        <v>3690.6000000000004</v>
      </c>
    </row>
    <row r="496" spans="1:20">
      <c r="A496" s="61" t="str">
        <f t="shared" ref="A496:A503" ca="1" si="119">IF(ISERROR(MATCH(E496,Код_КВР,0)),"",INDIRECT(ADDRESS(MATCH(E496,Код_КВР,0)+1,2,,,"КВР")))</f>
        <v>Закупка товаров, работ и услуг для муниципальных нужд</v>
      </c>
      <c r="B496" s="43" t="s">
        <v>527</v>
      </c>
      <c r="C496" s="8" t="s">
        <v>222</v>
      </c>
      <c r="D496" s="1" t="s">
        <v>211</v>
      </c>
      <c r="E496" s="113">
        <v>200</v>
      </c>
      <c r="F496" s="7">
        <f>F497</f>
        <v>622.79999999999995</v>
      </c>
      <c r="G496" s="7">
        <f>G497</f>
        <v>0</v>
      </c>
      <c r="H496" s="35">
        <f t="shared" si="117"/>
        <v>622.79999999999995</v>
      </c>
      <c r="I496" s="7">
        <f>I497</f>
        <v>0</v>
      </c>
      <c r="J496" s="35">
        <f t="shared" si="114"/>
        <v>622.79999999999995</v>
      </c>
      <c r="K496" s="7">
        <f>K497</f>
        <v>0</v>
      </c>
      <c r="L496" s="35">
        <f t="shared" si="112"/>
        <v>622.79999999999995</v>
      </c>
      <c r="M496" s="7">
        <f>M497</f>
        <v>0</v>
      </c>
      <c r="N496" s="35">
        <f t="shared" si="113"/>
        <v>622.79999999999995</v>
      </c>
      <c r="O496" s="7">
        <f>O497</f>
        <v>0</v>
      </c>
      <c r="P496" s="35">
        <f t="shared" si="109"/>
        <v>622.79999999999995</v>
      </c>
      <c r="Q496" s="7">
        <f>Q497</f>
        <v>-592.79999999999995</v>
      </c>
      <c r="R496" s="35">
        <f t="shared" si="110"/>
        <v>30</v>
      </c>
      <c r="S496" s="7">
        <f>S497</f>
        <v>0</v>
      </c>
      <c r="T496" s="35">
        <f t="shared" si="116"/>
        <v>30</v>
      </c>
    </row>
    <row r="497" spans="1:20" ht="35.25" customHeight="1">
      <c r="A497" s="61" t="str">
        <f t="shared" ca="1" si="119"/>
        <v>Иные закупки товаров, работ и услуг для обеспечения муниципальных нужд</v>
      </c>
      <c r="B497" s="43" t="s">
        <v>527</v>
      </c>
      <c r="C497" s="8" t="s">
        <v>222</v>
      </c>
      <c r="D497" s="1" t="s">
        <v>211</v>
      </c>
      <c r="E497" s="113">
        <v>240</v>
      </c>
      <c r="F497" s="7">
        <f>F498</f>
        <v>622.79999999999995</v>
      </c>
      <c r="G497" s="7">
        <f>G498</f>
        <v>0</v>
      </c>
      <c r="H497" s="35">
        <f t="shared" si="117"/>
        <v>622.79999999999995</v>
      </c>
      <c r="I497" s="7">
        <f>I498</f>
        <v>0</v>
      </c>
      <c r="J497" s="35">
        <f t="shared" si="114"/>
        <v>622.79999999999995</v>
      </c>
      <c r="K497" s="7">
        <f>K498</f>
        <v>0</v>
      </c>
      <c r="L497" s="35">
        <f t="shared" si="112"/>
        <v>622.79999999999995</v>
      </c>
      <c r="M497" s="7">
        <f>M498</f>
        <v>0</v>
      </c>
      <c r="N497" s="35">
        <f t="shared" si="113"/>
        <v>622.79999999999995</v>
      </c>
      <c r="O497" s="7">
        <f>O498</f>
        <v>0</v>
      </c>
      <c r="P497" s="35">
        <f t="shared" si="109"/>
        <v>622.79999999999995</v>
      </c>
      <c r="Q497" s="7">
        <f>Q498</f>
        <v>-592.79999999999995</v>
      </c>
      <c r="R497" s="35">
        <f t="shared" si="110"/>
        <v>30</v>
      </c>
      <c r="S497" s="7">
        <f>S498</f>
        <v>0</v>
      </c>
      <c r="T497" s="35">
        <f t="shared" si="116"/>
        <v>30</v>
      </c>
    </row>
    <row r="498" spans="1:20" ht="36" customHeight="1">
      <c r="A498" s="61" t="str">
        <f t="shared" ca="1" si="119"/>
        <v xml:space="preserve">Прочая закупка товаров, работ и услуг для обеспечения муниципальных нужд         </v>
      </c>
      <c r="B498" s="43" t="s">
        <v>527</v>
      </c>
      <c r="C498" s="8" t="s">
        <v>222</v>
      </c>
      <c r="D498" s="1" t="s">
        <v>211</v>
      </c>
      <c r="E498" s="113">
        <v>244</v>
      </c>
      <c r="F498" s="7">
        <f>прил.6!G1254</f>
        <v>622.79999999999995</v>
      </c>
      <c r="G498" s="7">
        <f>прил.6!H1254</f>
        <v>0</v>
      </c>
      <c r="H498" s="35">
        <f t="shared" si="117"/>
        <v>622.79999999999995</v>
      </c>
      <c r="I498" s="7">
        <f>прил.6!J1254</f>
        <v>0</v>
      </c>
      <c r="J498" s="35">
        <f t="shared" si="114"/>
        <v>622.79999999999995</v>
      </c>
      <c r="K498" s="7">
        <f>прил.6!L1254</f>
        <v>0</v>
      </c>
      <c r="L498" s="35">
        <f t="shared" si="112"/>
        <v>622.79999999999995</v>
      </c>
      <c r="M498" s="7">
        <f>прил.6!N1254</f>
        <v>0</v>
      </c>
      <c r="N498" s="35">
        <f t="shared" si="113"/>
        <v>622.79999999999995</v>
      </c>
      <c r="O498" s="7">
        <f>прил.6!P1254</f>
        <v>0</v>
      </c>
      <c r="P498" s="35">
        <f t="shared" si="109"/>
        <v>622.79999999999995</v>
      </c>
      <c r="Q498" s="7">
        <f>прил.6!R1254</f>
        <v>-592.79999999999995</v>
      </c>
      <c r="R498" s="35">
        <f t="shared" si="110"/>
        <v>30</v>
      </c>
      <c r="S498" s="7">
        <f>прил.6!T1254</f>
        <v>0</v>
      </c>
      <c r="T498" s="35">
        <f t="shared" si="116"/>
        <v>30</v>
      </c>
    </row>
    <row r="499" spans="1:20" ht="36" customHeight="1">
      <c r="A499" s="61" t="str">
        <f t="shared" ca="1" si="119"/>
        <v>Предоставление субсидий бюджетным, автономным учреждениям и иным некоммерческим организациям</v>
      </c>
      <c r="B499" s="43" t="s">
        <v>527</v>
      </c>
      <c r="C499" s="8" t="s">
        <v>222</v>
      </c>
      <c r="D499" s="1" t="s">
        <v>211</v>
      </c>
      <c r="E499" s="113">
        <v>600</v>
      </c>
      <c r="F499" s="7">
        <f>F500+F502</f>
        <v>4015.3</v>
      </c>
      <c r="G499" s="7">
        <f>G500+G502</f>
        <v>0</v>
      </c>
      <c r="H499" s="35">
        <f t="shared" si="117"/>
        <v>4015.3</v>
      </c>
      <c r="I499" s="7">
        <f>I500+I502</f>
        <v>0</v>
      </c>
      <c r="J499" s="35">
        <f t="shared" si="114"/>
        <v>4015.3</v>
      </c>
      <c r="K499" s="7">
        <f>K500+K502</f>
        <v>0</v>
      </c>
      <c r="L499" s="35">
        <f t="shared" si="112"/>
        <v>4015.3</v>
      </c>
      <c r="M499" s="7">
        <f>M500+M502</f>
        <v>0</v>
      </c>
      <c r="N499" s="35">
        <f t="shared" si="113"/>
        <v>4015.3</v>
      </c>
      <c r="O499" s="7">
        <f>O500+O502</f>
        <v>-797.5</v>
      </c>
      <c r="P499" s="35">
        <f t="shared" si="109"/>
        <v>3217.8</v>
      </c>
      <c r="Q499" s="7">
        <f>Q500+Q502</f>
        <v>442.8</v>
      </c>
      <c r="R499" s="35">
        <f t="shared" si="110"/>
        <v>3660.6000000000004</v>
      </c>
      <c r="S499" s="7">
        <f>S500+S502</f>
        <v>0</v>
      </c>
      <c r="T499" s="35">
        <f t="shared" si="116"/>
        <v>3660.6000000000004</v>
      </c>
    </row>
    <row r="500" spans="1:20">
      <c r="A500" s="61" t="str">
        <f t="shared" ca="1" si="119"/>
        <v>Субсидии бюджетным учреждениям</v>
      </c>
      <c r="B500" s="43" t="s">
        <v>527</v>
      </c>
      <c r="C500" s="8" t="s">
        <v>222</v>
      </c>
      <c r="D500" s="1" t="s">
        <v>211</v>
      </c>
      <c r="E500" s="113">
        <v>610</v>
      </c>
      <c r="F500" s="7">
        <f>F501</f>
        <v>2939.9</v>
      </c>
      <c r="G500" s="7">
        <f>G501</f>
        <v>0</v>
      </c>
      <c r="H500" s="35">
        <f t="shared" si="117"/>
        <v>2939.9</v>
      </c>
      <c r="I500" s="7">
        <f>I501</f>
        <v>0</v>
      </c>
      <c r="J500" s="35">
        <f t="shared" si="114"/>
        <v>2939.9</v>
      </c>
      <c r="K500" s="7">
        <f>K501</f>
        <v>0</v>
      </c>
      <c r="L500" s="35">
        <f t="shared" si="112"/>
        <v>2939.9</v>
      </c>
      <c r="M500" s="7">
        <f>M501</f>
        <v>0</v>
      </c>
      <c r="N500" s="35">
        <f t="shared" si="113"/>
        <v>2939.9</v>
      </c>
      <c r="O500" s="7">
        <f>O501</f>
        <v>-794.5</v>
      </c>
      <c r="P500" s="35">
        <f t="shared" si="109"/>
        <v>2145.4</v>
      </c>
      <c r="Q500" s="7">
        <f>Q501</f>
        <v>-23</v>
      </c>
      <c r="R500" s="35">
        <f t="shared" si="110"/>
        <v>2122.4</v>
      </c>
      <c r="S500" s="7">
        <f>S501</f>
        <v>0</v>
      </c>
      <c r="T500" s="35">
        <f t="shared" si="116"/>
        <v>2122.4</v>
      </c>
    </row>
    <row r="501" spans="1:20" ht="56.25" customHeight="1">
      <c r="A501" s="61" t="str">
        <f t="shared" ca="1" si="119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1" s="43" t="s">
        <v>527</v>
      </c>
      <c r="C501" s="8" t="s">
        <v>222</v>
      </c>
      <c r="D501" s="1" t="s">
        <v>211</v>
      </c>
      <c r="E501" s="113">
        <v>611</v>
      </c>
      <c r="F501" s="7">
        <f>прил.6!G1257</f>
        <v>2939.9</v>
      </c>
      <c r="G501" s="7">
        <f>прил.6!H1257</f>
        <v>0</v>
      </c>
      <c r="H501" s="35">
        <f t="shared" si="117"/>
        <v>2939.9</v>
      </c>
      <c r="I501" s="7">
        <f>прил.6!J1257</f>
        <v>0</v>
      </c>
      <c r="J501" s="35">
        <f t="shared" si="114"/>
        <v>2939.9</v>
      </c>
      <c r="K501" s="7">
        <f>прил.6!L1257</f>
        <v>0</v>
      </c>
      <c r="L501" s="35">
        <f t="shared" si="112"/>
        <v>2939.9</v>
      </c>
      <c r="M501" s="7">
        <f>прил.6!N1257</f>
        <v>0</v>
      </c>
      <c r="N501" s="35">
        <f t="shared" si="113"/>
        <v>2939.9</v>
      </c>
      <c r="O501" s="7">
        <f>прил.6!P1257</f>
        <v>-794.5</v>
      </c>
      <c r="P501" s="35">
        <f t="shared" si="109"/>
        <v>2145.4</v>
      </c>
      <c r="Q501" s="7">
        <f>прил.6!R1257</f>
        <v>-23</v>
      </c>
      <c r="R501" s="35">
        <f t="shared" si="110"/>
        <v>2122.4</v>
      </c>
      <c r="S501" s="7">
        <f>прил.6!T1257</f>
        <v>0</v>
      </c>
      <c r="T501" s="35">
        <f t="shared" si="116"/>
        <v>2122.4</v>
      </c>
    </row>
    <row r="502" spans="1:20">
      <c r="A502" s="61" t="str">
        <f t="shared" ca="1" si="119"/>
        <v>Субсидии автономным учреждениям</v>
      </c>
      <c r="B502" s="43" t="s">
        <v>527</v>
      </c>
      <c r="C502" s="8" t="s">
        <v>222</v>
      </c>
      <c r="D502" s="1" t="s">
        <v>211</v>
      </c>
      <c r="E502" s="113">
        <v>620</v>
      </c>
      <c r="F502" s="7">
        <f>F503</f>
        <v>1075.4000000000001</v>
      </c>
      <c r="G502" s="7">
        <f>G503</f>
        <v>0</v>
      </c>
      <c r="H502" s="35">
        <f t="shared" si="117"/>
        <v>1075.4000000000001</v>
      </c>
      <c r="I502" s="7">
        <f>I503</f>
        <v>0</v>
      </c>
      <c r="J502" s="35">
        <f t="shared" si="114"/>
        <v>1075.4000000000001</v>
      </c>
      <c r="K502" s="7">
        <f>K503</f>
        <v>0</v>
      </c>
      <c r="L502" s="35">
        <f t="shared" si="112"/>
        <v>1075.4000000000001</v>
      </c>
      <c r="M502" s="7">
        <f>M503</f>
        <v>0</v>
      </c>
      <c r="N502" s="35">
        <f t="shared" si="113"/>
        <v>1075.4000000000001</v>
      </c>
      <c r="O502" s="7">
        <f>O503</f>
        <v>-3</v>
      </c>
      <c r="P502" s="35">
        <f t="shared" si="109"/>
        <v>1072.4000000000001</v>
      </c>
      <c r="Q502" s="7">
        <f>Q503</f>
        <v>465.8</v>
      </c>
      <c r="R502" s="35">
        <f t="shared" si="110"/>
        <v>1538.2</v>
      </c>
      <c r="S502" s="7">
        <f>S503</f>
        <v>0</v>
      </c>
      <c r="T502" s="35">
        <f t="shared" si="116"/>
        <v>1538.2</v>
      </c>
    </row>
    <row r="503" spans="1:20" ht="53.25" customHeight="1">
      <c r="A503" s="61" t="str">
        <f t="shared" ca="1" si="119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03" s="43" t="s">
        <v>527</v>
      </c>
      <c r="C503" s="8" t="s">
        <v>222</v>
      </c>
      <c r="D503" s="1" t="s">
        <v>211</v>
      </c>
      <c r="E503" s="113">
        <v>621</v>
      </c>
      <c r="F503" s="7">
        <f>прил.6!G1259</f>
        <v>1075.4000000000001</v>
      </c>
      <c r="G503" s="7">
        <f>прил.6!H1259</f>
        <v>0</v>
      </c>
      <c r="H503" s="35">
        <f t="shared" si="117"/>
        <v>1075.4000000000001</v>
      </c>
      <c r="I503" s="7">
        <f>прил.6!J1259</f>
        <v>0</v>
      </c>
      <c r="J503" s="35">
        <f t="shared" si="114"/>
        <v>1075.4000000000001</v>
      </c>
      <c r="K503" s="7">
        <f>прил.6!L1259</f>
        <v>0</v>
      </c>
      <c r="L503" s="35">
        <f t="shared" si="112"/>
        <v>1075.4000000000001</v>
      </c>
      <c r="M503" s="7">
        <f>прил.6!N1259</f>
        <v>0</v>
      </c>
      <c r="N503" s="35">
        <f t="shared" si="113"/>
        <v>1075.4000000000001</v>
      </c>
      <c r="O503" s="7">
        <f>прил.6!P1259</f>
        <v>-3</v>
      </c>
      <c r="P503" s="35">
        <f t="shared" si="109"/>
        <v>1072.4000000000001</v>
      </c>
      <c r="Q503" s="7">
        <f>прил.6!R1259</f>
        <v>465.8</v>
      </c>
      <c r="R503" s="35">
        <f t="shared" si="110"/>
        <v>1538.2</v>
      </c>
      <c r="S503" s="7">
        <f>прил.6!T1259</f>
        <v>0</v>
      </c>
      <c r="T503" s="35">
        <f t="shared" si="116"/>
        <v>1538.2</v>
      </c>
    </row>
    <row r="504" spans="1:20">
      <c r="A504" s="61" t="str">
        <f ca="1">IF(ISERROR(MATCH(B504,Код_КЦСР,0)),"",INDIRECT(ADDRESS(MATCH(B504,Код_КЦСР,0)+1,2,,,"КЦСР")))</f>
        <v>Спортивный город</v>
      </c>
      <c r="B504" s="43" t="s">
        <v>529</v>
      </c>
      <c r="C504" s="8"/>
      <c r="D504" s="1"/>
      <c r="E504" s="113"/>
      <c r="F504" s="7">
        <f>F505+F512</f>
        <v>13318.7</v>
      </c>
      <c r="G504" s="7">
        <f>G505+G512</f>
        <v>10000</v>
      </c>
      <c r="H504" s="35">
        <f t="shared" si="117"/>
        <v>23318.7</v>
      </c>
      <c r="I504" s="7">
        <f>I505+I512</f>
        <v>0</v>
      </c>
      <c r="J504" s="35">
        <f t="shared" si="114"/>
        <v>23318.7</v>
      </c>
      <c r="K504" s="7">
        <f>K505+K512</f>
        <v>0</v>
      </c>
      <c r="L504" s="35">
        <f t="shared" si="112"/>
        <v>23318.7</v>
      </c>
      <c r="M504" s="7">
        <f>M505+M512</f>
        <v>0</v>
      </c>
      <c r="N504" s="35">
        <f t="shared" si="113"/>
        <v>23318.7</v>
      </c>
      <c r="O504" s="7">
        <f>O505+O512</f>
        <v>0</v>
      </c>
      <c r="P504" s="35">
        <f t="shared" si="109"/>
        <v>23318.7</v>
      </c>
      <c r="Q504" s="7">
        <f>Q505+Q512</f>
        <v>20000</v>
      </c>
      <c r="R504" s="35">
        <f t="shared" si="110"/>
        <v>43318.7</v>
      </c>
      <c r="S504" s="7">
        <f>S505+S512</f>
        <v>0</v>
      </c>
      <c r="T504" s="35">
        <f t="shared" si="116"/>
        <v>43318.7</v>
      </c>
    </row>
    <row r="505" spans="1:20">
      <c r="A505" s="61" t="str">
        <f ca="1">IF(ISERROR(MATCH(C505,Код_Раздел,0)),"",INDIRECT(ADDRESS(MATCH(C505,Код_Раздел,0)+1,2,,,"Раздел")))</f>
        <v>Образование</v>
      </c>
      <c r="B505" s="43" t="s">
        <v>529</v>
      </c>
      <c r="C505" s="8" t="s">
        <v>193</v>
      </c>
      <c r="D505" s="1"/>
      <c r="E505" s="113"/>
      <c r="F505" s="7">
        <f>F506</f>
        <v>7563.1</v>
      </c>
      <c r="G505" s="7">
        <f>G506</f>
        <v>0</v>
      </c>
      <c r="H505" s="35">
        <f t="shared" si="117"/>
        <v>7563.1</v>
      </c>
      <c r="I505" s="7">
        <f>I506</f>
        <v>90.1</v>
      </c>
      <c r="J505" s="35">
        <f t="shared" si="114"/>
        <v>7653.2000000000007</v>
      </c>
      <c r="K505" s="7">
        <f>K506</f>
        <v>0</v>
      </c>
      <c r="L505" s="35">
        <f t="shared" si="112"/>
        <v>7653.2000000000007</v>
      </c>
      <c r="M505" s="7">
        <f>M506</f>
        <v>0</v>
      </c>
      <c r="N505" s="35">
        <f t="shared" si="113"/>
        <v>7653.2000000000007</v>
      </c>
      <c r="O505" s="7">
        <f>O506</f>
        <v>0</v>
      </c>
      <c r="P505" s="35">
        <f t="shared" si="109"/>
        <v>7653.2000000000007</v>
      </c>
      <c r="Q505" s="7">
        <f>Q506</f>
        <v>0</v>
      </c>
      <c r="R505" s="35">
        <f t="shared" si="110"/>
        <v>7653.2000000000007</v>
      </c>
      <c r="S505" s="7">
        <f>S506</f>
        <v>0</v>
      </c>
      <c r="T505" s="35">
        <f t="shared" si="116"/>
        <v>7653.2000000000007</v>
      </c>
    </row>
    <row r="506" spans="1:20">
      <c r="A506" s="12" t="s">
        <v>249</v>
      </c>
      <c r="B506" s="43" t="s">
        <v>529</v>
      </c>
      <c r="C506" s="8" t="s">
        <v>193</v>
      </c>
      <c r="D506" s="1" t="s">
        <v>217</v>
      </c>
      <c r="E506" s="113"/>
      <c r="F506" s="7">
        <f>F507</f>
        <v>7563.1</v>
      </c>
      <c r="G506" s="7">
        <f>G507</f>
        <v>0</v>
      </c>
      <c r="H506" s="35">
        <f t="shared" si="117"/>
        <v>7563.1</v>
      </c>
      <c r="I506" s="7">
        <f>I507</f>
        <v>90.1</v>
      </c>
      <c r="J506" s="35">
        <f t="shared" si="114"/>
        <v>7653.2000000000007</v>
      </c>
      <c r="K506" s="7">
        <f>K507</f>
        <v>0</v>
      </c>
      <c r="L506" s="35">
        <f t="shared" si="112"/>
        <v>7653.2000000000007</v>
      </c>
      <c r="M506" s="7">
        <f>M507</f>
        <v>0</v>
      </c>
      <c r="N506" s="35">
        <f t="shared" si="113"/>
        <v>7653.2000000000007</v>
      </c>
      <c r="O506" s="7">
        <f>O507</f>
        <v>0</v>
      </c>
      <c r="P506" s="35">
        <f t="shared" si="109"/>
        <v>7653.2000000000007</v>
      </c>
      <c r="Q506" s="7">
        <f>Q507</f>
        <v>0</v>
      </c>
      <c r="R506" s="35">
        <f t="shared" si="110"/>
        <v>7653.2000000000007</v>
      </c>
      <c r="S506" s="7">
        <f>S507</f>
        <v>0</v>
      </c>
      <c r="T506" s="35">
        <f t="shared" si="116"/>
        <v>7653.2000000000007</v>
      </c>
    </row>
    <row r="507" spans="1:20" ht="35.25" customHeight="1">
      <c r="A507" s="61" t="str">
        <f ca="1">IF(ISERROR(MATCH(E507,Код_КВР,0)),"",INDIRECT(ADDRESS(MATCH(E507,Код_КВР,0)+1,2,,,"КВР")))</f>
        <v>Предоставление субсидий бюджетным, автономным учреждениям и иным некоммерческим организациям</v>
      </c>
      <c r="B507" s="43" t="s">
        <v>529</v>
      </c>
      <c r="C507" s="8" t="s">
        <v>193</v>
      </c>
      <c r="D507" s="1" t="s">
        <v>217</v>
      </c>
      <c r="E507" s="113">
        <v>600</v>
      </c>
      <c r="F507" s="7">
        <f>F508+F510</f>
        <v>7563.1</v>
      </c>
      <c r="G507" s="7">
        <f>G508+G510</f>
        <v>0</v>
      </c>
      <c r="H507" s="35">
        <f t="shared" si="117"/>
        <v>7563.1</v>
      </c>
      <c r="I507" s="7">
        <f>I508+I510</f>
        <v>90.1</v>
      </c>
      <c r="J507" s="35">
        <f t="shared" si="114"/>
        <v>7653.2000000000007</v>
      </c>
      <c r="K507" s="7">
        <f>K508+K510</f>
        <v>0</v>
      </c>
      <c r="L507" s="35">
        <f t="shared" si="112"/>
        <v>7653.2000000000007</v>
      </c>
      <c r="M507" s="7">
        <f>M508+M510</f>
        <v>0</v>
      </c>
      <c r="N507" s="35">
        <f t="shared" si="113"/>
        <v>7653.2000000000007</v>
      </c>
      <c r="O507" s="7">
        <f>O508+O510</f>
        <v>0</v>
      </c>
      <c r="P507" s="35">
        <f t="shared" si="109"/>
        <v>7653.2000000000007</v>
      </c>
      <c r="Q507" s="7">
        <f>Q508+Q510</f>
        <v>0</v>
      </c>
      <c r="R507" s="35">
        <f t="shared" si="110"/>
        <v>7653.2000000000007</v>
      </c>
      <c r="S507" s="7">
        <f>S508+S510</f>
        <v>0</v>
      </c>
      <c r="T507" s="35">
        <f t="shared" si="116"/>
        <v>7653.2000000000007</v>
      </c>
    </row>
    <row r="508" spans="1:20">
      <c r="A508" s="61" t="str">
        <f ca="1">IF(ISERROR(MATCH(E508,Код_КВР,0)),"",INDIRECT(ADDRESS(MATCH(E508,Код_КВР,0)+1,2,,,"КВР")))</f>
        <v>Субсидии бюджетным учреждениям</v>
      </c>
      <c r="B508" s="43" t="s">
        <v>529</v>
      </c>
      <c r="C508" s="8" t="s">
        <v>193</v>
      </c>
      <c r="D508" s="1" t="s">
        <v>217</v>
      </c>
      <c r="E508" s="113">
        <v>610</v>
      </c>
      <c r="F508" s="7">
        <f>F509</f>
        <v>6732.6</v>
      </c>
      <c r="G508" s="7">
        <f>G509</f>
        <v>0</v>
      </c>
      <c r="H508" s="35">
        <f t="shared" si="117"/>
        <v>6732.6</v>
      </c>
      <c r="I508" s="7">
        <f>I509</f>
        <v>90.1</v>
      </c>
      <c r="J508" s="35">
        <f t="shared" si="114"/>
        <v>6822.7000000000007</v>
      </c>
      <c r="K508" s="7">
        <f>K509</f>
        <v>0</v>
      </c>
      <c r="L508" s="35">
        <f t="shared" si="112"/>
        <v>6822.7000000000007</v>
      </c>
      <c r="M508" s="7">
        <f>M509</f>
        <v>0</v>
      </c>
      <c r="N508" s="35">
        <f t="shared" si="113"/>
        <v>6822.7000000000007</v>
      </c>
      <c r="O508" s="7">
        <f>O509</f>
        <v>0</v>
      </c>
      <c r="P508" s="35">
        <f t="shared" si="109"/>
        <v>6822.7000000000007</v>
      </c>
      <c r="Q508" s="7">
        <f>Q509</f>
        <v>0</v>
      </c>
      <c r="R508" s="35">
        <f t="shared" si="110"/>
        <v>6822.7000000000007</v>
      </c>
      <c r="S508" s="7">
        <f>S509</f>
        <v>0</v>
      </c>
      <c r="T508" s="35">
        <f t="shared" si="116"/>
        <v>6822.7000000000007</v>
      </c>
    </row>
    <row r="509" spans="1:20">
      <c r="A509" s="61" t="str">
        <f ca="1">IF(ISERROR(MATCH(E509,Код_КВР,0)),"",INDIRECT(ADDRESS(MATCH(E509,Код_КВР,0)+1,2,,,"КВР")))</f>
        <v>Субсидии бюджетным учреждениям на иные цели</v>
      </c>
      <c r="B509" s="43" t="s">
        <v>529</v>
      </c>
      <c r="C509" s="8" t="s">
        <v>193</v>
      </c>
      <c r="D509" s="1" t="s">
        <v>217</v>
      </c>
      <c r="E509" s="113">
        <v>612</v>
      </c>
      <c r="F509" s="7">
        <f>прил.6!G1221</f>
        <v>6732.6</v>
      </c>
      <c r="G509" s="7">
        <f>прил.6!H1221</f>
        <v>0</v>
      </c>
      <c r="H509" s="35">
        <f t="shared" si="117"/>
        <v>6732.6</v>
      </c>
      <c r="I509" s="7">
        <f>прил.6!J1221</f>
        <v>90.1</v>
      </c>
      <c r="J509" s="35">
        <f t="shared" si="114"/>
        <v>6822.7000000000007</v>
      </c>
      <c r="K509" s="7">
        <f>прил.6!L1221</f>
        <v>0</v>
      </c>
      <c r="L509" s="35">
        <f t="shared" si="112"/>
        <v>6822.7000000000007</v>
      </c>
      <c r="M509" s="7">
        <f>прил.6!N1221</f>
        <v>0</v>
      </c>
      <c r="N509" s="35">
        <f t="shared" si="113"/>
        <v>6822.7000000000007</v>
      </c>
      <c r="O509" s="7">
        <f>прил.6!P1221</f>
        <v>0</v>
      </c>
      <c r="P509" s="35">
        <f t="shared" si="109"/>
        <v>6822.7000000000007</v>
      </c>
      <c r="Q509" s="7">
        <f>прил.6!R1221</f>
        <v>0</v>
      </c>
      <c r="R509" s="35">
        <f t="shared" si="110"/>
        <v>6822.7000000000007</v>
      </c>
      <c r="S509" s="7">
        <f>прил.6!T1221</f>
        <v>0</v>
      </c>
      <c r="T509" s="35">
        <f t="shared" si="116"/>
        <v>6822.7000000000007</v>
      </c>
    </row>
    <row r="510" spans="1:20">
      <c r="A510" s="61" t="str">
        <f ca="1">IF(ISERROR(MATCH(E510,Код_КВР,0)),"",INDIRECT(ADDRESS(MATCH(E510,Код_КВР,0)+1,2,,,"КВР")))</f>
        <v>Субсидии автономным учреждениям</v>
      </c>
      <c r="B510" s="43" t="s">
        <v>529</v>
      </c>
      <c r="C510" s="8" t="s">
        <v>193</v>
      </c>
      <c r="D510" s="1" t="s">
        <v>217</v>
      </c>
      <c r="E510" s="113">
        <v>620</v>
      </c>
      <c r="F510" s="7">
        <f>F511</f>
        <v>830.5</v>
      </c>
      <c r="G510" s="7">
        <f>G511</f>
        <v>0</v>
      </c>
      <c r="H510" s="35">
        <f t="shared" si="117"/>
        <v>830.5</v>
      </c>
      <c r="I510" s="7">
        <f>I511</f>
        <v>0</v>
      </c>
      <c r="J510" s="35">
        <f t="shared" si="114"/>
        <v>830.5</v>
      </c>
      <c r="K510" s="7">
        <f>K511</f>
        <v>0</v>
      </c>
      <c r="L510" s="35">
        <f t="shared" si="112"/>
        <v>830.5</v>
      </c>
      <c r="M510" s="7">
        <f>M511</f>
        <v>0</v>
      </c>
      <c r="N510" s="35">
        <f t="shared" si="113"/>
        <v>830.5</v>
      </c>
      <c r="O510" s="7">
        <f>O511</f>
        <v>0</v>
      </c>
      <c r="P510" s="35">
        <f t="shared" si="109"/>
        <v>830.5</v>
      </c>
      <c r="Q510" s="7">
        <f>Q511</f>
        <v>0</v>
      </c>
      <c r="R510" s="35">
        <f t="shared" si="110"/>
        <v>830.5</v>
      </c>
      <c r="S510" s="7">
        <f>S511</f>
        <v>0</v>
      </c>
      <c r="T510" s="35">
        <f t="shared" si="116"/>
        <v>830.5</v>
      </c>
    </row>
    <row r="511" spans="1:20">
      <c r="A511" s="61" t="str">
        <f ca="1">IF(ISERROR(MATCH(E511,Код_КВР,0)),"",INDIRECT(ADDRESS(MATCH(E511,Код_КВР,0)+1,2,,,"КВР")))</f>
        <v>Субсидии автономным учреждениям на иные цели</v>
      </c>
      <c r="B511" s="43" t="s">
        <v>529</v>
      </c>
      <c r="C511" s="8" t="s">
        <v>193</v>
      </c>
      <c r="D511" s="1" t="s">
        <v>217</v>
      </c>
      <c r="E511" s="113">
        <v>622</v>
      </c>
      <c r="F511" s="7">
        <f>прил.6!G1223</f>
        <v>830.5</v>
      </c>
      <c r="G511" s="7">
        <f>прил.6!H1223</f>
        <v>0</v>
      </c>
      <c r="H511" s="35">
        <f t="shared" si="117"/>
        <v>830.5</v>
      </c>
      <c r="I511" s="7">
        <f>прил.6!J1223</f>
        <v>0</v>
      </c>
      <c r="J511" s="35">
        <f t="shared" si="114"/>
        <v>830.5</v>
      </c>
      <c r="K511" s="7">
        <f>прил.6!L1223</f>
        <v>0</v>
      </c>
      <c r="L511" s="35">
        <f t="shared" si="112"/>
        <v>830.5</v>
      </c>
      <c r="M511" s="7">
        <f>прил.6!N1223</f>
        <v>0</v>
      </c>
      <c r="N511" s="35">
        <f t="shared" si="113"/>
        <v>830.5</v>
      </c>
      <c r="O511" s="7">
        <f>прил.6!P1223</f>
        <v>0</v>
      </c>
      <c r="P511" s="35">
        <f t="shared" si="109"/>
        <v>830.5</v>
      </c>
      <c r="Q511" s="7">
        <f>прил.6!R1223</f>
        <v>0</v>
      </c>
      <c r="R511" s="35">
        <f t="shared" si="110"/>
        <v>830.5</v>
      </c>
      <c r="S511" s="7">
        <f>прил.6!T1223</f>
        <v>0</v>
      </c>
      <c r="T511" s="35">
        <f t="shared" si="116"/>
        <v>830.5</v>
      </c>
    </row>
    <row r="512" spans="1:20">
      <c r="A512" s="61" t="str">
        <f ca="1">IF(ISERROR(MATCH(C512,Код_Раздел,0)),"",INDIRECT(ADDRESS(MATCH(C512,Код_Раздел,0)+1,2,,,"Раздел")))</f>
        <v>Физическая культура и спорт</v>
      </c>
      <c r="B512" s="43" t="s">
        <v>529</v>
      </c>
      <c r="C512" s="8" t="s">
        <v>222</v>
      </c>
      <c r="D512" s="1"/>
      <c r="E512" s="113"/>
      <c r="F512" s="7">
        <f>F513+F518</f>
        <v>5755.6</v>
      </c>
      <c r="G512" s="7">
        <f>G513+G518</f>
        <v>10000</v>
      </c>
      <c r="H512" s="35">
        <f t="shared" si="117"/>
        <v>15755.6</v>
      </c>
      <c r="I512" s="7">
        <f>I513+I518</f>
        <v>-90.1</v>
      </c>
      <c r="J512" s="35">
        <f t="shared" si="114"/>
        <v>15665.5</v>
      </c>
      <c r="K512" s="7">
        <f>K513+K518</f>
        <v>0</v>
      </c>
      <c r="L512" s="35">
        <f t="shared" si="112"/>
        <v>15665.5</v>
      </c>
      <c r="M512" s="7">
        <f>M513+M518</f>
        <v>0</v>
      </c>
      <c r="N512" s="35">
        <f t="shared" si="113"/>
        <v>15665.5</v>
      </c>
      <c r="O512" s="7">
        <f>O513+O518</f>
        <v>0</v>
      </c>
      <c r="P512" s="35">
        <f t="shared" si="109"/>
        <v>15665.5</v>
      </c>
      <c r="Q512" s="7">
        <f>Q513+Q518</f>
        <v>20000</v>
      </c>
      <c r="R512" s="35">
        <f t="shared" si="110"/>
        <v>35665.5</v>
      </c>
      <c r="S512" s="7">
        <f>S513+S518</f>
        <v>0</v>
      </c>
      <c r="T512" s="35">
        <f t="shared" si="116"/>
        <v>35665.5</v>
      </c>
    </row>
    <row r="513" spans="1:20">
      <c r="A513" s="12" t="s">
        <v>184</v>
      </c>
      <c r="B513" s="43" t="s">
        <v>529</v>
      </c>
      <c r="C513" s="8" t="s">
        <v>222</v>
      </c>
      <c r="D513" s="1" t="s">
        <v>211</v>
      </c>
      <c r="E513" s="113"/>
      <c r="F513" s="7">
        <f>F514</f>
        <v>5255.6</v>
      </c>
      <c r="G513" s="7">
        <f>G514</f>
        <v>10000</v>
      </c>
      <c r="H513" s="35">
        <f t="shared" si="117"/>
        <v>15255.6</v>
      </c>
      <c r="I513" s="7">
        <f>I514</f>
        <v>-205</v>
      </c>
      <c r="J513" s="35">
        <f t="shared" si="114"/>
        <v>15050.6</v>
      </c>
      <c r="K513" s="7">
        <f>K514</f>
        <v>0</v>
      </c>
      <c r="L513" s="35">
        <f t="shared" si="112"/>
        <v>15050.6</v>
      </c>
      <c r="M513" s="7">
        <f>M514</f>
        <v>0</v>
      </c>
      <c r="N513" s="35">
        <f t="shared" si="113"/>
        <v>15050.6</v>
      </c>
      <c r="O513" s="7">
        <f>O514</f>
        <v>0</v>
      </c>
      <c r="P513" s="35">
        <f t="shared" si="109"/>
        <v>15050.6</v>
      </c>
      <c r="Q513" s="7">
        <f>Q514</f>
        <v>20000</v>
      </c>
      <c r="R513" s="35">
        <f t="shared" si="110"/>
        <v>35050.6</v>
      </c>
      <c r="S513" s="7">
        <f>S514</f>
        <v>0</v>
      </c>
      <c r="T513" s="35">
        <f t="shared" si="116"/>
        <v>35050.6</v>
      </c>
    </row>
    <row r="514" spans="1:20" ht="37.5" customHeight="1">
      <c r="A514" s="61" t="str">
        <f ca="1">IF(ISERROR(MATCH(E514,Код_КВР,0)),"",INDIRECT(ADDRESS(MATCH(E514,Код_КВР,0)+1,2,,,"КВР")))</f>
        <v>Предоставление субсидий бюджетным, автономным учреждениям и иным некоммерческим организациям</v>
      </c>
      <c r="B514" s="43" t="s">
        <v>529</v>
      </c>
      <c r="C514" s="8" t="s">
        <v>222</v>
      </c>
      <c r="D514" s="1" t="s">
        <v>211</v>
      </c>
      <c r="E514" s="113">
        <v>600</v>
      </c>
      <c r="F514" s="7">
        <f>F515+F517</f>
        <v>5255.6</v>
      </c>
      <c r="G514" s="7">
        <f>G515+G517</f>
        <v>10000</v>
      </c>
      <c r="H514" s="35">
        <f t="shared" si="117"/>
        <v>15255.6</v>
      </c>
      <c r="I514" s="7">
        <f>I515+I517</f>
        <v>-205</v>
      </c>
      <c r="J514" s="35">
        <f t="shared" si="114"/>
        <v>15050.6</v>
      </c>
      <c r="K514" s="7">
        <f>K515+K517</f>
        <v>0</v>
      </c>
      <c r="L514" s="35">
        <f t="shared" si="112"/>
        <v>15050.6</v>
      </c>
      <c r="M514" s="7">
        <f>M515+M517</f>
        <v>0</v>
      </c>
      <c r="N514" s="35">
        <f t="shared" si="113"/>
        <v>15050.6</v>
      </c>
      <c r="O514" s="7">
        <f>O515+O517</f>
        <v>0</v>
      </c>
      <c r="P514" s="35">
        <f t="shared" si="109"/>
        <v>15050.6</v>
      </c>
      <c r="Q514" s="7">
        <f>Q515+Q517</f>
        <v>20000</v>
      </c>
      <c r="R514" s="35">
        <f t="shared" si="110"/>
        <v>35050.6</v>
      </c>
      <c r="S514" s="7">
        <f>S515+S517</f>
        <v>0</v>
      </c>
      <c r="T514" s="35">
        <f t="shared" si="116"/>
        <v>35050.6</v>
      </c>
    </row>
    <row r="515" spans="1:20">
      <c r="A515" s="61" t="str">
        <f ca="1">IF(ISERROR(MATCH(E515,Код_КВР,0)),"",INDIRECT(ADDRESS(MATCH(E515,Код_КВР,0)+1,2,,,"КВР")))</f>
        <v>Субсидии автономным учреждениям</v>
      </c>
      <c r="B515" s="43" t="s">
        <v>529</v>
      </c>
      <c r="C515" s="8" t="s">
        <v>222</v>
      </c>
      <c r="D515" s="1" t="s">
        <v>211</v>
      </c>
      <c r="E515" s="113">
        <v>620</v>
      </c>
      <c r="F515" s="7">
        <f>F516</f>
        <v>5005.6000000000004</v>
      </c>
      <c r="G515" s="7">
        <f>G516</f>
        <v>0</v>
      </c>
      <c r="H515" s="35">
        <f t="shared" si="117"/>
        <v>5005.6000000000004</v>
      </c>
      <c r="I515" s="7">
        <f>I516</f>
        <v>-255</v>
      </c>
      <c r="J515" s="35">
        <f t="shared" si="114"/>
        <v>4750.6000000000004</v>
      </c>
      <c r="K515" s="7">
        <f>K516</f>
        <v>0</v>
      </c>
      <c r="L515" s="35">
        <f t="shared" si="112"/>
        <v>4750.6000000000004</v>
      </c>
      <c r="M515" s="7">
        <f>M516</f>
        <v>0</v>
      </c>
      <c r="N515" s="35">
        <f t="shared" si="113"/>
        <v>4750.6000000000004</v>
      </c>
      <c r="O515" s="7">
        <f>O516</f>
        <v>0</v>
      </c>
      <c r="P515" s="35">
        <f t="shared" si="109"/>
        <v>4750.6000000000004</v>
      </c>
      <c r="Q515" s="7">
        <f>Q516</f>
        <v>0</v>
      </c>
      <c r="R515" s="35">
        <f t="shared" si="110"/>
        <v>4750.6000000000004</v>
      </c>
      <c r="S515" s="7">
        <f>S516</f>
        <v>0</v>
      </c>
      <c r="T515" s="35">
        <f t="shared" si="116"/>
        <v>4750.6000000000004</v>
      </c>
    </row>
    <row r="516" spans="1:20">
      <c r="A516" s="61" t="str">
        <f ca="1">IF(ISERROR(MATCH(E516,Код_КВР,0)),"",INDIRECT(ADDRESS(MATCH(E516,Код_КВР,0)+1,2,,,"КВР")))</f>
        <v>Субсидии автономным учреждениям на иные цели</v>
      </c>
      <c r="B516" s="43" t="s">
        <v>529</v>
      </c>
      <c r="C516" s="8" t="s">
        <v>222</v>
      </c>
      <c r="D516" s="1" t="s">
        <v>211</v>
      </c>
      <c r="E516" s="113">
        <v>622</v>
      </c>
      <c r="F516" s="7">
        <f>прил.6!G1263</f>
        <v>5005.6000000000004</v>
      </c>
      <c r="G516" s="7">
        <f>прил.6!H1263</f>
        <v>0</v>
      </c>
      <c r="H516" s="35">
        <f t="shared" si="117"/>
        <v>5005.6000000000004</v>
      </c>
      <c r="I516" s="7">
        <f>прил.6!J1263</f>
        <v>-255</v>
      </c>
      <c r="J516" s="35">
        <f t="shared" si="114"/>
        <v>4750.6000000000004</v>
      </c>
      <c r="K516" s="7">
        <f>прил.6!L1263</f>
        <v>0</v>
      </c>
      <c r="L516" s="35">
        <f t="shared" si="112"/>
        <v>4750.6000000000004</v>
      </c>
      <c r="M516" s="7">
        <f>прил.6!N1263</f>
        <v>0</v>
      </c>
      <c r="N516" s="35">
        <f t="shared" si="113"/>
        <v>4750.6000000000004</v>
      </c>
      <c r="O516" s="7">
        <f>прил.6!P1263</f>
        <v>0</v>
      </c>
      <c r="P516" s="35">
        <f t="shared" si="109"/>
        <v>4750.6000000000004</v>
      </c>
      <c r="Q516" s="7">
        <f>прил.6!R1263</f>
        <v>0</v>
      </c>
      <c r="R516" s="35">
        <f t="shared" si="110"/>
        <v>4750.6000000000004</v>
      </c>
      <c r="S516" s="7">
        <f>прил.6!T1263</f>
        <v>0</v>
      </c>
      <c r="T516" s="35">
        <f t="shared" si="116"/>
        <v>4750.6000000000004</v>
      </c>
    </row>
    <row r="517" spans="1:20" ht="36" customHeight="1">
      <c r="A517" s="61" t="str">
        <f ca="1">IF(ISERROR(MATCH(E517,Код_КВР,0)),"",INDIRECT(ADDRESS(MATCH(E517,Код_КВР,0)+1,2,,,"КВР")))</f>
        <v>Субсидии некоммерческим организациям (за исключением государственных (муниципальных) учреждений)</v>
      </c>
      <c r="B517" s="43" t="s">
        <v>529</v>
      </c>
      <c r="C517" s="8" t="s">
        <v>222</v>
      </c>
      <c r="D517" s="1" t="s">
        <v>211</v>
      </c>
      <c r="E517" s="113">
        <v>630</v>
      </c>
      <c r="F517" s="7">
        <f>прил.6!G1264</f>
        <v>250</v>
      </c>
      <c r="G517" s="7">
        <f>прил.6!H1264</f>
        <v>10000</v>
      </c>
      <c r="H517" s="35">
        <f t="shared" si="117"/>
        <v>10250</v>
      </c>
      <c r="I517" s="7">
        <f>прил.6!J1264</f>
        <v>50</v>
      </c>
      <c r="J517" s="35">
        <f t="shared" si="114"/>
        <v>10300</v>
      </c>
      <c r="K517" s="7">
        <f>прил.6!L1264</f>
        <v>0</v>
      </c>
      <c r="L517" s="35">
        <f t="shared" si="112"/>
        <v>10300</v>
      </c>
      <c r="M517" s="7">
        <f>прил.6!N1264</f>
        <v>0</v>
      </c>
      <c r="N517" s="35">
        <f t="shared" si="113"/>
        <v>10300</v>
      </c>
      <c r="O517" s="7">
        <f>прил.6!P1264</f>
        <v>0</v>
      </c>
      <c r="P517" s="35">
        <f t="shared" si="109"/>
        <v>10300</v>
      </c>
      <c r="Q517" s="7">
        <f>прил.6!R1264</f>
        <v>20000</v>
      </c>
      <c r="R517" s="35">
        <f t="shared" si="110"/>
        <v>30300</v>
      </c>
      <c r="S517" s="7">
        <f>прил.6!T1264</f>
        <v>0</v>
      </c>
      <c r="T517" s="35">
        <f t="shared" si="116"/>
        <v>30300</v>
      </c>
    </row>
    <row r="518" spans="1:20">
      <c r="A518" s="12" t="s">
        <v>264</v>
      </c>
      <c r="B518" s="43" t="s">
        <v>529</v>
      </c>
      <c r="C518" s="8" t="s">
        <v>222</v>
      </c>
      <c r="D518" s="1" t="s">
        <v>212</v>
      </c>
      <c r="E518" s="113"/>
      <c r="F518" s="7">
        <f t="shared" ref="F518:S520" si="120">F519</f>
        <v>500</v>
      </c>
      <c r="G518" s="7">
        <f t="shared" si="120"/>
        <v>0</v>
      </c>
      <c r="H518" s="35">
        <f t="shared" si="117"/>
        <v>500</v>
      </c>
      <c r="I518" s="7">
        <f t="shared" si="120"/>
        <v>114.9</v>
      </c>
      <c r="J518" s="35">
        <f t="shared" si="114"/>
        <v>614.9</v>
      </c>
      <c r="K518" s="7">
        <f t="shared" si="120"/>
        <v>0</v>
      </c>
      <c r="L518" s="35">
        <f t="shared" si="112"/>
        <v>614.9</v>
      </c>
      <c r="M518" s="7">
        <f t="shared" si="120"/>
        <v>0</v>
      </c>
      <c r="N518" s="35">
        <f t="shared" si="113"/>
        <v>614.9</v>
      </c>
      <c r="O518" s="7">
        <f t="shared" si="120"/>
        <v>0</v>
      </c>
      <c r="P518" s="35">
        <f t="shared" si="109"/>
        <v>614.9</v>
      </c>
      <c r="Q518" s="7">
        <f t="shared" si="120"/>
        <v>0</v>
      </c>
      <c r="R518" s="35">
        <f t="shared" si="110"/>
        <v>614.9</v>
      </c>
      <c r="S518" s="7">
        <f t="shared" si="120"/>
        <v>0</v>
      </c>
      <c r="T518" s="35">
        <f t="shared" si="116"/>
        <v>614.9</v>
      </c>
    </row>
    <row r="519" spans="1:20" ht="33">
      <c r="A519" s="61" t="str">
        <f ca="1">IF(ISERROR(MATCH(E519,Код_КВР,0)),"",INDIRECT(ADDRESS(MATCH(E519,Код_КВР,0)+1,2,,,"КВР")))</f>
        <v>Предоставление субсидий бюджетным, автономным учреждениям и иным некоммерческим организациям</v>
      </c>
      <c r="B519" s="43" t="s">
        <v>529</v>
      </c>
      <c r="C519" s="8" t="s">
        <v>222</v>
      </c>
      <c r="D519" s="1" t="s">
        <v>212</v>
      </c>
      <c r="E519" s="113">
        <v>600</v>
      </c>
      <c r="F519" s="7">
        <f t="shared" si="120"/>
        <v>500</v>
      </c>
      <c r="G519" s="7">
        <f t="shared" si="120"/>
        <v>0</v>
      </c>
      <c r="H519" s="35">
        <f t="shared" si="117"/>
        <v>500</v>
      </c>
      <c r="I519" s="7">
        <f t="shared" si="120"/>
        <v>114.9</v>
      </c>
      <c r="J519" s="35">
        <f t="shared" si="114"/>
        <v>614.9</v>
      </c>
      <c r="K519" s="7">
        <f t="shared" si="120"/>
        <v>0</v>
      </c>
      <c r="L519" s="35">
        <f t="shared" si="112"/>
        <v>614.9</v>
      </c>
      <c r="M519" s="7">
        <f t="shared" si="120"/>
        <v>0</v>
      </c>
      <c r="N519" s="35">
        <f t="shared" si="113"/>
        <v>614.9</v>
      </c>
      <c r="O519" s="7">
        <f t="shared" si="120"/>
        <v>0</v>
      </c>
      <c r="P519" s="35">
        <f t="shared" si="109"/>
        <v>614.9</v>
      </c>
      <c r="Q519" s="7">
        <f t="shared" si="120"/>
        <v>0</v>
      </c>
      <c r="R519" s="35">
        <f t="shared" si="110"/>
        <v>614.9</v>
      </c>
      <c r="S519" s="7">
        <f t="shared" si="120"/>
        <v>0</v>
      </c>
      <c r="T519" s="35">
        <f t="shared" si="116"/>
        <v>614.9</v>
      </c>
    </row>
    <row r="520" spans="1:20">
      <c r="A520" s="61" t="str">
        <f ca="1">IF(ISERROR(MATCH(E520,Код_КВР,0)),"",INDIRECT(ADDRESS(MATCH(E520,Код_КВР,0)+1,2,,,"КВР")))</f>
        <v>Субсидии автономным учреждениям</v>
      </c>
      <c r="B520" s="43" t="s">
        <v>529</v>
      </c>
      <c r="C520" s="8" t="s">
        <v>222</v>
      </c>
      <c r="D520" s="1" t="s">
        <v>212</v>
      </c>
      <c r="E520" s="113">
        <v>620</v>
      </c>
      <c r="F520" s="7">
        <f t="shared" si="120"/>
        <v>500</v>
      </c>
      <c r="G520" s="7">
        <f t="shared" si="120"/>
        <v>0</v>
      </c>
      <c r="H520" s="35">
        <f t="shared" si="117"/>
        <v>500</v>
      </c>
      <c r="I520" s="7">
        <f t="shared" si="120"/>
        <v>114.9</v>
      </c>
      <c r="J520" s="35">
        <f t="shared" si="114"/>
        <v>614.9</v>
      </c>
      <c r="K520" s="7">
        <f t="shared" si="120"/>
        <v>0</v>
      </c>
      <c r="L520" s="35">
        <f t="shared" si="112"/>
        <v>614.9</v>
      </c>
      <c r="M520" s="7">
        <f t="shared" si="120"/>
        <v>0</v>
      </c>
      <c r="N520" s="35">
        <f t="shared" si="113"/>
        <v>614.9</v>
      </c>
      <c r="O520" s="7">
        <f t="shared" si="120"/>
        <v>0</v>
      </c>
      <c r="P520" s="35">
        <f t="shared" si="109"/>
        <v>614.9</v>
      </c>
      <c r="Q520" s="7">
        <f t="shared" si="120"/>
        <v>0</v>
      </c>
      <c r="R520" s="35">
        <f t="shared" si="110"/>
        <v>614.9</v>
      </c>
      <c r="S520" s="7">
        <f t="shared" si="120"/>
        <v>0</v>
      </c>
      <c r="T520" s="35">
        <f t="shared" si="116"/>
        <v>614.9</v>
      </c>
    </row>
    <row r="521" spans="1:20">
      <c r="A521" s="61" t="str">
        <f ca="1">IF(ISERROR(MATCH(E521,Код_КВР,0)),"",INDIRECT(ADDRESS(MATCH(E521,Код_КВР,0)+1,2,,,"КВР")))</f>
        <v>Субсидии автономным учреждениям на иные цели</v>
      </c>
      <c r="B521" s="43" t="s">
        <v>529</v>
      </c>
      <c r="C521" s="8" t="s">
        <v>222</v>
      </c>
      <c r="D521" s="1" t="s">
        <v>212</v>
      </c>
      <c r="E521" s="113">
        <v>622</v>
      </c>
      <c r="F521" s="7">
        <f>прил.6!G1275</f>
        <v>500</v>
      </c>
      <c r="G521" s="7">
        <f>прил.6!H1275</f>
        <v>0</v>
      </c>
      <c r="H521" s="35">
        <f t="shared" si="117"/>
        <v>500</v>
      </c>
      <c r="I521" s="7">
        <f>прил.6!J1275</f>
        <v>114.9</v>
      </c>
      <c r="J521" s="35">
        <f t="shared" si="114"/>
        <v>614.9</v>
      </c>
      <c r="K521" s="7">
        <f>прил.6!L1275</f>
        <v>0</v>
      </c>
      <c r="L521" s="35">
        <f t="shared" si="112"/>
        <v>614.9</v>
      </c>
      <c r="M521" s="7">
        <f>прил.6!N1275</f>
        <v>0</v>
      </c>
      <c r="N521" s="35">
        <f t="shared" si="113"/>
        <v>614.9</v>
      </c>
      <c r="O521" s="7">
        <f>прил.6!P1275</f>
        <v>0</v>
      </c>
      <c r="P521" s="35">
        <f t="shared" si="109"/>
        <v>614.9</v>
      </c>
      <c r="Q521" s="7">
        <f>прил.6!R1275</f>
        <v>0</v>
      </c>
      <c r="R521" s="35">
        <f t="shared" si="110"/>
        <v>614.9</v>
      </c>
      <c r="S521" s="7">
        <f>прил.6!T1275</f>
        <v>0</v>
      </c>
      <c r="T521" s="35">
        <f t="shared" si="116"/>
        <v>614.9</v>
      </c>
    </row>
    <row r="522" spans="1:20" ht="33">
      <c r="A522" s="61" t="str">
        <f ca="1">IF(ISERROR(MATCH(B522,Код_КЦСР,0)),"",INDIRECT(ADDRESS(MATCH(B522,Код_КЦСР,0)+1,2,,,"КЦСР")))</f>
        <v>Муниципальная программа «Развитие архивного дела» на 2013-2018 годы</v>
      </c>
      <c r="B522" s="43" t="s">
        <v>531</v>
      </c>
      <c r="C522" s="8"/>
      <c r="D522" s="1"/>
      <c r="E522" s="113"/>
      <c r="F522" s="7">
        <f>F523+F535</f>
        <v>13813.9</v>
      </c>
      <c r="G522" s="7">
        <f>G523+G535</f>
        <v>0</v>
      </c>
      <c r="H522" s="35">
        <f t="shared" si="117"/>
        <v>13813.9</v>
      </c>
      <c r="I522" s="7">
        <f>I523+I535</f>
        <v>0</v>
      </c>
      <c r="J522" s="35">
        <f t="shared" si="114"/>
        <v>13813.9</v>
      </c>
      <c r="K522" s="7">
        <f>K523+K535</f>
        <v>-46.7</v>
      </c>
      <c r="L522" s="35">
        <f t="shared" si="112"/>
        <v>13767.199999999999</v>
      </c>
      <c r="M522" s="7">
        <f>M523+M535</f>
        <v>0</v>
      </c>
      <c r="N522" s="35">
        <f t="shared" si="113"/>
        <v>13767.199999999999</v>
      </c>
      <c r="O522" s="7">
        <f>O523+O535</f>
        <v>0</v>
      </c>
      <c r="P522" s="35">
        <f t="shared" si="109"/>
        <v>13767.199999999999</v>
      </c>
      <c r="Q522" s="7">
        <f>Q523+Q535</f>
        <v>0</v>
      </c>
      <c r="R522" s="35">
        <f t="shared" si="110"/>
        <v>13767.199999999999</v>
      </c>
      <c r="S522" s="7">
        <f>S523+S535</f>
        <v>0</v>
      </c>
      <c r="T522" s="35">
        <f t="shared" si="116"/>
        <v>13767.199999999999</v>
      </c>
    </row>
    <row r="523" spans="1:20" ht="52.7" customHeight="1">
      <c r="A523" s="61" t="str">
        <f ca="1">IF(ISERROR(MATCH(B523,Код_КЦСР,0)),"",INDIRECT(ADDRESS(MATCH(B523,Код_КЦСР,0)+1,2,,,"КЦСР")))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23" s="43" t="s">
        <v>533</v>
      </c>
      <c r="C523" s="8"/>
      <c r="D523" s="1"/>
      <c r="E523" s="113"/>
      <c r="F523" s="7">
        <f>F524</f>
        <v>12741.9</v>
      </c>
      <c r="G523" s="7">
        <f>G524</f>
        <v>0</v>
      </c>
      <c r="H523" s="35">
        <f t="shared" si="117"/>
        <v>12741.9</v>
      </c>
      <c r="I523" s="7">
        <f>I524</f>
        <v>0</v>
      </c>
      <c r="J523" s="35">
        <f t="shared" si="114"/>
        <v>12741.9</v>
      </c>
      <c r="K523" s="7">
        <f>K524</f>
        <v>-46.7</v>
      </c>
      <c r="L523" s="35">
        <f t="shared" si="112"/>
        <v>12695.199999999999</v>
      </c>
      <c r="M523" s="7">
        <f>M524</f>
        <v>0</v>
      </c>
      <c r="N523" s="35">
        <f t="shared" si="113"/>
        <v>12695.199999999999</v>
      </c>
      <c r="O523" s="7">
        <f>O524</f>
        <v>0</v>
      </c>
      <c r="P523" s="35">
        <f t="shared" si="109"/>
        <v>12695.199999999999</v>
      </c>
      <c r="Q523" s="7">
        <f>Q524</f>
        <v>0</v>
      </c>
      <c r="R523" s="35">
        <f t="shared" si="110"/>
        <v>12695.199999999999</v>
      </c>
      <c r="S523" s="7">
        <f>S524</f>
        <v>0</v>
      </c>
      <c r="T523" s="35">
        <f t="shared" si="116"/>
        <v>12695.199999999999</v>
      </c>
    </row>
    <row r="524" spans="1:20">
      <c r="A524" s="61" t="str">
        <f ca="1">IF(ISERROR(MATCH(C524,Код_Раздел,0)),"",INDIRECT(ADDRESS(MATCH(C524,Код_Раздел,0)+1,2,,,"Раздел")))</f>
        <v>Общегосударственные  вопросы</v>
      </c>
      <c r="B524" s="43" t="s">
        <v>533</v>
      </c>
      <c r="C524" s="8" t="s">
        <v>211</v>
      </c>
      <c r="D524" s="1"/>
      <c r="E524" s="113"/>
      <c r="F524" s="7">
        <f>F525</f>
        <v>12741.9</v>
      </c>
      <c r="G524" s="7">
        <f>G525</f>
        <v>0</v>
      </c>
      <c r="H524" s="35">
        <f t="shared" si="117"/>
        <v>12741.9</v>
      </c>
      <c r="I524" s="7">
        <f>I525</f>
        <v>0</v>
      </c>
      <c r="J524" s="35">
        <f t="shared" si="114"/>
        <v>12741.9</v>
      </c>
      <c r="K524" s="7">
        <f>K525</f>
        <v>-46.7</v>
      </c>
      <c r="L524" s="35">
        <f t="shared" si="112"/>
        <v>12695.199999999999</v>
      </c>
      <c r="M524" s="7">
        <f>M525</f>
        <v>0</v>
      </c>
      <c r="N524" s="35">
        <f t="shared" si="113"/>
        <v>12695.199999999999</v>
      </c>
      <c r="O524" s="7">
        <f>O525</f>
        <v>0</v>
      </c>
      <c r="P524" s="35">
        <f t="shared" si="109"/>
        <v>12695.199999999999</v>
      </c>
      <c r="Q524" s="7">
        <f>Q525</f>
        <v>0</v>
      </c>
      <c r="R524" s="35">
        <f t="shared" si="110"/>
        <v>12695.199999999999</v>
      </c>
      <c r="S524" s="7">
        <f>S525</f>
        <v>0</v>
      </c>
      <c r="T524" s="35">
        <f t="shared" si="116"/>
        <v>12695.199999999999</v>
      </c>
    </row>
    <row r="525" spans="1:20">
      <c r="A525" s="12" t="s">
        <v>235</v>
      </c>
      <c r="B525" s="43" t="s">
        <v>533</v>
      </c>
      <c r="C525" s="8" t="s">
        <v>211</v>
      </c>
      <c r="D525" s="1" t="s">
        <v>188</v>
      </c>
      <c r="E525" s="113"/>
      <c r="F525" s="7">
        <f>F526+F528+F531</f>
        <v>12741.9</v>
      </c>
      <c r="G525" s="7">
        <f>G526+G528+G531</f>
        <v>0</v>
      </c>
      <c r="H525" s="35">
        <f t="shared" si="117"/>
        <v>12741.9</v>
      </c>
      <c r="I525" s="7">
        <f>I526+I528+I531</f>
        <v>0</v>
      </c>
      <c r="J525" s="35">
        <f t="shared" si="114"/>
        <v>12741.9</v>
      </c>
      <c r="K525" s="7">
        <f>K526+K528+K531</f>
        <v>-46.7</v>
      </c>
      <c r="L525" s="35">
        <f t="shared" si="112"/>
        <v>12695.199999999999</v>
      </c>
      <c r="M525" s="7">
        <f>M526+M528+M531</f>
        <v>0</v>
      </c>
      <c r="N525" s="35">
        <f t="shared" si="113"/>
        <v>12695.199999999999</v>
      </c>
      <c r="O525" s="7">
        <f>O526+O528+O531</f>
        <v>0</v>
      </c>
      <c r="P525" s="35">
        <f t="shared" si="109"/>
        <v>12695.199999999999</v>
      </c>
      <c r="Q525" s="7">
        <f>Q526+Q528+Q531</f>
        <v>0</v>
      </c>
      <c r="R525" s="35">
        <f t="shared" si="110"/>
        <v>12695.199999999999</v>
      </c>
      <c r="S525" s="7">
        <f>S526+S528+S531</f>
        <v>0</v>
      </c>
      <c r="T525" s="35">
        <f t="shared" si="116"/>
        <v>12695.199999999999</v>
      </c>
    </row>
    <row r="526" spans="1:20" ht="39.75" customHeight="1">
      <c r="A526" s="61" t="str">
        <f t="shared" ref="A526:A532" ca="1" si="121">IF(ISERROR(MATCH(E526,Код_КВР,0)),"",INDIRECT(ADDRESS(MATCH(E526,Код_КВР,0)+1,2,,,"КВР")))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26" s="43" t="s">
        <v>533</v>
      </c>
      <c r="C526" s="8" t="s">
        <v>211</v>
      </c>
      <c r="D526" s="1" t="s">
        <v>188</v>
      </c>
      <c r="E526" s="113">
        <v>100</v>
      </c>
      <c r="F526" s="7">
        <f>F527</f>
        <v>6387</v>
      </c>
      <c r="G526" s="7">
        <f>G527</f>
        <v>0</v>
      </c>
      <c r="H526" s="35">
        <f t="shared" si="117"/>
        <v>6387</v>
      </c>
      <c r="I526" s="7">
        <f>I527</f>
        <v>0</v>
      </c>
      <c r="J526" s="35">
        <f t="shared" si="114"/>
        <v>6387</v>
      </c>
      <c r="K526" s="7">
        <f>K527</f>
        <v>0</v>
      </c>
      <c r="L526" s="35">
        <f t="shared" si="112"/>
        <v>6387</v>
      </c>
      <c r="M526" s="7">
        <f>M527</f>
        <v>0</v>
      </c>
      <c r="N526" s="35">
        <f t="shared" si="113"/>
        <v>6387</v>
      </c>
      <c r="O526" s="7">
        <f>O527</f>
        <v>0</v>
      </c>
      <c r="P526" s="35">
        <f t="shared" si="109"/>
        <v>6387</v>
      </c>
      <c r="Q526" s="7">
        <f>Q527</f>
        <v>13</v>
      </c>
      <c r="R526" s="35">
        <f t="shared" si="110"/>
        <v>6400</v>
      </c>
      <c r="S526" s="7">
        <f>S527</f>
        <v>0</v>
      </c>
      <c r="T526" s="35">
        <f t="shared" si="116"/>
        <v>6400</v>
      </c>
    </row>
    <row r="527" spans="1:20">
      <c r="A527" s="61" t="str">
        <f t="shared" ca="1" si="121"/>
        <v>Расходы на выплаты персоналу казенных учреждений</v>
      </c>
      <c r="B527" s="43" t="s">
        <v>533</v>
      </c>
      <c r="C527" s="8" t="s">
        <v>211</v>
      </c>
      <c r="D527" s="1" t="s">
        <v>188</v>
      </c>
      <c r="E527" s="113">
        <v>110</v>
      </c>
      <c r="F527" s="7">
        <f>прил.6!G76</f>
        <v>6387</v>
      </c>
      <c r="G527" s="7">
        <f>прил.6!H76</f>
        <v>0</v>
      </c>
      <c r="H527" s="35">
        <f t="shared" si="117"/>
        <v>6387</v>
      </c>
      <c r="I527" s="7">
        <f>прил.6!J76</f>
        <v>0</v>
      </c>
      <c r="J527" s="35">
        <f t="shared" si="114"/>
        <v>6387</v>
      </c>
      <c r="K527" s="7">
        <f>прил.6!L76</f>
        <v>0</v>
      </c>
      <c r="L527" s="35">
        <f t="shared" si="112"/>
        <v>6387</v>
      </c>
      <c r="M527" s="7">
        <f>прил.6!N76</f>
        <v>0</v>
      </c>
      <c r="N527" s="35">
        <f t="shared" si="113"/>
        <v>6387</v>
      </c>
      <c r="O527" s="7">
        <f>прил.6!P76</f>
        <v>0</v>
      </c>
      <c r="P527" s="35">
        <f t="shared" si="109"/>
        <v>6387</v>
      </c>
      <c r="Q527" s="7">
        <f>прил.6!R76</f>
        <v>13</v>
      </c>
      <c r="R527" s="35">
        <f t="shared" si="110"/>
        <v>6400</v>
      </c>
      <c r="S527" s="7">
        <f>прил.6!T76</f>
        <v>0</v>
      </c>
      <c r="T527" s="35">
        <f t="shared" si="116"/>
        <v>6400</v>
      </c>
    </row>
    <row r="528" spans="1:20">
      <c r="A528" s="61" t="str">
        <f t="shared" ca="1" si="121"/>
        <v>Закупка товаров, работ и услуг для муниципальных нужд</v>
      </c>
      <c r="B528" s="43" t="s">
        <v>533</v>
      </c>
      <c r="C528" s="8" t="s">
        <v>211</v>
      </c>
      <c r="D528" s="1" t="s">
        <v>188</v>
      </c>
      <c r="E528" s="113">
        <v>200</v>
      </c>
      <c r="F528" s="7">
        <f>F529</f>
        <v>4051.8</v>
      </c>
      <c r="G528" s="7">
        <f>G529</f>
        <v>0</v>
      </c>
      <c r="H528" s="35">
        <f t="shared" si="117"/>
        <v>4051.8</v>
      </c>
      <c r="I528" s="7">
        <f>I529</f>
        <v>-2.6</v>
      </c>
      <c r="J528" s="35">
        <f t="shared" si="114"/>
        <v>4049.2000000000003</v>
      </c>
      <c r="K528" s="7">
        <f>K529</f>
        <v>-46.7</v>
      </c>
      <c r="L528" s="35">
        <f t="shared" si="112"/>
        <v>4002.5000000000005</v>
      </c>
      <c r="M528" s="7">
        <f>M529</f>
        <v>0</v>
      </c>
      <c r="N528" s="35">
        <f t="shared" si="113"/>
        <v>4002.5000000000005</v>
      </c>
      <c r="O528" s="7">
        <f>O529</f>
        <v>0</v>
      </c>
      <c r="P528" s="35">
        <f t="shared" si="109"/>
        <v>4002.5000000000005</v>
      </c>
      <c r="Q528" s="7">
        <f>Q529</f>
        <v>-13</v>
      </c>
      <c r="R528" s="35">
        <f t="shared" si="110"/>
        <v>3989.5000000000005</v>
      </c>
      <c r="S528" s="7">
        <f>S529</f>
        <v>-20</v>
      </c>
      <c r="T528" s="35">
        <f t="shared" si="116"/>
        <v>3969.5000000000005</v>
      </c>
    </row>
    <row r="529" spans="1:20" ht="33">
      <c r="A529" s="61" t="str">
        <f t="shared" ca="1" si="121"/>
        <v>Иные закупки товаров, работ и услуг для обеспечения муниципальных нужд</v>
      </c>
      <c r="B529" s="43" t="s">
        <v>533</v>
      </c>
      <c r="C529" s="8" t="s">
        <v>211</v>
      </c>
      <c r="D529" s="1" t="s">
        <v>188</v>
      </c>
      <c r="E529" s="113">
        <v>240</v>
      </c>
      <c r="F529" s="7">
        <f>F530</f>
        <v>4051.8</v>
      </c>
      <c r="G529" s="7">
        <f>G530</f>
        <v>0</v>
      </c>
      <c r="H529" s="35">
        <f t="shared" si="117"/>
        <v>4051.8</v>
      </c>
      <c r="I529" s="7">
        <f>I530</f>
        <v>-2.6</v>
      </c>
      <c r="J529" s="35">
        <f t="shared" si="114"/>
        <v>4049.2000000000003</v>
      </c>
      <c r="K529" s="7">
        <f>K530</f>
        <v>-46.7</v>
      </c>
      <c r="L529" s="35">
        <f t="shared" si="112"/>
        <v>4002.5000000000005</v>
      </c>
      <c r="M529" s="7">
        <f>M530</f>
        <v>0</v>
      </c>
      <c r="N529" s="35">
        <f t="shared" si="113"/>
        <v>4002.5000000000005</v>
      </c>
      <c r="O529" s="7">
        <f>O530</f>
        <v>0</v>
      </c>
      <c r="P529" s="35">
        <f t="shared" si="109"/>
        <v>4002.5000000000005</v>
      </c>
      <c r="Q529" s="7">
        <f>Q530</f>
        <v>-13</v>
      </c>
      <c r="R529" s="35">
        <f t="shared" si="110"/>
        <v>3989.5000000000005</v>
      </c>
      <c r="S529" s="7">
        <f>S530</f>
        <v>-20</v>
      </c>
      <c r="T529" s="35">
        <f t="shared" si="116"/>
        <v>3969.5000000000005</v>
      </c>
    </row>
    <row r="530" spans="1:20" ht="33">
      <c r="A530" s="61" t="str">
        <f t="shared" ca="1" si="121"/>
        <v xml:space="preserve">Прочая закупка товаров, работ и услуг для обеспечения муниципальных нужд         </v>
      </c>
      <c r="B530" s="43" t="s">
        <v>533</v>
      </c>
      <c r="C530" s="8" t="s">
        <v>211</v>
      </c>
      <c r="D530" s="1" t="s">
        <v>188</v>
      </c>
      <c r="E530" s="113">
        <v>244</v>
      </c>
      <c r="F530" s="7">
        <f>прил.6!G79</f>
        <v>4051.8</v>
      </c>
      <c r="G530" s="7">
        <f>прил.6!H79</f>
        <v>0</v>
      </c>
      <c r="H530" s="35">
        <f t="shared" si="117"/>
        <v>4051.8</v>
      </c>
      <c r="I530" s="7">
        <f>прил.6!J79</f>
        <v>-2.6</v>
      </c>
      <c r="J530" s="35">
        <f t="shared" si="114"/>
        <v>4049.2000000000003</v>
      </c>
      <c r="K530" s="7">
        <f>прил.6!L79</f>
        <v>-46.7</v>
      </c>
      <c r="L530" s="35">
        <f t="shared" si="112"/>
        <v>4002.5000000000005</v>
      </c>
      <c r="M530" s="7">
        <f>прил.6!N79</f>
        <v>0</v>
      </c>
      <c r="N530" s="35">
        <f t="shared" si="113"/>
        <v>4002.5000000000005</v>
      </c>
      <c r="O530" s="7">
        <f>прил.6!P79</f>
        <v>0</v>
      </c>
      <c r="P530" s="35">
        <f t="shared" ref="P530:P598" si="122">N530+O530</f>
        <v>4002.5000000000005</v>
      </c>
      <c r="Q530" s="7">
        <f>прил.6!R79</f>
        <v>-13</v>
      </c>
      <c r="R530" s="35">
        <f t="shared" ref="R530:R598" si="123">P530+Q530</f>
        <v>3989.5000000000005</v>
      </c>
      <c r="S530" s="7">
        <f>прил.6!T79</f>
        <v>-20</v>
      </c>
      <c r="T530" s="35">
        <f t="shared" si="116"/>
        <v>3969.5000000000005</v>
      </c>
    </row>
    <row r="531" spans="1:20">
      <c r="A531" s="61" t="str">
        <f t="shared" ca="1" si="121"/>
        <v>Иные бюджетные ассигнования</v>
      </c>
      <c r="B531" s="43" t="s">
        <v>533</v>
      </c>
      <c r="C531" s="8" t="s">
        <v>211</v>
      </c>
      <c r="D531" s="1" t="s">
        <v>188</v>
      </c>
      <c r="E531" s="113">
        <v>800</v>
      </c>
      <c r="F531" s="7">
        <f>F532</f>
        <v>2303.1</v>
      </c>
      <c r="G531" s="7">
        <f>G532</f>
        <v>0</v>
      </c>
      <c r="H531" s="35">
        <f t="shared" si="117"/>
        <v>2303.1</v>
      </c>
      <c r="I531" s="7">
        <f>I532</f>
        <v>2.6</v>
      </c>
      <c r="J531" s="35">
        <f t="shared" si="114"/>
        <v>2305.6999999999998</v>
      </c>
      <c r="K531" s="7">
        <f>K532</f>
        <v>0</v>
      </c>
      <c r="L531" s="35">
        <f t="shared" si="112"/>
        <v>2305.6999999999998</v>
      </c>
      <c r="M531" s="7">
        <f>M532</f>
        <v>0</v>
      </c>
      <c r="N531" s="35">
        <f t="shared" si="113"/>
        <v>2305.6999999999998</v>
      </c>
      <c r="O531" s="7">
        <f>O532</f>
        <v>0</v>
      </c>
      <c r="P531" s="35">
        <f t="shared" si="122"/>
        <v>2305.6999999999998</v>
      </c>
      <c r="Q531" s="7">
        <f>Q532</f>
        <v>0</v>
      </c>
      <c r="R531" s="35">
        <f t="shared" si="123"/>
        <v>2305.6999999999998</v>
      </c>
      <c r="S531" s="7">
        <f>S532</f>
        <v>20</v>
      </c>
      <c r="T531" s="35">
        <f t="shared" si="116"/>
        <v>2325.6999999999998</v>
      </c>
    </row>
    <row r="532" spans="1:20">
      <c r="A532" s="61" t="str">
        <f t="shared" ca="1" si="121"/>
        <v>Уплата налогов, сборов и иных платежей</v>
      </c>
      <c r="B532" s="43" t="s">
        <v>533</v>
      </c>
      <c r="C532" s="8" t="s">
        <v>211</v>
      </c>
      <c r="D532" s="1" t="s">
        <v>188</v>
      </c>
      <c r="E532" s="113">
        <v>850</v>
      </c>
      <c r="F532" s="7">
        <f>F533</f>
        <v>2303.1</v>
      </c>
      <c r="G532" s="7">
        <f>G533</f>
        <v>0</v>
      </c>
      <c r="H532" s="35">
        <f t="shared" si="117"/>
        <v>2303.1</v>
      </c>
      <c r="I532" s="7">
        <f>I533+I534</f>
        <v>2.6</v>
      </c>
      <c r="J532" s="35">
        <f t="shared" si="114"/>
        <v>2305.6999999999998</v>
      </c>
      <c r="K532" s="7">
        <f>K533+K534</f>
        <v>0</v>
      </c>
      <c r="L532" s="35">
        <f t="shared" si="112"/>
        <v>2305.6999999999998</v>
      </c>
      <c r="M532" s="7">
        <f>M533+M534</f>
        <v>0</v>
      </c>
      <c r="N532" s="35">
        <f t="shared" si="113"/>
        <v>2305.6999999999998</v>
      </c>
      <c r="O532" s="7">
        <f>O533+O534</f>
        <v>0</v>
      </c>
      <c r="P532" s="35">
        <f t="shared" si="122"/>
        <v>2305.6999999999998</v>
      </c>
      <c r="Q532" s="7">
        <f>Q533+Q534</f>
        <v>0</v>
      </c>
      <c r="R532" s="35">
        <f t="shared" si="123"/>
        <v>2305.6999999999998</v>
      </c>
      <c r="S532" s="7">
        <f>S533+S534</f>
        <v>20</v>
      </c>
      <c r="T532" s="35">
        <f t="shared" si="116"/>
        <v>2325.6999999999998</v>
      </c>
    </row>
    <row r="533" spans="1:20">
      <c r="A533" s="61" t="str">
        <f ca="1">IF(ISERROR(MATCH(E533,Код_КВР,0)),"",INDIRECT(ADDRESS(MATCH(E533,Код_КВР,0)+1,2,,,"КВР")))</f>
        <v>Уплата налога на имущество организаций и земельного налога</v>
      </c>
      <c r="B533" s="43" t="s">
        <v>533</v>
      </c>
      <c r="C533" s="8" t="s">
        <v>211</v>
      </c>
      <c r="D533" s="1" t="s">
        <v>188</v>
      </c>
      <c r="E533" s="113">
        <v>851</v>
      </c>
      <c r="F533" s="7">
        <f>прил.6!G82</f>
        <v>2303.1</v>
      </c>
      <c r="G533" s="7">
        <f>прил.6!H82</f>
        <v>0</v>
      </c>
      <c r="H533" s="35">
        <f t="shared" si="117"/>
        <v>2303.1</v>
      </c>
      <c r="I533" s="7">
        <f>прил.6!J82</f>
        <v>0</v>
      </c>
      <c r="J533" s="35">
        <f t="shared" si="114"/>
        <v>2303.1</v>
      </c>
      <c r="K533" s="7">
        <f>прил.6!L82</f>
        <v>0</v>
      </c>
      <c r="L533" s="35">
        <f t="shared" si="112"/>
        <v>2303.1</v>
      </c>
      <c r="M533" s="7">
        <f>прил.6!N82</f>
        <v>0</v>
      </c>
      <c r="N533" s="35">
        <f t="shared" si="113"/>
        <v>2303.1</v>
      </c>
      <c r="O533" s="7">
        <f>прил.6!P82</f>
        <v>0</v>
      </c>
      <c r="P533" s="35">
        <f t="shared" si="122"/>
        <v>2303.1</v>
      </c>
      <c r="Q533" s="7">
        <f>прил.6!R82</f>
        <v>0</v>
      </c>
      <c r="R533" s="35">
        <f t="shared" si="123"/>
        <v>2303.1</v>
      </c>
      <c r="S533" s="7">
        <f>прил.6!T82</f>
        <v>0</v>
      </c>
      <c r="T533" s="35">
        <f t="shared" si="116"/>
        <v>2303.1</v>
      </c>
    </row>
    <row r="534" spans="1:20">
      <c r="A534" s="61" t="str">
        <f ca="1">IF(ISERROR(MATCH(E534,Код_КВР,0)),"",INDIRECT(ADDRESS(MATCH(E534,Код_КВР,0)+1,2,,,"КВР")))</f>
        <v>Уплата прочих налогов, сборов и иных платежей</v>
      </c>
      <c r="B534" s="43" t="s">
        <v>533</v>
      </c>
      <c r="C534" s="8" t="s">
        <v>211</v>
      </c>
      <c r="D534" s="1" t="s">
        <v>188</v>
      </c>
      <c r="E534" s="113">
        <v>852</v>
      </c>
      <c r="F534" s="7"/>
      <c r="G534" s="7"/>
      <c r="H534" s="35"/>
      <c r="I534" s="7">
        <f>прил.6!J83</f>
        <v>2.6</v>
      </c>
      <c r="J534" s="35">
        <f t="shared" si="114"/>
        <v>2.6</v>
      </c>
      <c r="K534" s="7">
        <f>прил.6!L83</f>
        <v>0</v>
      </c>
      <c r="L534" s="35">
        <f t="shared" si="112"/>
        <v>2.6</v>
      </c>
      <c r="M534" s="7">
        <f>прил.6!N83</f>
        <v>0</v>
      </c>
      <c r="N534" s="35">
        <f t="shared" si="113"/>
        <v>2.6</v>
      </c>
      <c r="O534" s="7">
        <f>прил.6!P83</f>
        <v>0</v>
      </c>
      <c r="P534" s="35">
        <f t="shared" si="122"/>
        <v>2.6</v>
      </c>
      <c r="Q534" s="7">
        <f>прил.6!R83</f>
        <v>0</v>
      </c>
      <c r="R534" s="35">
        <f>P534+Q534</f>
        <v>2.6</v>
      </c>
      <c r="S534" s="7">
        <f>прил.6!T83</f>
        <v>20</v>
      </c>
      <c r="T534" s="35">
        <f>R534+S534</f>
        <v>22.6</v>
      </c>
    </row>
    <row r="535" spans="1:20" ht="105" customHeight="1">
      <c r="A535" s="61" t="str">
        <f ca="1">IF(ISERROR(MATCH(B535,Код_КЦСР,0)),"",INDIRECT(ADDRESS(MATCH(B535,Код_КЦСР,0)+1,2,,,"КЦСР")))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535" s="113" t="s">
        <v>380</v>
      </c>
      <c r="C535" s="8"/>
      <c r="D535" s="1"/>
      <c r="E535" s="113"/>
      <c r="F535" s="7">
        <f>F536</f>
        <v>1072</v>
      </c>
      <c r="G535" s="7">
        <f>G536</f>
        <v>0</v>
      </c>
      <c r="H535" s="35">
        <f t="shared" si="117"/>
        <v>1072</v>
      </c>
      <c r="I535" s="7">
        <f>I536</f>
        <v>0</v>
      </c>
      <c r="J535" s="35">
        <f t="shared" si="114"/>
        <v>1072</v>
      </c>
      <c r="K535" s="7">
        <f>K536</f>
        <v>0</v>
      </c>
      <c r="L535" s="35">
        <f t="shared" si="112"/>
        <v>1072</v>
      </c>
      <c r="M535" s="7">
        <f>M536</f>
        <v>0</v>
      </c>
      <c r="N535" s="35">
        <f t="shared" si="113"/>
        <v>1072</v>
      </c>
      <c r="O535" s="7">
        <f>O536</f>
        <v>0</v>
      </c>
      <c r="P535" s="35">
        <f t="shared" si="122"/>
        <v>1072</v>
      </c>
      <c r="Q535" s="7">
        <f>Q536</f>
        <v>0</v>
      </c>
      <c r="R535" s="35">
        <f t="shared" si="123"/>
        <v>1072</v>
      </c>
      <c r="S535" s="7">
        <f>S536</f>
        <v>0</v>
      </c>
      <c r="T535" s="35">
        <f t="shared" si="116"/>
        <v>1072</v>
      </c>
    </row>
    <row r="536" spans="1:20">
      <c r="A536" s="61" t="str">
        <f ca="1">IF(ISERROR(MATCH(C536,Код_Раздел,0)),"",INDIRECT(ADDRESS(MATCH(C536,Код_Раздел,0)+1,2,,,"Раздел")))</f>
        <v>Общегосударственные  вопросы</v>
      </c>
      <c r="B536" s="113" t="s">
        <v>380</v>
      </c>
      <c r="C536" s="8" t="s">
        <v>211</v>
      </c>
      <c r="D536" s="1"/>
      <c r="E536" s="113"/>
      <c r="F536" s="7">
        <f>F537</f>
        <v>1072</v>
      </c>
      <c r="G536" s="7">
        <f>G537</f>
        <v>0</v>
      </c>
      <c r="H536" s="35">
        <f t="shared" si="117"/>
        <v>1072</v>
      </c>
      <c r="I536" s="7">
        <f>I537</f>
        <v>0</v>
      </c>
      <c r="J536" s="35">
        <f t="shared" si="114"/>
        <v>1072</v>
      </c>
      <c r="K536" s="7">
        <f>K537</f>
        <v>0</v>
      </c>
      <c r="L536" s="35">
        <f t="shared" si="112"/>
        <v>1072</v>
      </c>
      <c r="M536" s="7">
        <f>M537</f>
        <v>0</v>
      </c>
      <c r="N536" s="35">
        <f t="shared" si="113"/>
        <v>1072</v>
      </c>
      <c r="O536" s="7">
        <f>O537</f>
        <v>0</v>
      </c>
      <c r="P536" s="35">
        <f t="shared" si="122"/>
        <v>1072</v>
      </c>
      <c r="Q536" s="7">
        <f>Q537</f>
        <v>0</v>
      </c>
      <c r="R536" s="35">
        <f t="shared" si="123"/>
        <v>1072</v>
      </c>
      <c r="S536" s="7">
        <f>S537</f>
        <v>0</v>
      </c>
      <c r="T536" s="35">
        <f t="shared" si="116"/>
        <v>1072</v>
      </c>
    </row>
    <row r="537" spans="1:20" ht="18.75" customHeight="1">
      <c r="A537" s="12" t="s">
        <v>235</v>
      </c>
      <c r="B537" s="113" t="s">
        <v>380</v>
      </c>
      <c r="C537" s="8" t="s">
        <v>211</v>
      </c>
      <c r="D537" s="1" t="s">
        <v>188</v>
      </c>
      <c r="E537" s="113"/>
      <c r="F537" s="7">
        <f>F538+F540</f>
        <v>1072</v>
      </c>
      <c r="G537" s="7">
        <f>G538+G540</f>
        <v>0</v>
      </c>
      <c r="H537" s="35">
        <f t="shared" si="117"/>
        <v>1072</v>
      </c>
      <c r="I537" s="7">
        <f>I538+I540</f>
        <v>0</v>
      </c>
      <c r="J537" s="35">
        <f t="shared" si="114"/>
        <v>1072</v>
      </c>
      <c r="K537" s="7">
        <f>K538+K540</f>
        <v>0</v>
      </c>
      <c r="L537" s="35">
        <f t="shared" si="112"/>
        <v>1072</v>
      </c>
      <c r="M537" s="7">
        <f>M538+M540</f>
        <v>0</v>
      </c>
      <c r="N537" s="35">
        <f t="shared" si="113"/>
        <v>1072</v>
      </c>
      <c r="O537" s="7">
        <f>O538+O540</f>
        <v>0</v>
      </c>
      <c r="P537" s="35">
        <f t="shared" si="122"/>
        <v>1072</v>
      </c>
      <c r="Q537" s="7">
        <f>Q538+Q540</f>
        <v>0</v>
      </c>
      <c r="R537" s="35">
        <f t="shared" si="123"/>
        <v>1072</v>
      </c>
      <c r="S537" s="7">
        <f>S538+S540</f>
        <v>0</v>
      </c>
      <c r="T537" s="35">
        <f t="shared" si="116"/>
        <v>1072</v>
      </c>
    </row>
    <row r="538" spans="1:20" ht="36" customHeight="1">
      <c r="A538" s="61" t="str">
        <f ca="1">IF(ISERROR(MATCH(E538,Код_КВР,0)),"",INDIRECT(ADDRESS(MATCH(E538,Код_КВР,0)+1,2,,,"КВР")))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38" s="113" t="s">
        <v>380</v>
      </c>
      <c r="C538" s="8" t="s">
        <v>211</v>
      </c>
      <c r="D538" s="1" t="s">
        <v>188</v>
      </c>
      <c r="E538" s="113">
        <v>100</v>
      </c>
      <c r="F538" s="7">
        <f>F539</f>
        <v>305.2</v>
      </c>
      <c r="G538" s="7">
        <f>G539</f>
        <v>0</v>
      </c>
      <c r="H538" s="35">
        <f t="shared" si="117"/>
        <v>305.2</v>
      </c>
      <c r="I538" s="7">
        <f>I539</f>
        <v>0</v>
      </c>
      <c r="J538" s="35">
        <f t="shared" si="114"/>
        <v>305.2</v>
      </c>
      <c r="K538" s="7">
        <f>K539</f>
        <v>0</v>
      </c>
      <c r="L538" s="35">
        <f t="shared" ref="L538:L606" si="124">J538+K538</f>
        <v>305.2</v>
      </c>
      <c r="M538" s="7">
        <f>M539</f>
        <v>0</v>
      </c>
      <c r="N538" s="35">
        <f t="shared" ref="N538:N606" si="125">L538+M538</f>
        <v>305.2</v>
      </c>
      <c r="O538" s="7">
        <f>O539</f>
        <v>0</v>
      </c>
      <c r="P538" s="35">
        <f t="shared" si="122"/>
        <v>305.2</v>
      </c>
      <c r="Q538" s="7">
        <f>Q539</f>
        <v>0</v>
      </c>
      <c r="R538" s="35">
        <f t="shared" si="123"/>
        <v>305.2</v>
      </c>
      <c r="S538" s="7">
        <f>S539</f>
        <v>0</v>
      </c>
      <c r="T538" s="35">
        <f t="shared" si="116"/>
        <v>305.2</v>
      </c>
    </row>
    <row r="539" spans="1:20">
      <c r="A539" s="61" t="str">
        <f ca="1">IF(ISERROR(MATCH(E539,Код_КВР,0)),"",INDIRECT(ADDRESS(MATCH(E539,Код_КВР,0)+1,2,,,"КВР")))</f>
        <v>Расходы на выплаты персоналу казенных учреждений</v>
      </c>
      <c r="B539" s="113" t="s">
        <v>380</v>
      </c>
      <c r="C539" s="8" t="s">
        <v>211</v>
      </c>
      <c r="D539" s="1" t="s">
        <v>188</v>
      </c>
      <c r="E539" s="113">
        <v>110</v>
      </c>
      <c r="F539" s="7">
        <f>прил.6!G86</f>
        <v>305.2</v>
      </c>
      <c r="G539" s="7">
        <f>прил.6!H86</f>
        <v>0</v>
      </c>
      <c r="H539" s="35">
        <f t="shared" si="117"/>
        <v>305.2</v>
      </c>
      <c r="I539" s="7">
        <f>прил.6!J86</f>
        <v>0</v>
      </c>
      <c r="J539" s="35">
        <f t="shared" si="114"/>
        <v>305.2</v>
      </c>
      <c r="K539" s="7">
        <f>прил.6!L86</f>
        <v>0</v>
      </c>
      <c r="L539" s="35">
        <f t="shared" si="124"/>
        <v>305.2</v>
      </c>
      <c r="M539" s="7">
        <f>прил.6!N86</f>
        <v>0</v>
      </c>
      <c r="N539" s="35">
        <f t="shared" si="125"/>
        <v>305.2</v>
      </c>
      <c r="O539" s="7">
        <f>прил.6!P86</f>
        <v>0</v>
      </c>
      <c r="P539" s="35">
        <f t="shared" si="122"/>
        <v>305.2</v>
      </c>
      <c r="Q539" s="7">
        <f>прил.6!R86</f>
        <v>0</v>
      </c>
      <c r="R539" s="35">
        <f t="shared" si="123"/>
        <v>305.2</v>
      </c>
      <c r="S539" s="7">
        <f>прил.6!T86</f>
        <v>0</v>
      </c>
      <c r="T539" s="35">
        <f t="shared" si="116"/>
        <v>305.2</v>
      </c>
    </row>
    <row r="540" spans="1:20">
      <c r="A540" s="61" t="str">
        <f ca="1">IF(ISERROR(MATCH(E540,Код_КВР,0)),"",INDIRECT(ADDRESS(MATCH(E540,Код_КВР,0)+1,2,,,"КВР")))</f>
        <v>Закупка товаров, работ и услуг для муниципальных нужд</v>
      </c>
      <c r="B540" s="113" t="s">
        <v>380</v>
      </c>
      <c r="C540" s="8" t="s">
        <v>211</v>
      </c>
      <c r="D540" s="1" t="s">
        <v>188</v>
      </c>
      <c r="E540" s="113">
        <v>200</v>
      </c>
      <c r="F540" s="7">
        <f>F541</f>
        <v>766.8</v>
      </c>
      <c r="G540" s="7">
        <f>G541</f>
        <v>0</v>
      </c>
      <c r="H540" s="35">
        <f t="shared" si="117"/>
        <v>766.8</v>
      </c>
      <c r="I540" s="7">
        <f>I541</f>
        <v>0</v>
      </c>
      <c r="J540" s="35">
        <f t="shared" si="114"/>
        <v>766.8</v>
      </c>
      <c r="K540" s="7">
        <f>K541</f>
        <v>0</v>
      </c>
      <c r="L540" s="35">
        <f t="shared" si="124"/>
        <v>766.8</v>
      </c>
      <c r="M540" s="7">
        <f>M541</f>
        <v>0</v>
      </c>
      <c r="N540" s="35">
        <f t="shared" si="125"/>
        <v>766.8</v>
      </c>
      <c r="O540" s="7">
        <f>O541</f>
        <v>0</v>
      </c>
      <c r="P540" s="35">
        <f t="shared" si="122"/>
        <v>766.8</v>
      </c>
      <c r="Q540" s="7">
        <f>Q541</f>
        <v>0</v>
      </c>
      <c r="R540" s="35">
        <f t="shared" si="123"/>
        <v>766.8</v>
      </c>
      <c r="S540" s="7">
        <f>S541</f>
        <v>0</v>
      </c>
      <c r="T540" s="35">
        <f t="shared" si="116"/>
        <v>766.8</v>
      </c>
    </row>
    <row r="541" spans="1:20" ht="35.25" customHeight="1">
      <c r="A541" s="61" t="str">
        <f ca="1">IF(ISERROR(MATCH(E541,Код_КВР,0)),"",INDIRECT(ADDRESS(MATCH(E541,Код_КВР,0)+1,2,,,"КВР")))</f>
        <v>Иные закупки товаров, работ и услуг для обеспечения муниципальных нужд</v>
      </c>
      <c r="B541" s="113" t="s">
        <v>380</v>
      </c>
      <c r="C541" s="8" t="s">
        <v>211</v>
      </c>
      <c r="D541" s="1" t="s">
        <v>188</v>
      </c>
      <c r="E541" s="113">
        <v>240</v>
      </c>
      <c r="F541" s="7">
        <f>F542</f>
        <v>766.8</v>
      </c>
      <c r="G541" s="7">
        <f>G542</f>
        <v>0</v>
      </c>
      <c r="H541" s="35">
        <f t="shared" si="117"/>
        <v>766.8</v>
      </c>
      <c r="I541" s="7">
        <f>I542</f>
        <v>0</v>
      </c>
      <c r="J541" s="35">
        <f t="shared" ref="J541:J609" si="126">H541+I541</f>
        <v>766.8</v>
      </c>
      <c r="K541" s="7">
        <f>K542</f>
        <v>0</v>
      </c>
      <c r="L541" s="35">
        <f t="shared" si="124"/>
        <v>766.8</v>
      </c>
      <c r="M541" s="7">
        <f>M542</f>
        <v>0</v>
      </c>
      <c r="N541" s="35">
        <f t="shared" si="125"/>
        <v>766.8</v>
      </c>
      <c r="O541" s="7">
        <f>O542</f>
        <v>0</v>
      </c>
      <c r="P541" s="35">
        <f t="shared" si="122"/>
        <v>766.8</v>
      </c>
      <c r="Q541" s="7">
        <f>Q542</f>
        <v>0</v>
      </c>
      <c r="R541" s="35">
        <f t="shared" si="123"/>
        <v>766.8</v>
      </c>
      <c r="S541" s="7">
        <f>S542</f>
        <v>0</v>
      </c>
      <c r="T541" s="35">
        <f t="shared" si="116"/>
        <v>766.8</v>
      </c>
    </row>
    <row r="542" spans="1:20" ht="33">
      <c r="A542" s="61" t="str">
        <f ca="1">IF(ISERROR(MATCH(E542,Код_КВР,0)),"",INDIRECT(ADDRESS(MATCH(E542,Код_КВР,0)+1,2,,,"КВР")))</f>
        <v xml:space="preserve">Прочая закупка товаров, работ и услуг для обеспечения муниципальных нужд         </v>
      </c>
      <c r="B542" s="113" t="s">
        <v>380</v>
      </c>
      <c r="C542" s="8" t="s">
        <v>211</v>
      </c>
      <c r="D542" s="1" t="s">
        <v>188</v>
      </c>
      <c r="E542" s="113">
        <v>244</v>
      </c>
      <c r="F542" s="7">
        <f>прил.6!G89</f>
        <v>766.8</v>
      </c>
      <c r="G542" s="7">
        <f>прил.6!H89</f>
        <v>0</v>
      </c>
      <c r="H542" s="35">
        <f t="shared" si="117"/>
        <v>766.8</v>
      </c>
      <c r="I542" s="7">
        <f>прил.6!J89</f>
        <v>0</v>
      </c>
      <c r="J542" s="35">
        <f t="shared" si="126"/>
        <v>766.8</v>
      </c>
      <c r="K542" s="7">
        <f>прил.6!L89</f>
        <v>0</v>
      </c>
      <c r="L542" s="35">
        <f t="shared" si="124"/>
        <v>766.8</v>
      </c>
      <c r="M542" s="7">
        <f>прил.6!N89</f>
        <v>0</v>
      </c>
      <c r="N542" s="35">
        <f t="shared" si="125"/>
        <v>766.8</v>
      </c>
      <c r="O542" s="7">
        <f>прил.6!P89</f>
        <v>0</v>
      </c>
      <c r="P542" s="35">
        <f t="shared" si="122"/>
        <v>766.8</v>
      </c>
      <c r="Q542" s="7">
        <f>прил.6!R89</f>
        <v>0</v>
      </c>
      <c r="R542" s="35">
        <f t="shared" si="123"/>
        <v>766.8</v>
      </c>
      <c r="S542" s="7">
        <f>прил.6!T89</f>
        <v>0</v>
      </c>
      <c r="T542" s="35">
        <f t="shared" si="116"/>
        <v>766.8</v>
      </c>
    </row>
    <row r="543" spans="1:20" ht="33">
      <c r="A543" s="61" t="str">
        <f ca="1">IF(ISERROR(MATCH(B543,Код_КЦСР,0)),"",INDIRECT(ADDRESS(MATCH(B543,Код_КЦСР,0)+1,2,,,"КЦСР")))</f>
        <v>Муниципальная программа «Охрана окружающей среды» на 2013-2022 годы</v>
      </c>
      <c r="B543" s="45" t="s">
        <v>535</v>
      </c>
      <c r="C543" s="8"/>
      <c r="D543" s="1"/>
      <c r="E543" s="113"/>
      <c r="F543" s="7">
        <f>F544+F550+F561+F567</f>
        <v>5500</v>
      </c>
      <c r="G543" s="7">
        <f>G544+G550+G561+G567</f>
        <v>0</v>
      </c>
      <c r="H543" s="35">
        <f t="shared" si="117"/>
        <v>5500</v>
      </c>
      <c r="I543" s="7">
        <f>I544+I550+I561+I567</f>
        <v>0</v>
      </c>
      <c r="J543" s="35">
        <f t="shared" si="126"/>
        <v>5500</v>
      </c>
      <c r="K543" s="7">
        <f>K544+K550+K561+K567</f>
        <v>-0.6</v>
      </c>
      <c r="L543" s="35">
        <f t="shared" si="124"/>
        <v>5499.4</v>
      </c>
      <c r="M543" s="7">
        <f>M544+M550+M561+M567</f>
        <v>-164.3</v>
      </c>
      <c r="N543" s="35">
        <f t="shared" si="125"/>
        <v>5335.0999999999995</v>
      </c>
      <c r="O543" s="7">
        <f>O544+O550+O561+O567</f>
        <v>0</v>
      </c>
      <c r="P543" s="35">
        <f t="shared" si="122"/>
        <v>5335.0999999999995</v>
      </c>
      <c r="Q543" s="7">
        <f>Q544+Q550+Q561+Q567</f>
        <v>0</v>
      </c>
      <c r="R543" s="35">
        <f t="shared" si="123"/>
        <v>5335.0999999999995</v>
      </c>
      <c r="S543" s="7">
        <f>S544+S550+S561+S567</f>
        <v>0</v>
      </c>
      <c r="T543" s="35">
        <f t="shared" si="116"/>
        <v>5335.0999999999995</v>
      </c>
    </row>
    <row r="544" spans="1:20" ht="36.75" customHeight="1">
      <c r="A544" s="61" t="str">
        <f ca="1">IF(ISERROR(MATCH(B544,Код_КЦСР,0)),"",INDIRECT(ADDRESS(MATCH(B544,Код_КЦСР,0)+1,2,,,"КЦСР")))</f>
        <v>Сбор и анализ информации о факторах окружающей среды и оценка их влияния на здоровье населения</v>
      </c>
      <c r="B544" s="45" t="s">
        <v>537</v>
      </c>
      <c r="C544" s="8"/>
      <c r="D544" s="1"/>
      <c r="E544" s="113"/>
      <c r="F544" s="7">
        <f t="shared" ref="F544:S548" si="127">F545</f>
        <v>4795</v>
      </c>
      <c r="G544" s="7">
        <f t="shared" si="127"/>
        <v>0</v>
      </c>
      <c r="H544" s="35">
        <f t="shared" si="117"/>
        <v>4795</v>
      </c>
      <c r="I544" s="7">
        <f t="shared" si="127"/>
        <v>0</v>
      </c>
      <c r="J544" s="35">
        <f t="shared" si="126"/>
        <v>4795</v>
      </c>
      <c r="K544" s="7">
        <f t="shared" si="127"/>
        <v>-0.6</v>
      </c>
      <c r="L544" s="35">
        <f t="shared" si="124"/>
        <v>4794.3999999999996</v>
      </c>
      <c r="M544" s="7">
        <f t="shared" si="127"/>
        <v>0</v>
      </c>
      <c r="N544" s="35">
        <f t="shared" si="125"/>
        <v>4794.3999999999996</v>
      </c>
      <c r="O544" s="7">
        <f t="shared" si="127"/>
        <v>0</v>
      </c>
      <c r="P544" s="35">
        <f t="shared" si="122"/>
        <v>4794.3999999999996</v>
      </c>
      <c r="Q544" s="7">
        <f t="shared" si="127"/>
        <v>0</v>
      </c>
      <c r="R544" s="35">
        <f t="shared" si="123"/>
        <v>4794.3999999999996</v>
      </c>
      <c r="S544" s="7">
        <f t="shared" si="127"/>
        <v>0</v>
      </c>
      <c r="T544" s="35">
        <f t="shared" ref="T544:T607" si="128">R544+S544</f>
        <v>4794.3999999999996</v>
      </c>
    </row>
    <row r="545" spans="1:20">
      <c r="A545" s="61" t="str">
        <f ca="1">IF(ISERROR(MATCH(C545,Код_Раздел,0)),"",INDIRECT(ADDRESS(MATCH(C545,Код_Раздел,0)+1,2,,,"Раздел")))</f>
        <v>Охрана окружающей среды</v>
      </c>
      <c r="B545" s="45" t="s">
        <v>537</v>
      </c>
      <c r="C545" s="8" t="s">
        <v>215</v>
      </c>
      <c r="D545" s="1"/>
      <c r="E545" s="113"/>
      <c r="F545" s="7">
        <f t="shared" si="127"/>
        <v>4795</v>
      </c>
      <c r="G545" s="7">
        <f t="shared" si="127"/>
        <v>0</v>
      </c>
      <c r="H545" s="35">
        <f t="shared" si="117"/>
        <v>4795</v>
      </c>
      <c r="I545" s="7">
        <f t="shared" si="127"/>
        <v>0</v>
      </c>
      <c r="J545" s="35">
        <f t="shared" si="126"/>
        <v>4795</v>
      </c>
      <c r="K545" s="7">
        <f t="shared" si="127"/>
        <v>-0.6</v>
      </c>
      <c r="L545" s="35">
        <f t="shared" si="124"/>
        <v>4794.3999999999996</v>
      </c>
      <c r="M545" s="7">
        <f t="shared" si="127"/>
        <v>0</v>
      </c>
      <c r="N545" s="35">
        <f t="shared" si="125"/>
        <v>4794.3999999999996</v>
      </c>
      <c r="O545" s="7">
        <f t="shared" si="127"/>
        <v>0</v>
      </c>
      <c r="P545" s="35">
        <f t="shared" si="122"/>
        <v>4794.3999999999996</v>
      </c>
      <c r="Q545" s="7">
        <f t="shared" si="127"/>
        <v>0</v>
      </c>
      <c r="R545" s="35">
        <f t="shared" si="123"/>
        <v>4794.3999999999996</v>
      </c>
      <c r="S545" s="7">
        <f t="shared" si="127"/>
        <v>0</v>
      </c>
      <c r="T545" s="35">
        <f t="shared" si="128"/>
        <v>4794.3999999999996</v>
      </c>
    </row>
    <row r="546" spans="1:20">
      <c r="A546" s="12" t="s">
        <v>253</v>
      </c>
      <c r="B546" s="45" t="s">
        <v>537</v>
      </c>
      <c r="C546" s="8" t="s">
        <v>215</v>
      </c>
      <c r="D546" s="1" t="s">
        <v>219</v>
      </c>
      <c r="E546" s="113"/>
      <c r="F546" s="7">
        <f t="shared" si="127"/>
        <v>4795</v>
      </c>
      <c r="G546" s="7">
        <f t="shared" si="127"/>
        <v>0</v>
      </c>
      <c r="H546" s="35">
        <f t="shared" si="117"/>
        <v>4795</v>
      </c>
      <c r="I546" s="7">
        <f t="shared" si="127"/>
        <v>0</v>
      </c>
      <c r="J546" s="35">
        <f t="shared" si="126"/>
        <v>4795</v>
      </c>
      <c r="K546" s="7">
        <f t="shared" si="127"/>
        <v>-0.6</v>
      </c>
      <c r="L546" s="35">
        <f t="shared" si="124"/>
        <v>4794.3999999999996</v>
      </c>
      <c r="M546" s="7">
        <f t="shared" si="127"/>
        <v>0</v>
      </c>
      <c r="N546" s="35">
        <f t="shared" si="125"/>
        <v>4794.3999999999996</v>
      </c>
      <c r="O546" s="7">
        <f t="shared" si="127"/>
        <v>0</v>
      </c>
      <c r="P546" s="35">
        <f t="shared" si="122"/>
        <v>4794.3999999999996</v>
      </c>
      <c r="Q546" s="7">
        <f t="shared" si="127"/>
        <v>0</v>
      </c>
      <c r="R546" s="35">
        <f t="shared" si="123"/>
        <v>4794.3999999999996</v>
      </c>
      <c r="S546" s="7">
        <f t="shared" si="127"/>
        <v>0</v>
      </c>
      <c r="T546" s="35">
        <f t="shared" si="128"/>
        <v>4794.3999999999996</v>
      </c>
    </row>
    <row r="547" spans="1:20">
      <c r="A547" s="61" t="str">
        <f ca="1">IF(ISERROR(MATCH(E547,Код_КВР,0)),"",INDIRECT(ADDRESS(MATCH(E547,Код_КВР,0)+1,2,,,"КВР")))</f>
        <v>Закупка товаров, работ и услуг для муниципальных нужд</v>
      </c>
      <c r="B547" s="45" t="s">
        <v>537</v>
      </c>
      <c r="C547" s="8" t="s">
        <v>215</v>
      </c>
      <c r="D547" s="1" t="s">
        <v>219</v>
      </c>
      <c r="E547" s="113">
        <v>200</v>
      </c>
      <c r="F547" s="7">
        <f t="shared" si="127"/>
        <v>4795</v>
      </c>
      <c r="G547" s="7">
        <f t="shared" si="127"/>
        <v>0</v>
      </c>
      <c r="H547" s="35">
        <f t="shared" si="117"/>
        <v>4795</v>
      </c>
      <c r="I547" s="7">
        <f t="shared" si="127"/>
        <v>0</v>
      </c>
      <c r="J547" s="35">
        <f t="shared" si="126"/>
        <v>4795</v>
      </c>
      <c r="K547" s="7">
        <f t="shared" si="127"/>
        <v>-0.6</v>
      </c>
      <c r="L547" s="35">
        <f t="shared" si="124"/>
        <v>4794.3999999999996</v>
      </c>
      <c r="M547" s="7">
        <f t="shared" si="127"/>
        <v>0</v>
      </c>
      <c r="N547" s="35">
        <f t="shared" si="125"/>
        <v>4794.3999999999996</v>
      </c>
      <c r="O547" s="7">
        <f t="shared" si="127"/>
        <v>0</v>
      </c>
      <c r="P547" s="35">
        <f t="shared" si="122"/>
        <v>4794.3999999999996</v>
      </c>
      <c r="Q547" s="7">
        <f t="shared" si="127"/>
        <v>0</v>
      </c>
      <c r="R547" s="35">
        <f t="shared" si="123"/>
        <v>4794.3999999999996</v>
      </c>
      <c r="S547" s="7">
        <f t="shared" si="127"/>
        <v>0</v>
      </c>
      <c r="T547" s="35">
        <f t="shared" si="128"/>
        <v>4794.3999999999996</v>
      </c>
    </row>
    <row r="548" spans="1:20" ht="33.75" customHeight="1">
      <c r="A548" s="61" t="str">
        <f ca="1">IF(ISERROR(MATCH(E548,Код_КВР,0)),"",INDIRECT(ADDRESS(MATCH(E548,Код_КВР,0)+1,2,,,"КВР")))</f>
        <v>Иные закупки товаров, работ и услуг для обеспечения муниципальных нужд</v>
      </c>
      <c r="B548" s="45" t="s">
        <v>537</v>
      </c>
      <c r="C548" s="8" t="s">
        <v>215</v>
      </c>
      <c r="D548" s="1" t="s">
        <v>219</v>
      </c>
      <c r="E548" s="113">
        <v>240</v>
      </c>
      <c r="F548" s="7">
        <f t="shared" si="127"/>
        <v>4795</v>
      </c>
      <c r="G548" s="7">
        <f t="shared" si="127"/>
        <v>0</v>
      </c>
      <c r="H548" s="35">
        <f t="shared" si="117"/>
        <v>4795</v>
      </c>
      <c r="I548" s="7">
        <f t="shared" si="127"/>
        <v>0</v>
      </c>
      <c r="J548" s="35">
        <f t="shared" si="126"/>
        <v>4795</v>
      </c>
      <c r="K548" s="7">
        <f t="shared" si="127"/>
        <v>-0.6</v>
      </c>
      <c r="L548" s="35">
        <f t="shared" si="124"/>
        <v>4794.3999999999996</v>
      </c>
      <c r="M548" s="7">
        <f t="shared" si="127"/>
        <v>0</v>
      </c>
      <c r="N548" s="35">
        <f t="shared" si="125"/>
        <v>4794.3999999999996</v>
      </c>
      <c r="O548" s="7">
        <f t="shared" si="127"/>
        <v>0</v>
      </c>
      <c r="P548" s="35">
        <f t="shared" si="122"/>
        <v>4794.3999999999996</v>
      </c>
      <c r="Q548" s="7">
        <f t="shared" si="127"/>
        <v>0</v>
      </c>
      <c r="R548" s="35">
        <f t="shared" si="123"/>
        <v>4794.3999999999996</v>
      </c>
      <c r="S548" s="7">
        <f t="shared" si="127"/>
        <v>0</v>
      </c>
      <c r="T548" s="35">
        <f t="shared" si="128"/>
        <v>4794.3999999999996</v>
      </c>
    </row>
    <row r="549" spans="1:20" ht="33">
      <c r="A549" s="61" t="str">
        <f ca="1">IF(ISERROR(MATCH(E549,Код_КВР,0)),"",INDIRECT(ADDRESS(MATCH(E549,Код_КВР,0)+1,2,,,"КВР")))</f>
        <v xml:space="preserve">Прочая закупка товаров, работ и услуг для обеспечения муниципальных нужд         </v>
      </c>
      <c r="B549" s="45" t="s">
        <v>537</v>
      </c>
      <c r="C549" s="8" t="s">
        <v>215</v>
      </c>
      <c r="D549" s="1" t="s">
        <v>219</v>
      </c>
      <c r="E549" s="113">
        <v>244</v>
      </c>
      <c r="F549" s="7">
        <f>прил.6!G1739</f>
        <v>4795</v>
      </c>
      <c r="G549" s="7">
        <f>прил.6!H1739</f>
        <v>0</v>
      </c>
      <c r="H549" s="35">
        <f t="shared" ref="H549:H617" si="129">F549+G549</f>
        <v>4795</v>
      </c>
      <c r="I549" s="7">
        <f>прил.6!J1739</f>
        <v>0</v>
      </c>
      <c r="J549" s="35">
        <f t="shared" si="126"/>
        <v>4795</v>
      </c>
      <c r="K549" s="7">
        <f>прил.6!L1739</f>
        <v>-0.6</v>
      </c>
      <c r="L549" s="35">
        <f t="shared" si="124"/>
        <v>4794.3999999999996</v>
      </c>
      <c r="M549" s="7">
        <f>прил.6!N1739</f>
        <v>0</v>
      </c>
      <c r="N549" s="35">
        <f t="shared" si="125"/>
        <v>4794.3999999999996</v>
      </c>
      <c r="O549" s="7">
        <f>прил.6!P1739</f>
        <v>0</v>
      </c>
      <c r="P549" s="35">
        <f t="shared" si="122"/>
        <v>4794.3999999999996</v>
      </c>
      <c r="Q549" s="7">
        <f>прил.6!R1739</f>
        <v>0</v>
      </c>
      <c r="R549" s="35">
        <f t="shared" si="123"/>
        <v>4794.3999999999996</v>
      </c>
      <c r="S549" s="7">
        <f>прил.6!T1739</f>
        <v>0</v>
      </c>
      <c r="T549" s="35">
        <f t="shared" si="128"/>
        <v>4794.3999999999996</v>
      </c>
    </row>
    <row r="550" spans="1:20" ht="33">
      <c r="A550" s="61" t="str">
        <f ca="1">IF(ISERROR(MATCH(B550,Код_КЦСР,0)),"",INDIRECT(ADDRESS(MATCH(B550,Код_КЦСР,0)+1,2,,,"КЦСР")))</f>
        <v>Организация мероприятий по экологическому образованию и воспитанию населения</v>
      </c>
      <c r="B550" s="45" t="s">
        <v>539</v>
      </c>
      <c r="C550" s="8"/>
      <c r="D550" s="1"/>
      <c r="E550" s="113"/>
      <c r="F550" s="7">
        <f>F551+F556</f>
        <v>475</v>
      </c>
      <c r="G550" s="7">
        <f>G551+G556</f>
        <v>0</v>
      </c>
      <c r="H550" s="35">
        <f t="shared" si="129"/>
        <v>475</v>
      </c>
      <c r="I550" s="7">
        <f>I551+I556</f>
        <v>0</v>
      </c>
      <c r="J550" s="35">
        <f t="shared" si="126"/>
        <v>475</v>
      </c>
      <c r="K550" s="7">
        <f>K551+K556</f>
        <v>0</v>
      </c>
      <c r="L550" s="35">
        <f t="shared" si="124"/>
        <v>475</v>
      </c>
      <c r="M550" s="7">
        <f>M551+M556</f>
        <v>0</v>
      </c>
      <c r="N550" s="35">
        <f t="shared" si="125"/>
        <v>475</v>
      </c>
      <c r="O550" s="7">
        <f>O551+O556</f>
        <v>0</v>
      </c>
      <c r="P550" s="35">
        <f t="shared" si="122"/>
        <v>475</v>
      </c>
      <c r="Q550" s="7">
        <f>Q551+Q556</f>
        <v>0</v>
      </c>
      <c r="R550" s="35">
        <f t="shared" si="123"/>
        <v>475</v>
      </c>
      <c r="S550" s="7">
        <f>S551+S556</f>
        <v>0</v>
      </c>
      <c r="T550" s="35">
        <f t="shared" si="128"/>
        <v>475</v>
      </c>
    </row>
    <row r="551" spans="1:20">
      <c r="A551" s="61" t="str">
        <f ca="1">IF(ISERROR(MATCH(C551,Код_Раздел,0)),"",INDIRECT(ADDRESS(MATCH(C551,Код_Раздел,0)+1,2,,,"Раздел")))</f>
        <v>Образование</v>
      </c>
      <c r="B551" s="45" t="s">
        <v>539</v>
      </c>
      <c r="C551" s="8" t="s">
        <v>193</v>
      </c>
      <c r="D551" s="1"/>
      <c r="E551" s="113"/>
      <c r="F551" s="7">
        <f t="shared" ref="F551:S554" si="130">F552</f>
        <v>465</v>
      </c>
      <c r="G551" s="7">
        <f t="shared" si="130"/>
        <v>0</v>
      </c>
      <c r="H551" s="35">
        <f t="shared" si="129"/>
        <v>465</v>
      </c>
      <c r="I551" s="7">
        <f t="shared" si="130"/>
        <v>0</v>
      </c>
      <c r="J551" s="35">
        <f t="shared" si="126"/>
        <v>465</v>
      </c>
      <c r="K551" s="7">
        <f t="shared" si="130"/>
        <v>0</v>
      </c>
      <c r="L551" s="35">
        <f t="shared" si="124"/>
        <v>465</v>
      </c>
      <c r="M551" s="7">
        <f t="shared" si="130"/>
        <v>0</v>
      </c>
      <c r="N551" s="35">
        <f t="shared" si="125"/>
        <v>465</v>
      </c>
      <c r="O551" s="7">
        <f t="shared" si="130"/>
        <v>0</v>
      </c>
      <c r="P551" s="35">
        <f t="shared" si="122"/>
        <v>465</v>
      </c>
      <c r="Q551" s="7">
        <f t="shared" si="130"/>
        <v>0</v>
      </c>
      <c r="R551" s="35">
        <f t="shared" si="123"/>
        <v>465</v>
      </c>
      <c r="S551" s="7">
        <f t="shared" si="130"/>
        <v>0</v>
      </c>
      <c r="T551" s="35">
        <f t="shared" si="128"/>
        <v>465</v>
      </c>
    </row>
    <row r="552" spans="1:20">
      <c r="A552" s="12" t="s">
        <v>249</v>
      </c>
      <c r="B552" s="45" t="s">
        <v>539</v>
      </c>
      <c r="C552" s="8" t="s">
        <v>193</v>
      </c>
      <c r="D552" s="1" t="s">
        <v>217</v>
      </c>
      <c r="E552" s="113"/>
      <c r="F552" s="7">
        <f t="shared" si="130"/>
        <v>465</v>
      </c>
      <c r="G552" s="7">
        <f t="shared" si="130"/>
        <v>0</v>
      </c>
      <c r="H552" s="35">
        <f t="shared" si="129"/>
        <v>465</v>
      </c>
      <c r="I552" s="7">
        <f t="shared" si="130"/>
        <v>0</v>
      </c>
      <c r="J552" s="35">
        <f t="shared" si="126"/>
        <v>465</v>
      </c>
      <c r="K552" s="7">
        <f t="shared" si="130"/>
        <v>0</v>
      </c>
      <c r="L552" s="35">
        <f t="shared" si="124"/>
        <v>465</v>
      </c>
      <c r="M552" s="7">
        <f t="shared" si="130"/>
        <v>0</v>
      </c>
      <c r="N552" s="35">
        <f t="shared" si="125"/>
        <v>465</v>
      </c>
      <c r="O552" s="7">
        <f t="shared" si="130"/>
        <v>0</v>
      </c>
      <c r="P552" s="35">
        <f t="shared" si="122"/>
        <v>465</v>
      </c>
      <c r="Q552" s="7">
        <f t="shared" si="130"/>
        <v>0</v>
      </c>
      <c r="R552" s="35">
        <f t="shared" si="123"/>
        <v>465</v>
      </c>
      <c r="S552" s="7">
        <f t="shared" si="130"/>
        <v>0</v>
      </c>
      <c r="T552" s="35">
        <f t="shared" si="128"/>
        <v>465</v>
      </c>
    </row>
    <row r="553" spans="1:20" ht="33">
      <c r="A553" s="61" t="str">
        <f ca="1">IF(ISERROR(MATCH(E553,Код_КВР,0)),"",INDIRECT(ADDRESS(MATCH(E553,Код_КВР,0)+1,2,,,"КВР")))</f>
        <v>Предоставление субсидий бюджетным, автономным учреждениям и иным некоммерческим организациям</v>
      </c>
      <c r="B553" s="45" t="s">
        <v>539</v>
      </c>
      <c r="C553" s="8" t="s">
        <v>193</v>
      </c>
      <c r="D553" s="1" t="s">
        <v>217</v>
      </c>
      <c r="E553" s="113">
        <v>600</v>
      </c>
      <c r="F553" s="7">
        <f t="shared" si="130"/>
        <v>465</v>
      </c>
      <c r="G553" s="7">
        <f t="shared" si="130"/>
        <v>0</v>
      </c>
      <c r="H553" s="35">
        <f t="shared" si="129"/>
        <v>465</v>
      </c>
      <c r="I553" s="7">
        <f t="shared" si="130"/>
        <v>0</v>
      </c>
      <c r="J553" s="35">
        <f t="shared" si="126"/>
        <v>465</v>
      </c>
      <c r="K553" s="7">
        <f t="shared" si="130"/>
        <v>0</v>
      </c>
      <c r="L553" s="35">
        <f t="shared" si="124"/>
        <v>465</v>
      </c>
      <c r="M553" s="7">
        <f t="shared" si="130"/>
        <v>0</v>
      </c>
      <c r="N553" s="35">
        <f t="shared" si="125"/>
        <v>465</v>
      </c>
      <c r="O553" s="7">
        <f t="shared" si="130"/>
        <v>0</v>
      </c>
      <c r="P553" s="35">
        <f t="shared" si="122"/>
        <v>465</v>
      </c>
      <c r="Q553" s="7">
        <f t="shared" si="130"/>
        <v>0</v>
      </c>
      <c r="R553" s="35">
        <f t="shared" si="123"/>
        <v>465</v>
      </c>
      <c r="S553" s="7">
        <f t="shared" si="130"/>
        <v>0</v>
      </c>
      <c r="T553" s="35">
        <f t="shared" si="128"/>
        <v>465</v>
      </c>
    </row>
    <row r="554" spans="1:20">
      <c r="A554" s="61" t="str">
        <f ca="1">IF(ISERROR(MATCH(E554,Код_КВР,0)),"",INDIRECT(ADDRESS(MATCH(E554,Код_КВР,0)+1,2,,,"КВР")))</f>
        <v>Субсидии бюджетным учреждениям</v>
      </c>
      <c r="B554" s="45" t="s">
        <v>539</v>
      </c>
      <c r="C554" s="8" t="s">
        <v>193</v>
      </c>
      <c r="D554" s="1" t="s">
        <v>217</v>
      </c>
      <c r="E554" s="113">
        <v>610</v>
      </c>
      <c r="F554" s="7">
        <f t="shared" si="130"/>
        <v>465</v>
      </c>
      <c r="G554" s="7">
        <f t="shared" si="130"/>
        <v>0</v>
      </c>
      <c r="H554" s="35">
        <f t="shared" si="129"/>
        <v>465</v>
      </c>
      <c r="I554" s="7">
        <f t="shared" si="130"/>
        <v>0</v>
      </c>
      <c r="J554" s="35">
        <f t="shared" si="126"/>
        <v>465</v>
      </c>
      <c r="K554" s="7">
        <f t="shared" si="130"/>
        <v>0</v>
      </c>
      <c r="L554" s="35">
        <f t="shared" si="124"/>
        <v>465</v>
      </c>
      <c r="M554" s="7">
        <f t="shared" si="130"/>
        <v>0</v>
      </c>
      <c r="N554" s="35">
        <f t="shared" si="125"/>
        <v>465</v>
      </c>
      <c r="O554" s="7">
        <f t="shared" si="130"/>
        <v>0</v>
      </c>
      <c r="P554" s="35">
        <f t="shared" si="122"/>
        <v>465</v>
      </c>
      <c r="Q554" s="7">
        <f t="shared" si="130"/>
        <v>0</v>
      </c>
      <c r="R554" s="35">
        <f t="shared" si="123"/>
        <v>465</v>
      </c>
      <c r="S554" s="7">
        <f t="shared" si="130"/>
        <v>0</v>
      </c>
      <c r="T554" s="35">
        <f t="shared" si="128"/>
        <v>465</v>
      </c>
    </row>
    <row r="555" spans="1:20">
      <c r="A555" s="61" t="str">
        <f ca="1">IF(ISERROR(MATCH(E555,Код_КВР,0)),"",INDIRECT(ADDRESS(MATCH(E555,Код_КВР,0)+1,2,,,"КВР")))</f>
        <v>Субсидии бюджетным учреждениям на иные цели</v>
      </c>
      <c r="B555" s="45" t="s">
        <v>539</v>
      </c>
      <c r="C555" s="8" t="s">
        <v>193</v>
      </c>
      <c r="D555" s="1" t="s">
        <v>217</v>
      </c>
      <c r="E555" s="113">
        <v>612</v>
      </c>
      <c r="F555" s="7">
        <f>прил.6!G767</f>
        <v>465</v>
      </c>
      <c r="G555" s="7">
        <f>прил.6!H767</f>
        <v>0</v>
      </c>
      <c r="H555" s="35">
        <f t="shared" si="129"/>
        <v>465</v>
      </c>
      <c r="I555" s="7">
        <f>прил.6!J767</f>
        <v>0</v>
      </c>
      <c r="J555" s="35">
        <f t="shared" si="126"/>
        <v>465</v>
      </c>
      <c r="K555" s="7">
        <f>прил.6!L767</f>
        <v>0</v>
      </c>
      <c r="L555" s="35">
        <f t="shared" si="124"/>
        <v>465</v>
      </c>
      <c r="M555" s="7">
        <f>прил.6!N767</f>
        <v>0</v>
      </c>
      <c r="N555" s="35">
        <f t="shared" si="125"/>
        <v>465</v>
      </c>
      <c r="O555" s="7">
        <f>прил.6!P767</f>
        <v>0</v>
      </c>
      <c r="P555" s="35">
        <f t="shared" si="122"/>
        <v>465</v>
      </c>
      <c r="Q555" s="7">
        <f>прил.6!R767</f>
        <v>0</v>
      </c>
      <c r="R555" s="35">
        <f t="shared" si="123"/>
        <v>465</v>
      </c>
      <c r="S555" s="7">
        <f>прил.6!T767</f>
        <v>0</v>
      </c>
      <c r="T555" s="35">
        <f t="shared" si="128"/>
        <v>465</v>
      </c>
    </row>
    <row r="556" spans="1:20">
      <c r="A556" s="61" t="str">
        <f ca="1">IF(ISERROR(MATCH(C556,Код_Раздел,0)),"",INDIRECT(ADDRESS(MATCH(C556,Код_Раздел,0)+1,2,,,"Раздел")))</f>
        <v>Культура, кинематография</v>
      </c>
      <c r="B556" s="45" t="s">
        <v>539</v>
      </c>
      <c r="C556" s="8" t="s">
        <v>220</v>
      </c>
      <c r="D556" s="1"/>
      <c r="E556" s="113"/>
      <c r="F556" s="7">
        <f t="shared" ref="F556:S559" si="131">F557</f>
        <v>10</v>
      </c>
      <c r="G556" s="7">
        <f t="shared" si="131"/>
        <v>0</v>
      </c>
      <c r="H556" s="35">
        <f t="shared" si="129"/>
        <v>10</v>
      </c>
      <c r="I556" s="7">
        <f t="shared" si="131"/>
        <v>0</v>
      </c>
      <c r="J556" s="35">
        <f t="shared" si="126"/>
        <v>10</v>
      </c>
      <c r="K556" s="7">
        <f t="shared" si="131"/>
        <v>0</v>
      </c>
      <c r="L556" s="35">
        <f t="shared" si="124"/>
        <v>10</v>
      </c>
      <c r="M556" s="7">
        <f t="shared" si="131"/>
        <v>0</v>
      </c>
      <c r="N556" s="35">
        <f t="shared" si="125"/>
        <v>10</v>
      </c>
      <c r="O556" s="7">
        <f t="shared" si="131"/>
        <v>0</v>
      </c>
      <c r="P556" s="35">
        <f t="shared" si="122"/>
        <v>10</v>
      </c>
      <c r="Q556" s="7">
        <f t="shared" si="131"/>
        <v>0</v>
      </c>
      <c r="R556" s="35">
        <f t="shared" si="123"/>
        <v>10</v>
      </c>
      <c r="S556" s="7">
        <f t="shared" si="131"/>
        <v>0</v>
      </c>
      <c r="T556" s="35">
        <f t="shared" si="128"/>
        <v>10</v>
      </c>
    </row>
    <row r="557" spans="1:20">
      <c r="A557" s="12" t="s">
        <v>161</v>
      </c>
      <c r="B557" s="45" t="s">
        <v>539</v>
      </c>
      <c r="C557" s="8" t="s">
        <v>220</v>
      </c>
      <c r="D557" s="1" t="s">
        <v>214</v>
      </c>
      <c r="E557" s="113"/>
      <c r="F557" s="7">
        <f t="shared" si="131"/>
        <v>10</v>
      </c>
      <c r="G557" s="7">
        <f t="shared" si="131"/>
        <v>0</v>
      </c>
      <c r="H557" s="35">
        <f t="shared" si="129"/>
        <v>10</v>
      </c>
      <c r="I557" s="7">
        <f t="shared" si="131"/>
        <v>0</v>
      </c>
      <c r="J557" s="35">
        <f t="shared" si="126"/>
        <v>10</v>
      </c>
      <c r="K557" s="7">
        <f t="shared" si="131"/>
        <v>0</v>
      </c>
      <c r="L557" s="35">
        <f t="shared" si="124"/>
        <v>10</v>
      </c>
      <c r="M557" s="7">
        <f t="shared" si="131"/>
        <v>0</v>
      </c>
      <c r="N557" s="35">
        <f t="shared" si="125"/>
        <v>10</v>
      </c>
      <c r="O557" s="7">
        <f t="shared" si="131"/>
        <v>0</v>
      </c>
      <c r="P557" s="35">
        <f t="shared" si="122"/>
        <v>10</v>
      </c>
      <c r="Q557" s="7">
        <f t="shared" si="131"/>
        <v>0</v>
      </c>
      <c r="R557" s="35">
        <f t="shared" si="123"/>
        <v>10</v>
      </c>
      <c r="S557" s="7">
        <f t="shared" si="131"/>
        <v>0</v>
      </c>
      <c r="T557" s="35">
        <f t="shared" si="128"/>
        <v>10</v>
      </c>
    </row>
    <row r="558" spans="1:20" ht="33">
      <c r="A558" s="61" t="str">
        <f ca="1">IF(ISERROR(MATCH(E558,Код_КВР,0)),"",INDIRECT(ADDRESS(MATCH(E558,Код_КВР,0)+1,2,,,"КВР")))</f>
        <v>Предоставление субсидий бюджетным, автономным учреждениям и иным некоммерческим организациям</v>
      </c>
      <c r="B558" s="45" t="s">
        <v>539</v>
      </c>
      <c r="C558" s="8" t="s">
        <v>220</v>
      </c>
      <c r="D558" s="1" t="s">
        <v>214</v>
      </c>
      <c r="E558" s="113">
        <v>600</v>
      </c>
      <c r="F558" s="7">
        <f t="shared" si="131"/>
        <v>10</v>
      </c>
      <c r="G558" s="7">
        <f t="shared" si="131"/>
        <v>0</v>
      </c>
      <c r="H558" s="35">
        <f t="shared" si="129"/>
        <v>10</v>
      </c>
      <c r="I558" s="7">
        <f t="shared" si="131"/>
        <v>0</v>
      </c>
      <c r="J558" s="35">
        <f t="shared" si="126"/>
        <v>10</v>
      </c>
      <c r="K558" s="7">
        <f t="shared" si="131"/>
        <v>0</v>
      </c>
      <c r="L558" s="35">
        <f t="shared" si="124"/>
        <v>10</v>
      </c>
      <c r="M558" s="7">
        <f t="shared" si="131"/>
        <v>0</v>
      </c>
      <c r="N558" s="35">
        <f t="shared" si="125"/>
        <v>10</v>
      </c>
      <c r="O558" s="7">
        <f t="shared" si="131"/>
        <v>0</v>
      </c>
      <c r="P558" s="35">
        <f t="shared" si="122"/>
        <v>10</v>
      </c>
      <c r="Q558" s="7">
        <f t="shared" si="131"/>
        <v>0</v>
      </c>
      <c r="R558" s="35">
        <f t="shared" si="123"/>
        <v>10</v>
      </c>
      <c r="S558" s="7">
        <f t="shared" si="131"/>
        <v>0</v>
      </c>
      <c r="T558" s="35">
        <f t="shared" si="128"/>
        <v>10</v>
      </c>
    </row>
    <row r="559" spans="1:20">
      <c r="A559" s="61" t="str">
        <f ca="1">IF(ISERROR(MATCH(E559,Код_КВР,0)),"",INDIRECT(ADDRESS(MATCH(E559,Код_КВР,0)+1,2,,,"КВР")))</f>
        <v>Субсидии бюджетным учреждениям</v>
      </c>
      <c r="B559" s="45" t="s">
        <v>539</v>
      </c>
      <c r="C559" s="8" t="s">
        <v>220</v>
      </c>
      <c r="D559" s="1" t="s">
        <v>214</v>
      </c>
      <c r="E559" s="113">
        <v>610</v>
      </c>
      <c r="F559" s="7">
        <f t="shared" si="131"/>
        <v>10</v>
      </c>
      <c r="G559" s="7">
        <f t="shared" si="131"/>
        <v>0</v>
      </c>
      <c r="H559" s="35">
        <f t="shared" si="129"/>
        <v>10</v>
      </c>
      <c r="I559" s="7">
        <f t="shared" si="131"/>
        <v>0</v>
      </c>
      <c r="J559" s="35">
        <f t="shared" si="126"/>
        <v>10</v>
      </c>
      <c r="K559" s="7">
        <f t="shared" si="131"/>
        <v>0</v>
      </c>
      <c r="L559" s="35">
        <f t="shared" si="124"/>
        <v>10</v>
      </c>
      <c r="M559" s="7">
        <f t="shared" si="131"/>
        <v>0</v>
      </c>
      <c r="N559" s="35">
        <f t="shared" si="125"/>
        <v>10</v>
      </c>
      <c r="O559" s="7">
        <f t="shared" si="131"/>
        <v>0</v>
      </c>
      <c r="P559" s="35">
        <f t="shared" si="122"/>
        <v>10</v>
      </c>
      <c r="Q559" s="7">
        <f t="shared" si="131"/>
        <v>0</v>
      </c>
      <c r="R559" s="35">
        <f t="shared" si="123"/>
        <v>10</v>
      </c>
      <c r="S559" s="7">
        <f t="shared" si="131"/>
        <v>0</v>
      </c>
      <c r="T559" s="35">
        <f t="shared" si="128"/>
        <v>10</v>
      </c>
    </row>
    <row r="560" spans="1:20">
      <c r="A560" s="61" t="str">
        <f ca="1">IF(ISERROR(MATCH(E560,Код_КВР,0)),"",INDIRECT(ADDRESS(MATCH(E560,Код_КВР,0)+1,2,,,"КВР")))</f>
        <v>Субсидии бюджетным учреждениям на иные цели</v>
      </c>
      <c r="B560" s="45" t="s">
        <v>539</v>
      </c>
      <c r="C560" s="8" t="s">
        <v>220</v>
      </c>
      <c r="D560" s="1" t="s">
        <v>214</v>
      </c>
      <c r="E560" s="113">
        <v>612</v>
      </c>
      <c r="F560" s="7">
        <f>прил.6!G1131</f>
        <v>10</v>
      </c>
      <c r="G560" s="7">
        <f>прил.6!H1131</f>
        <v>0</v>
      </c>
      <c r="H560" s="35">
        <f t="shared" si="129"/>
        <v>10</v>
      </c>
      <c r="I560" s="7">
        <f>прил.6!J1131</f>
        <v>0</v>
      </c>
      <c r="J560" s="35">
        <f t="shared" si="126"/>
        <v>10</v>
      </c>
      <c r="K560" s="7">
        <f>прил.6!L1131</f>
        <v>0</v>
      </c>
      <c r="L560" s="35">
        <f t="shared" si="124"/>
        <v>10</v>
      </c>
      <c r="M560" s="7">
        <f>прил.6!N1131</f>
        <v>0</v>
      </c>
      <c r="N560" s="35">
        <f t="shared" si="125"/>
        <v>10</v>
      </c>
      <c r="O560" s="7">
        <f>прил.6!P1131</f>
        <v>0</v>
      </c>
      <c r="P560" s="35">
        <f t="shared" si="122"/>
        <v>10</v>
      </c>
      <c r="Q560" s="7">
        <f>прил.6!R1131</f>
        <v>0</v>
      </c>
      <c r="R560" s="35">
        <f t="shared" si="123"/>
        <v>10</v>
      </c>
      <c r="S560" s="7">
        <f>прил.6!T1131</f>
        <v>0</v>
      </c>
      <c r="T560" s="35">
        <f t="shared" si="128"/>
        <v>10</v>
      </c>
    </row>
    <row r="561" spans="1:20" ht="33">
      <c r="A561" s="61" t="str">
        <f ca="1">IF(ISERROR(MATCH(B561,Код_КЦСР,0)),"",INDIRECT(ADDRESS(MATCH(B561,Код_КЦСР,0)+1,2,,,"КЦСР")))</f>
        <v>Оборудование основных помещений МБДОУ бактерицидными лампами</v>
      </c>
      <c r="B561" s="45" t="s">
        <v>541</v>
      </c>
      <c r="C561" s="8"/>
      <c r="D561" s="1"/>
      <c r="E561" s="113"/>
      <c r="F561" s="7">
        <f t="shared" ref="F561:S565" si="132">F562</f>
        <v>30</v>
      </c>
      <c r="G561" s="7">
        <f t="shared" si="132"/>
        <v>0</v>
      </c>
      <c r="H561" s="35">
        <f t="shared" si="129"/>
        <v>30</v>
      </c>
      <c r="I561" s="7">
        <f t="shared" si="132"/>
        <v>0</v>
      </c>
      <c r="J561" s="35">
        <f t="shared" si="126"/>
        <v>30</v>
      </c>
      <c r="K561" s="7">
        <f t="shared" si="132"/>
        <v>0</v>
      </c>
      <c r="L561" s="35">
        <f t="shared" si="124"/>
        <v>30</v>
      </c>
      <c r="M561" s="7">
        <f t="shared" si="132"/>
        <v>0</v>
      </c>
      <c r="N561" s="35">
        <f t="shared" si="125"/>
        <v>30</v>
      </c>
      <c r="O561" s="7">
        <f t="shared" si="132"/>
        <v>0</v>
      </c>
      <c r="P561" s="35">
        <f t="shared" si="122"/>
        <v>30</v>
      </c>
      <c r="Q561" s="7">
        <f t="shared" si="132"/>
        <v>0</v>
      </c>
      <c r="R561" s="35">
        <f t="shared" si="123"/>
        <v>30</v>
      </c>
      <c r="S561" s="7">
        <f t="shared" si="132"/>
        <v>0</v>
      </c>
      <c r="T561" s="35">
        <f t="shared" si="128"/>
        <v>30</v>
      </c>
    </row>
    <row r="562" spans="1:20">
      <c r="A562" s="61" t="str">
        <f ca="1">IF(ISERROR(MATCH(C562,Код_Раздел,0)),"",INDIRECT(ADDRESS(MATCH(C562,Код_Раздел,0)+1,2,,,"Раздел")))</f>
        <v>Образование</v>
      </c>
      <c r="B562" s="45" t="s">
        <v>541</v>
      </c>
      <c r="C562" s="8" t="s">
        <v>193</v>
      </c>
      <c r="D562" s="1"/>
      <c r="E562" s="113"/>
      <c r="F562" s="7">
        <f t="shared" si="132"/>
        <v>30</v>
      </c>
      <c r="G562" s="7">
        <f t="shared" si="132"/>
        <v>0</v>
      </c>
      <c r="H562" s="35">
        <f t="shared" si="129"/>
        <v>30</v>
      </c>
      <c r="I562" s="7">
        <f t="shared" si="132"/>
        <v>0</v>
      </c>
      <c r="J562" s="35">
        <f t="shared" si="126"/>
        <v>30</v>
      </c>
      <c r="K562" s="7">
        <f t="shared" si="132"/>
        <v>0</v>
      </c>
      <c r="L562" s="35">
        <f t="shared" si="124"/>
        <v>30</v>
      </c>
      <c r="M562" s="7">
        <f t="shared" si="132"/>
        <v>0</v>
      </c>
      <c r="N562" s="35">
        <f t="shared" si="125"/>
        <v>30</v>
      </c>
      <c r="O562" s="7">
        <f t="shared" si="132"/>
        <v>0</v>
      </c>
      <c r="P562" s="35">
        <f t="shared" si="122"/>
        <v>30</v>
      </c>
      <c r="Q562" s="7">
        <f t="shared" si="132"/>
        <v>0</v>
      </c>
      <c r="R562" s="35">
        <f t="shared" si="123"/>
        <v>30</v>
      </c>
      <c r="S562" s="7">
        <f t="shared" si="132"/>
        <v>0</v>
      </c>
      <c r="T562" s="35">
        <f t="shared" si="128"/>
        <v>30</v>
      </c>
    </row>
    <row r="563" spans="1:20" ht="21" customHeight="1">
      <c r="A563" s="12" t="s">
        <v>249</v>
      </c>
      <c r="B563" s="45" t="s">
        <v>541</v>
      </c>
      <c r="C563" s="8" t="s">
        <v>193</v>
      </c>
      <c r="D563" s="1" t="s">
        <v>217</v>
      </c>
      <c r="E563" s="113"/>
      <c r="F563" s="7">
        <f t="shared" si="132"/>
        <v>30</v>
      </c>
      <c r="G563" s="7">
        <f t="shared" si="132"/>
        <v>0</v>
      </c>
      <c r="H563" s="35">
        <f t="shared" si="129"/>
        <v>30</v>
      </c>
      <c r="I563" s="7">
        <f t="shared" si="132"/>
        <v>0</v>
      </c>
      <c r="J563" s="35">
        <f t="shared" si="126"/>
        <v>30</v>
      </c>
      <c r="K563" s="7">
        <f t="shared" si="132"/>
        <v>0</v>
      </c>
      <c r="L563" s="35">
        <f t="shared" si="124"/>
        <v>30</v>
      </c>
      <c r="M563" s="7">
        <f t="shared" si="132"/>
        <v>0</v>
      </c>
      <c r="N563" s="35">
        <f t="shared" si="125"/>
        <v>30</v>
      </c>
      <c r="O563" s="7">
        <f t="shared" si="132"/>
        <v>0</v>
      </c>
      <c r="P563" s="35">
        <f t="shared" si="122"/>
        <v>30</v>
      </c>
      <c r="Q563" s="7">
        <f t="shared" si="132"/>
        <v>0</v>
      </c>
      <c r="R563" s="35">
        <f t="shared" si="123"/>
        <v>30</v>
      </c>
      <c r="S563" s="7">
        <f t="shared" si="132"/>
        <v>0</v>
      </c>
      <c r="T563" s="35">
        <f t="shared" si="128"/>
        <v>30</v>
      </c>
    </row>
    <row r="564" spans="1:20" ht="35.25" customHeight="1">
      <c r="A564" s="61" t="str">
        <f ca="1">IF(ISERROR(MATCH(E564,Код_КВР,0)),"",INDIRECT(ADDRESS(MATCH(E564,Код_КВР,0)+1,2,,,"КВР")))</f>
        <v>Предоставление субсидий бюджетным, автономным учреждениям и иным некоммерческим организациям</v>
      </c>
      <c r="B564" s="45" t="s">
        <v>541</v>
      </c>
      <c r="C564" s="8" t="s">
        <v>193</v>
      </c>
      <c r="D564" s="1" t="s">
        <v>217</v>
      </c>
      <c r="E564" s="113">
        <v>600</v>
      </c>
      <c r="F564" s="7">
        <f t="shared" si="132"/>
        <v>30</v>
      </c>
      <c r="G564" s="7">
        <f t="shared" si="132"/>
        <v>0</v>
      </c>
      <c r="H564" s="35">
        <f t="shared" si="129"/>
        <v>30</v>
      </c>
      <c r="I564" s="7">
        <f t="shared" si="132"/>
        <v>0</v>
      </c>
      <c r="J564" s="35">
        <f t="shared" si="126"/>
        <v>30</v>
      </c>
      <c r="K564" s="7">
        <f t="shared" si="132"/>
        <v>0</v>
      </c>
      <c r="L564" s="35">
        <f t="shared" si="124"/>
        <v>30</v>
      </c>
      <c r="M564" s="7">
        <f t="shared" si="132"/>
        <v>0</v>
      </c>
      <c r="N564" s="35">
        <f t="shared" si="125"/>
        <v>30</v>
      </c>
      <c r="O564" s="7">
        <f t="shared" si="132"/>
        <v>0</v>
      </c>
      <c r="P564" s="35">
        <f t="shared" si="122"/>
        <v>30</v>
      </c>
      <c r="Q564" s="7">
        <f t="shared" si="132"/>
        <v>0</v>
      </c>
      <c r="R564" s="35">
        <f t="shared" si="123"/>
        <v>30</v>
      </c>
      <c r="S564" s="7">
        <f t="shared" si="132"/>
        <v>0</v>
      </c>
      <c r="T564" s="35">
        <f t="shared" si="128"/>
        <v>30</v>
      </c>
    </row>
    <row r="565" spans="1:20" ht="18.75" customHeight="1">
      <c r="A565" s="61" t="str">
        <f ca="1">IF(ISERROR(MATCH(E565,Код_КВР,0)),"",INDIRECT(ADDRESS(MATCH(E565,Код_КВР,0)+1,2,,,"КВР")))</f>
        <v>Субсидии бюджетным учреждениям</v>
      </c>
      <c r="B565" s="45" t="s">
        <v>541</v>
      </c>
      <c r="C565" s="8" t="s">
        <v>193</v>
      </c>
      <c r="D565" s="1" t="s">
        <v>217</v>
      </c>
      <c r="E565" s="113">
        <v>610</v>
      </c>
      <c r="F565" s="7">
        <f t="shared" si="132"/>
        <v>30</v>
      </c>
      <c r="G565" s="7">
        <f t="shared" si="132"/>
        <v>0</v>
      </c>
      <c r="H565" s="35">
        <f t="shared" si="129"/>
        <v>30</v>
      </c>
      <c r="I565" s="7">
        <f t="shared" si="132"/>
        <v>0</v>
      </c>
      <c r="J565" s="35">
        <f t="shared" si="126"/>
        <v>30</v>
      </c>
      <c r="K565" s="7">
        <f t="shared" si="132"/>
        <v>0</v>
      </c>
      <c r="L565" s="35">
        <f t="shared" si="124"/>
        <v>30</v>
      </c>
      <c r="M565" s="7">
        <f t="shared" si="132"/>
        <v>0</v>
      </c>
      <c r="N565" s="35">
        <f t="shared" si="125"/>
        <v>30</v>
      </c>
      <c r="O565" s="7">
        <f t="shared" si="132"/>
        <v>0</v>
      </c>
      <c r="P565" s="35">
        <f t="shared" si="122"/>
        <v>30</v>
      </c>
      <c r="Q565" s="7">
        <f t="shared" si="132"/>
        <v>0</v>
      </c>
      <c r="R565" s="35">
        <f t="shared" si="123"/>
        <v>30</v>
      </c>
      <c r="S565" s="7">
        <f t="shared" si="132"/>
        <v>0</v>
      </c>
      <c r="T565" s="35">
        <f t="shared" si="128"/>
        <v>30</v>
      </c>
    </row>
    <row r="566" spans="1:20" ht="18.75" customHeight="1">
      <c r="A566" s="61" t="str">
        <f ca="1">IF(ISERROR(MATCH(E566,Код_КВР,0)),"",INDIRECT(ADDRESS(MATCH(E566,Код_КВР,0)+1,2,,,"КВР")))</f>
        <v>Субсидии бюджетным учреждениям на иные цели</v>
      </c>
      <c r="B566" s="45" t="s">
        <v>541</v>
      </c>
      <c r="C566" s="8" t="s">
        <v>193</v>
      </c>
      <c r="D566" s="1" t="s">
        <v>217</v>
      </c>
      <c r="E566" s="113">
        <v>612</v>
      </c>
      <c r="F566" s="7">
        <f>прил.6!G771</f>
        <v>30</v>
      </c>
      <c r="G566" s="7">
        <f>прил.6!H771</f>
        <v>0</v>
      </c>
      <c r="H566" s="35">
        <f t="shared" si="129"/>
        <v>30</v>
      </c>
      <c r="I566" s="7">
        <f>прил.6!J771</f>
        <v>0</v>
      </c>
      <c r="J566" s="35">
        <f t="shared" si="126"/>
        <v>30</v>
      </c>
      <c r="K566" s="7">
        <f>прил.6!L771</f>
        <v>0</v>
      </c>
      <c r="L566" s="35">
        <f t="shared" si="124"/>
        <v>30</v>
      </c>
      <c r="M566" s="7">
        <f>прил.6!N771</f>
        <v>0</v>
      </c>
      <c r="N566" s="35">
        <f t="shared" si="125"/>
        <v>30</v>
      </c>
      <c r="O566" s="7">
        <f>прил.6!P771</f>
        <v>0</v>
      </c>
      <c r="P566" s="35">
        <f t="shared" si="122"/>
        <v>30</v>
      </c>
      <c r="Q566" s="7">
        <f>прил.6!R771</f>
        <v>0</v>
      </c>
      <c r="R566" s="35">
        <f t="shared" si="123"/>
        <v>30</v>
      </c>
      <c r="S566" s="7">
        <f>прил.6!T771</f>
        <v>0</v>
      </c>
      <c r="T566" s="35">
        <f t="shared" si="128"/>
        <v>30</v>
      </c>
    </row>
    <row r="567" spans="1:20" ht="136.5" customHeight="1">
      <c r="A567" s="61" t="str">
        <f ca="1">IF(ISERROR(MATCH(B567,Код_КЦСР,0)),"",INDIRECT(ADDRESS(MATCH(B567,Код_КЦСР,0)+1,2,,,"КЦСР")))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v>
      </c>
      <c r="B567" s="45" t="s">
        <v>542</v>
      </c>
      <c r="C567" s="8"/>
      <c r="D567" s="1"/>
      <c r="E567" s="113"/>
      <c r="F567" s="7">
        <f t="shared" ref="F567:S570" si="133">F568</f>
        <v>200</v>
      </c>
      <c r="G567" s="7">
        <f t="shared" si="133"/>
        <v>0</v>
      </c>
      <c r="H567" s="35">
        <f t="shared" si="129"/>
        <v>200</v>
      </c>
      <c r="I567" s="7">
        <f t="shared" si="133"/>
        <v>0</v>
      </c>
      <c r="J567" s="35">
        <f t="shared" si="126"/>
        <v>200</v>
      </c>
      <c r="K567" s="7">
        <f t="shared" si="133"/>
        <v>0</v>
      </c>
      <c r="L567" s="35">
        <f t="shared" si="124"/>
        <v>200</v>
      </c>
      <c r="M567" s="7">
        <f t="shared" si="133"/>
        <v>-164.3</v>
      </c>
      <c r="N567" s="35">
        <f t="shared" si="125"/>
        <v>35.699999999999989</v>
      </c>
      <c r="O567" s="7">
        <f t="shared" si="133"/>
        <v>0</v>
      </c>
      <c r="P567" s="35">
        <f t="shared" si="122"/>
        <v>35.699999999999989</v>
      </c>
      <c r="Q567" s="7">
        <f t="shared" si="133"/>
        <v>0</v>
      </c>
      <c r="R567" s="35">
        <f t="shared" si="123"/>
        <v>35.699999999999989</v>
      </c>
      <c r="S567" s="7">
        <f t="shared" si="133"/>
        <v>0</v>
      </c>
      <c r="T567" s="35">
        <f t="shared" si="128"/>
        <v>35.699999999999989</v>
      </c>
    </row>
    <row r="568" spans="1:20">
      <c r="A568" s="61" t="str">
        <f ca="1">IF(ISERROR(MATCH(C568,Код_Раздел,0)),"",INDIRECT(ADDRESS(MATCH(C568,Код_Раздел,0)+1,2,,,"Раздел")))</f>
        <v>Охрана окружающей среды</v>
      </c>
      <c r="B568" s="45" t="s">
        <v>542</v>
      </c>
      <c r="C568" s="8" t="s">
        <v>215</v>
      </c>
      <c r="D568" s="1"/>
      <c r="E568" s="113"/>
      <c r="F568" s="7">
        <f t="shared" si="133"/>
        <v>200</v>
      </c>
      <c r="G568" s="7">
        <f t="shared" si="133"/>
        <v>0</v>
      </c>
      <c r="H568" s="35">
        <f t="shared" si="129"/>
        <v>200</v>
      </c>
      <c r="I568" s="7">
        <f t="shared" si="133"/>
        <v>0</v>
      </c>
      <c r="J568" s="35">
        <f t="shared" si="126"/>
        <v>200</v>
      </c>
      <c r="K568" s="7">
        <f t="shared" si="133"/>
        <v>0</v>
      </c>
      <c r="L568" s="35">
        <f t="shared" si="124"/>
        <v>200</v>
      </c>
      <c r="M568" s="7">
        <f t="shared" si="133"/>
        <v>-164.3</v>
      </c>
      <c r="N568" s="35">
        <f t="shared" si="125"/>
        <v>35.699999999999989</v>
      </c>
      <c r="O568" s="7">
        <f t="shared" si="133"/>
        <v>0</v>
      </c>
      <c r="P568" s="35">
        <f t="shared" si="122"/>
        <v>35.699999999999989</v>
      </c>
      <c r="Q568" s="7">
        <f t="shared" si="133"/>
        <v>0</v>
      </c>
      <c r="R568" s="35">
        <f t="shared" si="123"/>
        <v>35.699999999999989</v>
      </c>
      <c r="S568" s="7">
        <f t="shared" si="133"/>
        <v>0</v>
      </c>
      <c r="T568" s="35">
        <f t="shared" si="128"/>
        <v>35.699999999999989</v>
      </c>
    </row>
    <row r="569" spans="1:20">
      <c r="A569" s="12" t="s">
        <v>253</v>
      </c>
      <c r="B569" s="45" t="s">
        <v>542</v>
      </c>
      <c r="C569" s="8" t="s">
        <v>215</v>
      </c>
      <c r="D569" s="1" t="s">
        <v>219</v>
      </c>
      <c r="E569" s="113"/>
      <c r="F569" s="7">
        <f t="shared" si="133"/>
        <v>200</v>
      </c>
      <c r="G569" s="7">
        <f t="shared" si="133"/>
        <v>0</v>
      </c>
      <c r="H569" s="35">
        <f t="shared" si="129"/>
        <v>200</v>
      </c>
      <c r="I569" s="7">
        <f t="shared" si="133"/>
        <v>0</v>
      </c>
      <c r="J569" s="35">
        <f t="shared" si="126"/>
        <v>200</v>
      </c>
      <c r="K569" s="7">
        <f t="shared" si="133"/>
        <v>0</v>
      </c>
      <c r="L569" s="35">
        <f t="shared" si="124"/>
        <v>200</v>
      </c>
      <c r="M569" s="7">
        <f t="shared" si="133"/>
        <v>-164.3</v>
      </c>
      <c r="N569" s="35">
        <f t="shared" si="125"/>
        <v>35.699999999999989</v>
      </c>
      <c r="O569" s="7">
        <f t="shared" si="133"/>
        <v>0</v>
      </c>
      <c r="P569" s="35">
        <f t="shared" si="122"/>
        <v>35.699999999999989</v>
      </c>
      <c r="Q569" s="7">
        <f t="shared" si="133"/>
        <v>0</v>
      </c>
      <c r="R569" s="35">
        <f t="shared" si="123"/>
        <v>35.699999999999989</v>
      </c>
      <c r="S569" s="7">
        <f t="shared" si="133"/>
        <v>0</v>
      </c>
      <c r="T569" s="35">
        <f t="shared" si="128"/>
        <v>35.699999999999989</v>
      </c>
    </row>
    <row r="570" spans="1:20">
      <c r="A570" s="61" t="str">
        <f ca="1">IF(ISERROR(MATCH(E570,Код_КВР,0)),"",INDIRECT(ADDRESS(MATCH(E570,Код_КВР,0)+1,2,,,"КВР")))</f>
        <v>Иные бюджетные ассигнования</v>
      </c>
      <c r="B570" s="45" t="s">
        <v>542</v>
      </c>
      <c r="C570" s="8" t="s">
        <v>215</v>
      </c>
      <c r="D570" s="1" t="s">
        <v>219</v>
      </c>
      <c r="E570" s="113">
        <v>800</v>
      </c>
      <c r="F570" s="7">
        <f t="shared" si="133"/>
        <v>200</v>
      </c>
      <c r="G570" s="7">
        <f t="shared" si="133"/>
        <v>0</v>
      </c>
      <c r="H570" s="35">
        <f t="shared" si="129"/>
        <v>200</v>
      </c>
      <c r="I570" s="7">
        <f t="shared" si="133"/>
        <v>0</v>
      </c>
      <c r="J570" s="35">
        <f t="shared" si="126"/>
        <v>200</v>
      </c>
      <c r="K570" s="7">
        <f t="shared" si="133"/>
        <v>0</v>
      </c>
      <c r="L570" s="35">
        <f t="shared" si="124"/>
        <v>200</v>
      </c>
      <c r="M570" s="7">
        <f t="shared" si="133"/>
        <v>-164.3</v>
      </c>
      <c r="N570" s="35">
        <f t="shared" si="125"/>
        <v>35.699999999999989</v>
      </c>
      <c r="O570" s="7">
        <f t="shared" si="133"/>
        <v>0</v>
      </c>
      <c r="P570" s="35">
        <f t="shared" si="122"/>
        <v>35.699999999999989</v>
      </c>
      <c r="Q570" s="7">
        <f t="shared" si="133"/>
        <v>0</v>
      </c>
      <c r="R570" s="35">
        <f t="shared" si="123"/>
        <v>35.699999999999989</v>
      </c>
      <c r="S570" s="7">
        <f t="shared" si="133"/>
        <v>0</v>
      </c>
      <c r="T570" s="35">
        <f t="shared" si="128"/>
        <v>35.699999999999989</v>
      </c>
    </row>
    <row r="571" spans="1:20" ht="52.7" customHeight="1">
      <c r="A571" s="61" t="str">
        <f ca="1">IF(ISERROR(MATCH(E571,Код_КВР,0)),"",INDIRECT(ADDRESS(MATCH(E571,Код_КВР,0)+1,2,,,"КВР")))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71" s="45" t="s">
        <v>542</v>
      </c>
      <c r="C571" s="8" t="s">
        <v>215</v>
      </c>
      <c r="D571" s="1" t="s">
        <v>219</v>
      </c>
      <c r="E571" s="113">
        <v>810</v>
      </c>
      <c r="F571" s="7">
        <f>прил.6!G533</f>
        <v>200</v>
      </c>
      <c r="G571" s="7">
        <f>прил.6!H533</f>
        <v>0</v>
      </c>
      <c r="H571" s="35">
        <f t="shared" si="129"/>
        <v>200</v>
      </c>
      <c r="I571" s="7">
        <f>прил.6!J533</f>
        <v>0</v>
      </c>
      <c r="J571" s="35">
        <f t="shared" si="126"/>
        <v>200</v>
      </c>
      <c r="K571" s="7">
        <f>прил.6!L533</f>
        <v>0</v>
      </c>
      <c r="L571" s="35">
        <f t="shared" si="124"/>
        <v>200</v>
      </c>
      <c r="M571" s="7">
        <f>прил.6!N533</f>
        <v>-164.3</v>
      </c>
      <c r="N571" s="35">
        <f t="shared" si="125"/>
        <v>35.699999999999989</v>
      </c>
      <c r="O571" s="7">
        <f>прил.6!P533</f>
        <v>0</v>
      </c>
      <c r="P571" s="35">
        <f t="shared" si="122"/>
        <v>35.699999999999989</v>
      </c>
      <c r="Q571" s="7">
        <f>прил.6!R533</f>
        <v>0</v>
      </c>
      <c r="R571" s="35">
        <f t="shared" si="123"/>
        <v>35.699999999999989</v>
      </c>
      <c r="S571" s="7">
        <f>прил.6!T533</f>
        <v>0</v>
      </c>
      <c r="T571" s="35">
        <f t="shared" si="128"/>
        <v>35.699999999999989</v>
      </c>
    </row>
    <row r="572" spans="1:20" ht="37.5" customHeight="1">
      <c r="A572" s="61" t="str">
        <f ca="1">IF(ISERROR(MATCH(B572,Код_КЦСР,0)),"",INDIRECT(ADDRESS(MATCH(B572,Код_КЦСР,0)+1,2,,,"КЦСР")))</f>
        <v>Муниципальная программа «Содействие развитию потребительского рынка в городе Череповце на 2013-2017 годы»</v>
      </c>
      <c r="B572" s="45" t="s">
        <v>543</v>
      </c>
      <c r="C572" s="8"/>
      <c r="D572" s="1"/>
      <c r="E572" s="113"/>
      <c r="F572" s="7">
        <f t="shared" ref="F572:S577" si="134">F573</f>
        <v>150</v>
      </c>
      <c r="G572" s="7">
        <f t="shared" si="134"/>
        <v>0</v>
      </c>
      <c r="H572" s="35">
        <f t="shared" si="129"/>
        <v>150</v>
      </c>
      <c r="I572" s="7">
        <f t="shared" si="134"/>
        <v>0</v>
      </c>
      <c r="J572" s="35">
        <f t="shared" si="126"/>
        <v>150</v>
      </c>
      <c r="K572" s="7">
        <f t="shared" si="134"/>
        <v>0</v>
      </c>
      <c r="L572" s="35">
        <f t="shared" si="124"/>
        <v>150</v>
      </c>
      <c r="M572" s="7">
        <f t="shared" si="134"/>
        <v>0</v>
      </c>
      <c r="N572" s="35">
        <f t="shared" si="125"/>
        <v>150</v>
      </c>
      <c r="O572" s="7">
        <f t="shared" si="134"/>
        <v>0</v>
      </c>
      <c r="P572" s="35">
        <f t="shared" si="122"/>
        <v>150</v>
      </c>
      <c r="Q572" s="7">
        <f t="shared" si="134"/>
        <v>0</v>
      </c>
      <c r="R572" s="35">
        <f t="shared" si="123"/>
        <v>150</v>
      </c>
      <c r="S572" s="7">
        <f t="shared" si="134"/>
        <v>0</v>
      </c>
      <c r="T572" s="35">
        <f t="shared" si="128"/>
        <v>150</v>
      </c>
    </row>
    <row r="573" spans="1:20" ht="52.7" customHeight="1">
      <c r="A573" s="61" t="str">
        <f ca="1">IF(ISERROR(MATCH(B573,Код_КЦСР,0)),"",INDIRECT(ADDRESS(MATCH(B573,Код_КЦСР,0)+1,2,,,"КЦСР")))</f>
        <v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v>
      </c>
      <c r="B573" s="45" t="s">
        <v>545</v>
      </c>
      <c r="C573" s="8"/>
      <c r="D573" s="1"/>
      <c r="E573" s="113"/>
      <c r="F573" s="7">
        <f t="shared" si="134"/>
        <v>150</v>
      </c>
      <c r="G573" s="7">
        <f t="shared" si="134"/>
        <v>0</v>
      </c>
      <c r="H573" s="35">
        <f t="shared" si="129"/>
        <v>150</v>
      </c>
      <c r="I573" s="7">
        <f t="shared" si="134"/>
        <v>0</v>
      </c>
      <c r="J573" s="35">
        <f t="shared" si="126"/>
        <v>150</v>
      </c>
      <c r="K573" s="7">
        <f t="shared" si="134"/>
        <v>0</v>
      </c>
      <c r="L573" s="35">
        <f t="shared" si="124"/>
        <v>150</v>
      </c>
      <c r="M573" s="7">
        <f t="shared" si="134"/>
        <v>0</v>
      </c>
      <c r="N573" s="35">
        <f t="shared" si="125"/>
        <v>150</v>
      </c>
      <c r="O573" s="7">
        <f t="shared" si="134"/>
        <v>0</v>
      </c>
      <c r="P573" s="35">
        <f t="shared" si="122"/>
        <v>150</v>
      </c>
      <c r="Q573" s="7">
        <f t="shared" si="134"/>
        <v>0</v>
      </c>
      <c r="R573" s="35">
        <f t="shared" si="123"/>
        <v>150</v>
      </c>
      <c r="S573" s="7">
        <f t="shared" si="134"/>
        <v>0</v>
      </c>
      <c r="T573" s="35">
        <f t="shared" si="128"/>
        <v>150</v>
      </c>
    </row>
    <row r="574" spans="1:20">
      <c r="A574" s="61" t="str">
        <f ca="1">IF(ISERROR(MATCH(C574,Код_Раздел,0)),"",INDIRECT(ADDRESS(MATCH(C574,Код_Раздел,0)+1,2,,,"Раздел")))</f>
        <v>Общегосударственные  вопросы</v>
      </c>
      <c r="B574" s="113" t="s">
        <v>545</v>
      </c>
      <c r="C574" s="8" t="s">
        <v>211</v>
      </c>
      <c r="D574" s="1"/>
      <c r="E574" s="113"/>
      <c r="F574" s="7">
        <f t="shared" si="134"/>
        <v>150</v>
      </c>
      <c r="G574" s="7">
        <f t="shared" si="134"/>
        <v>0</v>
      </c>
      <c r="H574" s="35">
        <f t="shared" si="129"/>
        <v>150</v>
      </c>
      <c r="I574" s="7">
        <f t="shared" si="134"/>
        <v>0</v>
      </c>
      <c r="J574" s="35">
        <f t="shared" si="126"/>
        <v>150</v>
      </c>
      <c r="K574" s="7">
        <f t="shared" si="134"/>
        <v>0</v>
      </c>
      <c r="L574" s="35">
        <f t="shared" si="124"/>
        <v>150</v>
      </c>
      <c r="M574" s="7">
        <f t="shared" si="134"/>
        <v>0</v>
      </c>
      <c r="N574" s="35">
        <f t="shared" si="125"/>
        <v>150</v>
      </c>
      <c r="O574" s="7">
        <f t="shared" si="134"/>
        <v>0</v>
      </c>
      <c r="P574" s="35">
        <f t="shared" si="122"/>
        <v>150</v>
      </c>
      <c r="Q574" s="7">
        <f t="shared" si="134"/>
        <v>0</v>
      </c>
      <c r="R574" s="35">
        <f t="shared" si="123"/>
        <v>150</v>
      </c>
      <c r="S574" s="7">
        <f t="shared" si="134"/>
        <v>0</v>
      </c>
      <c r="T574" s="35">
        <f t="shared" si="128"/>
        <v>150</v>
      </c>
    </row>
    <row r="575" spans="1:20">
      <c r="A575" s="12" t="s">
        <v>235</v>
      </c>
      <c r="B575" s="113" t="s">
        <v>545</v>
      </c>
      <c r="C575" s="8" t="s">
        <v>211</v>
      </c>
      <c r="D575" s="1" t="s">
        <v>188</v>
      </c>
      <c r="E575" s="113"/>
      <c r="F575" s="7">
        <f t="shared" si="134"/>
        <v>150</v>
      </c>
      <c r="G575" s="7">
        <f t="shared" si="134"/>
        <v>0</v>
      </c>
      <c r="H575" s="35">
        <f t="shared" si="129"/>
        <v>150</v>
      </c>
      <c r="I575" s="7">
        <f t="shared" si="134"/>
        <v>0</v>
      </c>
      <c r="J575" s="35">
        <f t="shared" si="126"/>
        <v>150</v>
      </c>
      <c r="K575" s="7">
        <f t="shared" si="134"/>
        <v>0</v>
      </c>
      <c r="L575" s="35">
        <f t="shared" si="124"/>
        <v>150</v>
      </c>
      <c r="M575" s="7">
        <f t="shared" si="134"/>
        <v>0</v>
      </c>
      <c r="N575" s="35">
        <f t="shared" si="125"/>
        <v>150</v>
      </c>
      <c r="O575" s="7">
        <f t="shared" si="134"/>
        <v>0</v>
      </c>
      <c r="P575" s="35">
        <f t="shared" si="122"/>
        <v>150</v>
      </c>
      <c r="Q575" s="7">
        <f t="shared" si="134"/>
        <v>0</v>
      </c>
      <c r="R575" s="35">
        <f t="shared" si="123"/>
        <v>150</v>
      </c>
      <c r="S575" s="7">
        <f t="shared" si="134"/>
        <v>0</v>
      </c>
      <c r="T575" s="35">
        <f t="shared" si="128"/>
        <v>150</v>
      </c>
    </row>
    <row r="576" spans="1:20">
      <c r="A576" s="61" t="str">
        <f ca="1">IF(ISERROR(MATCH(E576,Код_КВР,0)),"",INDIRECT(ADDRESS(MATCH(E576,Код_КВР,0)+1,2,,,"КВР")))</f>
        <v>Закупка товаров, работ и услуг для муниципальных нужд</v>
      </c>
      <c r="B576" s="113" t="s">
        <v>545</v>
      </c>
      <c r="C576" s="8" t="s">
        <v>211</v>
      </c>
      <c r="D576" s="1" t="s">
        <v>188</v>
      </c>
      <c r="E576" s="113">
        <v>200</v>
      </c>
      <c r="F576" s="7">
        <f t="shared" si="134"/>
        <v>150</v>
      </c>
      <c r="G576" s="7">
        <f t="shared" si="134"/>
        <v>0</v>
      </c>
      <c r="H576" s="35">
        <f t="shared" si="129"/>
        <v>150</v>
      </c>
      <c r="I576" s="7">
        <f t="shared" si="134"/>
        <v>0</v>
      </c>
      <c r="J576" s="35">
        <f t="shared" si="126"/>
        <v>150</v>
      </c>
      <c r="K576" s="7">
        <f t="shared" si="134"/>
        <v>0</v>
      </c>
      <c r="L576" s="35">
        <f t="shared" si="124"/>
        <v>150</v>
      </c>
      <c r="M576" s="7">
        <f t="shared" si="134"/>
        <v>0</v>
      </c>
      <c r="N576" s="35">
        <f t="shared" si="125"/>
        <v>150</v>
      </c>
      <c r="O576" s="7">
        <f t="shared" si="134"/>
        <v>0</v>
      </c>
      <c r="P576" s="35">
        <f t="shared" si="122"/>
        <v>150</v>
      </c>
      <c r="Q576" s="7">
        <f t="shared" si="134"/>
        <v>0</v>
      </c>
      <c r="R576" s="35">
        <f t="shared" si="123"/>
        <v>150</v>
      </c>
      <c r="S576" s="7">
        <f t="shared" si="134"/>
        <v>0</v>
      </c>
      <c r="T576" s="35">
        <f t="shared" si="128"/>
        <v>150</v>
      </c>
    </row>
    <row r="577" spans="1:20" ht="33">
      <c r="A577" s="61" t="str">
        <f ca="1">IF(ISERROR(MATCH(E577,Код_КВР,0)),"",INDIRECT(ADDRESS(MATCH(E577,Код_КВР,0)+1,2,,,"КВР")))</f>
        <v>Иные закупки товаров, работ и услуг для обеспечения муниципальных нужд</v>
      </c>
      <c r="B577" s="113" t="s">
        <v>545</v>
      </c>
      <c r="C577" s="8" t="s">
        <v>211</v>
      </c>
      <c r="D577" s="1" t="s">
        <v>188</v>
      </c>
      <c r="E577" s="113">
        <v>240</v>
      </c>
      <c r="F577" s="7">
        <f t="shared" si="134"/>
        <v>150</v>
      </c>
      <c r="G577" s="7">
        <f t="shared" si="134"/>
        <v>0</v>
      </c>
      <c r="H577" s="35">
        <f t="shared" si="129"/>
        <v>150</v>
      </c>
      <c r="I577" s="7">
        <f t="shared" si="134"/>
        <v>0</v>
      </c>
      <c r="J577" s="35">
        <f t="shared" si="126"/>
        <v>150</v>
      </c>
      <c r="K577" s="7">
        <f t="shared" si="134"/>
        <v>0</v>
      </c>
      <c r="L577" s="35">
        <f t="shared" si="124"/>
        <v>150</v>
      </c>
      <c r="M577" s="7">
        <f t="shared" si="134"/>
        <v>0</v>
      </c>
      <c r="N577" s="35">
        <f t="shared" si="125"/>
        <v>150</v>
      </c>
      <c r="O577" s="7">
        <f t="shared" si="134"/>
        <v>0</v>
      </c>
      <c r="P577" s="35">
        <f t="shared" si="122"/>
        <v>150</v>
      </c>
      <c r="Q577" s="7">
        <f t="shared" si="134"/>
        <v>0</v>
      </c>
      <c r="R577" s="35">
        <f t="shared" si="123"/>
        <v>150</v>
      </c>
      <c r="S577" s="7">
        <f t="shared" si="134"/>
        <v>0</v>
      </c>
      <c r="T577" s="35">
        <f t="shared" si="128"/>
        <v>150</v>
      </c>
    </row>
    <row r="578" spans="1:20" ht="33">
      <c r="A578" s="61" t="str">
        <f ca="1">IF(ISERROR(MATCH(E578,Код_КВР,0)),"",INDIRECT(ADDRESS(MATCH(E578,Код_КВР,0)+1,2,,,"КВР")))</f>
        <v xml:space="preserve">Прочая закупка товаров, работ и услуг для обеспечения муниципальных нужд         </v>
      </c>
      <c r="B578" s="113" t="s">
        <v>545</v>
      </c>
      <c r="C578" s="8" t="s">
        <v>211</v>
      </c>
      <c r="D578" s="1" t="s">
        <v>188</v>
      </c>
      <c r="E578" s="113">
        <v>244</v>
      </c>
      <c r="F578" s="7">
        <f>прил.6!G94</f>
        <v>150</v>
      </c>
      <c r="G578" s="7">
        <f>прил.6!H94</f>
        <v>0</v>
      </c>
      <c r="H578" s="35">
        <f t="shared" si="129"/>
        <v>150</v>
      </c>
      <c r="I578" s="7">
        <f>прил.6!J94</f>
        <v>0</v>
      </c>
      <c r="J578" s="35">
        <f t="shared" si="126"/>
        <v>150</v>
      </c>
      <c r="K578" s="7">
        <f>прил.6!L94</f>
        <v>0</v>
      </c>
      <c r="L578" s="35">
        <f t="shared" si="124"/>
        <v>150</v>
      </c>
      <c r="M578" s="7">
        <f>прил.6!N94</f>
        <v>0</v>
      </c>
      <c r="N578" s="35">
        <f t="shared" si="125"/>
        <v>150</v>
      </c>
      <c r="O578" s="7">
        <f>прил.6!P94</f>
        <v>0</v>
      </c>
      <c r="P578" s="35">
        <f t="shared" si="122"/>
        <v>150</v>
      </c>
      <c r="Q578" s="7">
        <f>прил.6!R94</f>
        <v>0</v>
      </c>
      <c r="R578" s="35">
        <f t="shared" si="123"/>
        <v>150</v>
      </c>
      <c r="S578" s="7">
        <f>прил.6!T94</f>
        <v>0</v>
      </c>
      <c r="T578" s="35">
        <f t="shared" si="128"/>
        <v>150</v>
      </c>
    </row>
    <row r="579" spans="1:20" ht="49.5">
      <c r="A579" s="61" t="str">
        <f ca="1">IF(ISERROR(MATCH(B579,Код_КЦСР,0)),"",INDIRECT(ADDRESS(MATCH(B579,Код_КЦСР,0)+1,2,,,"КЦСР")))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579" s="45" t="s">
        <v>546</v>
      </c>
      <c r="C579" s="8"/>
      <c r="D579" s="1"/>
      <c r="E579" s="113"/>
      <c r="F579" s="7">
        <f>F580+F585</f>
        <v>3117.5</v>
      </c>
      <c r="G579" s="7">
        <f>G580+G585</f>
        <v>0</v>
      </c>
      <c r="H579" s="35">
        <f t="shared" si="129"/>
        <v>3117.5</v>
      </c>
      <c r="I579" s="7">
        <f>I580+I585</f>
        <v>0</v>
      </c>
      <c r="J579" s="35">
        <f t="shared" si="126"/>
        <v>3117.5</v>
      </c>
      <c r="K579" s="7">
        <f>K580+K585</f>
        <v>0</v>
      </c>
      <c r="L579" s="35">
        <f t="shared" si="124"/>
        <v>3117.5</v>
      </c>
      <c r="M579" s="7">
        <f>M580+M585</f>
        <v>278</v>
      </c>
      <c r="N579" s="35">
        <f t="shared" si="125"/>
        <v>3395.5</v>
      </c>
      <c r="O579" s="7">
        <f>O580+O585</f>
        <v>0</v>
      </c>
      <c r="P579" s="35">
        <f t="shared" si="122"/>
        <v>3395.5</v>
      </c>
      <c r="Q579" s="7">
        <f>Q580+Q585+Q590</f>
        <v>312.60000000000002</v>
      </c>
      <c r="R579" s="35">
        <f t="shared" si="123"/>
        <v>3708.1</v>
      </c>
      <c r="S579" s="7">
        <f>S580+S585+S590</f>
        <v>0</v>
      </c>
      <c r="T579" s="35">
        <f t="shared" si="128"/>
        <v>3708.1</v>
      </c>
    </row>
    <row r="580" spans="1:20" ht="35.25" customHeight="1">
      <c r="A580" s="61" t="str">
        <f ca="1">IF(ISERROR(MATCH(B580,Код_КЦСР,0)),"",INDIRECT(ADDRESS(MATCH(B580,Код_КЦСР,0)+1,2,,,"КЦСР")))</f>
        <v>Субсидии организациям, образующим инфраструктуру поддержки МСП: НП «Агентство Городского Развития»</v>
      </c>
      <c r="B580" s="45" t="s">
        <v>548</v>
      </c>
      <c r="C580" s="8"/>
      <c r="D580" s="1"/>
      <c r="E580" s="113"/>
      <c r="F580" s="7">
        <f t="shared" ref="F580:S583" si="135">F581</f>
        <v>3115</v>
      </c>
      <c r="G580" s="7">
        <f t="shared" si="135"/>
        <v>0</v>
      </c>
      <c r="H580" s="35">
        <f t="shared" si="129"/>
        <v>3115</v>
      </c>
      <c r="I580" s="7">
        <f t="shared" si="135"/>
        <v>0</v>
      </c>
      <c r="J580" s="35">
        <f t="shared" si="126"/>
        <v>3115</v>
      </c>
      <c r="K580" s="7">
        <f t="shared" si="135"/>
        <v>0</v>
      </c>
      <c r="L580" s="35">
        <f t="shared" si="124"/>
        <v>3115</v>
      </c>
      <c r="M580" s="7">
        <f t="shared" si="135"/>
        <v>278</v>
      </c>
      <c r="N580" s="35">
        <f t="shared" si="125"/>
        <v>3393</v>
      </c>
      <c r="O580" s="7">
        <f t="shared" si="135"/>
        <v>0</v>
      </c>
      <c r="P580" s="35">
        <f t="shared" si="122"/>
        <v>3393</v>
      </c>
      <c r="Q580" s="7">
        <f t="shared" si="135"/>
        <v>0</v>
      </c>
      <c r="R580" s="35">
        <f t="shared" si="123"/>
        <v>3393</v>
      </c>
      <c r="S580" s="7">
        <f t="shared" si="135"/>
        <v>0</v>
      </c>
      <c r="T580" s="35">
        <f t="shared" si="128"/>
        <v>3393</v>
      </c>
    </row>
    <row r="581" spans="1:20" ht="17.25" customHeight="1">
      <c r="A581" s="61" t="str">
        <f ca="1">IF(ISERROR(MATCH(C581,Код_Раздел,0)),"",INDIRECT(ADDRESS(MATCH(C581,Код_Раздел,0)+1,2,,,"Раздел")))</f>
        <v>Национальная экономика</v>
      </c>
      <c r="B581" s="45" t="s">
        <v>548</v>
      </c>
      <c r="C581" s="8" t="s">
        <v>214</v>
      </c>
      <c r="D581" s="1"/>
      <c r="E581" s="113"/>
      <c r="F581" s="7">
        <f t="shared" si="135"/>
        <v>3115</v>
      </c>
      <c r="G581" s="7">
        <f t="shared" si="135"/>
        <v>0</v>
      </c>
      <c r="H581" s="35">
        <f t="shared" si="129"/>
        <v>3115</v>
      </c>
      <c r="I581" s="7">
        <f t="shared" si="135"/>
        <v>0</v>
      </c>
      <c r="J581" s="35">
        <f t="shared" si="126"/>
        <v>3115</v>
      </c>
      <c r="K581" s="7">
        <f t="shared" si="135"/>
        <v>0</v>
      </c>
      <c r="L581" s="35">
        <f t="shared" si="124"/>
        <v>3115</v>
      </c>
      <c r="M581" s="7">
        <f t="shared" si="135"/>
        <v>278</v>
      </c>
      <c r="N581" s="35">
        <f t="shared" si="125"/>
        <v>3393</v>
      </c>
      <c r="O581" s="7">
        <f t="shared" si="135"/>
        <v>0</v>
      </c>
      <c r="P581" s="35">
        <f t="shared" si="122"/>
        <v>3393</v>
      </c>
      <c r="Q581" s="7">
        <f t="shared" si="135"/>
        <v>0</v>
      </c>
      <c r="R581" s="35">
        <f t="shared" si="123"/>
        <v>3393</v>
      </c>
      <c r="S581" s="7">
        <f t="shared" si="135"/>
        <v>0</v>
      </c>
      <c r="T581" s="35">
        <f t="shared" si="128"/>
        <v>3393</v>
      </c>
    </row>
    <row r="582" spans="1:20" ht="19.5" customHeight="1">
      <c r="A582" s="12" t="s">
        <v>221</v>
      </c>
      <c r="B582" s="45" t="s">
        <v>548</v>
      </c>
      <c r="C582" s="8" t="s">
        <v>214</v>
      </c>
      <c r="D582" s="8" t="s">
        <v>194</v>
      </c>
      <c r="E582" s="113"/>
      <c r="F582" s="7">
        <f t="shared" si="135"/>
        <v>3115</v>
      </c>
      <c r="G582" s="7">
        <f t="shared" si="135"/>
        <v>0</v>
      </c>
      <c r="H582" s="35">
        <f t="shared" si="129"/>
        <v>3115</v>
      </c>
      <c r="I582" s="7">
        <f t="shared" si="135"/>
        <v>0</v>
      </c>
      <c r="J582" s="35">
        <f t="shared" si="126"/>
        <v>3115</v>
      </c>
      <c r="K582" s="7">
        <f t="shared" si="135"/>
        <v>0</v>
      </c>
      <c r="L582" s="35">
        <f t="shared" si="124"/>
        <v>3115</v>
      </c>
      <c r="M582" s="7">
        <f t="shared" si="135"/>
        <v>278</v>
      </c>
      <c r="N582" s="35">
        <f t="shared" si="125"/>
        <v>3393</v>
      </c>
      <c r="O582" s="7">
        <f t="shared" si="135"/>
        <v>0</v>
      </c>
      <c r="P582" s="35">
        <f t="shared" si="122"/>
        <v>3393</v>
      </c>
      <c r="Q582" s="7">
        <f t="shared" si="135"/>
        <v>0</v>
      </c>
      <c r="R582" s="35">
        <f t="shared" si="123"/>
        <v>3393</v>
      </c>
      <c r="S582" s="7">
        <f t="shared" si="135"/>
        <v>0</v>
      </c>
      <c r="T582" s="35">
        <f t="shared" si="128"/>
        <v>3393</v>
      </c>
    </row>
    <row r="583" spans="1:20" ht="36.75" customHeight="1">
      <c r="A583" s="61" t="str">
        <f ca="1">IF(ISERROR(MATCH(E583,Код_КВР,0)),"",INDIRECT(ADDRESS(MATCH(E583,Код_КВР,0)+1,2,,,"КВР")))</f>
        <v>Предоставление субсидий бюджетным, автономным учреждениям и иным некоммерческим организациям</v>
      </c>
      <c r="B583" s="45" t="s">
        <v>548</v>
      </c>
      <c r="C583" s="8" t="s">
        <v>214</v>
      </c>
      <c r="D583" s="8" t="s">
        <v>194</v>
      </c>
      <c r="E583" s="113">
        <v>600</v>
      </c>
      <c r="F583" s="7">
        <f t="shared" si="135"/>
        <v>3115</v>
      </c>
      <c r="G583" s="7">
        <f t="shared" si="135"/>
        <v>0</v>
      </c>
      <c r="H583" s="35">
        <f t="shared" si="129"/>
        <v>3115</v>
      </c>
      <c r="I583" s="7">
        <f t="shared" si="135"/>
        <v>0</v>
      </c>
      <c r="J583" s="35">
        <f t="shared" si="126"/>
        <v>3115</v>
      </c>
      <c r="K583" s="7">
        <f t="shared" si="135"/>
        <v>0</v>
      </c>
      <c r="L583" s="35">
        <f t="shared" si="124"/>
        <v>3115</v>
      </c>
      <c r="M583" s="7">
        <f t="shared" si="135"/>
        <v>278</v>
      </c>
      <c r="N583" s="35">
        <f t="shared" si="125"/>
        <v>3393</v>
      </c>
      <c r="O583" s="7">
        <f t="shared" si="135"/>
        <v>0</v>
      </c>
      <c r="P583" s="35">
        <f t="shared" si="122"/>
        <v>3393</v>
      </c>
      <c r="Q583" s="7">
        <f t="shared" si="135"/>
        <v>0</v>
      </c>
      <c r="R583" s="35">
        <f t="shared" si="123"/>
        <v>3393</v>
      </c>
      <c r="S583" s="7">
        <f t="shared" si="135"/>
        <v>0</v>
      </c>
      <c r="T583" s="35">
        <f t="shared" si="128"/>
        <v>3393</v>
      </c>
    </row>
    <row r="584" spans="1:20" ht="35.25" customHeight="1">
      <c r="A584" s="61" t="str">
        <f ca="1">IF(ISERROR(MATCH(E584,Код_КВР,0)),"",INDIRECT(ADDRESS(MATCH(E584,Код_КВР,0)+1,2,,,"КВР")))</f>
        <v>Субсидии некоммерческим организациям (за исключением государственных (муниципальных) учреждений)</v>
      </c>
      <c r="B584" s="45" t="s">
        <v>548</v>
      </c>
      <c r="C584" s="8" t="s">
        <v>214</v>
      </c>
      <c r="D584" s="8" t="s">
        <v>194</v>
      </c>
      <c r="E584" s="113">
        <v>630</v>
      </c>
      <c r="F584" s="7">
        <f>прил.6!G281</f>
        <v>3115</v>
      </c>
      <c r="G584" s="7">
        <f>прил.6!H281</f>
        <v>0</v>
      </c>
      <c r="H584" s="35">
        <f t="shared" si="129"/>
        <v>3115</v>
      </c>
      <c r="I584" s="7">
        <f>прил.6!J281</f>
        <v>0</v>
      </c>
      <c r="J584" s="35">
        <f t="shared" si="126"/>
        <v>3115</v>
      </c>
      <c r="K584" s="7">
        <f>прил.6!L281</f>
        <v>0</v>
      </c>
      <c r="L584" s="35">
        <f t="shared" si="124"/>
        <v>3115</v>
      </c>
      <c r="M584" s="7">
        <f>прил.6!N281</f>
        <v>278</v>
      </c>
      <c r="N584" s="35">
        <f t="shared" si="125"/>
        <v>3393</v>
      </c>
      <c r="O584" s="7">
        <f>прил.6!P281</f>
        <v>0</v>
      </c>
      <c r="P584" s="35">
        <f t="shared" si="122"/>
        <v>3393</v>
      </c>
      <c r="Q584" s="7">
        <f>прил.6!R281</f>
        <v>0</v>
      </c>
      <c r="R584" s="35">
        <f t="shared" si="123"/>
        <v>3393</v>
      </c>
      <c r="S584" s="7">
        <f>прил.6!T281</f>
        <v>0</v>
      </c>
      <c r="T584" s="35">
        <f t="shared" si="128"/>
        <v>3393</v>
      </c>
    </row>
    <row r="585" spans="1:20" ht="50.25" customHeight="1">
      <c r="A585" s="61" t="str">
        <f ca="1">IF(ISERROR(MATCH(B585,Код_КЦСР,0)),"",INDIRECT(ADDRESS(MATCH(B585,Код_КЦСР,0)+1,2,,,"КЦСР")))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585" s="47" t="s">
        <v>550</v>
      </c>
      <c r="C585" s="8"/>
      <c r="D585" s="1"/>
      <c r="E585" s="113"/>
      <c r="F585" s="7">
        <f t="shared" ref="F585:S588" si="136">F586</f>
        <v>2.5</v>
      </c>
      <c r="G585" s="7">
        <f t="shared" si="136"/>
        <v>0</v>
      </c>
      <c r="H585" s="35">
        <f t="shared" si="129"/>
        <v>2.5</v>
      </c>
      <c r="I585" s="7">
        <f t="shared" si="136"/>
        <v>0</v>
      </c>
      <c r="J585" s="35">
        <f t="shared" si="126"/>
        <v>2.5</v>
      </c>
      <c r="K585" s="7">
        <f t="shared" si="136"/>
        <v>0</v>
      </c>
      <c r="L585" s="35">
        <f t="shared" si="124"/>
        <v>2.5</v>
      </c>
      <c r="M585" s="7">
        <f t="shared" si="136"/>
        <v>0</v>
      </c>
      <c r="N585" s="35">
        <f t="shared" si="125"/>
        <v>2.5</v>
      </c>
      <c r="O585" s="7">
        <f t="shared" si="136"/>
        <v>0</v>
      </c>
      <c r="P585" s="35">
        <f t="shared" si="122"/>
        <v>2.5</v>
      </c>
      <c r="Q585" s="7">
        <f t="shared" si="136"/>
        <v>0</v>
      </c>
      <c r="R585" s="35">
        <f t="shared" si="123"/>
        <v>2.5</v>
      </c>
      <c r="S585" s="7">
        <f t="shared" si="136"/>
        <v>0</v>
      </c>
      <c r="T585" s="35">
        <f t="shared" si="128"/>
        <v>2.5</v>
      </c>
    </row>
    <row r="586" spans="1:20">
      <c r="A586" s="61" t="str">
        <f ca="1">IF(ISERROR(MATCH(C586,Код_Раздел,0)),"",INDIRECT(ADDRESS(MATCH(C586,Код_Раздел,0)+1,2,,,"Раздел")))</f>
        <v>Национальная экономика</v>
      </c>
      <c r="B586" s="47" t="s">
        <v>550</v>
      </c>
      <c r="C586" s="8" t="s">
        <v>214</v>
      </c>
      <c r="D586" s="1"/>
      <c r="E586" s="113"/>
      <c r="F586" s="7">
        <f t="shared" si="136"/>
        <v>2.5</v>
      </c>
      <c r="G586" s="7">
        <f t="shared" si="136"/>
        <v>0</v>
      </c>
      <c r="H586" s="35">
        <f t="shared" si="129"/>
        <v>2.5</v>
      </c>
      <c r="I586" s="7">
        <f t="shared" si="136"/>
        <v>0</v>
      </c>
      <c r="J586" s="35">
        <f t="shared" si="126"/>
        <v>2.5</v>
      </c>
      <c r="K586" s="7">
        <f t="shared" si="136"/>
        <v>0</v>
      </c>
      <c r="L586" s="35">
        <f t="shared" si="124"/>
        <v>2.5</v>
      </c>
      <c r="M586" s="7">
        <f t="shared" si="136"/>
        <v>0</v>
      </c>
      <c r="N586" s="35">
        <f t="shared" si="125"/>
        <v>2.5</v>
      </c>
      <c r="O586" s="7">
        <f t="shared" si="136"/>
        <v>0</v>
      </c>
      <c r="P586" s="35">
        <f t="shared" si="122"/>
        <v>2.5</v>
      </c>
      <c r="Q586" s="7">
        <f t="shared" si="136"/>
        <v>0</v>
      </c>
      <c r="R586" s="35">
        <f t="shared" si="123"/>
        <v>2.5</v>
      </c>
      <c r="S586" s="7">
        <f t="shared" si="136"/>
        <v>0</v>
      </c>
      <c r="T586" s="35">
        <f t="shared" si="128"/>
        <v>2.5</v>
      </c>
    </row>
    <row r="587" spans="1:20">
      <c r="A587" s="12" t="s">
        <v>221</v>
      </c>
      <c r="B587" s="47" t="s">
        <v>550</v>
      </c>
      <c r="C587" s="8" t="s">
        <v>214</v>
      </c>
      <c r="D587" s="8" t="s">
        <v>194</v>
      </c>
      <c r="E587" s="113"/>
      <c r="F587" s="7">
        <f t="shared" si="136"/>
        <v>2.5</v>
      </c>
      <c r="G587" s="7">
        <f t="shared" si="136"/>
        <v>0</v>
      </c>
      <c r="H587" s="35">
        <f t="shared" si="129"/>
        <v>2.5</v>
      </c>
      <c r="I587" s="7">
        <f t="shared" si="136"/>
        <v>0</v>
      </c>
      <c r="J587" s="35">
        <f t="shared" si="126"/>
        <v>2.5</v>
      </c>
      <c r="K587" s="7">
        <f t="shared" si="136"/>
        <v>0</v>
      </c>
      <c r="L587" s="35">
        <f t="shared" si="124"/>
        <v>2.5</v>
      </c>
      <c r="M587" s="7">
        <f t="shared" si="136"/>
        <v>0</v>
      </c>
      <c r="N587" s="35">
        <f t="shared" si="125"/>
        <v>2.5</v>
      </c>
      <c r="O587" s="7">
        <f t="shared" si="136"/>
        <v>0</v>
      </c>
      <c r="P587" s="35">
        <f t="shared" si="122"/>
        <v>2.5</v>
      </c>
      <c r="Q587" s="7">
        <f t="shared" si="136"/>
        <v>0</v>
      </c>
      <c r="R587" s="35">
        <f t="shared" si="123"/>
        <v>2.5</v>
      </c>
      <c r="S587" s="7">
        <f t="shared" si="136"/>
        <v>0</v>
      </c>
      <c r="T587" s="35">
        <f t="shared" si="128"/>
        <v>2.5</v>
      </c>
    </row>
    <row r="588" spans="1:20" ht="33">
      <c r="A588" s="61" t="str">
        <f ca="1">IF(ISERROR(MATCH(E588,Код_КВР,0)),"",INDIRECT(ADDRESS(MATCH(E588,Код_КВР,0)+1,2,,,"КВР")))</f>
        <v>Предоставление субсидий бюджетным, автономным учреждениям и иным некоммерческим организациям</v>
      </c>
      <c r="B588" s="47" t="s">
        <v>550</v>
      </c>
      <c r="C588" s="8" t="s">
        <v>214</v>
      </c>
      <c r="D588" s="8" t="s">
        <v>194</v>
      </c>
      <c r="E588" s="113">
        <v>600</v>
      </c>
      <c r="F588" s="7">
        <f t="shared" si="136"/>
        <v>2.5</v>
      </c>
      <c r="G588" s="7">
        <f t="shared" si="136"/>
        <v>0</v>
      </c>
      <c r="H588" s="35">
        <f t="shared" si="129"/>
        <v>2.5</v>
      </c>
      <c r="I588" s="7">
        <f t="shared" si="136"/>
        <v>0</v>
      </c>
      <c r="J588" s="35">
        <f t="shared" si="126"/>
        <v>2.5</v>
      </c>
      <c r="K588" s="7">
        <f t="shared" si="136"/>
        <v>0</v>
      </c>
      <c r="L588" s="35">
        <f t="shared" si="124"/>
        <v>2.5</v>
      </c>
      <c r="M588" s="7">
        <f t="shared" si="136"/>
        <v>0</v>
      </c>
      <c r="N588" s="35">
        <f t="shared" si="125"/>
        <v>2.5</v>
      </c>
      <c r="O588" s="7">
        <f t="shared" si="136"/>
        <v>0</v>
      </c>
      <c r="P588" s="35">
        <f t="shared" si="122"/>
        <v>2.5</v>
      </c>
      <c r="Q588" s="7">
        <f t="shared" si="136"/>
        <v>0</v>
      </c>
      <c r="R588" s="35">
        <f t="shared" si="123"/>
        <v>2.5</v>
      </c>
      <c r="S588" s="7">
        <f t="shared" si="136"/>
        <v>0</v>
      </c>
      <c r="T588" s="35">
        <f t="shared" si="128"/>
        <v>2.5</v>
      </c>
    </row>
    <row r="589" spans="1:20" ht="33">
      <c r="A589" s="61" t="str">
        <f ca="1">IF(ISERROR(MATCH(E589,Код_КВР,0)),"",INDIRECT(ADDRESS(MATCH(E589,Код_КВР,0)+1,2,,,"КВР")))</f>
        <v>Субсидии некоммерческим организациям (за исключением государственных (муниципальных) учреждений)</v>
      </c>
      <c r="B589" s="47" t="s">
        <v>550</v>
      </c>
      <c r="C589" s="8" t="s">
        <v>214</v>
      </c>
      <c r="D589" s="8" t="s">
        <v>194</v>
      </c>
      <c r="E589" s="113">
        <v>630</v>
      </c>
      <c r="F589" s="13">
        <f>прил.6!G284</f>
        <v>2.5</v>
      </c>
      <c r="G589" s="13">
        <f>прил.6!H284</f>
        <v>0</v>
      </c>
      <c r="H589" s="35">
        <f t="shared" si="129"/>
        <v>2.5</v>
      </c>
      <c r="I589" s="13">
        <f>прил.6!J284</f>
        <v>0</v>
      </c>
      <c r="J589" s="35">
        <f t="shared" si="126"/>
        <v>2.5</v>
      </c>
      <c r="K589" s="13">
        <f>прил.6!L284</f>
        <v>0</v>
      </c>
      <c r="L589" s="35">
        <f t="shared" si="124"/>
        <v>2.5</v>
      </c>
      <c r="M589" s="13">
        <f>прил.6!N284</f>
        <v>0</v>
      </c>
      <c r="N589" s="35">
        <f t="shared" si="125"/>
        <v>2.5</v>
      </c>
      <c r="O589" s="13">
        <f>прил.6!P284</f>
        <v>0</v>
      </c>
      <c r="P589" s="35">
        <f t="shared" si="122"/>
        <v>2.5</v>
      </c>
      <c r="Q589" s="13">
        <f>прил.6!R284</f>
        <v>0</v>
      </c>
      <c r="R589" s="35">
        <f t="shared" si="123"/>
        <v>2.5</v>
      </c>
      <c r="S589" s="13">
        <f>прил.6!T284</f>
        <v>0</v>
      </c>
      <c r="T589" s="35">
        <f t="shared" si="128"/>
        <v>2.5</v>
      </c>
    </row>
    <row r="590" spans="1:20" ht="54" customHeight="1">
      <c r="A590" s="61" t="str">
        <f ca="1">IF(ISERROR(MATCH(B590,Код_КЦСР,0)),"",INDIRECT(ADDRESS(MATCH(B590,Код_КЦСР,0)+1,2,,,"КЦСР")))</f>
        <v>Государственная поддержка малого и среднего предпринимательства, включая крестьянские (фермерские) хозяйства, за счет субсидий из федерального бюджета</v>
      </c>
      <c r="B590" s="47" t="s">
        <v>639</v>
      </c>
      <c r="C590" s="8"/>
      <c r="D590" s="1"/>
      <c r="E590" s="113"/>
      <c r="F590" s="13"/>
      <c r="G590" s="13"/>
      <c r="H590" s="35"/>
      <c r="I590" s="13"/>
      <c r="J590" s="35"/>
      <c r="K590" s="13"/>
      <c r="L590" s="35"/>
      <c r="M590" s="13"/>
      <c r="N590" s="35"/>
      <c r="O590" s="13"/>
      <c r="P590" s="35"/>
      <c r="Q590" s="13">
        <f>Q591</f>
        <v>312.60000000000002</v>
      </c>
      <c r="R590" s="35">
        <f t="shared" si="123"/>
        <v>312.60000000000002</v>
      </c>
      <c r="S590" s="13">
        <f>S591</f>
        <v>0</v>
      </c>
      <c r="T590" s="35">
        <f t="shared" si="128"/>
        <v>312.60000000000002</v>
      </c>
    </row>
    <row r="591" spans="1:20">
      <c r="A591" s="61" t="str">
        <f ca="1">IF(ISERROR(MATCH(C591,Код_Раздел,0)),"",INDIRECT(ADDRESS(MATCH(C591,Код_Раздел,0)+1,2,,,"Раздел")))</f>
        <v>Национальная экономика</v>
      </c>
      <c r="B591" s="47" t="s">
        <v>639</v>
      </c>
      <c r="C591" s="8" t="s">
        <v>214</v>
      </c>
      <c r="D591" s="1"/>
      <c r="E591" s="113"/>
      <c r="F591" s="13"/>
      <c r="G591" s="13"/>
      <c r="H591" s="35"/>
      <c r="I591" s="13"/>
      <c r="J591" s="35"/>
      <c r="K591" s="13"/>
      <c r="L591" s="35"/>
      <c r="M591" s="13"/>
      <c r="N591" s="35"/>
      <c r="O591" s="13"/>
      <c r="P591" s="35"/>
      <c r="Q591" s="13">
        <f>Q592</f>
        <v>312.60000000000002</v>
      </c>
      <c r="R591" s="35">
        <f t="shared" si="123"/>
        <v>312.60000000000002</v>
      </c>
      <c r="S591" s="13">
        <f>S592</f>
        <v>0</v>
      </c>
      <c r="T591" s="35">
        <f t="shared" si="128"/>
        <v>312.60000000000002</v>
      </c>
    </row>
    <row r="592" spans="1:20">
      <c r="A592" s="12" t="s">
        <v>221</v>
      </c>
      <c r="B592" s="47" t="s">
        <v>639</v>
      </c>
      <c r="C592" s="8" t="s">
        <v>214</v>
      </c>
      <c r="D592" s="8" t="s">
        <v>194</v>
      </c>
      <c r="E592" s="113"/>
      <c r="F592" s="13"/>
      <c r="G592" s="13"/>
      <c r="H592" s="35"/>
      <c r="I592" s="13"/>
      <c r="J592" s="35"/>
      <c r="K592" s="13"/>
      <c r="L592" s="35"/>
      <c r="M592" s="13"/>
      <c r="N592" s="35"/>
      <c r="O592" s="13"/>
      <c r="P592" s="35"/>
      <c r="Q592" s="13">
        <f>Q593</f>
        <v>312.60000000000002</v>
      </c>
      <c r="R592" s="35">
        <f t="shared" si="123"/>
        <v>312.60000000000002</v>
      </c>
      <c r="S592" s="13">
        <f>S593</f>
        <v>0</v>
      </c>
      <c r="T592" s="35">
        <f t="shared" si="128"/>
        <v>312.60000000000002</v>
      </c>
    </row>
    <row r="593" spans="1:20" ht="21.95" customHeight="1">
      <c r="A593" s="61" t="str">
        <f ca="1">IF(ISERROR(MATCH(E593,Код_КВР,0)),"",INDIRECT(ADDRESS(MATCH(E593,Код_КВР,0)+1,2,,,"КВР")))</f>
        <v>Иные бюджетные ассигнования</v>
      </c>
      <c r="B593" s="47" t="s">
        <v>639</v>
      </c>
      <c r="C593" s="8" t="s">
        <v>214</v>
      </c>
      <c r="D593" s="8" t="s">
        <v>194</v>
      </c>
      <c r="E593" s="113">
        <v>800</v>
      </c>
      <c r="F593" s="13"/>
      <c r="G593" s="13"/>
      <c r="H593" s="35"/>
      <c r="I593" s="13"/>
      <c r="J593" s="35"/>
      <c r="K593" s="13"/>
      <c r="L593" s="35"/>
      <c r="M593" s="13"/>
      <c r="N593" s="35"/>
      <c r="O593" s="13"/>
      <c r="P593" s="35"/>
      <c r="Q593" s="13">
        <f>Q594</f>
        <v>312.60000000000002</v>
      </c>
      <c r="R593" s="35">
        <f t="shared" si="123"/>
        <v>312.60000000000002</v>
      </c>
      <c r="S593" s="13">
        <f>S594</f>
        <v>0</v>
      </c>
      <c r="T593" s="35">
        <f t="shared" si="128"/>
        <v>312.60000000000002</v>
      </c>
    </row>
    <row r="594" spans="1:20" ht="49.5">
      <c r="A594" s="61" t="str">
        <f ca="1">IF(ISERROR(MATCH(E594,Код_КВР,0)),"",INDIRECT(ADDRESS(MATCH(E594,Код_КВР,0)+1,2,,,"КВР")))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94" s="47" t="s">
        <v>639</v>
      </c>
      <c r="C594" s="8" t="s">
        <v>214</v>
      </c>
      <c r="D594" s="8" t="s">
        <v>194</v>
      </c>
      <c r="E594" s="113">
        <v>810</v>
      </c>
      <c r="F594" s="13"/>
      <c r="G594" s="13"/>
      <c r="H594" s="35"/>
      <c r="I594" s="13"/>
      <c r="J594" s="35"/>
      <c r="K594" s="13"/>
      <c r="L594" s="35"/>
      <c r="M594" s="13"/>
      <c r="N594" s="35"/>
      <c r="O594" s="13"/>
      <c r="P594" s="35"/>
      <c r="Q594" s="13">
        <f>прил.6!R287</f>
        <v>312.60000000000002</v>
      </c>
      <c r="R594" s="35">
        <f t="shared" si="123"/>
        <v>312.60000000000002</v>
      </c>
      <c r="S594" s="13">
        <f>прил.6!T287</f>
        <v>0</v>
      </c>
      <c r="T594" s="35">
        <f t="shared" si="128"/>
        <v>312.60000000000002</v>
      </c>
    </row>
    <row r="595" spans="1:20" ht="33">
      <c r="A595" s="61" t="str">
        <f ca="1">IF(ISERROR(MATCH(B595,Код_КЦСР,0)),"",INDIRECT(ADDRESS(MATCH(B595,Код_КЦСР,0)+1,2,,,"КЦСР")))</f>
        <v>Муниципальная программа «Повышение инвестиционной привлекательности города Череповца» на 2014-2018 годы</v>
      </c>
      <c r="B595" s="45" t="s">
        <v>552</v>
      </c>
      <c r="C595" s="8"/>
      <c r="D595" s="1"/>
      <c r="E595" s="113"/>
      <c r="F595" s="7">
        <f>F596+F601+F606</f>
        <v>11791.2</v>
      </c>
      <c r="G595" s="7">
        <f>G596+G601+G606</f>
        <v>0</v>
      </c>
      <c r="H595" s="35">
        <f t="shared" si="129"/>
        <v>11791.2</v>
      </c>
      <c r="I595" s="7">
        <f>I596+I601+I606</f>
        <v>0</v>
      </c>
      <c r="J595" s="35">
        <f t="shared" si="126"/>
        <v>11791.2</v>
      </c>
      <c r="K595" s="7">
        <f>K596+K601+K606</f>
        <v>0</v>
      </c>
      <c r="L595" s="35">
        <f t="shared" si="124"/>
        <v>11791.2</v>
      </c>
      <c r="M595" s="7">
        <f>M596+M601+M606</f>
        <v>0</v>
      </c>
      <c r="N595" s="35">
        <f t="shared" si="125"/>
        <v>11791.2</v>
      </c>
      <c r="O595" s="7">
        <f>O596+O601+O606</f>
        <v>0</v>
      </c>
      <c r="P595" s="35">
        <f t="shared" si="122"/>
        <v>11791.2</v>
      </c>
      <c r="Q595" s="7">
        <f>Q596+Q601+Q606</f>
        <v>0</v>
      </c>
      <c r="R595" s="35">
        <f t="shared" si="123"/>
        <v>11791.2</v>
      </c>
      <c r="S595" s="7">
        <f>S596+S601+S606</f>
        <v>0</v>
      </c>
      <c r="T595" s="35">
        <f t="shared" si="128"/>
        <v>11791.2</v>
      </c>
    </row>
    <row r="596" spans="1:20" ht="33">
      <c r="A596" s="61" t="str">
        <f ca="1">IF(ISERROR(MATCH(B596,Код_КЦСР,0)),"",INDIRECT(ADDRESS(MATCH(B596,Код_КЦСР,0)+1,2,,,"КЦСР")))</f>
        <v>Стимулирование экономического роста путем привлечения инвесторов</v>
      </c>
      <c r="B596" s="45" t="s">
        <v>554</v>
      </c>
      <c r="C596" s="8"/>
      <c r="D596" s="1"/>
      <c r="E596" s="113"/>
      <c r="F596" s="7">
        <f t="shared" ref="F596:S599" si="137">F597</f>
        <v>5549.9</v>
      </c>
      <c r="G596" s="7">
        <f t="shared" si="137"/>
        <v>0</v>
      </c>
      <c r="H596" s="35">
        <f t="shared" si="129"/>
        <v>5549.9</v>
      </c>
      <c r="I596" s="7">
        <f t="shared" si="137"/>
        <v>0</v>
      </c>
      <c r="J596" s="35">
        <f t="shared" si="126"/>
        <v>5549.9</v>
      </c>
      <c r="K596" s="7">
        <f t="shared" si="137"/>
        <v>0</v>
      </c>
      <c r="L596" s="35">
        <f t="shared" si="124"/>
        <v>5549.9</v>
      </c>
      <c r="M596" s="7">
        <f t="shared" si="137"/>
        <v>0</v>
      </c>
      <c r="N596" s="35">
        <f t="shared" si="125"/>
        <v>5549.9</v>
      </c>
      <c r="O596" s="7">
        <f t="shared" si="137"/>
        <v>0</v>
      </c>
      <c r="P596" s="35">
        <f t="shared" si="122"/>
        <v>5549.9</v>
      </c>
      <c r="Q596" s="7">
        <f t="shared" si="137"/>
        <v>0</v>
      </c>
      <c r="R596" s="35">
        <f t="shared" si="123"/>
        <v>5549.9</v>
      </c>
      <c r="S596" s="7">
        <f t="shared" si="137"/>
        <v>0</v>
      </c>
      <c r="T596" s="35">
        <f t="shared" si="128"/>
        <v>5549.9</v>
      </c>
    </row>
    <row r="597" spans="1:20">
      <c r="A597" s="61" t="str">
        <f ca="1">IF(ISERROR(MATCH(C597,Код_Раздел,0)),"",INDIRECT(ADDRESS(MATCH(C597,Код_Раздел,0)+1,2,,,"Раздел")))</f>
        <v>Национальная экономика</v>
      </c>
      <c r="B597" s="45" t="s">
        <v>554</v>
      </c>
      <c r="C597" s="8" t="s">
        <v>214</v>
      </c>
      <c r="D597" s="1"/>
      <c r="E597" s="113"/>
      <c r="F597" s="7">
        <f t="shared" si="137"/>
        <v>5549.9</v>
      </c>
      <c r="G597" s="7">
        <f t="shared" si="137"/>
        <v>0</v>
      </c>
      <c r="H597" s="35">
        <f t="shared" si="129"/>
        <v>5549.9</v>
      </c>
      <c r="I597" s="7">
        <f t="shared" si="137"/>
        <v>0</v>
      </c>
      <c r="J597" s="35">
        <f t="shared" si="126"/>
        <v>5549.9</v>
      </c>
      <c r="K597" s="7">
        <f t="shared" si="137"/>
        <v>0</v>
      </c>
      <c r="L597" s="35">
        <f t="shared" si="124"/>
        <v>5549.9</v>
      </c>
      <c r="M597" s="7">
        <f t="shared" si="137"/>
        <v>0</v>
      </c>
      <c r="N597" s="35">
        <f t="shared" si="125"/>
        <v>5549.9</v>
      </c>
      <c r="O597" s="7">
        <f t="shared" si="137"/>
        <v>0</v>
      </c>
      <c r="P597" s="35">
        <f t="shared" si="122"/>
        <v>5549.9</v>
      </c>
      <c r="Q597" s="7">
        <f t="shared" si="137"/>
        <v>0</v>
      </c>
      <c r="R597" s="35">
        <f t="shared" si="123"/>
        <v>5549.9</v>
      </c>
      <c r="S597" s="7">
        <f t="shared" si="137"/>
        <v>0</v>
      </c>
      <c r="T597" s="35">
        <f t="shared" si="128"/>
        <v>5549.9</v>
      </c>
    </row>
    <row r="598" spans="1:20">
      <c r="A598" s="12" t="s">
        <v>221</v>
      </c>
      <c r="B598" s="45" t="s">
        <v>554</v>
      </c>
      <c r="C598" s="8" t="s">
        <v>214</v>
      </c>
      <c r="D598" s="8" t="s">
        <v>194</v>
      </c>
      <c r="E598" s="113"/>
      <c r="F598" s="7">
        <f t="shared" si="137"/>
        <v>5549.9</v>
      </c>
      <c r="G598" s="7">
        <f t="shared" si="137"/>
        <v>0</v>
      </c>
      <c r="H598" s="35">
        <f t="shared" si="129"/>
        <v>5549.9</v>
      </c>
      <c r="I598" s="7">
        <f t="shared" si="137"/>
        <v>0</v>
      </c>
      <c r="J598" s="35">
        <f t="shared" si="126"/>
        <v>5549.9</v>
      </c>
      <c r="K598" s="7">
        <f t="shared" si="137"/>
        <v>0</v>
      </c>
      <c r="L598" s="35">
        <f t="shared" si="124"/>
        <v>5549.9</v>
      </c>
      <c r="M598" s="7">
        <f t="shared" si="137"/>
        <v>0</v>
      </c>
      <c r="N598" s="35">
        <f t="shared" si="125"/>
        <v>5549.9</v>
      </c>
      <c r="O598" s="7">
        <f t="shared" si="137"/>
        <v>0</v>
      </c>
      <c r="P598" s="35">
        <f t="shared" si="122"/>
        <v>5549.9</v>
      </c>
      <c r="Q598" s="7">
        <f t="shared" si="137"/>
        <v>0</v>
      </c>
      <c r="R598" s="35">
        <f t="shared" si="123"/>
        <v>5549.9</v>
      </c>
      <c r="S598" s="7">
        <f t="shared" si="137"/>
        <v>0</v>
      </c>
      <c r="T598" s="35">
        <f t="shared" si="128"/>
        <v>5549.9</v>
      </c>
    </row>
    <row r="599" spans="1:20" ht="33">
      <c r="A599" s="61" t="str">
        <f ca="1">IF(ISERROR(MATCH(E599,Код_КВР,0)),"",INDIRECT(ADDRESS(MATCH(E599,Код_КВР,0)+1,2,,,"КВР")))</f>
        <v>Предоставление субсидий бюджетным, автономным учреждениям и иным некоммерческим организациям</v>
      </c>
      <c r="B599" s="45" t="s">
        <v>554</v>
      </c>
      <c r="C599" s="8" t="s">
        <v>214</v>
      </c>
      <c r="D599" s="8" t="s">
        <v>194</v>
      </c>
      <c r="E599" s="113">
        <v>600</v>
      </c>
      <c r="F599" s="7">
        <f t="shared" si="137"/>
        <v>5549.9</v>
      </c>
      <c r="G599" s="7">
        <f t="shared" si="137"/>
        <v>0</v>
      </c>
      <c r="H599" s="35">
        <f t="shared" si="129"/>
        <v>5549.9</v>
      </c>
      <c r="I599" s="7">
        <f t="shared" si="137"/>
        <v>0</v>
      </c>
      <c r="J599" s="35">
        <f t="shared" si="126"/>
        <v>5549.9</v>
      </c>
      <c r="K599" s="7">
        <f t="shared" si="137"/>
        <v>0</v>
      </c>
      <c r="L599" s="35">
        <f t="shared" si="124"/>
        <v>5549.9</v>
      </c>
      <c r="M599" s="7">
        <f t="shared" si="137"/>
        <v>0</v>
      </c>
      <c r="N599" s="35">
        <f t="shared" si="125"/>
        <v>5549.9</v>
      </c>
      <c r="O599" s="7">
        <f t="shared" si="137"/>
        <v>0</v>
      </c>
      <c r="P599" s="35">
        <f t="shared" ref="P599:P662" si="138">N599+O599</f>
        <v>5549.9</v>
      </c>
      <c r="Q599" s="7">
        <f t="shared" si="137"/>
        <v>0</v>
      </c>
      <c r="R599" s="35">
        <f t="shared" ref="R599:R662" si="139">P599+Q599</f>
        <v>5549.9</v>
      </c>
      <c r="S599" s="7">
        <f t="shared" si="137"/>
        <v>0</v>
      </c>
      <c r="T599" s="35">
        <f t="shared" si="128"/>
        <v>5549.9</v>
      </c>
    </row>
    <row r="600" spans="1:20" ht="33">
      <c r="A600" s="61" t="str">
        <f ca="1">IF(ISERROR(MATCH(E600,Код_КВР,0)),"",INDIRECT(ADDRESS(MATCH(E600,Код_КВР,0)+1,2,,,"КВР")))</f>
        <v>Субсидии некоммерческим организациям (за исключением государственных (муниципальных) учреждений)</v>
      </c>
      <c r="B600" s="45" t="s">
        <v>554</v>
      </c>
      <c r="C600" s="8" t="s">
        <v>214</v>
      </c>
      <c r="D600" s="8" t="s">
        <v>194</v>
      </c>
      <c r="E600" s="113">
        <v>630</v>
      </c>
      <c r="F600" s="7">
        <f>прил.6!G291</f>
        <v>5549.9</v>
      </c>
      <c r="G600" s="7">
        <f>прил.6!H291</f>
        <v>0</v>
      </c>
      <c r="H600" s="35">
        <f t="shared" si="129"/>
        <v>5549.9</v>
      </c>
      <c r="I600" s="7">
        <f>прил.6!J291</f>
        <v>0</v>
      </c>
      <c r="J600" s="35">
        <f t="shared" si="126"/>
        <v>5549.9</v>
      </c>
      <c r="K600" s="7">
        <f>прил.6!L291</f>
        <v>0</v>
      </c>
      <c r="L600" s="35">
        <f t="shared" si="124"/>
        <v>5549.9</v>
      </c>
      <c r="M600" s="7">
        <f>прил.6!N291</f>
        <v>0</v>
      </c>
      <c r="N600" s="35">
        <f t="shared" si="125"/>
        <v>5549.9</v>
      </c>
      <c r="O600" s="7">
        <f>прил.6!P291</f>
        <v>0</v>
      </c>
      <c r="P600" s="35">
        <f t="shared" si="138"/>
        <v>5549.9</v>
      </c>
      <c r="Q600" s="7">
        <f>прил.6!R291</f>
        <v>0</v>
      </c>
      <c r="R600" s="35">
        <f t="shared" si="139"/>
        <v>5549.9</v>
      </c>
      <c r="S600" s="7">
        <f>прил.6!T291</f>
        <v>0</v>
      </c>
      <c r="T600" s="35">
        <f t="shared" si="128"/>
        <v>5549.9</v>
      </c>
    </row>
    <row r="601" spans="1:20" ht="33">
      <c r="A601" s="61" t="str">
        <f ca="1">IF(ISERROR(MATCH(B601,Код_КЦСР,0)),"",INDIRECT(ADDRESS(MATCH(B601,Код_КЦСР,0)+1,2,,,"КЦСР")))</f>
        <v>Информационное и нормативно-правовое сопровождение инвестиционной деятельности</v>
      </c>
      <c r="B601" s="45" t="s">
        <v>556</v>
      </c>
      <c r="C601" s="8"/>
      <c r="D601" s="1"/>
      <c r="E601" s="113"/>
      <c r="F601" s="7">
        <f t="shared" ref="F601:S604" si="140">F602</f>
        <v>2874.8</v>
      </c>
      <c r="G601" s="7">
        <f t="shared" si="140"/>
        <v>0</v>
      </c>
      <c r="H601" s="35">
        <f t="shared" si="129"/>
        <v>2874.8</v>
      </c>
      <c r="I601" s="7">
        <f t="shared" si="140"/>
        <v>0</v>
      </c>
      <c r="J601" s="35">
        <f t="shared" si="126"/>
        <v>2874.8</v>
      </c>
      <c r="K601" s="7">
        <f t="shared" si="140"/>
        <v>0</v>
      </c>
      <c r="L601" s="35">
        <f t="shared" si="124"/>
        <v>2874.8</v>
      </c>
      <c r="M601" s="7">
        <f t="shared" si="140"/>
        <v>0</v>
      </c>
      <c r="N601" s="35">
        <f t="shared" si="125"/>
        <v>2874.8</v>
      </c>
      <c r="O601" s="7">
        <f t="shared" si="140"/>
        <v>0</v>
      </c>
      <c r="P601" s="35">
        <f t="shared" si="138"/>
        <v>2874.8</v>
      </c>
      <c r="Q601" s="7">
        <f t="shared" si="140"/>
        <v>0</v>
      </c>
      <c r="R601" s="35">
        <f t="shared" si="139"/>
        <v>2874.8</v>
      </c>
      <c r="S601" s="7">
        <f t="shared" si="140"/>
        <v>0</v>
      </c>
      <c r="T601" s="35">
        <f t="shared" si="128"/>
        <v>2874.8</v>
      </c>
    </row>
    <row r="602" spans="1:20">
      <c r="A602" s="61" t="str">
        <f ca="1">IF(ISERROR(MATCH(C602,Код_Раздел,0)),"",INDIRECT(ADDRESS(MATCH(C602,Код_Раздел,0)+1,2,,,"Раздел")))</f>
        <v>Национальная экономика</v>
      </c>
      <c r="B602" s="45" t="s">
        <v>556</v>
      </c>
      <c r="C602" s="8" t="s">
        <v>214</v>
      </c>
      <c r="D602" s="1"/>
      <c r="E602" s="113"/>
      <c r="F602" s="7">
        <f t="shared" si="140"/>
        <v>2874.8</v>
      </c>
      <c r="G602" s="7">
        <f t="shared" si="140"/>
        <v>0</v>
      </c>
      <c r="H602" s="35">
        <f t="shared" si="129"/>
        <v>2874.8</v>
      </c>
      <c r="I602" s="7">
        <f t="shared" si="140"/>
        <v>0</v>
      </c>
      <c r="J602" s="35">
        <f t="shared" si="126"/>
        <v>2874.8</v>
      </c>
      <c r="K602" s="7">
        <f t="shared" si="140"/>
        <v>0</v>
      </c>
      <c r="L602" s="35">
        <f t="shared" si="124"/>
        <v>2874.8</v>
      </c>
      <c r="M602" s="7">
        <f t="shared" si="140"/>
        <v>0</v>
      </c>
      <c r="N602" s="35">
        <f t="shared" si="125"/>
        <v>2874.8</v>
      </c>
      <c r="O602" s="7">
        <f t="shared" si="140"/>
        <v>0</v>
      </c>
      <c r="P602" s="35">
        <f t="shared" si="138"/>
        <v>2874.8</v>
      </c>
      <c r="Q602" s="7">
        <f t="shared" si="140"/>
        <v>0</v>
      </c>
      <c r="R602" s="35">
        <f t="shared" si="139"/>
        <v>2874.8</v>
      </c>
      <c r="S602" s="7">
        <f t="shared" si="140"/>
        <v>0</v>
      </c>
      <c r="T602" s="35">
        <f t="shared" si="128"/>
        <v>2874.8</v>
      </c>
    </row>
    <row r="603" spans="1:20">
      <c r="A603" s="12" t="s">
        <v>221</v>
      </c>
      <c r="B603" s="45" t="s">
        <v>556</v>
      </c>
      <c r="C603" s="8" t="s">
        <v>214</v>
      </c>
      <c r="D603" s="8" t="s">
        <v>194</v>
      </c>
      <c r="E603" s="113"/>
      <c r="F603" s="7">
        <f t="shared" si="140"/>
        <v>2874.8</v>
      </c>
      <c r="G603" s="7">
        <f t="shared" si="140"/>
        <v>0</v>
      </c>
      <c r="H603" s="35">
        <f t="shared" si="129"/>
        <v>2874.8</v>
      </c>
      <c r="I603" s="7">
        <f t="shared" si="140"/>
        <v>0</v>
      </c>
      <c r="J603" s="35">
        <f t="shared" si="126"/>
        <v>2874.8</v>
      </c>
      <c r="K603" s="7">
        <f t="shared" si="140"/>
        <v>0</v>
      </c>
      <c r="L603" s="35">
        <f t="shared" si="124"/>
        <v>2874.8</v>
      </c>
      <c r="M603" s="7">
        <f t="shared" si="140"/>
        <v>0</v>
      </c>
      <c r="N603" s="35">
        <f t="shared" si="125"/>
        <v>2874.8</v>
      </c>
      <c r="O603" s="7">
        <f t="shared" si="140"/>
        <v>0</v>
      </c>
      <c r="P603" s="35">
        <f t="shared" si="138"/>
        <v>2874.8</v>
      </c>
      <c r="Q603" s="7">
        <f t="shared" si="140"/>
        <v>0</v>
      </c>
      <c r="R603" s="35">
        <f t="shared" si="139"/>
        <v>2874.8</v>
      </c>
      <c r="S603" s="7">
        <f t="shared" si="140"/>
        <v>0</v>
      </c>
      <c r="T603" s="35">
        <f t="shared" si="128"/>
        <v>2874.8</v>
      </c>
    </row>
    <row r="604" spans="1:20" ht="33">
      <c r="A604" s="61" t="str">
        <f ca="1">IF(ISERROR(MATCH(E604,Код_КВР,0)),"",INDIRECT(ADDRESS(MATCH(E604,Код_КВР,0)+1,2,,,"КВР")))</f>
        <v>Предоставление субсидий бюджетным, автономным учреждениям и иным некоммерческим организациям</v>
      </c>
      <c r="B604" s="45" t="s">
        <v>556</v>
      </c>
      <c r="C604" s="8" t="s">
        <v>214</v>
      </c>
      <c r="D604" s="8" t="s">
        <v>194</v>
      </c>
      <c r="E604" s="113">
        <v>600</v>
      </c>
      <c r="F604" s="7">
        <f t="shared" si="140"/>
        <v>2874.8</v>
      </c>
      <c r="G604" s="7">
        <f t="shared" si="140"/>
        <v>0</v>
      </c>
      <c r="H604" s="35">
        <f t="shared" si="129"/>
        <v>2874.8</v>
      </c>
      <c r="I604" s="7">
        <f t="shared" si="140"/>
        <v>0</v>
      </c>
      <c r="J604" s="35">
        <f t="shared" si="126"/>
        <v>2874.8</v>
      </c>
      <c r="K604" s="7">
        <f t="shared" si="140"/>
        <v>0</v>
      </c>
      <c r="L604" s="35">
        <f t="shared" si="124"/>
        <v>2874.8</v>
      </c>
      <c r="M604" s="7">
        <f t="shared" si="140"/>
        <v>0</v>
      </c>
      <c r="N604" s="35">
        <f t="shared" si="125"/>
        <v>2874.8</v>
      </c>
      <c r="O604" s="7">
        <f t="shared" si="140"/>
        <v>0</v>
      </c>
      <c r="P604" s="35">
        <f t="shared" si="138"/>
        <v>2874.8</v>
      </c>
      <c r="Q604" s="7">
        <f t="shared" si="140"/>
        <v>0</v>
      </c>
      <c r="R604" s="35">
        <f t="shared" si="139"/>
        <v>2874.8</v>
      </c>
      <c r="S604" s="7">
        <f t="shared" si="140"/>
        <v>0</v>
      </c>
      <c r="T604" s="35">
        <f t="shared" si="128"/>
        <v>2874.8</v>
      </c>
    </row>
    <row r="605" spans="1:20" ht="36" customHeight="1">
      <c r="A605" s="61" t="str">
        <f ca="1">IF(ISERROR(MATCH(E605,Код_КВР,0)),"",INDIRECT(ADDRESS(MATCH(E605,Код_КВР,0)+1,2,,,"КВР")))</f>
        <v>Субсидии некоммерческим организациям (за исключением государственных (муниципальных) учреждений)</v>
      </c>
      <c r="B605" s="45" t="s">
        <v>556</v>
      </c>
      <c r="C605" s="8" t="s">
        <v>214</v>
      </c>
      <c r="D605" s="8" t="s">
        <v>194</v>
      </c>
      <c r="E605" s="113">
        <v>630</v>
      </c>
      <c r="F605" s="7">
        <f>прил.6!G294</f>
        <v>2874.8</v>
      </c>
      <c r="G605" s="7">
        <f>прил.6!H294</f>
        <v>0</v>
      </c>
      <c r="H605" s="35">
        <f t="shared" si="129"/>
        <v>2874.8</v>
      </c>
      <c r="I605" s="7">
        <f>прил.6!J294</f>
        <v>0</v>
      </c>
      <c r="J605" s="35">
        <f t="shared" si="126"/>
        <v>2874.8</v>
      </c>
      <c r="K605" s="7">
        <f>прил.6!L294</f>
        <v>0</v>
      </c>
      <c r="L605" s="35">
        <f t="shared" si="124"/>
        <v>2874.8</v>
      </c>
      <c r="M605" s="7">
        <f>прил.6!N294</f>
        <v>0</v>
      </c>
      <c r="N605" s="35">
        <f t="shared" si="125"/>
        <v>2874.8</v>
      </c>
      <c r="O605" s="7">
        <f>прил.6!P294</f>
        <v>0</v>
      </c>
      <c r="P605" s="35">
        <f t="shared" si="138"/>
        <v>2874.8</v>
      </c>
      <c r="Q605" s="7">
        <f>прил.6!R294</f>
        <v>0</v>
      </c>
      <c r="R605" s="35">
        <f t="shared" si="139"/>
        <v>2874.8</v>
      </c>
      <c r="S605" s="7">
        <f>прил.6!T294</f>
        <v>0</v>
      </c>
      <c r="T605" s="35">
        <f t="shared" si="128"/>
        <v>2874.8</v>
      </c>
    </row>
    <row r="606" spans="1:20">
      <c r="A606" s="61" t="str">
        <f ca="1">IF(ISERROR(MATCH(B606,Код_КЦСР,0)),"",INDIRECT(ADDRESS(MATCH(B606,Код_КЦСР,0)+1,2,,,"КЦСР")))</f>
        <v>Комплексное сопровождение инвестиционных проектов</v>
      </c>
      <c r="B606" s="45" t="s">
        <v>558</v>
      </c>
      <c r="C606" s="8"/>
      <c r="D606" s="1"/>
      <c r="E606" s="113"/>
      <c r="F606" s="7">
        <f t="shared" ref="F606:S609" si="141">F607</f>
        <v>3366.5</v>
      </c>
      <c r="G606" s="7">
        <f t="shared" si="141"/>
        <v>0</v>
      </c>
      <c r="H606" s="35">
        <f t="shared" si="129"/>
        <v>3366.5</v>
      </c>
      <c r="I606" s="7">
        <f t="shared" si="141"/>
        <v>0</v>
      </c>
      <c r="J606" s="35">
        <f t="shared" si="126"/>
        <v>3366.5</v>
      </c>
      <c r="K606" s="7">
        <f t="shared" si="141"/>
        <v>0</v>
      </c>
      <c r="L606" s="35">
        <f t="shared" si="124"/>
        <v>3366.5</v>
      </c>
      <c r="M606" s="7">
        <f t="shared" si="141"/>
        <v>0</v>
      </c>
      <c r="N606" s="35">
        <f t="shared" si="125"/>
        <v>3366.5</v>
      </c>
      <c r="O606" s="7">
        <f t="shared" si="141"/>
        <v>0</v>
      </c>
      <c r="P606" s="35">
        <f t="shared" si="138"/>
        <v>3366.5</v>
      </c>
      <c r="Q606" s="7">
        <f t="shared" si="141"/>
        <v>0</v>
      </c>
      <c r="R606" s="35">
        <f t="shared" si="139"/>
        <v>3366.5</v>
      </c>
      <c r="S606" s="7">
        <f t="shared" si="141"/>
        <v>0</v>
      </c>
      <c r="T606" s="35">
        <f t="shared" si="128"/>
        <v>3366.5</v>
      </c>
    </row>
    <row r="607" spans="1:20">
      <c r="A607" s="61" t="str">
        <f ca="1">IF(ISERROR(MATCH(C607,Код_Раздел,0)),"",INDIRECT(ADDRESS(MATCH(C607,Код_Раздел,0)+1,2,,,"Раздел")))</f>
        <v>Национальная экономика</v>
      </c>
      <c r="B607" s="45" t="s">
        <v>558</v>
      </c>
      <c r="C607" s="8" t="s">
        <v>214</v>
      </c>
      <c r="D607" s="1"/>
      <c r="E607" s="113"/>
      <c r="F607" s="7">
        <f t="shared" si="141"/>
        <v>3366.5</v>
      </c>
      <c r="G607" s="7">
        <f t="shared" si="141"/>
        <v>0</v>
      </c>
      <c r="H607" s="35">
        <f t="shared" si="129"/>
        <v>3366.5</v>
      </c>
      <c r="I607" s="7">
        <f t="shared" si="141"/>
        <v>0</v>
      </c>
      <c r="J607" s="35">
        <f t="shared" si="126"/>
        <v>3366.5</v>
      </c>
      <c r="K607" s="7">
        <f t="shared" si="141"/>
        <v>0</v>
      </c>
      <c r="L607" s="35">
        <f t="shared" ref="L607:L670" si="142">J607+K607</f>
        <v>3366.5</v>
      </c>
      <c r="M607" s="7">
        <f t="shared" si="141"/>
        <v>0</v>
      </c>
      <c r="N607" s="35">
        <f t="shared" ref="N607:N670" si="143">L607+M607</f>
        <v>3366.5</v>
      </c>
      <c r="O607" s="7">
        <f t="shared" si="141"/>
        <v>0</v>
      </c>
      <c r="P607" s="35">
        <f t="shared" si="138"/>
        <v>3366.5</v>
      </c>
      <c r="Q607" s="7">
        <f t="shared" si="141"/>
        <v>0</v>
      </c>
      <c r="R607" s="35">
        <f t="shared" si="139"/>
        <v>3366.5</v>
      </c>
      <c r="S607" s="7">
        <f t="shared" si="141"/>
        <v>0</v>
      </c>
      <c r="T607" s="35">
        <f t="shared" si="128"/>
        <v>3366.5</v>
      </c>
    </row>
    <row r="608" spans="1:20">
      <c r="A608" s="12" t="s">
        <v>221</v>
      </c>
      <c r="B608" s="45" t="s">
        <v>558</v>
      </c>
      <c r="C608" s="8" t="s">
        <v>214</v>
      </c>
      <c r="D608" s="8" t="s">
        <v>194</v>
      </c>
      <c r="E608" s="113"/>
      <c r="F608" s="7">
        <f t="shared" si="141"/>
        <v>3366.5</v>
      </c>
      <c r="G608" s="7">
        <f t="shared" si="141"/>
        <v>0</v>
      </c>
      <c r="H608" s="35">
        <f t="shared" si="129"/>
        <v>3366.5</v>
      </c>
      <c r="I608" s="7">
        <f t="shared" si="141"/>
        <v>0</v>
      </c>
      <c r="J608" s="35">
        <f t="shared" si="126"/>
        <v>3366.5</v>
      </c>
      <c r="K608" s="7">
        <f t="shared" si="141"/>
        <v>0</v>
      </c>
      <c r="L608" s="35">
        <f t="shared" si="142"/>
        <v>3366.5</v>
      </c>
      <c r="M608" s="7">
        <f t="shared" si="141"/>
        <v>0</v>
      </c>
      <c r="N608" s="35">
        <f t="shared" si="143"/>
        <v>3366.5</v>
      </c>
      <c r="O608" s="7">
        <f t="shared" si="141"/>
        <v>0</v>
      </c>
      <c r="P608" s="35">
        <f t="shared" si="138"/>
        <v>3366.5</v>
      </c>
      <c r="Q608" s="7">
        <f t="shared" si="141"/>
        <v>0</v>
      </c>
      <c r="R608" s="35">
        <f t="shared" si="139"/>
        <v>3366.5</v>
      </c>
      <c r="S608" s="7">
        <f t="shared" si="141"/>
        <v>0</v>
      </c>
      <c r="T608" s="35">
        <f t="shared" ref="T608:T671" si="144">R608+S608</f>
        <v>3366.5</v>
      </c>
    </row>
    <row r="609" spans="1:20" ht="36.75" customHeight="1">
      <c r="A609" s="61" t="str">
        <f ca="1">IF(ISERROR(MATCH(E609,Код_КВР,0)),"",INDIRECT(ADDRESS(MATCH(E609,Код_КВР,0)+1,2,,,"КВР")))</f>
        <v>Предоставление субсидий бюджетным, автономным учреждениям и иным некоммерческим организациям</v>
      </c>
      <c r="B609" s="45" t="s">
        <v>558</v>
      </c>
      <c r="C609" s="8" t="s">
        <v>214</v>
      </c>
      <c r="D609" s="8" t="s">
        <v>194</v>
      </c>
      <c r="E609" s="113">
        <v>600</v>
      </c>
      <c r="F609" s="7">
        <f t="shared" si="141"/>
        <v>3366.5</v>
      </c>
      <c r="G609" s="7">
        <f t="shared" si="141"/>
        <v>0</v>
      </c>
      <c r="H609" s="35">
        <f t="shared" si="129"/>
        <v>3366.5</v>
      </c>
      <c r="I609" s="7">
        <f t="shared" si="141"/>
        <v>0</v>
      </c>
      <c r="J609" s="35">
        <f t="shared" si="126"/>
        <v>3366.5</v>
      </c>
      <c r="K609" s="7">
        <f t="shared" si="141"/>
        <v>0</v>
      </c>
      <c r="L609" s="35">
        <f t="shared" si="142"/>
        <v>3366.5</v>
      </c>
      <c r="M609" s="7">
        <f t="shared" si="141"/>
        <v>0</v>
      </c>
      <c r="N609" s="35">
        <f t="shared" si="143"/>
        <v>3366.5</v>
      </c>
      <c r="O609" s="7">
        <f t="shared" si="141"/>
        <v>0</v>
      </c>
      <c r="P609" s="35">
        <f t="shared" si="138"/>
        <v>3366.5</v>
      </c>
      <c r="Q609" s="7">
        <f t="shared" si="141"/>
        <v>0</v>
      </c>
      <c r="R609" s="35">
        <f t="shared" si="139"/>
        <v>3366.5</v>
      </c>
      <c r="S609" s="7">
        <f t="shared" si="141"/>
        <v>0</v>
      </c>
      <c r="T609" s="35">
        <f t="shared" si="144"/>
        <v>3366.5</v>
      </c>
    </row>
    <row r="610" spans="1:20" ht="36" customHeight="1">
      <c r="A610" s="61" t="str">
        <f ca="1">IF(ISERROR(MATCH(E610,Код_КВР,0)),"",INDIRECT(ADDRESS(MATCH(E610,Код_КВР,0)+1,2,,,"КВР")))</f>
        <v>Субсидии некоммерческим организациям (за исключением государственных (муниципальных) учреждений)</v>
      </c>
      <c r="B610" s="45" t="s">
        <v>558</v>
      </c>
      <c r="C610" s="8" t="s">
        <v>214</v>
      </c>
      <c r="D610" s="8" t="s">
        <v>194</v>
      </c>
      <c r="E610" s="113">
        <v>630</v>
      </c>
      <c r="F610" s="7">
        <f>прил.6!G297</f>
        <v>3366.5</v>
      </c>
      <c r="G610" s="7">
        <f>прил.6!H297</f>
        <v>0</v>
      </c>
      <c r="H610" s="35">
        <f t="shared" si="129"/>
        <v>3366.5</v>
      </c>
      <c r="I610" s="7">
        <f>прил.6!J297</f>
        <v>0</v>
      </c>
      <c r="J610" s="35">
        <f t="shared" ref="J610:J676" si="145">H610+I610</f>
        <v>3366.5</v>
      </c>
      <c r="K610" s="7">
        <f>прил.6!L297</f>
        <v>0</v>
      </c>
      <c r="L610" s="35">
        <f t="shared" si="142"/>
        <v>3366.5</v>
      </c>
      <c r="M610" s="7">
        <f>прил.6!N297</f>
        <v>0</v>
      </c>
      <c r="N610" s="35">
        <f t="shared" si="143"/>
        <v>3366.5</v>
      </c>
      <c r="O610" s="7">
        <f>прил.6!P297</f>
        <v>0</v>
      </c>
      <c r="P610" s="35">
        <f t="shared" si="138"/>
        <v>3366.5</v>
      </c>
      <c r="Q610" s="7">
        <f>прил.6!R297</f>
        <v>0</v>
      </c>
      <c r="R610" s="35">
        <f t="shared" si="139"/>
        <v>3366.5</v>
      </c>
      <c r="S610" s="7">
        <f>прил.6!T297</f>
        <v>0</v>
      </c>
      <c r="T610" s="35">
        <f t="shared" si="144"/>
        <v>3366.5</v>
      </c>
    </row>
    <row r="611" spans="1:20" ht="35.25" customHeight="1">
      <c r="A611" s="61" t="str">
        <f ca="1">IF(ISERROR(MATCH(B611,Код_КЦСР,0)),"",INDIRECT(ADDRESS(MATCH(B611,Код_КЦСР,0)+1,2,,,"КЦСР")))</f>
        <v>Муниципальная программа «Развитие молодежной политики» на 2013-2018 годы</v>
      </c>
      <c r="B611" s="43" t="s">
        <v>560</v>
      </c>
      <c r="C611" s="8"/>
      <c r="D611" s="1"/>
      <c r="E611" s="113"/>
      <c r="F611" s="7">
        <f>F612+F618+F624</f>
        <v>9011.5999999999985</v>
      </c>
      <c r="G611" s="7">
        <f>G612+G618+G624</f>
        <v>0</v>
      </c>
      <c r="H611" s="35">
        <f t="shared" si="129"/>
        <v>9011.5999999999985</v>
      </c>
      <c r="I611" s="7">
        <f>I612+I618+I624</f>
        <v>0</v>
      </c>
      <c r="J611" s="35">
        <f t="shared" si="145"/>
        <v>9011.5999999999985</v>
      </c>
      <c r="K611" s="7">
        <f>K612+K618+K624</f>
        <v>-100.6</v>
      </c>
      <c r="L611" s="35">
        <f t="shared" si="142"/>
        <v>8910.9999999999982</v>
      </c>
      <c r="M611" s="7">
        <f>M612+M618+M624</f>
        <v>0</v>
      </c>
      <c r="N611" s="35">
        <f t="shared" si="143"/>
        <v>8910.9999999999982</v>
      </c>
      <c r="O611" s="7">
        <f>O612+O618+O624</f>
        <v>0</v>
      </c>
      <c r="P611" s="35">
        <f t="shared" si="138"/>
        <v>8910.9999999999982</v>
      </c>
      <c r="Q611" s="7">
        <f>Q612+Q618+Q624</f>
        <v>-17.399999999999999</v>
      </c>
      <c r="R611" s="35">
        <f t="shared" si="139"/>
        <v>8893.5999999999985</v>
      </c>
      <c r="S611" s="7">
        <f>S612+S618+S624</f>
        <v>0</v>
      </c>
      <c r="T611" s="35">
        <f t="shared" si="144"/>
        <v>8893.5999999999985</v>
      </c>
    </row>
    <row r="612" spans="1:20" ht="36" customHeight="1">
      <c r="A612" s="61" t="str">
        <f ca="1">IF(ISERROR(MATCH(B612,Код_КЦСР,0)),"",INDIRECT(ADDRESS(MATCH(B612,Код_КЦСР,0)+1,2,,,"КЦСР")))</f>
        <v>Организация временного трудоустройства несовершеннолетних в возрасте от 14 до 18 лет</v>
      </c>
      <c r="B612" s="43" t="s">
        <v>562</v>
      </c>
      <c r="C612" s="8"/>
      <c r="D612" s="1"/>
      <c r="E612" s="113"/>
      <c r="F612" s="7">
        <f t="shared" ref="F612:S616" si="146">F613</f>
        <v>1338.9</v>
      </c>
      <c r="G612" s="7">
        <f t="shared" si="146"/>
        <v>0</v>
      </c>
      <c r="H612" s="35">
        <f t="shared" si="129"/>
        <v>1338.9</v>
      </c>
      <c r="I612" s="7">
        <f t="shared" si="146"/>
        <v>0</v>
      </c>
      <c r="J612" s="35">
        <f t="shared" si="145"/>
        <v>1338.9</v>
      </c>
      <c r="K612" s="7">
        <f t="shared" si="146"/>
        <v>0</v>
      </c>
      <c r="L612" s="35">
        <f t="shared" si="142"/>
        <v>1338.9</v>
      </c>
      <c r="M612" s="7">
        <f t="shared" si="146"/>
        <v>0</v>
      </c>
      <c r="N612" s="35">
        <f t="shared" si="143"/>
        <v>1338.9</v>
      </c>
      <c r="O612" s="7">
        <f t="shared" si="146"/>
        <v>0</v>
      </c>
      <c r="P612" s="35">
        <f t="shared" si="138"/>
        <v>1338.9</v>
      </c>
      <c r="Q612" s="7">
        <f t="shared" si="146"/>
        <v>-17.399999999999999</v>
      </c>
      <c r="R612" s="35">
        <f t="shared" si="139"/>
        <v>1321.5</v>
      </c>
      <c r="S612" s="7">
        <f t="shared" si="146"/>
        <v>0</v>
      </c>
      <c r="T612" s="35">
        <f t="shared" si="144"/>
        <v>1321.5</v>
      </c>
    </row>
    <row r="613" spans="1:20" ht="20.25" customHeight="1">
      <c r="A613" s="61" t="str">
        <f ca="1">IF(ISERROR(MATCH(C613,Код_Раздел,0)),"",INDIRECT(ADDRESS(MATCH(C613,Код_Раздел,0)+1,2,,,"Раздел")))</f>
        <v>Национальная экономика</v>
      </c>
      <c r="B613" s="43" t="s">
        <v>562</v>
      </c>
      <c r="C613" s="8" t="s">
        <v>214</v>
      </c>
      <c r="D613" s="1"/>
      <c r="E613" s="113"/>
      <c r="F613" s="7">
        <f t="shared" si="146"/>
        <v>1338.9</v>
      </c>
      <c r="G613" s="7">
        <f t="shared" si="146"/>
        <v>0</v>
      </c>
      <c r="H613" s="35">
        <f t="shared" si="129"/>
        <v>1338.9</v>
      </c>
      <c r="I613" s="7">
        <f t="shared" si="146"/>
        <v>0</v>
      </c>
      <c r="J613" s="35">
        <f t="shared" si="145"/>
        <v>1338.9</v>
      </c>
      <c r="K613" s="7">
        <f t="shared" si="146"/>
        <v>0</v>
      </c>
      <c r="L613" s="35">
        <f t="shared" si="142"/>
        <v>1338.9</v>
      </c>
      <c r="M613" s="7">
        <f t="shared" si="146"/>
        <v>0</v>
      </c>
      <c r="N613" s="35">
        <f t="shared" si="143"/>
        <v>1338.9</v>
      </c>
      <c r="O613" s="7">
        <f t="shared" si="146"/>
        <v>0</v>
      </c>
      <c r="P613" s="35">
        <f t="shared" si="138"/>
        <v>1338.9</v>
      </c>
      <c r="Q613" s="7">
        <f t="shared" si="146"/>
        <v>-17.399999999999999</v>
      </c>
      <c r="R613" s="35">
        <f t="shared" si="139"/>
        <v>1321.5</v>
      </c>
      <c r="S613" s="7">
        <f t="shared" si="146"/>
        <v>0</v>
      </c>
      <c r="T613" s="35">
        <f t="shared" si="144"/>
        <v>1321.5</v>
      </c>
    </row>
    <row r="614" spans="1:20" ht="18.75" customHeight="1">
      <c r="A614" s="75" t="s">
        <v>201</v>
      </c>
      <c r="B614" s="43" t="s">
        <v>562</v>
      </c>
      <c r="C614" s="8" t="s">
        <v>214</v>
      </c>
      <c r="D614" s="1" t="s">
        <v>211</v>
      </c>
      <c r="E614" s="113"/>
      <c r="F614" s="7">
        <f t="shared" si="146"/>
        <v>1338.9</v>
      </c>
      <c r="G614" s="7">
        <f t="shared" si="146"/>
        <v>0</v>
      </c>
      <c r="H614" s="35">
        <f t="shared" si="129"/>
        <v>1338.9</v>
      </c>
      <c r="I614" s="7">
        <f t="shared" si="146"/>
        <v>0</v>
      </c>
      <c r="J614" s="35">
        <f t="shared" si="145"/>
        <v>1338.9</v>
      </c>
      <c r="K614" s="7">
        <f t="shared" si="146"/>
        <v>0</v>
      </c>
      <c r="L614" s="35">
        <f t="shared" si="142"/>
        <v>1338.9</v>
      </c>
      <c r="M614" s="7">
        <f t="shared" si="146"/>
        <v>0</v>
      </c>
      <c r="N614" s="35">
        <f t="shared" si="143"/>
        <v>1338.9</v>
      </c>
      <c r="O614" s="7">
        <f t="shared" si="146"/>
        <v>0</v>
      </c>
      <c r="P614" s="35">
        <f t="shared" si="138"/>
        <v>1338.9</v>
      </c>
      <c r="Q614" s="7">
        <f t="shared" si="146"/>
        <v>-17.399999999999999</v>
      </c>
      <c r="R614" s="35">
        <f t="shared" si="139"/>
        <v>1321.5</v>
      </c>
      <c r="S614" s="7">
        <f t="shared" si="146"/>
        <v>0</v>
      </c>
      <c r="T614" s="35">
        <f t="shared" si="144"/>
        <v>1321.5</v>
      </c>
    </row>
    <row r="615" spans="1:20" ht="33">
      <c r="A615" s="61" t="str">
        <f ca="1">IF(ISERROR(MATCH(E615,Код_КВР,0)),"",INDIRECT(ADDRESS(MATCH(E615,Код_КВР,0)+1,2,,,"КВР")))</f>
        <v>Предоставление субсидий бюджетным, автономным учреждениям и иным некоммерческим организациям</v>
      </c>
      <c r="B615" s="43" t="s">
        <v>562</v>
      </c>
      <c r="C615" s="8" t="s">
        <v>214</v>
      </c>
      <c r="D615" s="1" t="s">
        <v>211</v>
      </c>
      <c r="E615" s="113">
        <v>600</v>
      </c>
      <c r="F615" s="7">
        <f t="shared" si="146"/>
        <v>1338.9</v>
      </c>
      <c r="G615" s="7">
        <f t="shared" si="146"/>
        <v>0</v>
      </c>
      <c r="H615" s="35">
        <f t="shared" si="129"/>
        <v>1338.9</v>
      </c>
      <c r="I615" s="7">
        <f t="shared" si="146"/>
        <v>0</v>
      </c>
      <c r="J615" s="35">
        <f t="shared" si="145"/>
        <v>1338.9</v>
      </c>
      <c r="K615" s="7">
        <f t="shared" si="146"/>
        <v>0</v>
      </c>
      <c r="L615" s="35">
        <f t="shared" si="142"/>
        <v>1338.9</v>
      </c>
      <c r="M615" s="7">
        <f t="shared" si="146"/>
        <v>0</v>
      </c>
      <c r="N615" s="35">
        <f t="shared" si="143"/>
        <v>1338.9</v>
      </c>
      <c r="O615" s="7">
        <f t="shared" si="146"/>
        <v>0</v>
      </c>
      <c r="P615" s="35">
        <f t="shared" si="138"/>
        <v>1338.9</v>
      </c>
      <c r="Q615" s="7">
        <f t="shared" si="146"/>
        <v>-17.399999999999999</v>
      </c>
      <c r="R615" s="35">
        <f t="shared" si="139"/>
        <v>1321.5</v>
      </c>
      <c r="S615" s="7">
        <f t="shared" si="146"/>
        <v>0</v>
      </c>
      <c r="T615" s="35">
        <f t="shared" si="144"/>
        <v>1321.5</v>
      </c>
    </row>
    <row r="616" spans="1:20">
      <c r="A616" s="61" t="str">
        <f ca="1">IF(ISERROR(MATCH(E616,Код_КВР,0)),"",INDIRECT(ADDRESS(MATCH(E616,Код_КВР,0)+1,2,,,"КВР")))</f>
        <v>Субсидии бюджетным учреждениям</v>
      </c>
      <c r="B616" s="43" t="s">
        <v>562</v>
      </c>
      <c r="C616" s="8" t="s">
        <v>214</v>
      </c>
      <c r="D616" s="1" t="s">
        <v>211</v>
      </c>
      <c r="E616" s="113">
        <v>610</v>
      </c>
      <c r="F616" s="7">
        <f t="shared" si="146"/>
        <v>1338.9</v>
      </c>
      <c r="G616" s="7">
        <f t="shared" si="146"/>
        <v>0</v>
      </c>
      <c r="H616" s="35">
        <f t="shared" si="129"/>
        <v>1338.9</v>
      </c>
      <c r="I616" s="7">
        <f t="shared" si="146"/>
        <v>0</v>
      </c>
      <c r="J616" s="35">
        <f t="shared" si="145"/>
        <v>1338.9</v>
      </c>
      <c r="K616" s="7">
        <f t="shared" si="146"/>
        <v>0</v>
      </c>
      <c r="L616" s="35">
        <f t="shared" si="142"/>
        <v>1338.9</v>
      </c>
      <c r="M616" s="7">
        <f t="shared" si="146"/>
        <v>0</v>
      </c>
      <c r="N616" s="35">
        <f t="shared" si="143"/>
        <v>1338.9</v>
      </c>
      <c r="O616" s="7">
        <f t="shared" si="146"/>
        <v>0</v>
      </c>
      <c r="P616" s="35">
        <f t="shared" si="138"/>
        <v>1338.9</v>
      </c>
      <c r="Q616" s="7">
        <f t="shared" si="146"/>
        <v>-17.399999999999999</v>
      </c>
      <c r="R616" s="35">
        <f t="shared" si="139"/>
        <v>1321.5</v>
      </c>
      <c r="S616" s="7">
        <f t="shared" si="146"/>
        <v>0</v>
      </c>
      <c r="T616" s="35">
        <f t="shared" si="144"/>
        <v>1321.5</v>
      </c>
    </row>
    <row r="617" spans="1:20" ht="49.5">
      <c r="A617" s="61" t="str">
        <f ca="1">IF(ISERROR(MATCH(E617,Код_КВР,0)),"",INDIRECT(ADDRESS(MATCH(E617,Код_КВР,0)+1,2,,,"КВР")))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17" s="43" t="s">
        <v>562</v>
      </c>
      <c r="C617" s="8" t="s">
        <v>214</v>
      </c>
      <c r="D617" s="1" t="s">
        <v>211</v>
      </c>
      <c r="E617" s="113">
        <v>611</v>
      </c>
      <c r="F617" s="7">
        <f>прил.6!G239</f>
        <v>1338.9</v>
      </c>
      <c r="G617" s="7">
        <f>прил.6!H239</f>
        <v>0</v>
      </c>
      <c r="H617" s="35">
        <f t="shared" si="129"/>
        <v>1338.9</v>
      </c>
      <c r="I617" s="7">
        <f>прил.6!J239</f>
        <v>0</v>
      </c>
      <c r="J617" s="35">
        <f t="shared" si="145"/>
        <v>1338.9</v>
      </c>
      <c r="K617" s="7">
        <f>прил.6!L239</f>
        <v>0</v>
      </c>
      <c r="L617" s="35">
        <f t="shared" si="142"/>
        <v>1338.9</v>
      </c>
      <c r="M617" s="7">
        <f>прил.6!N239</f>
        <v>0</v>
      </c>
      <c r="N617" s="35">
        <f t="shared" si="143"/>
        <v>1338.9</v>
      </c>
      <c r="O617" s="7">
        <f>прил.6!P239</f>
        <v>0</v>
      </c>
      <c r="P617" s="35">
        <f t="shared" si="138"/>
        <v>1338.9</v>
      </c>
      <c r="Q617" s="7">
        <f>прил.6!R239</f>
        <v>-17.399999999999999</v>
      </c>
      <c r="R617" s="35">
        <f t="shared" si="139"/>
        <v>1321.5</v>
      </c>
      <c r="S617" s="7">
        <f>прил.6!T239</f>
        <v>0</v>
      </c>
      <c r="T617" s="35">
        <f t="shared" si="144"/>
        <v>1321.5</v>
      </c>
    </row>
    <row r="618" spans="1:20" ht="70.7" customHeight="1">
      <c r="A618" s="61" t="str">
        <f ca="1">IF(ISERROR(MATCH(B618,Код_КЦСР,0)),"",INDIRECT(ADDRESS(MATCH(B618,Код_КЦСР,0)+1,2,,,"КЦСР")))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618" s="43" t="s">
        <v>564</v>
      </c>
      <c r="C618" s="8"/>
      <c r="D618" s="1"/>
      <c r="E618" s="113"/>
      <c r="F618" s="7">
        <f t="shared" ref="F618:S622" si="147">F619</f>
        <v>844.8</v>
      </c>
      <c r="G618" s="7">
        <f t="shared" si="147"/>
        <v>0</v>
      </c>
      <c r="H618" s="35">
        <f t="shared" ref="H618:H684" si="148">F618+G618</f>
        <v>844.8</v>
      </c>
      <c r="I618" s="7">
        <f t="shared" si="147"/>
        <v>0</v>
      </c>
      <c r="J618" s="35">
        <f t="shared" si="145"/>
        <v>844.8</v>
      </c>
      <c r="K618" s="7">
        <f t="shared" si="147"/>
        <v>0</v>
      </c>
      <c r="L618" s="35">
        <f t="shared" si="142"/>
        <v>844.8</v>
      </c>
      <c r="M618" s="7">
        <f t="shared" si="147"/>
        <v>0</v>
      </c>
      <c r="N618" s="35">
        <f t="shared" si="143"/>
        <v>844.8</v>
      </c>
      <c r="O618" s="7">
        <f t="shared" si="147"/>
        <v>0</v>
      </c>
      <c r="P618" s="35">
        <f t="shared" si="138"/>
        <v>844.8</v>
      </c>
      <c r="Q618" s="7">
        <f t="shared" si="147"/>
        <v>0</v>
      </c>
      <c r="R618" s="35">
        <f t="shared" si="139"/>
        <v>844.8</v>
      </c>
      <c r="S618" s="7">
        <f t="shared" si="147"/>
        <v>0</v>
      </c>
      <c r="T618" s="35">
        <f t="shared" si="144"/>
        <v>844.8</v>
      </c>
    </row>
    <row r="619" spans="1:20">
      <c r="A619" s="61" t="str">
        <f ca="1">IF(ISERROR(MATCH(C619,Код_Раздел,0)),"",INDIRECT(ADDRESS(MATCH(C619,Код_Раздел,0)+1,2,,,"Раздел")))</f>
        <v>Образование</v>
      </c>
      <c r="B619" s="43" t="s">
        <v>564</v>
      </c>
      <c r="C619" s="8" t="s">
        <v>193</v>
      </c>
      <c r="D619" s="1"/>
      <c r="E619" s="113"/>
      <c r="F619" s="7">
        <f t="shared" si="147"/>
        <v>844.8</v>
      </c>
      <c r="G619" s="7">
        <f t="shared" si="147"/>
        <v>0</v>
      </c>
      <c r="H619" s="35">
        <f t="shared" si="148"/>
        <v>844.8</v>
      </c>
      <c r="I619" s="7">
        <f t="shared" si="147"/>
        <v>0</v>
      </c>
      <c r="J619" s="35">
        <f t="shared" si="145"/>
        <v>844.8</v>
      </c>
      <c r="K619" s="7">
        <f t="shared" si="147"/>
        <v>0</v>
      </c>
      <c r="L619" s="35">
        <f t="shared" si="142"/>
        <v>844.8</v>
      </c>
      <c r="M619" s="7">
        <f t="shared" si="147"/>
        <v>0</v>
      </c>
      <c r="N619" s="35">
        <f t="shared" si="143"/>
        <v>844.8</v>
      </c>
      <c r="O619" s="7">
        <f t="shared" si="147"/>
        <v>0</v>
      </c>
      <c r="P619" s="35">
        <f t="shared" si="138"/>
        <v>844.8</v>
      </c>
      <c r="Q619" s="7">
        <f t="shared" si="147"/>
        <v>0</v>
      </c>
      <c r="R619" s="35">
        <f t="shared" si="139"/>
        <v>844.8</v>
      </c>
      <c r="S619" s="7">
        <f t="shared" si="147"/>
        <v>0</v>
      </c>
      <c r="T619" s="35">
        <f t="shared" si="144"/>
        <v>844.8</v>
      </c>
    </row>
    <row r="620" spans="1:20">
      <c r="A620" s="12" t="s">
        <v>197</v>
      </c>
      <c r="B620" s="43" t="s">
        <v>564</v>
      </c>
      <c r="C620" s="8" t="s">
        <v>193</v>
      </c>
      <c r="D620" s="1" t="s">
        <v>193</v>
      </c>
      <c r="E620" s="113"/>
      <c r="F620" s="7">
        <f t="shared" si="147"/>
        <v>844.8</v>
      </c>
      <c r="G620" s="7">
        <f t="shared" si="147"/>
        <v>0</v>
      </c>
      <c r="H620" s="35">
        <f t="shared" si="148"/>
        <v>844.8</v>
      </c>
      <c r="I620" s="7">
        <f t="shared" si="147"/>
        <v>0</v>
      </c>
      <c r="J620" s="35">
        <f t="shared" si="145"/>
        <v>844.8</v>
      </c>
      <c r="K620" s="7">
        <f t="shared" si="147"/>
        <v>0</v>
      </c>
      <c r="L620" s="35">
        <f t="shared" si="142"/>
        <v>844.8</v>
      </c>
      <c r="M620" s="7">
        <f t="shared" si="147"/>
        <v>0</v>
      </c>
      <c r="N620" s="35">
        <f t="shared" si="143"/>
        <v>844.8</v>
      </c>
      <c r="O620" s="7">
        <f t="shared" si="147"/>
        <v>0</v>
      </c>
      <c r="P620" s="35">
        <f t="shared" si="138"/>
        <v>844.8</v>
      </c>
      <c r="Q620" s="7">
        <f t="shared" si="147"/>
        <v>0</v>
      </c>
      <c r="R620" s="35">
        <f t="shared" si="139"/>
        <v>844.8</v>
      </c>
      <c r="S620" s="7">
        <f t="shared" si="147"/>
        <v>0</v>
      </c>
      <c r="T620" s="35">
        <f t="shared" si="144"/>
        <v>844.8</v>
      </c>
    </row>
    <row r="621" spans="1:20" ht="36.75" customHeight="1">
      <c r="A621" s="61" t="str">
        <f ca="1">IF(ISERROR(MATCH(E621,Код_КВР,0)),"",INDIRECT(ADDRESS(MATCH(E621,Код_КВР,0)+1,2,,,"КВР")))</f>
        <v>Предоставление субсидий бюджетным, автономным учреждениям и иным некоммерческим организациям</v>
      </c>
      <c r="B621" s="43" t="s">
        <v>564</v>
      </c>
      <c r="C621" s="8" t="s">
        <v>193</v>
      </c>
      <c r="D621" s="1" t="s">
        <v>193</v>
      </c>
      <c r="E621" s="113">
        <v>600</v>
      </c>
      <c r="F621" s="7">
        <f t="shared" si="147"/>
        <v>844.8</v>
      </c>
      <c r="G621" s="7">
        <f t="shared" si="147"/>
        <v>0</v>
      </c>
      <c r="H621" s="35">
        <f t="shared" si="148"/>
        <v>844.8</v>
      </c>
      <c r="I621" s="7">
        <f t="shared" si="147"/>
        <v>0</v>
      </c>
      <c r="J621" s="35">
        <f t="shared" si="145"/>
        <v>844.8</v>
      </c>
      <c r="K621" s="7">
        <f t="shared" si="147"/>
        <v>0</v>
      </c>
      <c r="L621" s="35">
        <f t="shared" si="142"/>
        <v>844.8</v>
      </c>
      <c r="M621" s="7">
        <f t="shared" si="147"/>
        <v>0</v>
      </c>
      <c r="N621" s="35">
        <f t="shared" si="143"/>
        <v>844.8</v>
      </c>
      <c r="O621" s="7">
        <f t="shared" si="147"/>
        <v>0</v>
      </c>
      <c r="P621" s="35">
        <f t="shared" si="138"/>
        <v>844.8</v>
      </c>
      <c r="Q621" s="7">
        <f t="shared" si="147"/>
        <v>0</v>
      </c>
      <c r="R621" s="35">
        <f t="shared" si="139"/>
        <v>844.8</v>
      </c>
      <c r="S621" s="7">
        <f t="shared" si="147"/>
        <v>0</v>
      </c>
      <c r="T621" s="35">
        <f t="shared" si="144"/>
        <v>844.8</v>
      </c>
    </row>
    <row r="622" spans="1:20" ht="20.25" customHeight="1">
      <c r="A622" s="61" t="str">
        <f ca="1">IF(ISERROR(MATCH(E622,Код_КВР,0)),"",INDIRECT(ADDRESS(MATCH(E622,Код_КВР,0)+1,2,,,"КВР")))</f>
        <v>Субсидии бюджетным учреждениям</v>
      </c>
      <c r="B622" s="43" t="s">
        <v>564</v>
      </c>
      <c r="C622" s="8" t="s">
        <v>193</v>
      </c>
      <c r="D622" s="1" t="s">
        <v>193</v>
      </c>
      <c r="E622" s="113">
        <v>610</v>
      </c>
      <c r="F622" s="7">
        <f t="shared" si="147"/>
        <v>844.8</v>
      </c>
      <c r="G622" s="7">
        <f t="shared" si="147"/>
        <v>0</v>
      </c>
      <c r="H622" s="35">
        <f t="shared" si="148"/>
        <v>844.8</v>
      </c>
      <c r="I622" s="7">
        <f t="shared" si="147"/>
        <v>0</v>
      </c>
      <c r="J622" s="35">
        <f t="shared" si="145"/>
        <v>844.8</v>
      </c>
      <c r="K622" s="7">
        <f t="shared" si="147"/>
        <v>0</v>
      </c>
      <c r="L622" s="35">
        <f t="shared" si="142"/>
        <v>844.8</v>
      </c>
      <c r="M622" s="7">
        <f t="shared" si="147"/>
        <v>0</v>
      </c>
      <c r="N622" s="35">
        <f t="shared" si="143"/>
        <v>844.8</v>
      </c>
      <c r="O622" s="7">
        <f t="shared" si="147"/>
        <v>0</v>
      </c>
      <c r="P622" s="35">
        <f t="shared" si="138"/>
        <v>844.8</v>
      </c>
      <c r="Q622" s="7">
        <f t="shared" si="147"/>
        <v>0</v>
      </c>
      <c r="R622" s="35">
        <f t="shared" si="139"/>
        <v>844.8</v>
      </c>
      <c r="S622" s="7">
        <f t="shared" si="147"/>
        <v>0</v>
      </c>
      <c r="T622" s="35">
        <f t="shared" si="144"/>
        <v>844.8</v>
      </c>
    </row>
    <row r="623" spans="1:20" ht="59.25" customHeight="1">
      <c r="A623" s="61" t="str">
        <f ca="1">IF(ISERROR(MATCH(E623,Код_КВР,0)),"",INDIRECT(ADDRESS(MATCH(E623,Код_КВР,0)+1,2,,,"КВР")))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23" s="43" t="s">
        <v>564</v>
      </c>
      <c r="C623" s="8" t="s">
        <v>193</v>
      </c>
      <c r="D623" s="1" t="s">
        <v>193</v>
      </c>
      <c r="E623" s="113">
        <v>611</v>
      </c>
      <c r="F623" s="7">
        <f>прил.6!G309</f>
        <v>844.8</v>
      </c>
      <c r="G623" s="7">
        <f>прил.6!H309</f>
        <v>0</v>
      </c>
      <c r="H623" s="35">
        <f t="shared" si="148"/>
        <v>844.8</v>
      </c>
      <c r="I623" s="7">
        <f>прил.6!J309</f>
        <v>0</v>
      </c>
      <c r="J623" s="35">
        <f t="shared" si="145"/>
        <v>844.8</v>
      </c>
      <c r="K623" s="7">
        <f>прил.6!L309</f>
        <v>0</v>
      </c>
      <c r="L623" s="35">
        <f t="shared" si="142"/>
        <v>844.8</v>
      </c>
      <c r="M623" s="7">
        <f>прил.6!N309</f>
        <v>0</v>
      </c>
      <c r="N623" s="35">
        <f t="shared" si="143"/>
        <v>844.8</v>
      </c>
      <c r="O623" s="7">
        <f>прил.6!P309</f>
        <v>0</v>
      </c>
      <c r="P623" s="35">
        <f t="shared" si="138"/>
        <v>844.8</v>
      </c>
      <c r="Q623" s="7">
        <f>прил.6!R309</f>
        <v>0</v>
      </c>
      <c r="R623" s="35">
        <f t="shared" si="139"/>
        <v>844.8</v>
      </c>
      <c r="S623" s="7">
        <f>прил.6!T309</f>
        <v>0</v>
      </c>
      <c r="T623" s="35">
        <f t="shared" si="144"/>
        <v>844.8</v>
      </c>
    </row>
    <row r="624" spans="1:20" ht="76.5" customHeight="1">
      <c r="A624" s="61" t="str">
        <f ca="1">IF(ISERROR(MATCH(B624,Код_КЦСР,0)),"",INDIRECT(ADDRESS(MATCH(B624,Код_КЦСР,0)+1,2,,,"КЦСР")))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624" s="43" t="s">
        <v>565</v>
      </c>
      <c r="C624" s="8"/>
      <c r="D624" s="1"/>
      <c r="E624" s="113"/>
      <c r="F624" s="7">
        <f t="shared" ref="F624:S628" si="149">F625</f>
        <v>6827.9</v>
      </c>
      <c r="G624" s="7">
        <f t="shared" si="149"/>
        <v>0</v>
      </c>
      <c r="H624" s="35">
        <f t="shared" si="148"/>
        <v>6827.9</v>
      </c>
      <c r="I624" s="7">
        <f t="shared" si="149"/>
        <v>0</v>
      </c>
      <c r="J624" s="35">
        <f t="shared" si="145"/>
        <v>6827.9</v>
      </c>
      <c r="K624" s="7">
        <f t="shared" si="149"/>
        <v>-100.6</v>
      </c>
      <c r="L624" s="35">
        <f t="shared" si="142"/>
        <v>6727.2999999999993</v>
      </c>
      <c r="M624" s="7">
        <f t="shared" si="149"/>
        <v>0</v>
      </c>
      <c r="N624" s="35">
        <f t="shared" si="143"/>
        <v>6727.2999999999993</v>
      </c>
      <c r="O624" s="7">
        <f t="shared" si="149"/>
        <v>0</v>
      </c>
      <c r="P624" s="35">
        <f t="shared" si="138"/>
        <v>6727.2999999999993</v>
      </c>
      <c r="Q624" s="7">
        <f t="shared" si="149"/>
        <v>0</v>
      </c>
      <c r="R624" s="35">
        <f t="shared" si="139"/>
        <v>6727.2999999999993</v>
      </c>
      <c r="S624" s="7">
        <f t="shared" si="149"/>
        <v>0</v>
      </c>
      <c r="T624" s="35">
        <f t="shared" si="144"/>
        <v>6727.2999999999993</v>
      </c>
    </row>
    <row r="625" spans="1:20">
      <c r="A625" s="61" t="str">
        <f ca="1">IF(ISERROR(MATCH(C625,Код_Раздел,0)),"",INDIRECT(ADDRESS(MATCH(C625,Код_Раздел,0)+1,2,,,"Раздел")))</f>
        <v>Образование</v>
      </c>
      <c r="B625" s="43" t="s">
        <v>565</v>
      </c>
      <c r="C625" s="8" t="s">
        <v>193</v>
      </c>
      <c r="D625" s="1"/>
      <c r="E625" s="113"/>
      <c r="F625" s="7">
        <f t="shared" si="149"/>
        <v>6827.9</v>
      </c>
      <c r="G625" s="7">
        <f t="shared" si="149"/>
        <v>0</v>
      </c>
      <c r="H625" s="35">
        <f t="shared" si="148"/>
        <v>6827.9</v>
      </c>
      <c r="I625" s="7">
        <f t="shared" si="149"/>
        <v>0</v>
      </c>
      <c r="J625" s="35">
        <f t="shared" si="145"/>
        <v>6827.9</v>
      </c>
      <c r="K625" s="7">
        <f t="shared" si="149"/>
        <v>-100.6</v>
      </c>
      <c r="L625" s="35">
        <f t="shared" si="142"/>
        <v>6727.2999999999993</v>
      </c>
      <c r="M625" s="7">
        <f t="shared" si="149"/>
        <v>0</v>
      </c>
      <c r="N625" s="35">
        <f t="shared" si="143"/>
        <v>6727.2999999999993</v>
      </c>
      <c r="O625" s="7">
        <f t="shared" si="149"/>
        <v>0</v>
      </c>
      <c r="P625" s="35">
        <f t="shared" si="138"/>
        <v>6727.2999999999993</v>
      </c>
      <c r="Q625" s="7">
        <f t="shared" si="149"/>
        <v>0</v>
      </c>
      <c r="R625" s="35">
        <f t="shared" si="139"/>
        <v>6727.2999999999993</v>
      </c>
      <c r="S625" s="7">
        <f t="shared" si="149"/>
        <v>0</v>
      </c>
      <c r="T625" s="35">
        <f t="shared" si="144"/>
        <v>6727.2999999999993</v>
      </c>
    </row>
    <row r="626" spans="1:20">
      <c r="A626" s="12" t="s">
        <v>197</v>
      </c>
      <c r="B626" s="43" t="s">
        <v>565</v>
      </c>
      <c r="C626" s="8" t="s">
        <v>193</v>
      </c>
      <c r="D626" s="1" t="s">
        <v>193</v>
      </c>
      <c r="E626" s="113"/>
      <c r="F626" s="7">
        <f t="shared" si="149"/>
        <v>6827.9</v>
      </c>
      <c r="G626" s="7">
        <f t="shared" si="149"/>
        <v>0</v>
      </c>
      <c r="H626" s="35">
        <f t="shared" si="148"/>
        <v>6827.9</v>
      </c>
      <c r="I626" s="7">
        <f t="shared" si="149"/>
        <v>0</v>
      </c>
      <c r="J626" s="35">
        <f t="shared" si="145"/>
        <v>6827.9</v>
      </c>
      <c r="K626" s="7">
        <f t="shared" si="149"/>
        <v>-100.6</v>
      </c>
      <c r="L626" s="35">
        <f t="shared" si="142"/>
        <v>6727.2999999999993</v>
      </c>
      <c r="M626" s="7">
        <f t="shared" si="149"/>
        <v>0</v>
      </c>
      <c r="N626" s="35">
        <f t="shared" si="143"/>
        <v>6727.2999999999993</v>
      </c>
      <c r="O626" s="7">
        <f t="shared" si="149"/>
        <v>0</v>
      </c>
      <c r="P626" s="35">
        <f t="shared" si="138"/>
        <v>6727.2999999999993</v>
      </c>
      <c r="Q626" s="7">
        <f t="shared" si="149"/>
        <v>0</v>
      </c>
      <c r="R626" s="35">
        <f t="shared" si="139"/>
        <v>6727.2999999999993</v>
      </c>
      <c r="S626" s="7">
        <f t="shared" si="149"/>
        <v>0</v>
      </c>
      <c r="T626" s="35">
        <f t="shared" si="144"/>
        <v>6727.2999999999993</v>
      </c>
    </row>
    <row r="627" spans="1:20" ht="36" customHeight="1">
      <c r="A627" s="61" t="str">
        <f ca="1">IF(ISERROR(MATCH(E627,Код_КВР,0)),"",INDIRECT(ADDRESS(MATCH(E627,Код_КВР,0)+1,2,,,"КВР")))</f>
        <v>Предоставление субсидий бюджетным, автономным учреждениям и иным некоммерческим организациям</v>
      </c>
      <c r="B627" s="43" t="s">
        <v>565</v>
      </c>
      <c r="C627" s="8" t="s">
        <v>193</v>
      </c>
      <c r="D627" s="1" t="s">
        <v>193</v>
      </c>
      <c r="E627" s="113">
        <v>600</v>
      </c>
      <c r="F627" s="7">
        <f t="shared" si="149"/>
        <v>6827.9</v>
      </c>
      <c r="G627" s="7">
        <f t="shared" si="149"/>
        <v>0</v>
      </c>
      <c r="H627" s="35">
        <f t="shared" si="148"/>
        <v>6827.9</v>
      </c>
      <c r="I627" s="7">
        <f t="shared" si="149"/>
        <v>0</v>
      </c>
      <c r="J627" s="35">
        <f t="shared" si="145"/>
        <v>6827.9</v>
      </c>
      <c r="K627" s="7">
        <f t="shared" si="149"/>
        <v>-100.6</v>
      </c>
      <c r="L627" s="35">
        <f t="shared" si="142"/>
        <v>6727.2999999999993</v>
      </c>
      <c r="M627" s="7">
        <f t="shared" si="149"/>
        <v>0</v>
      </c>
      <c r="N627" s="35">
        <f t="shared" si="143"/>
        <v>6727.2999999999993</v>
      </c>
      <c r="O627" s="7">
        <f t="shared" si="149"/>
        <v>0</v>
      </c>
      <c r="P627" s="35">
        <f t="shared" si="138"/>
        <v>6727.2999999999993</v>
      </c>
      <c r="Q627" s="7">
        <f t="shared" si="149"/>
        <v>0</v>
      </c>
      <c r="R627" s="35">
        <f t="shared" si="139"/>
        <v>6727.2999999999993</v>
      </c>
      <c r="S627" s="7">
        <f t="shared" si="149"/>
        <v>0</v>
      </c>
      <c r="T627" s="35">
        <f t="shared" si="144"/>
        <v>6727.2999999999993</v>
      </c>
    </row>
    <row r="628" spans="1:20" ht="18.75" customHeight="1">
      <c r="A628" s="61" t="str">
        <f ca="1">IF(ISERROR(MATCH(E628,Код_КВР,0)),"",INDIRECT(ADDRESS(MATCH(E628,Код_КВР,0)+1,2,,,"КВР")))</f>
        <v>Субсидии бюджетным учреждениям</v>
      </c>
      <c r="B628" s="43" t="s">
        <v>565</v>
      </c>
      <c r="C628" s="8" t="s">
        <v>193</v>
      </c>
      <c r="D628" s="1" t="s">
        <v>193</v>
      </c>
      <c r="E628" s="113">
        <v>610</v>
      </c>
      <c r="F628" s="7">
        <f t="shared" si="149"/>
        <v>6827.9</v>
      </c>
      <c r="G628" s="7">
        <f t="shared" si="149"/>
        <v>0</v>
      </c>
      <c r="H628" s="35">
        <f t="shared" si="148"/>
        <v>6827.9</v>
      </c>
      <c r="I628" s="7">
        <f t="shared" si="149"/>
        <v>0</v>
      </c>
      <c r="J628" s="35">
        <f t="shared" si="145"/>
        <v>6827.9</v>
      </c>
      <c r="K628" s="7">
        <f t="shared" si="149"/>
        <v>-100.6</v>
      </c>
      <c r="L628" s="35">
        <f t="shared" si="142"/>
        <v>6727.2999999999993</v>
      </c>
      <c r="M628" s="7">
        <f t="shared" si="149"/>
        <v>0</v>
      </c>
      <c r="N628" s="35">
        <f t="shared" si="143"/>
        <v>6727.2999999999993</v>
      </c>
      <c r="O628" s="7">
        <f t="shared" si="149"/>
        <v>0</v>
      </c>
      <c r="P628" s="35">
        <f t="shared" si="138"/>
        <v>6727.2999999999993</v>
      </c>
      <c r="Q628" s="7">
        <f t="shared" si="149"/>
        <v>0</v>
      </c>
      <c r="R628" s="35">
        <f t="shared" si="139"/>
        <v>6727.2999999999993</v>
      </c>
      <c r="S628" s="7">
        <f t="shared" si="149"/>
        <v>0</v>
      </c>
      <c r="T628" s="35">
        <f t="shared" si="144"/>
        <v>6727.2999999999993</v>
      </c>
    </row>
    <row r="629" spans="1:20" ht="57" customHeight="1">
      <c r="A629" s="61" t="str">
        <f ca="1">IF(ISERROR(MATCH(E629,Код_КВР,0)),"",INDIRECT(ADDRESS(MATCH(E629,Код_КВР,0)+1,2,,,"КВР")))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29" s="43" t="s">
        <v>565</v>
      </c>
      <c r="C629" s="8" t="s">
        <v>193</v>
      </c>
      <c r="D629" s="1" t="s">
        <v>193</v>
      </c>
      <c r="E629" s="113">
        <v>611</v>
      </c>
      <c r="F629" s="7">
        <f>прил.6!G313</f>
        <v>6827.9</v>
      </c>
      <c r="G629" s="7">
        <f>прил.6!H313</f>
        <v>0</v>
      </c>
      <c r="H629" s="35">
        <f t="shared" si="148"/>
        <v>6827.9</v>
      </c>
      <c r="I629" s="7">
        <f>прил.6!J313</f>
        <v>0</v>
      </c>
      <c r="J629" s="35">
        <f t="shared" si="145"/>
        <v>6827.9</v>
      </c>
      <c r="K629" s="7">
        <f>прил.6!L313</f>
        <v>-100.6</v>
      </c>
      <c r="L629" s="35">
        <f t="shared" si="142"/>
        <v>6727.2999999999993</v>
      </c>
      <c r="M629" s="7">
        <f>прил.6!N313</f>
        <v>0</v>
      </c>
      <c r="N629" s="35">
        <f t="shared" si="143"/>
        <v>6727.2999999999993</v>
      </c>
      <c r="O629" s="7">
        <f>прил.6!P313</f>
        <v>0</v>
      </c>
      <c r="P629" s="35">
        <f t="shared" si="138"/>
        <v>6727.2999999999993</v>
      </c>
      <c r="Q629" s="7">
        <f>прил.6!R313</f>
        <v>0</v>
      </c>
      <c r="R629" s="35">
        <f t="shared" si="139"/>
        <v>6727.2999999999993</v>
      </c>
      <c r="S629" s="7">
        <f>прил.6!T313</f>
        <v>0</v>
      </c>
      <c r="T629" s="35">
        <f t="shared" si="144"/>
        <v>6727.2999999999993</v>
      </c>
    </row>
    <row r="630" spans="1:20" ht="19.5" customHeight="1">
      <c r="A630" s="61" t="str">
        <f ca="1">IF(ISERROR(MATCH(B630,Код_КЦСР,0)),"",INDIRECT(ADDRESS(MATCH(B630,Код_КЦСР,0)+1,2,,,"КЦСР")))</f>
        <v>Муниципальная программа «Здоровый город» на 2014-2022 годы</v>
      </c>
      <c r="B630" s="43" t="s">
        <v>566</v>
      </c>
      <c r="C630" s="8"/>
      <c r="D630" s="1"/>
      <c r="E630" s="113"/>
      <c r="F630" s="7">
        <f>F631+F647+F673+F693+F704+F720</f>
        <v>2291.3000000000002</v>
      </c>
      <c r="G630" s="7">
        <f>G631+G647+G673+G693+G704+G720</f>
        <v>0</v>
      </c>
      <c r="H630" s="35">
        <f t="shared" si="148"/>
        <v>2291.3000000000002</v>
      </c>
      <c r="I630" s="7">
        <f>I631+I647+I673+I693+I704+I720</f>
        <v>0</v>
      </c>
      <c r="J630" s="35">
        <f t="shared" si="145"/>
        <v>2291.3000000000002</v>
      </c>
      <c r="K630" s="7">
        <f>K631+K647+K673+K693+K704+K720</f>
        <v>0</v>
      </c>
      <c r="L630" s="35">
        <f t="shared" si="142"/>
        <v>2291.3000000000002</v>
      </c>
      <c r="M630" s="7">
        <f>M631+M647+M673+M693+M704+M720</f>
        <v>0</v>
      </c>
      <c r="N630" s="35">
        <f t="shared" si="143"/>
        <v>2291.3000000000002</v>
      </c>
      <c r="O630" s="7">
        <f>O631+O647+O673+O693+O704+O720</f>
        <v>0</v>
      </c>
      <c r="P630" s="35">
        <f t="shared" si="138"/>
        <v>2291.3000000000002</v>
      </c>
      <c r="Q630" s="7">
        <f>Q631+Q647+Q673+Q693+Q704+Q720</f>
        <v>-30</v>
      </c>
      <c r="R630" s="35">
        <f t="shared" si="139"/>
        <v>2261.3000000000002</v>
      </c>
      <c r="S630" s="7">
        <f>S631+S647+S673+S693+S704+S720</f>
        <v>0</v>
      </c>
      <c r="T630" s="35">
        <f t="shared" si="144"/>
        <v>2261.3000000000002</v>
      </c>
    </row>
    <row r="631" spans="1:20" ht="20.25" customHeight="1">
      <c r="A631" s="61" t="str">
        <f ca="1">IF(ISERROR(MATCH(B631,Код_КЦСР,0)),"",INDIRECT(ADDRESS(MATCH(B631,Код_КЦСР,0)+1,2,,,"КЦСР")))</f>
        <v>Организационно-методическое обеспечение Программы</v>
      </c>
      <c r="B631" s="43" t="s">
        <v>568</v>
      </c>
      <c r="C631" s="8"/>
      <c r="D631" s="1"/>
      <c r="E631" s="113"/>
      <c r="F631" s="7">
        <f>F632+F642</f>
        <v>954</v>
      </c>
      <c r="G631" s="7">
        <f>G632+G642</f>
        <v>0</v>
      </c>
      <c r="H631" s="35">
        <f t="shared" si="148"/>
        <v>954</v>
      </c>
      <c r="I631" s="7">
        <f>I632+I642</f>
        <v>0</v>
      </c>
      <c r="J631" s="35">
        <f t="shared" si="145"/>
        <v>954</v>
      </c>
      <c r="K631" s="7">
        <f>K632+K642</f>
        <v>0</v>
      </c>
      <c r="L631" s="35">
        <f t="shared" si="142"/>
        <v>954</v>
      </c>
      <c r="M631" s="7">
        <f>M632+M642</f>
        <v>0</v>
      </c>
      <c r="N631" s="35">
        <f t="shared" si="143"/>
        <v>954</v>
      </c>
      <c r="O631" s="7">
        <f>O632+O642</f>
        <v>0</v>
      </c>
      <c r="P631" s="35">
        <f t="shared" si="138"/>
        <v>954</v>
      </c>
      <c r="Q631" s="7">
        <f>Q632+Q642</f>
        <v>-14.3</v>
      </c>
      <c r="R631" s="35">
        <f t="shared" si="139"/>
        <v>939.7</v>
      </c>
      <c r="S631" s="7">
        <f>S632+S642</f>
        <v>0</v>
      </c>
      <c r="T631" s="35">
        <f t="shared" si="144"/>
        <v>939.7</v>
      </c>
    </row>
    <row r="632" spans="1:20" ht="18.75" customHeight="1">
      <c r="A632" s="61" t="str">
        <f ca="1">IF(ISERROR(MATCH(C632,Код_Раздел,0)),"",INDIRECT(ADDRESS(MATCH(C632,Код_Раздел,0)+1,2,,,"Раздел")))</f>
        <v>Общегосударственные  вопросы</v>
      </c>
      <c r="B632" s="43" t="s">
        <v>568</v>
      </c>
      <c r="C632" s="8" t="s">
        <v>211</v>
      </c>
      <c r="D632" s="1"/>
      <c r="E632" s="113"/>
      <c r="F632" s="7">
        <f>F633</f>
        <v>954</v>
      </c>
      <c r="G632" s="7">
        <f>G633</f>
        <v>0</v>
      </c>
      <c r="H632" s="35">
        <f t="shared" si="148"/>
        <v>954</v>
      </c>
      <c r="I632" s="7">
        <f>I633</f>
        <v>0</v>
      </c>
      <c r="J632" s="35">
        <f t="shared" si="145"/>
        <v>954</v>
      </c>
      <c r="K632" s="7">
        <f>K633</f>
        <v>0</v>
      </c>
      <c r="L632" s="35">
        <f t="shared" si="142"/>
        <v>954</v>
      </c>
      <c r="M632" s="7">
        <f>M633</f>
        <v>0</v>
      </c>
      <c r="N632" s="35">
        <f t="shared" si="143"/>
        <v>954</v>
      </c>
      <c r="O632" s="7">
        <f>O633</f>
        <v>0</v>
      </c>
      <c r="P632" s="35">
        <f t="shared" si="138"/>
        <v>954</v>
      </c>
      <c r="Q632" s="7">
        <f>Q633</f>
        <v>-14.3</v>
      </c>
      <c r="R632" s="35">
        <f t="shared" si="139"/>
        <v>939.7</v>
      </c>
      <c r="S632" s="7">
        <f>S633</f>
        <v>0</v>
      </c>
      <c r="T632" s="35">
        <f t="shared" si="144"/>
        <v>939.7</v>
      </c>
    </row>
    <row r="633" spans="1:20" ht="19.5" customHeight="1">
      <c r="A633" s="12" t="s">
        <v>235</v>
      </c>
      <c r="B633" s="43" t="s">
        <v>568</v>
      </c>
      <c r="C633" s="8" t="s">
        <v>211</v>
      </c>
      <c r="D633" s="1" t="s">
        <v>188</v>
      </c>
      <c r="E633" s="113"/>
      <c r="F633" s="7">
        <f>F634+F637</f>
        <v>954</v>
      </c>
      <c r="G633" s="7">
        <f>G634+G640</f>
        <v>0</v>
      </c>
      <c r="H633" s="35">
        <f t="shared" si="148"/>
        <v>954</v>
      </c>
      <c r="I633" s="7">
        <f>I634+I637</f>
        <v>0</v>
      </c>
      <c r="J633" s="35">
        <f t="shared" si="145"/>
        <v>954</v>
      </c>
      <c r="K633" s="7">
        <f>K634+K637</f>
        <v>0</v>
      </c>
      <c r="L633" s="35">
        <f t="shared" si="142"/>
        <v>954</v>
      </c>
      <c r="M633" s="7">
        <f>M634+M637</f>
        <v>0</v>
      </c>
      <c r="N633" s="35">
        <f t="shared" si="143"/>
        <v>954</v>
      </c>
      <c r="O633" s="7">
        <f>O634+O637</f>
        <v>0</v>
      </c>
      <c r="P633" s="35">
        <f t="shared" si="138"/>
        <v>954</v>
      </c>
      <c r="Q633" s="7">
        <f>Q634+Q637</f>
        <v>-14.3</v>
      </c>
      <c r="R633" s="35">
        <f t="shared" si="139"/>
        <v>939.7</v>
      </c>
      <c r="S633" s="7">
        <f>S634+S637</f>
        <v>0</v>
      </c>
      <c r="T633" s="35">
        <f t="shared" si="144"/>
        <v>939.7</v>
      </c>
    </row>
    <row r="634" spans="1:20">
      <c r="A634" s="61" t="str">
        <f t="shared" ref="A634:A641" ca="1" si="150">IF(ISERROR(MATCH(E634,Код_КВР,0)),"",INDIRECT(ADDRESS(MATCH(E634,Код_КВР,0)+1,2,,,"КВР")))</f>
        <v>Закупка товаров, работ и услуг для муниципальных нужд</v>
      </c>
      <c r="B634" s="43" t="s">
        <v>568</v>
      </c>
      <c r="C634" s="8" t="s">
        <v>211</v>
      </c>
      <c r="D634" s="1" t="s">
        <v>188</v>
      </c>
      <c r="E634" s="113">
        <v>200</v>
      </c>
      <c r="F634" s="7">
        <f>F635</f>
        <v>276</v>
      </c>
      <c r="G634" s="7">
        <f>G635</f>
        <v>0</v>
      </c>
      <c r="H634" s="35">
        <f t="shared" si="148"/>
        <v>276</v>
      </c>
      <c r="I634" s="7">
        <f>I635</f>
        <v>-130</v>
      </c>
      <c r="J634" s="35">
        <f t="shared" si="145"/>
        <v>146</v>
      </c>
      <c r="K634" s="7">
        <f>K635</f>
        <v>0</v>
      </c>
      <c r="L634" s="35">
        <f t="shared" si="142"/>
        <v>146</v>
      </c>
      <c r="M634" s="7">
        <f>M635</f>
        <v>0</v>
      </c>
      <c r="N634" s="35">
        <f t="shared" si="143"/>
        <v>146</v>
      </c>
      <c r="O634" s="7">
        <f>O635</f>
        <v>0</v>
      </c>
      <c r="P634" s="35">
        <f t="shared" si="138"/>
        <v>146</v>
      </c>
      <c r="Q634" s="7">
        <f>Q635</f>
        <v>-8.6</v>
      </c>
      <c r="R634" s="35">
        <f t="shared" si="139"/>
        <v>137.4</v>
      </c>
      <c r="S634" s="7">
        <f>S635</f>
        <v>0</v>
      </c>
      <c r="T634" s="35">
        <f t="shared" si="144"/>
        <v>137.4</v>
      </c>
    </row>
    <row r="635" spans="1:20" ht="36" customHeight="1">
      <c r="A635" s="61" t="str">
        <f t="shared" ca="1" si="150"/>
        <v>Иные закупки товаров, работ и услуг для обеспечения муниципальных нужд</v>
      </c>
      <c r="B635" s="43" t="s">
        <v>568</v>
      </c>
      <c r="C635" s="8" t="s">
        <v>211</v>
      </c>
      <c r="D635" s="1" t="s">
        <v>188</v>
      </c>
      <c r="E635" s="113">
        <v>240</v>
      </c>
      <c r="F635" s="7">
        <f>F636</f>
        <v>276</v>
      </c>
      <c r="G635" s="7">
        <f>G636</f>
        <v>0</v>
      </c>
      <c r="H635" s="35">
        <f t="shared" si="148"/>
        <v>276</v>
      </c>
      <c r="I635" s="7">
        <f>I636</f>
        <v>-130</v>
      </c>
      <c r="J635" s="35">
        <f t="shared" si="145"/>
        <v>146</v>
      </c>
      <c r="K635" s="7">
        <f>K636</f>
        <v>0</v>
      </c>
      <c r="L635" s="35">
        <f t="shared" si="142"/>
        <v>146</v>
      </c>
      <c r="M635" s="7">
        <f>M636</f>
        <v>0</v>
      </c>
      <c r="N635" s="35">
        <f t="shared" si="143"/>
        <v>146</v>
      </c>
      <c r="O635" s="7">
        <f>O636</f>
        <v>0</v>
      </c>
      <c r="P635" s="35">
        <f t="shared" si="138"/>
        <v>146</v>
      </c>
      <c r="Q635" s="7">
        <f>Q636</f>
        <v>-8.6</v>
      </c>
      <c r="R635" s="35">
        <f t="shared" si="139"/>
        <v>137.4</v>
      </c>
      <c r="S635" s="7">
        <f>S636</f>
        <v>0</v>
      </c>
      <c r="T635" s="35">
        <f t="shared" si="144"/>
        <v>137.4</v>
      </c>
    </row>
    <row r="636" spans="1:20" ht="33.75" customHeight="1">
      <c r="A636" s="61" t="str">
        <f t="shared" ca="1" si="150"/>
        <v xml:space="preserve">Прочая закупка товаров, работ и услуг для обеспечения муниципальных нужд         </v>
      </c>
      <c r="B636" s="43" t="s">
        <v>568</v>
      </c>
      <c r="C636" s="8" t="s">
        <v>211</v>
      </c>
      <c r="D636" s="1" t="s">
        <v>188</v>
      </c>
      <c r="E636" s="113">
        <v>244</v>
      </c>
      <c r="F636" s="7">
        <f>прил.6!G99</f>
        <v>276</v>
      </c>
      <c r="G636" s="7">
        <f>прил.6!H99</f>
        <v>0</v>
      </c>
      <c r="H636" s="35">
        <f t="shared" si="148"/>
        <v>276</v>
      </c>
      <c r="I636" s="7">
        <f>прил.6!J99</f>
        <v>-130</v>
      </c>
      <c r="J636" s="35">
        <f t="shared" si="145"/>
        <v>146</v>
      </c>
      <c r="K636" s="7">
        <f>прил.6!L99</f>
        <v>0</v>
      </c>
      <c r="L636" s="35">
        <f t="shared" si="142"/>
        <v>146</v>
      </c>
      <c r="M636" s="7">
        <f>прил.6!N99</f>
        <v>0</v>
      </c>
      <c r="N636" s="35">
        <f t="shared" si="143"/>
        <v>146</v>
      </c>
      <c r="O636" s="7">
        <f>прил.6!P99</f>
        <v>0</v>
      </c>
      <c r="P636" s="35">
        <f t="shared" si="138"/>
        <v>146</v>
      </c>
      <c r="Q636" s="7">
        <f>прил.6!R99</f>
        <v>-8.6</v>
      </c>
      <c r="R636" s="35">
        <f t="shared" si="139"/>
        <v>137.4</v>
      </c>
      <c r="S636" s="7">
        <f>прил.6!T99</f>
        <v>0</v>
      </c>
      <c r="T636" s="35">
        <f t="shared" si="144"/>
        <v>137.4</v>
      </c>
    </row>
    <row r="637" spans="1:20">
      <c r="A637" s="61" t="str">
        <f t="shared" ca="1" si="150"/>
        <v>Иные бюджетные ассигнования</v>
      </c>
      <c r="B637" s="43" t="s">
        <v>568</v>
      </c>
      <c r="C637" s="8" t="s">
        <v>211</v>
      </c>
      <c r="D637" s="1" t="s">
        <v>188</v>
      </c>
      <c r="E637" s="113">
        <v>800</v>
      </c>
      <c r="F637" s="7">
        <f>F638+F640</f>
        <v>678</v>
      </c>
      <c r="G637" s="7"/>
      <c r="H637" s="35">
        <f t="shared" si="148"/>
        <v>678</v>
      </c>
      <c r="I637" s="7">
        <f>I638+I640</f>
        <v>130</v>
      </c>
      <c r="J637" s="35">
        <f t="shared" si="145"/>
        <v>808</v>
      </c>
      <c r="K637" s="7">
        <f>K638+K640</f>
        <v>0</v>
      </c>
      <c r="L637" s="35">
        <f t="shared" si="142"/>
        <v>808</v>
      </c>
      <c r="M637" s="7">
        <f>M638+M640</f>
        <v>0</v>
      </c>
      <c r="N637" s="35">
        <f t="shared" si="143"/>
        <v>808</v>
      </c>
      <c r="O637" s="7">
        <f>O638+O640</f>
        <v>0</v>
      </c>
      <c r="P637" s="35">
        <f t="shared" si="138"/>
        <v>808</v>
      </c>
      <c r="Q637" s="7">
        <f>Q638+Q640</f>
        <v>-5.7</v>
      </c>
      <c r="R637" s="35">
        <f t="shared" si="139"/>
        <v>802.3</v>
      </c>
      <c r="S637" s="7">
        <f>S638+S640</f>
        <v>0</v>
      </c>
      <c r="T637" s="35">
        <f t="shared" si="144"/>
        <v>802.3</v>
      </c>
    </row>
    <row r="638" spans="1:20">
      <c r="A638" s="61" t="str">
        <f t="shared" ca="1" si="150"/>
        <v>Уплата налогов, сборов и иных платежей</v>
      </c>
      <c r="B638" s="43" t="s">
        <v>568</v>
      </c>
      <c r="C638" s="8" t="s">
        <v>211</v>
      </c>
      <c r="D638" s="1" t="s">
        <v>188</v>
      </c>
      <c r="E638" s="113">
        <v>850</v>
      </c>
      <c r="F638" s="7"/>
      <c r="G638" s="7"/>
      <c r="H638" s="35">
        <f t="shared" si="148"/>
        <v>0</v>
      </c>
      <c r="I638" s="7">
        <f>I639</f>
        <v>678</v>
      </c>
      <c r="J638" s="35">
        <f t="shared" si="145"/>
        <v>678</v>
      </c>
      <c r="K638" s="7">
        <f>K639</f>
        <v>0</v>
      </c>
      <c r="L638" s="35">
        <f t="shared" si="142"/>
        <v>678</v>
      </c>
      <c r="M638" s="7">
        <f>M639</f>
        <v>0</v>
      </c>
      <c r="N638" s="35">
        <f t="shared" si="143"/>
        <v>678</v>
      </c>
      <c r="O638" s="7">
        <f>O639</f>
        <v>0</v>
      </c>
      <c r="P638" s="35">
        <f t="shared" si="138"/>
        <v>678</v>
      </c>
      <c r="Q638" s="7">
        <f>Q639</f>
        <v>0</v>
      </c>
      <c r="R638" s="35">
        <f t="shared" si="139"/>
        <v>678</v>
      </c>
      <c r="S638" s="7">
        <f>S639</f>
        <v>0</v>
      </c>
      <c r="T638" s="35">
        <f t="shared" si="144"/>
        <v>678</v>
      </c>
    </row>
    <row r="639" spans="1:20">
      <c r="A639" s="61" t="str">
        <f t="shared" ca="1" si="150"/>
        <v>Уплата прочих налогов, сборов и иных платежей</v>
      </c>
      <c r="B639" s="43" t="s">
        <v>568</v>
      </c>
      <c r="C639" s="8" t="s">
        <v>211</v>
      </c>
      <c r="D639" s="1" t="s">
        <v>188</v>
      </c>
      <c r="E639" s="113">
        <v>852</v>
      </c>
      <c r="F639" s="7"/>
      <c r="G639" s="7"/>
      <c r="H639" s="35">
        <f t="shared" si="148"/>
        <v>0</v>
      </c>
      <c r="I639" s="7">
        <f>прил.6!J102</f>
        <v>678</v>
      </c>
      <c r="J639" s="35">
        <f t="shared" si="145"/>
        <v>678</v>
      </c>
      <c r="K639" s="7">
        <f>прил.6!L102</f>
        <v>0</v>
      </c>
      <c r="L639" s="35">
        <f t="shared" si="142"/>
        <v>678</v>
      </c>
      <c r="M639" s="7">
        <f>прил.6!N102</f>
        <v>0</v>
      </c>
      <c r="N639" s="35">
        <f t="shared" si="143"/>
        <v>678</v>
      </c>
      <c r="O639" s="7">
        <f>прил.6!P102</f>
        <v>0</v>
      </c>
      <c r="P639" s="35">
        <f t="shared" si="138"/>
        <v>678</v>
      </c>
      <c r="Q639" s="7">
        <f>прил.6!R102</f>
        <v>0</v>
      </c>
      <c r="R639" s="35">
        <f t="shared" si="139"/>
        <v>678</v>
      </c>
      <c r="S639" s="7">
        <f>прил.6!T102</f>
        <v>0</v>
      </c>
      <c r="T639" s="35">
        <f t="shared" si="144"/>
        <v>678</v>
      </c>
    </row>
    <row r="640" spans="1:20" ht="33">
      <c r="A640" s="61" t="str">
        <f t="shared" ca="1" si="150"/>
        <v>Предоставление платежей, взносов, безвозмездных перечислений субъектам международного права</v>
      </c>
      <c r="B640" s="43" t="s">
        <v>568</v>
      </c>
      <c r="C640" s="8" t="s">
        <v>211</v>
      </c>
      <c r="D640" s="1" t="s">
        <v>188</v>
      </c>
      <c r="E640" s="113">
        <v>860</v>
      </c>
      <c r="F640" s="7">
        <f>F641</f>
        <v>678</v>
      </c>
      <c r="G640" s="7">
        <f>G641</f>
        <v>0</v>
      </c>
      <c r="H640" s="35">
        <f t="shared" si="148"/>
        <v>678</v>
      </c>
      <c r="I640" s="7">
        <f>I641</f>
        <v>-548</v>
      </c>
      <c r="J640" s="35">
        <f t="shared" si="145"/>
        <v>130</v>
      </c>
      <c r="K640" s="7">
        <f>K641</f>
        <v>0</v>
      </c>
      <c r="L640" s="35">
        <f t="shared" si="142"/>
        <v>130</v>
      </c>
      <c r="M640" s="7">
        <f>M641</f>
        <v>0</v>
      </c>
      <c r="N640" s="35">
        <f t="shared" si="143"/>
        <v>130</v>
      </c>
      <c r="O640" s="7">
        <f>O641</f>
        <v>0</v>
      </c>
      <c r="P640" s="35">
        <f t="shared" si="138"/>
        <v>130</v>
      </c>
      <c r="Q640" s="7">
        <f>Q641</f>
        <v>-5.7</v>
      </c>
      <c r="R640" s="35">
        <f t="shared" si="139"/>
        <v>124.3</v>
      </c>
      <c r="S640" s="7">
        <f>S641</f>
        <v>0</v>
      </c>
      <c r="T640" s="35">
        <f t="shared" si="144"/>
        <v>124.3</v>
      </c>
    </row>
    <row r="641" spans="1:21">
      <c r="A641" s="61" t="str">
        <f t="shared" ca="1" si="150"/>
        <v>Взносы в международные организации</v>
      </c>
      <c r="B641" s="43" t="s">
        <v>568</v>
      </c>
      <c r="C641" s="8" t="s">
        <v>211</v>
      </c>
      <c r="D641" s="1" t="s">
        <v>188</v>
      </c>
      <c r="E641" s="113">
        <v>862</v>
      </c>
      <c r="F641" s="7">
        <f>прил.6!G104</f>
        <v>678</v>
      </c>
      <c r="G641" s="7">
        <f>прил.6!H104</f>
        <v>0</v>
      </c>
      <c r="H641" s="35">
        <f t="shared" si="148"/>
        <v>678</v>
      </c>
      <c r="I641" s="7">
        <f>прил.6!J104</f>
        <v>-548</v>
      </c>
      <c r="J641" s="35">
        <f t="shared" si="145"/>
        <v>130</v>
      </c>
      <c r="K641" s="7">
        <f>прил.6!L104</f>
        <v>0</v>
      </c>
      <c r="L641" s="35">
        <f t="shared" si="142"/>
        <v>130</v>
      </c>
      <c r="M641" s="7">
        <f>прил.6!N104</f>
        <v>0</v>
      </c>
      <c r="N641" s="35">
        <f t="shared" si="143"/>
        <v>130</v>
      </c>
      <c r="O641" s="7">
        <f>прил.6!P104</f>
        <v>0</v>
      </c>
      <c r="P641" s="35">
        <f t="shared" si="138"/>
        <v>130</v>
      </c>
      <c r="Q641" s="7">
        <f>прил.6!R104</f>
        <v>-5.7</v>
      </c>
      <c r="R641" s="35">
        <f t="shared" si="139"/>
        <v>124.3</v>
      </c>
      <c r="S641" s="7">
        <f>прил.6!T104</f>
        <v>0</v>
      </c>
      <c r="T641" s="35">
        <f t="shared" si="144"/>
        <v>124.3</v>
      </c>
    </row>
    <row r="642" spans="1:21" hidden="1">
      <c r="A642" s="61" t="str">
        <f ca="1">IF(ISERROR(MATCH(C642,Код_Раздел,0)),"",INDIRECT(ADDRESS(MATCH(C642,Код_Раздел,0)+1,2,,,"Раздел")))</f>
        <v>Образование</v>
      </c>
      <c r="B642" s="43" t="s">
        <v>568</v>
      </c>
      <c r="C642" s="8" t="s">
        <v>193</v>
      </c>
      <c r="D642" s="1"/>
      <c r="E642" s="89"/>
      <c r="F642" s="7">
        <f t="shared" ref="F642:S645" si="151">F643</f>
        <v>0</v>
      </c>
      <c r="G642" s="7">
        <f t="shared" si="151"/>
        <v>0</v>
      </c>
      <c r="H642" s="35">
        <f t="shared" si="148"/>
        <v>0</v>
      </c>
      <c r="I642" s="7">
        <f t="shared" si="151"/>
        <v>0</v>
      </c>
      <c r="J642" s="35">
        <f t="shared" si="145"/>
        <v>0</v>
      </c>
      <c r="K642" s="7">
        <f t="shared" si="151"/>
        <v>0</v>
      </c>
      <c r="L642" s="35">
        <f t="shared" si="142"/>
        <v>0</v>
      </c>
      <c r="M642" s="7">
        <f t="shared" si="151"/>
        <v>0</v>
      </c>
      <c r="N642" s="35">
        <f t="shared" si="143"/>
        <v>0</v>
      </c>
      <c r="O642" s="7">
        <f t="shared" si="151"/>
        <v>0</v>
      </c>
      <c r="P642" s="35">
        <f t="shared" si="138"/>
        <v>0</v>
      </c>
      <c r="Q642" s="7">
        <f t="shared" si="151"/>
        <v>0</v>
      </c>
      <c r="R642" s="35">
        <f t="shared" si="139"/>
        <v>0</v>
      </c>
      <c r="S642" s="7">
        <f t="shared" si="151"/>
        <v>0</v>
      </c>
      <c r="T642" s="35">
        <f t="shared" si="144"/>
        <v>0</v>
      </c>
      <c r="U642" s="20" t="s">
        <v>706</v>
      </c>
    </row>
    <row r="643" spans="1:21" hidden="1">
      <c r="A643" s="12" t="s">
        <v>197</v>
      </c>
      <c r="B643" s="43" t="s">
        <v>568</v>
      </c>
      <c r="C643" s="8" t="s">
        <v>193</v>
      </c>
      <c r="D643" s="1" t="s">
        <v>193</v>
      </c>
      <c r="E643" s="89"/>
      <c r="F643" s="7">
        <f t="shared" si="151"/>
        <v>0</v>
      </c>
      <c r="G643" s="7">
        <f t="shared" si="151"/>
        <v>0</v>
      </c>
      <c r="H643" s="35">
        <f t="shared" si="148"/>
        <v>0</v>
      </c>
      <c r="I643" s="7">
        <f t="shared" si="151"/>
        <v>0</v>
      </c>
      <c r="J643" s="35">
        <f t="shared" si="145"/>
        <v>0</v>
      </c>
      <c r="K643" s="7">
        <f t="shared" si="151"/>
        <v>0</v>
      </c>
      <c r="L643" s="35">
        <f t="shared" si="142"/>
        <v>0</v>
      </c>
      <c r="M643" s="7">
        <f t="shared" si="151"/>
        <v>0</v>
      </c>
      <c r="N643" s="35">
        <f t="shared" si="143"/>
        <v>0</v>
      </c>
      <c r="O643" s="7">
        <f t="shared" si="151"/>
        <v>0</v>
      </c>
      <c r="P643" s="35">
        <f t="shared" si="138"/>
        <v>0</v>
      </c>
      <c r="Q643" s="7">
        <f t="shared" si="151"/>
        <v>0</v>
      </c>
      <c r="R643" s="35">
        <f t="shared" si="139"/>
        <v>0</v>
      </c>
      <c r="S643" s="7">
        <f t="shared" si="151"/>
        <v>0</v>
      </c>
      <c r="T643" s="35">
        <f t="shared" si="144"/>
        <v>0</v>
      </c>
      <c r="U643" s="20" t="s">
        <v>706</v>
      </c>
    </row>
    <row r="644" spans="1:21" ht="33" hidden="1">
      <c r="A644" s="61" t="str">
        <f ca="1">IF(ISERROR(MATCH(E644,Код_КВР,0)),"",INDIRECT(ADDRESS(MATCH(E644,Код_КВР,0)+1,2,,,"КВР")))</f>
        <v>Предоставление субсидий бюджетным, автономным учреждениям и иным некоммерческим организациям</v>
      </c>
      <c r="B644" s="43" t="s">
        <v>568</v>
      </c>
      <c r="C644" s="8" t="s">
        <v>193</v>
      </c>
      <c r="D644" s="1" t="s">
        <v>193</v>
      </c>
      <c r="E644" s="89">
        <v>600</v>
      </c>
      <c r="F644" s="7">
        <f t="shared" si="151"/>
        <v>0</v>
      </c>
      <c r="G644" s="7">
        <f t="shared" si="151"/>
        <v>0</v>
      </c>
      <c r="H644" s="35">
        <f t="shared" si="148"/>
        <v>0</v>
      </c>
      <c r="I644" s="7">
        <f t="shared" si="151"/>
        <v>0</v>
      </c>
      <c r="J644" s="35">
        <f t="shared" si="145"/>
        <v>0</v>
      </c>
      <c r="K644" s="7">
        <f t="shared" si="151"/>
        <v>0</v>
      </c>
      <c r="L644" s="35">
        <f t="shared" si="142"/>
        <v>0</v>
      </c>
      <c r="M644" s="7">
        <f t="shared" si="151"/>
        <v>0</v>
      </c>
      <c r="N644" s="35">
        <f t="shared" si="143"/>
        <v>0</v>
      </c>
      <c r="O644" s="7">
        <f t="shared" si="151"/>
        <v>0</v>
      </c>
      <c r="P644" s="35">
        <f t="shared" si="138"/>
        <v>0</v>
      </c>
      <c r="Q644" s="7">
        <f t="shared" si="151"/>
        <v>0</v>
      </c>
      <c r="R644" s="35">
        <f t="shared" si="139"/>
        <v>0</v>
      </c>
      <c r="S644" s="7">
        <f t="shared" si="151"/>
        <v>0</v>
      </c>
      <c r="T644" s="35">
        <f t="shared" si="144"/>
        <v>0</v>
      </c>
      <c r="U644" s="20" t="s">
        <v>706</v>
      </c>
    </row>
    <row r="645" spans="1:21" hidden="1">
      <c r="A645" s="61" t="str">
        <f ca="1">IF(ISERROR(MATCH(E645,Код_КВР,0)),"",INDIRECT(ADDRESS(MATCH(E645,Код_КВР,0)+1,2,,,"КВР")))</f>
        <v>Субсидии бюджетным учреждениям</v>
      </c>
      <c r="B645" s="43" t="s">
        <v>568</v>
      </c>
      <c r="C645" s="8" t="s">
        <v>193</v>
      </c>
      <c r="D645" s="1" t="s">
        <v>193</v>
      </c>
      <c r="E645" s="89">
        <v>610</v>
      </c>
      <c r="F645" s="7">
        <f t="shared" si="151"/>
        <v>0</v>
      </c>
      <c r="G645" s="7">
        <f t="shared" si="151"/>
        <v>0</v>
      </c>
      <c r="H645" s="35">
        <f t="shared" si="148"/>
        <v>0</v>
      </c>
      <c r="I645" s="7">
        <f t="shared" si="151"/>
        <v>0</v>
      </c>
      <c r="J645" s="35">
        <f t="shared" si="145"/>
        <v>0</v>
      </c>
      <c r="K645" s="7">
        <f t="shared" si="151"/>
        <v>0</v>
      </c>
      <c r="L645" s="35">
        <f t="shared" si="142"/>
        <v>0</v>
      </c>
      <c r="M645" s="7">
        <f t="shared" si="151"/>
        <v>0</v>
      </c>
      <c r="N645" s="35">
        <f t="shared" si="143"/>
        <v>0</v>
      </c>
      <c r="O645" s="7">
        <f t="shared" si="151"/>
        <v>0</v>
      </c>
      <c r="P645" s="35">
        <f t="shared" si="138"/>
        <v>0</v>
      </c>
      <c r="Q645" s="7">
        <f t="shared" si="151"/>
        <v>0</v>
      </c>
      <c r="R645" s="35">
        <f t="shared" si="139"/>
        <v>0</v>
      </c>
      <c r="S645" s="7">
        <f t="shared" si="151"/>
        <v>0</v>
      </c>
      <c r="T645" s="35">
        <f t="shared" si="144"/>
        <v>0</v>
      </c>
      <c r="U645" s="20" t="s">
        <v>706</v>
      </c>
    </row>
    <row r="646" spans="1:21" hidden="1">
      <c r="A646" s="61" t="str">
        <f ca="1">IF(ISERROR(MATCH(E646,Код_КВР,0)),"",INDIRECT(ADDRESS(MATCH(E646,Код_КВР,0)+1,2,,,"КВР")))</f>
        <v>Субсидии бюджетным учреждениям на иные цели</v>
      </c>
      <c r="B646" s="43" t="s">
        <v>568</v>
      </c>
      <c r="C646" s="8" t="s">
        <v>193</v>
      </c>
      <c r="D646" s="1" t="s">
        <v>193</v>
      </c>
      <c r="E646" s="89">
        <v>612</v>
      </c>
      <c r="F646" s="7">
        <f>прил.6!G318</f>
        <v>0</v>
      </c>
      <c r="G646" s="7">
        <f>прил.6!H318</f>
        <v>0</v>
      </c>
      <c r="H646" s="35">
        <f t="shared" si="148"/>
        <v>0</v>
      </c>
      <c r="I646" s="7">
        <f>прил.6!J318</f>
        <v>0</v>
      </c>
      <c r="J646" s="35">
        <f t="shared" si="145"/>
        <v>0</v>
      </c>
      <c r="K646" s="7">
        <f>прил.6!L318</f>
        <v>0</v>
      </c>
      <c r="L646" s="35">
        <f t="shared" si="142"/>
        <v>0</v>
      </c>
      <c r="M646" s="7">
        <f>прил.6!N318</f>
        <v>0</v>
      </c>
      <c r="N646" s="35">
        <f t="shared" si="143"/>
        <v>0</v>
      </c>
      <c r="O646" s="7">
        <f>прил.6!P318</f>
        <v>0</v>
      </c>
      <c r="P646" s="35">
        <f t="shared" si="138"/>
        <v>0</v>
      </c>
      <c r="Q646" s="7">
        <f>прил.6!R318</f>
        <v>0</v>
      </c>
      <c r="R646" s="35">
        <f t="shared" si="139"/>
        <v>0</v>
      </c>
      <c r="S646" s="7">
        <f>прил.6!T318</f>
        <v>0</v>
      </c>
      <c r="T646" s="35">
        <f t="shared" si="144"/>
        <v>0</v>
      </c>
      <c r="U646" s="20" t="s">
        <v>706</v>
      </c>
    </row>
    <row r="647" spans="1:21">
      <c r="A647" s="61" t="str">
        <f ca="1">IF(ISERROR(MATCH(B647,Код_КЦСР,0)),"",INDIRECT(ADDRESS(MATCH(B647,Код_КЦСР,0)+1,2,,,"КЦСР")))</f>
        <v>Сохранение и укрепление здоровья детей и подростков</v>
      </c>
      <c r="B647" s="43" t="s">
        <v>569</v>
      </c>
      <c r="C647" s="8"/>
      <c r="D647" s="1"/>
      <c r="E647" s="113"/>
      <c r="F647" s="7">
        <f>F648+F653+F663+F668</f>
        <v>557.9</v>
      </c>
      <c r="G647" s="7">
        <f>G648+G653+G663+G668</f>
        <v>0</v>
      </c>
      <c r="H647" s="35">
        <f t="shared" si="148"/>
        <v>557.9</v>
      </c>
      <c r="I647" s="7">
        <f>I648+I653+I663+I668</f>
        <v>0</v>
      </c>
      <c r="J647" s="35">
        <f t="shared" si="145"/>
        <v>557.9</v>
      </c>
      <c r="K647" s="7">
        <f>K648+K653+K663+K668</f>
        <v>0</v>
      </c>
      <c r="L647" s="35">
        <f t="shared" si="142"/>
        <v>557.9</v>
      </c>
      <c r="M647" s="7">
        <f>M648+M653+M663+M668</f>
        <v>0</v>
      </c>
      <c r="N647" s="35">
        <f t="shared" si="143"/>
        <v>557.9</v>
      </c>
      <c r="O647" s="7">
        <f>O648+O653+O663+O668</f>
        <v>0</v>
      </c>
      <c r="P647" s="35">
        <f t="shared" si="138"/>
        <v>557.9</v>
      </c>
      <c r="Q647" s="7">
        <f>Q648+Q653+Q663+Q668</f>
        <v>0</v>
      </c>
      <c r="R647" s="35">
        <f t="shared" si="139"/>
        <v>557.9</v>
      </c>
      <c r="S647" s="7">
        <f>S648+S653+S663+S668</f>
        <v>0</v>
      </c>
      <c r="T647" s="35">
        <f t="shared" si="144"/>
        <v>557.9</v>
      </c>
    </row>
    <row r="648" spans="1:21">
      <c r="A648" s="61" t="str">
        <f ca="1">IF(ISERROR(MATCH(C648,Код_Раздел,0)),"",INDIRECT(ADDRESS(MATCH(C648,Код_Раздел,0)+1,2,,,"Раздел")))</f>
        <v>Национальная безопасность и правоохранительная  деятельность</v>
      </c>
      <c r="B648" s="43" t="s">
        <v>569</v>
      </c>
      <c r="C648" s="8" t="s">
        <v>213</v>
      </c>
      <c r="D648" s="1"/>
      <c r="E648" s="113"/>
      <c r="F648" s="7">
        <f t="shared" ref="F648:S651" si="152">F649</f>
        <v>77.900000000000006</v>
      </c>
      <c r="G648" s="7">
        <f t="shared" si="152"/>
        <v>0</v>
      </c>
      <c r="H648" s="35">
        <f t="shared" si="148"/>
        <v>77.900000000000006</v>
      </c>
      <c r="I648" s="7">
        <f t="shared" si="152"/>
        <v>0</v>
      </c>
      <c r="J648" s="35">
        <f t="shared" si="145"/>
        <v>77.900000000000006</v>
      </c>
      <c r="K648" s="7">
        <f t="shared" si="152"/>
        <v>0</v>
      </c>
      <c r="L648" s="35">
        <f t="shared" si="142"/>
        <v>77.900000000000006</v>
      </c>
      <c r="M648" s="7">
        <f t="shared" si="152"/>
        <v>0</v>
      </c>
      <c r="N648" s="35">
        <f t="shared" si="143"/>
        <v>77.900000000000006</v>
      </c>
      <c r="O648" s="7">
        <f t="shared" si="152"/>
        <v>0</v>
      </c>
      <c r="P648" s="35">
        <f t="shared" si="138"/>
        <v>77.900000000000006</v>
      </c>
      <c r="Q648" s="7">
        <f t="shared" si="152"/>
        <v>0</v>
      </c>
      <c r="R648" s="35">
        <f t="shared" si="139"/>
        <v>77.900000000000006</v>
      </c>
      <c r="S648" s="7">
        <f t="shared" si="152"/>
        <v>0</v>
      </c>
      <c r="T648" s="35">
        <f t="shared" si="144"/>
        <v>77.900000000000006</v>
      </c>
    </row>
    <row r="649" spans="1:21" ht="37.5" customHeight="1">
      <c r="A649" s="12" t="s">
        <v>259</v>
      </c>
      <c r="B649" s="43" t="s">
        <v>569</v>
      </c>
      <c r="C649" s="8" t="s">
        <v>213</v>
      </c>
      <c r="D649" s="1" t="s">
        <v>217</v>
      </c>
      <c r="E649" s="113"/>
      <c r="F649" s="7">
        <f t="shared" si="152"/>
        <v>77.900000000000006</v>
      </c>
      <c r="G649" s="7">
        <f t="shared" si="152"/>
        <v>0</v>
      </c>
      <c r="H649" s="35">
        <f t="shared" si="148"/>
        <v>77.900000000000006</v>
      </c>
      <c r="I649" s="7">
        <f t="shared" si="152"/>
        <v>0</v>
      </c>
      <c r="J649" s="35">
        <f t="shared" si="145"/>
        <v>77.900000000000006</v>
      </c>
      <c r="K649" s="7">
        <f t="shared" si="152"/>
        <v>0</v>
      </c>
      <c r="L649" s="35">
        <f t="shared" si="142"/>
        <v>77.900000000000006</v>
      </c>
      <c r="M649" s="7">
        <f t="shared" si="152"/>
        <v>0</v>
      </c>
      <c r="N649" s="35">
        <f t="shared" si="143"/>
        <v>77.900000000000006</v>
      </c>
      <c r="O649" s="7">
        <f t="shared" si="152"/>
        <v>0</v>
      </c>
      <c r="P649" s="35">
        <f t="shared" si="138"/>
        <v>77.900000000000006</v>
      </c>
      <c r="Q649" s="7">
        <f t="shared" si="152"/>
        <v>0</v>
      </c>
      <c r="R649" s="35">
        <f t="shared" si="139"/>
        <v>77.900000000000006</v>
      </c>
      <c r="S649" s="7">
        <f t="shared" si="152"/>
        <v>0</v>
      </c>
      <c r="T649" s="35">
        <f t="shared" si="144"/>
        <v>77.900000000000006</v>
      </c>
    </row>
    <row r="650" spans="1:21" ht="19.5" customHeight="1">
      <c r="A650" s="61" t="str">
        <f ca="1">IF(ISERROR(MATCH(E650,Код_КВР,0)),"",INDIRECT(ADDRESS(MATCH(E650,Код_КВР,0)+1,2,,,"КВР")))</f>
        <v>Закупка товаров, работ и услуг для муниципальных нужд</v>
      </c>
      <c r="B650" s="43" t="s">
        <v>569</v>
      </c>
      <c r="C650" s="8" t="s">
        <v>213</v>
      </c>
      <c r="D650" s="1" t="s">
        <v>217</v>
      </c>
      <c r="E650" s="113">
        <v>200</v>
      </c>
      <c r="F650" s="7">
        <f t="shared" si="152"/>
        <v>77.900000000000006</v>
      </c>
      <c r="G650" s="7">
        <f t="shared" si="152"/>
        <v>0</v>
      </c>
      <c r="H650" s="35">
        <f t="shared" si="148"/>
        <v>77.900000000000006</v>
      </c>
      <c r="I650" s="7">
        <f t="shared" si="152"/>
        <v>0</v>
      </c>
      <c r="J650" s="35">
        <f t="shared" si="145"/>
        <v>77.900000000000006</v>
      </c>
      <c r="K650" s="7">
        <f t="shared" si="152"/>
        <v>0</v>
      </c>
      <c r="L650" s="35">
        <f t="shared" si="142"/>
        <v>77.900000000000006</v>
      </c>
      <c r="M650" s="7">
        <f t="shared" si="152"/>
        <v>0</v>
      </c>
      <c r="N650" s="35">
        <f t="shared" si="143"/>
        <v>77.900000000000006</v>
      </c>
      <c r="O650" s="7">
        <f t="shared" si="152"/>
        <v>0</v>
      </c>
      <c r="P650" s="35">
        <f t="shared" si="138"/>
        <v>77.900000000000006</v>
      </c>
      <c r="Q650" s="7">
        <f t="shared" si="152"/>
        <v>0</v>
      </c>
      <c r="R650" s="35">
        <f t="shared" si="139"/>
        <v>77.900000000000006</v>
      </c>
      <c r="S650" s="7">
        <f t="shared" si="152"/>
        <v>0</v>
      </c>
      <c r="T650" s="35">
        <f t="shared" si="144"/>
        <v>77.900000000000006</v>
      </c>
    </row>
    <row r="651" spans="1:21" ht="36.75" customHeight="1">
      <c r="A651" s="61" t="str">
        <f ca="1">IF(ISERROR(MATCH(E651,Код_КВР,0)),"",INDIRECT(ADDRESS(MATCH(E651,Код_КВР,0)+1,2,,,"КВР")))</f>
        <v>Иные закупки товаров, работ и услуг для обеспечения муниципальных нужд</v>
      </c>
      <c r="B651" s="43" t="s">
        <v>569</v>
      </c>
      <c r="C651" s="8" t="s">
        <v>213</v>
      </c>
      <c r="D651" s="1" t="s">
        <v>217</v>
      </c>
      <c r="E651" s="113">
        <v>240</v>
      </c>
      <c r="F651" s="7">
        <f t="shared" si="152"/>
        <v>77.900000000000006</v>
      </c>
      <c r="G651" s="7">
        <f t="shared" si="152"/>
        <v>0</v>
      </c>
      <c r="H651" s="35">
        <f t="shared" si="148"/>
        <v>77.900000000000006</v>
      </c>
      <c r="I651" s="7">
        <f t="shared" si="152"/>
        <v>0</v>
      </c>
      <c r="J651" s="35">
        <f t="shared" si="145"/>
        <v>77.900000000000006</v>
      </c>
      <c r="K651" s="7">
        <f t="shared" si="152"/>
        <v>0</v>
      </c>
      <c r="L651" s="35">
        <f t="shared" si="142"/>
        <v>77.900000000000006</v>
      </c>
      <c r="M651" s="7">
        <f t="shared" si="152"/>
        <v>0</v>
      </c>
      <c r="N651" s="35">
        <f t="shared" si="143"/>
        <v>77.900000000000006</v>
      </c>
      <c r="O651" s="7">
        <f t="shared" si="152"/>
        <v>0</v>
      </c>
      <c r="P651" s="35">
        <f t="shared" si="138"/>
        <v>77.900000000000006</v>
      </c>
      <c r="Q651" s="7">
        <f t="shared" si="152"/>
        <v>0</v>
      </c>
      <c r="R651" s="35">
        <f t="shared" si="139"/>
        <v>77.900000000000006</v>
      </c>
      <c r="S651" s="7">
        <f t="shared" si="152"/>
        <v>0</v>
      </c>
      <c r="T651" s="35">
        <f t="shared" si="144"/>
        <v>77.900000000000006</v>
      </c>
    </row>
    <row r="652" spans="1:21" ht="35.25" customHeight="1">
      <c r="A652" s="61" t="str">
        <f ca="1">IF(ISERROR(MATCH(E652,Код_КВР,0)),"",INDIRECT(ADDRESS(MATCH(E652,Код_КВР,0)+1,2,,,"КВР")))</f>
        <v xml:space="preserve">Прочая закупка товаров, работ и услуг для обеспечения муниципальных нужд         </v>
      </c>
      <c r="B652" s="43" t="s">
        <v>569</v>
      </c>
      <c r="C652" s="8" t="s">
        <v>213</v>
      </c>
      <c r="D652" s="1" t="s">
        <v>217</v>
      </c>
      <c r="E652" s="113">
        <v>244</v>
      </c>
      <c r="F652" s="7">
        <f>прил.6!G181</f>
        <v>77.900000000000006</v>
      </c>
      <c r="G652" s="7">
        <f>прил.6!H181</f>
        <v>0</v>
      </c>
      <c r="H652" s="35">
        <f t="shared" si="148"/>
        <v>77.900000000000006</v>
      </c>
      <c r="I652" s="7">
        <f>прил.6!J181</f>
        <v>0</v>
      </c>
      <c r="J652" s="35">
        <f t="shared" si="145"/>
        <v>77.900000000000006</v>
      </c>
      <c r="K652" s="7">
        <f>прил.6!L181</f>
        <v>0</v>
      </c>
      <c r="L652" s="35">
        <f t="shared" si="142"/>
        <v>77.900000000000006</v>
      </c>
      <c r="M652" s="7">
        <f>прил.6!N181</f>
        <v>0</v>
      </c>
      <c r="N652" s="35">
        <f t="shared" si="143"/>
        <v>77.900000000000006</v>
      </c>
      <c r="O652" s="7">
        <f>прил.6!P181</f>
        <v>0</v>
      </c>
      <c r="P652" s="35">
        <f t="shared" si="138"/>
        <v>77.900000000000006</v>
      </c>
      <c r="Q652" s="7">
        <f>прил.6!R181</f>
        <v>0</v>
      </c>
      <c r="R652" s="35">
        <f t="shared" si="139"/>
        <v>77.900000000000006</v>
      </c>
      <c r="S652" s="7">
        <f>прил.6!T181</f>
        <v>0</v>
      </c>
      <c r="T652" s="35">
        <f t="shared" si="144"/>
        <v>77.900000000000006</v>
      </c>
    </row>
    <row r="653" spans="1:21">
      <c r="A653" s="61" t="str">
        <f ca="1">IF(ISERROR(MATCH(C653,Код_Раздел,0)),"",INDIRECT(ADDRESS(MATCH(C653,Код_Раздел,0)+1,2,,,"Раздел")))</f>
        <v>Образование</v>
      </c>
      <c r="B653" s="43" t="s">
        <v>569</v>
      </c>
      <c r="C653" s="8" t="s">
        <v>193</v>
      </c>
      <c r="D653" s="1"/>
      <c r="E653" s="113"/>
      <c r="F653" s="7">
        <f>F654</f>
        <v>480</v>
      </c>
      <c r="G653" s="7">
        <f>G654</f>
        <v>0</v>
      </c>
      <c r="H653" s="35">
        <f t="shared" si="148"/>
        <v>480</v>
      </c>
      <c r="I653" s="7">
        <f>I654</f>
        <v>0</v>
      </c>
      <c r="J653" s="35">
        <f t="shared" si="145"/>
        <v>480</v>
      </c>
      <c r="K653" s="7">
        <f>K654</f>
        <v>0</v>
      </c>
      <c r="L653" s="35">
        <f t="shared" si="142"/>
        <v>480</v>
      </c>
      <c r="M653" s="7">
        <f>M654</f>
        <v>0</v>
      </c>
      <c r="N653" s="35">
        <f t="shared" si="143"/>
        <v>480</v>
      </c>
      <c r="O653" s="7">
        <f>O654</f>
        <v>0</v>
      </c>
      <c r="P653" s="35">
        <f t="shared" si="138"/>
        <v>480</v>
      </c>
      <c r="Q653" s="7">
        <f>Q654</f>
        <v>0</v>
      </c>
      <c r="R653" s="35">
        <f t="shared" si="139"/>
        <v>480</v>
      </c>
      <c r="S653" s="7">
        <f>S654</f>
        <v>0</v>
      </c>
      <c r="T653" s="35">
        <f t="shared" si="144"/>
        <v>480</v>
      </c>
    </row>
    <row r="654" spans="1:21">
      <c r="A654" s="12" t="s">
        <v>249</v>
      </c>
      <c r="B654" s="43" t="s">
        <v>569</v>
      </c>
      <c r="C654" s="8" t="s">
        <v>193</v>
      </c>
      <c r="D654" s="8" t="s">
        <v>217</v>
      </c>
      <c r="E654" s="113"/>
      <c r="F654" s="7">
        <f>F655+F658</f>
        <v>480</v>
      </c>
      <c r="G654" s="7">
        <f>G655+G658</f>
        <v>0</v>
      </c>
      <c r="H654" s="35">
        <f t="shared" si="148"/>
        <v>480</v>
      </c>
      <c r="I654" s="7">
        <f>I655+I658</f>
        <v>0</v>
      </c>
      <c r="J654" s="35">
        <f t="shared" si="145"/>
        <v>480</v>
      </c>
      <c r="K654" s="7">
        <f>K655+K658</f>
        <v>0</v>
      </c>
      <c r="L654" s="35">
        <f t="shared" si="142"/>
        <v>480</v>
      </c>
      <c r="M654" s="7">
        <f>M655+M658</f>
        <v>0</v>
      </c>
      <c r="N654" s="35">
        <f t="shared" si="143"/>
        <v>480</v>
      </c>
      <c r="O654" s="7">
        <f>O655+O658</f>
        <v>0</v>
      </c>
      <c r="P654" s="35">
        <f t="shared" si="138"/>
        <v>480</v>
      </c>
      <c r="Q654" s="7">
        <f>Q655+Q658</f>
        <v>0</v>
      </c>
      <c r="R654" s="35">
        <f t="shared" si="139"/>
        <v>480</v>
      </c>
      <c r="S654" s="7">
        <f>S655+S658</f>
        <v>0</v>
      </c>
      <c r="T654" s="35">
        <f t="shared" si="144"/>
        <v>480</v>
      </c>
    </row>
    <row r="655" spans="1:21" hidden="1">
      <c r="A655" s="61" t="str">
        <f t="shared" ref="A655:A662" ca="1" si="153">IF(ISERROR(MATCH(E655,Код_КВР,0)),"",INDIRECT(ADDRESS(MATCH(E655,Код_КВР,0)+1,2,,,"КВР")))</f>
        <v>Закупка товаров, работ и услуг для муниципальных нужд</v>
      </c>
      <c r="B655" s="43" t="s">
        <v>569</v>
      </c>
      <c r="C655" s="8" t="s">
        <v>193</v>
      </c>
      <c r="D655" s="8" t="s">
        <v>217</v>
      </c>
      <c r="E655" s="89">
        <v>200</v>
      </c>
      <c r="F655" s="7">
        <f>F656</f>
        <v>0</v>
      </c>
      <c r="G655" s="7">
        <f>G656</f>
        <v>0</v>
      </c>
      <c r="H655" s="35">
        <f t="shared" si="148"/>
        <v>0</v>
      </c>
      <c r="I655" s="7">
        <f>I656</f>
        <v>0</v>
      </c>
      <c r="J655" s="35">
        <f t="shared" si="145"/>
        <v>0</v>
      </c>
      <c r="K655" s="7">
        <f>K656</f>
        <v>0</v>
      </c>
      <c r="L655" s="35">
        <f t="shared" si="142"/>
        <v>0</v>
      </c>
      <c r="M655" s="7">
        <f>M656</f>
        <v>0</v>
      </c>
      <c r="N655" s="35">
        <f t="shared" si="143"/>
        <v>0</v>
      </c>
      <c r="O655" s="7">
        <f>O656</f>
        <v>0</v>
      </c>
      <c r="P655" s="35">
        <f t="shared" si="138"/>
        <v>0</v>
      </c>
      <c r="Q655" s="7">
        <f>Q656</f>
        <v>0</v>
      </c>
      <c r="R655" s="35">
        <f t="shared" si="139"/>
        <v>0</v>
      </c>
      <c r="S655" s="7">
        <f>S656</f>
        <v>0</v>
      </c>
      <c r="T655" s="35">
        <f t="shared" si="144"/>
        <v>0</v>
      </c>
      <c r="U655" s="20" t="s">
        <v>706</v>
      </c>
    </row>
    <row r="656" spans="1:21" ht="33" hidden="1">
      <c r="A656" s="61" t="str">
        <f t="shared" ca="1" si="153"/>
        <v>Иные закупки товаров, работ и услуг для обеспечения муниципальных нужд</v>
      </c>
      <c r="B656" s="43" t="s">
        <v>569</v>
      </c>
      <c r="C656" s="8" t="s">
        <v>193</v>
      </c>
      <c r="D656" s="8" t="s">
        <v>217</v>
      </c>
      <c r="E656" s="89">
        <v>240</v>
      </c>
      <c r="F656" s="7">
        <f>F657</f>
        <v>0</v>
      </c>
      <c r="G656" s="7">
        <f>G657</f>
        <v>0</v>
      </c>
      <c r="H656" s="35">
        <f t="shared" si="148"/>
        <v>0</v>
      </c>
      <c r="I656" s="7">
        <f>I657</f>
        <v>0</v>
      </c>
      <c r="J656" s="35">
        <f t="shared" si="145"/>
        <v>0</v>
      </c>
      <c r="K656" s="7">
        <f>K657</f>
        <v>0</v>
      </c>
      <c r="L656" s="35">
        <f t="shared" si="142"/>
        <v>0</v>
      </c>
      <c r="M656" s="7">
        <f>M657</f>
        <v>0</v>
      </c>
      <c r="N656" s="35">
        <f t="shared" si="143"/>
        <v>0</v>
      </c>
      <c r="O656" s="7">
        <f>O657</f>
        <v>0</v>
      </c>
      <c r="P656" s="35">
        <f t="shared" si="138"/>
        <v>0</v>
      </c>
      <c r="Q656" s="7">
        <f>Q657</f>
        <v>0</v>
      </c>
      <c r="R656" s="35">
        <f t="shared" si="139"/>
        <v>0</v>
      </c>
      <c r="S656" s="7">
        <f>S657</f>
        <v>0</v>
      </c>
      <c r="T656" s="35">
        <f t="shared" si="144"/>
        <v>0</v>
      </c>
      <c r="U656" s="20" t="s">
        <v>706</v>
      </c>
    </row>
    <row r="657" spans="1:21" ht="33" hidden="1">
      <c r="A657" s="61" t="str">
        <f t="shared" ca="1" si="153"/>
        <v xml:space="preserve">Прочая закупка товаров, работ и услуг для обеспечения муниципальных нужд         </v>
      </c>
      <c r="B657" s="43" t="s">
        <v>569</v>
      </c>
      <c r="C657" s="8" t="s">
        <v>193</v>
      </c>
      <c r="D657" s="8" t="s">
        <v>217</v>
      </c>
      <c r="E657" s="89">
        <v>244</v>
      </c>
      <c r="F657" s="7">
        <f>прил.6!G776</f>
        <v>0</v>
      </c>
      <c r="G657" s="7">
        <f>прил.6!H776</f>
        <v>0</v>
      </c>
      <c r="H657" s="35">
        <f t="shared" si="148"/>
        <v>0</v>
      </c>
      <c r="I657" s="7">
        <f>прил.6!J776</f>
        <v>0</v>
      </c>
      <c r="J657" s="35">
        <f t="shared" si="145"/>
        <v>0</v>
      </c>
      <c r="K657" s="7">
        <f>прил.6!L776</f>
        <v>0</v>
      </c>
      <c r="L657" s="35">
        <f t="shared" si="142"/>
        <v>0</v>
      </c>
      <c r="M657" s="7">
        <f>прил.6!N776</f>
        <v>0</v>
      </c>
      <c r="N657" s="35">
        <f t="shared" si="143"/>
        <v>0</v>
      </c>
      <c r="O657" s="7">
        <f>прил.6!P776</f>
        <v>0</v>
      </c>
      <c r="P657" s="35">
        <f t="shared" si="138"/>
        <v>0</v>
      </c>
      <c r="Q657" s="7">
        <f>прил.6!R776</f>
        <v>0</v>
      </c>
      <c r="R657" s="35">
        <f t="shared" si="139"/>
        <v>0</v>
      </c>
      <c r="S657" s="7">
        <f>прил.6!T776</f>
        <v>0</v>
      </c>
      <c r="T657" s="35">
        <f t="shared" si="144"/>
        <v>0</v>
      </c>
      <c r="U657" s="20" t="s">
        <v>706</v>
      </c>
    </row>
    <row r="658" spans="1:21" ht="33.75" customHeight="1">
      <c r="A658" s="61" t="str">
        <f t="shared" ca="1" si="153"/>
        <v>Предоставление субсидий бюджетным, автономным учреждениям и иным некоммерческим организациям</v>
      </c>
      <c r="B658" s="43" t="s">
        <v>569</v>
      </c>
      <c r="C658" s="8" t="s">
        <v>193</v>
      </c>
      <c r="D658" s="8" t="s">
        <v>217</v>
      </c>
      <c r="E658" s="113">
        <v>600</v>
      </c>
      <c r="F658" s="7">
        <f>F659+F661</f>
        <v>480</v>
      </c>
      <c r="G658" s="7">
        <f>G659+G661</f>
        <v>0</v>
      </c>
      <c r="H658" s="35">
        <f t="shared" si="148"/>
        <v>480</v>
      </c>
      <c r="I658" s="7">
        <f>I659+I661</f>
        <v>0</v>
      </c>
      <c r="J658" s="35">
        <f t="shared" si="145"/>
        <v>480</v>
      </c>
      <c r="K658" s="7">
        <f>K659+K661</f>
        <v>0</v>
      </c>
      <c r="L658" s="35">
        <f t="shared" si="142"/>
        <v>480</v>
      </c>
      <c r="M658" s="7">
        <f>M659+M661</f>
        <v>0</v>
      </c>
      <c r="N658" s="35">
        <f t="shared" si="143"/>
        <v>480</v>
      </c>
      <c r="O658" s="7">
        <f>O659+O661</f>
        <v>0</v>
      </c>
      <c r="P658" s="35">
        <f t="shared" si="138"/>
        <v>480</v>
      </c>
      <c r="Q658" s="7">
        <f>Q659+Q661</f>
        <v>0</v>
      </c>
      <c r="R658" s="35">
        <f t="shared" si="139"/>
        <v>480</v>
      </c>
      <c r="S658" s="7">
        <f>S659+S661</f>
        <v>0</v>
      </c>
      <c r="T658" s="35">
        <f t="shared" si="144"/>
        <v>480</v>
      </c>
    </row>
    <row r="659" spans="1:21">
      <c r="A659" s="61" t="str">
        <f t="shared" ca="1" si="153"/>
        <v>Субсидии бюджетным учреждениям</v>
      </c>
      <c r="B659" s="43" t="s">
        <v>569</v>
      </c>
      <c r="C659" s="8" t="s">
        <v>193</v>
      </c>
      <c r="D659" s="8" t="s">
        <v>217</v>
      </c>
      <c r="E659" s="113">
        <v>610</v>
      </c>
      <c r="F659" s="7">
        <f>F660</f>
        <v>463.4</v>
      </c>
      <c r="G659" s="7">
        <f>G660</f>
        <v>0</v>
      </c>
      <c r="H659" s="35">
        <f t="shared" si="148"/>
        <v>463.4</v>
      </c>
      <c r="I659" s="7">
        <f>I660</f>
        <v>0</v>
      </c>
      <c r="J659" s="35">
        <f t="shared" si="145"/>
        <v>463.4</v>
      </c>
      <c r="K659" s="7">
        <f>K660</f>
        <v>0</v>
      </c>
      <c r="L659" s="35">
        <f t="shared" si="142"/>
        <v>463.4</v>
      </c>
      <c r="M659" s="7">
        <f>M660</f>
        <v>0</v>
      </c>
      <c r="N659" s="35">
        <f t="shared" si="143"/>
        <v>463.4</v>
      </c>
      <c r="O659" s="7">
        <f>O660</f>
        <v>0</v>
      </c>
      <c r="P659" s="35">
        <f t="shared" si="138"/>
        <v>463.4</v>
      </c>
      <c r="Q659" s="7">
        <f>Q660</f>
        <v>0</v>
      </c>
      <c r="R659" s="35">
        <f t="shared" si="139"/>
        <v>463.4</v>
      </c>
      <c r="S659" s="7">
        <f>S660</f>
        <v>0</v>
      </c>
      <c r="T659" s="35">
        <f t="shared" si="144"/>
        <v>463.4</v>
      </c>
    </row>
    <row r="660" spans="1:21">
      <c r="A660" s="61" t="str">
        <f t="shared" ca="1" si="153"/>
        <v>Субсидии бюджетным учреждениям на иные цели</v>
      </c>
      <c r="B660" s="43" t="s">
        <v>569</v>
      </c>
      <c r="C660" s="8" t="s">
        <v>193</v>
      </c>
      <c r="D660" s="8" t="s">
        <v>217</v>
      </c>
      <c r="E660" s="113">
        <v>612</v>
      </c>
      <c r="F660" s="7">
        <f>прил.6!G779</f>
        <v>463.4</v>
      </c>
      <c r="G660" s="7">
        <f>прил.6!H779</f>
        <v>0</v>
      </c>
      <c r="H660" s="35">
        <f t="shared" si="148"/>
        <v>463.4</v>
      </c>
      <c r="I660" s="7">
        <f>прил.6!J779</f>
        <v>0</v>
      </c>
      <c r="J660" s="35">
        <f t="shared" si="145"/>
        <v>463.4</v>
      </c>
      <c r="K660" s="7">
        <f>прил.6!L779</f>
        <v>0</v>
      </c>
      <c r="L660" s="35">
        <f t="shared" si="142"/>
        <v>463.4</v>
      </c>
      <c r="M660" s="7">
        <f>прил.6!N779</f>
        <v>0</v>
      </c>
      <c r="N660" s="35">
        <f t="shared" si="143"/>
        <v>463.4</v>
      </c>
      <c r="O660" s="7">
        <f>прил.6!P779</f>
        <v>0</v>
      </c>
      <c r="P660" s="35">
        <f t="shared" si="138"/>
        <v>463.4</v>
      </c>
      <c r="Q660" s="7">
        <f>прил.6!R779</f>
        <v>0</v>
      </c>
      <c r="R660" s="35">
        <f t="shared" si="139"/>
        <v>463.4</v>
      </c>
      <c r="S660" s="7">
        <f>прил.6!T779</f>
        <v>0</v>
      </c>
      <c r="T660" s="35">
        <f t="shared" si="144"/>
        <v>463.4</v>
      </c>
    </row>
    <row r="661" spans="1:21">
      <c r="A661" s="61" t="str">
        <f t="shared" ca="1" si="153"/>
        <v>Субсидии автономным учреждениям</v>
      </c>
      <c r="B661" s="43" t="s">
        <v>569</v>
      </c>
      <c r="C661" s="8" t="s">
        <v>193</v>
      </c>
      <c r="D661" s="8" t="s">
        <v>217</v>
      </c>
      <c r="E661" s="113">
        <v>620</v>
      </c>
      <c r="F661" s="7">
        <f>F662</f>
        <v>16.600000000000001</v>
      </c>
      <c r="G661" s="7">
        <f>G662</f>
        <v>0</v>
      </c>
      <c r="H661" s="35">
        <f t="shared" si="148"/>
        <v>16.600000000000001</v>
      </c>
      <c r="I661" s="7">
        <f>I662</f>
        <v>0</v>
      </c>
      <c r="J661" s="35">
        <f t="shared" si="145"/>
        <v>16.600000000000001</v>
      </c>
      <c r="K661" s="7">
        <f>K662</f>
        <v>0</v>
      </c>
      <c r="L661" s="35">
        <f t="shared" si="142"/>
        <v>16.600000000000001</v>
      </c>
      <c r="M661" s="7">
        <f>M662</f>
        <v>0</v>
      </c>
      <c r="N661" s="35">
        <f t="shared" si="143"/>
        <v>16.600000000000001</v>
      </c>
      <c r="O661" s="7">
        <f>O662</f>
        <v>0</v>
      </c>
      <c r="P661" s="35">
        <f t="shared" si="138"/>
        <v>16.600000000000001</v>
      </c>
      <c r="Q661" s="7">
        <f>Q662</f>
        <v>0</v>
      </c>
      <c r="R661" s="35">
        <f t="shared" si="139"/>
        <v>16.600000000000001</v>
      </c>
      <c r="S661" s="7">
        <f>S662</f>
        <v>0</v>
      </c>
      <c r="T661" s="35">
        <f t="shared" si="144"/>
        <v>16.600000000000001</v>
      </c>
    </row>
    <row r="662" spans="1:21">
      <c r="A662" s="61" t="str">
        <f t="shared" ca="1" si="153"/>
        <v>Субсидии автономным учреждениям на иные цели</v>
      </c>
      <c r="B662" s="43" t="s">
        <v>569</v>
      </c>
      <c r="C662" s="8" t="s">
        <v>193</v>
      </c>
      <c r="D662" s="8" t="s">
        <v>217</v>
      </c>
      <c r="E662" s="113">
        <v>622</v>
      </c>
      <c r="F662" s="7">
        <f>прил.6!G781</f>
        <v>16.600000000000001</v>
      </c>
      <c r="G662" s="7">
        <f>прил.6!H781</f>
        <v>0</v>
      </c>
      <c r="H662" s="35">
        <f t="shared" si="148"/>
        <v>16.600000000000001</v>
      </c>
      <c r="I662" s="7">
        <f>прил.6!J781</f>
        <v>0</v>
      </c>
      <c r="J662" s="35">
        <f t="shared" si="145"/>
        <v>16.600000000000001</v>
      </c>
      <c r="K662" s="7">
        <f>прил.6!L781</f>
        <v>0</v>
      </c>
      <c r="L662" s="35">
        <f t="shared" si="142"/>
        <v>16.600000000000001</v>
      </c>
      <c r="M662" s="7">
        <f>прил.6!N781</f>
        <v>0</v>
      </c>
      <c r="N662" s="35">
        <f t="shared" si="143"/>
        <v>16.600000000000001</v>
      </c>
      <c r="O662" s="7">
        <f>прил.6!P781</f>
        <v>0</v>
      </c>
      <c r="P662" s="35">
        <f t="shared" si="138"/>
        <v>16.600000000000001</v>
      </c>
      <c r="Q662" s="7">
        <f>прил.6!R781</f>
        <v>0</v>
      </c>
      <c r="R662" s="35">
        <f t="shared" si="139"/>
        <v>16.600000000000001</v>
      </c>
      <c r="S662" s="7">
        <f>прил.6!T781</f>
        <v>0</v>
      </c>
      <c r="T662" s="35">
        <f t="shared" si="144"/>
        <v>16.600000000000001</v>
      </c>
    </row>
    <row r="663" spans="1:21" hidden="1">
      <c r="A663" s="61" t="str">
        <f ca="1">IF(ISERROR(MATCH(C663,Код_Раздел,0)),"",INDIRECT(ADDRESS(MATCH(C663,Код_Раздел,0)+1,2,,,"Раздел")))</f>
        <v>Культура, кинематография</v>
      </c>
      <c r="B663" s="43" t="s">
        <v>569</v>
      </c>
      <c r="C663" s="8" t="s">
        <v>220</v>
      </c>
      <c r="D663" s="1"/>
      <c r="E663" s="89"/>
      <c r="F663" s="7">
        <f t="shared" ref="F663:S666" si="154">F664</f>
        <v>0</v>
      </c>
      <c r="G663" s="7">
        <f t="shared" si="154"/>
        <v>0</v>
      </c>
      <c r="H663" s="35">
        <f t="shared" si="148"/>
        <v>0</v>
      </c>
      <c r="I663" s="7">
        <f t="shared" si="154"/>
        <v>0</v>
      </c>
      <c r="J663" s="35">
        <f t="shared" si="145"/>
        <v>0</v>
      </c>
      <c r="K663" s="7">
        <f t="shared" si="154"/>
        <v>0</v>
      </c>
      <c r="L663" s="35">
        <f t="shared" si="142"/>
        <v>0</v>
      </c>
      <c r="M663" s="7">
        <f t="shared" si="154"/>
        <v>0</v>
      </c>
      <c r="N663" s="35">
        <f t="shared" si="143"/>
        <v>0</v>
      </c>
      <c r="O663" s="7">
        <f t="shared" si="154"/>
        <v>0</v>
      </c>
      <c r="P663" s="35">
        <f t="shared" ref="P663:P731" si="155">N663+O663</f>
        <v>0</v>
      </c>
      <c r="Q663" s="7">
        <f t="shared" si="154"/>
        <v>0</v>
      </c>
      <c r="R663" s="35">
        <f t="shared" ref="R663:R731" si="156">P663+Q663</f>
        <v>0</v>
      </c>
      <c r="S663" s="7">
        <f t="shared" si="154"/>
        <v>0</v>
      </c>
      <c r="T663" s="35">
        <f t="shared" si="144"/>
        <v>0</v>
      </c>
      <c r="U663" s="20" t="s">
        <v>706</v>
      </c>
    </row>
    <row r="664" spans="1:21" hidden="1">
      <c r="A664" s="12" t="s">
        <v>161</v>
      </c>
      <c r="B664" s="43" t="s">
        <v>569</v>
      </c>
      <c r="C664" s="8" t="s">
        <v>220</v>
      </c>
      <c r="D664" s="1" t="s">
        <v>214</v>
      </c>
      <c r="E664" s="89"/>
      <c r="F664" s="7">
        <f t="shared" si="154"/>
        <v>0</v>
      </c>
      <c r="G664" s="7">
        <f t="shared" si="154"/>
        <v>0</v>
      </c>
      <c r="H664" s="35">
        <f t="shared" si="148"/>
        <v>0</v>
      </c>
      <c r="I664" s="7">
        <f t="shared" si="154"/>
        <v>0</v>
      </c>
      <c r="J664" s="35">
        <f t="shared" si="145"/>
        <v>0</v>
      </c>
      <c r="K664" s="7">
        <f t="shared" si="154"/>
        <v>0</v>
      </c>
      <c r="L664" s="35">
        <f t="shared" si="142"/>
        <v>0</v>
      </c>
      <c r="M664" s="7">
        <f t="shared" si="154"/>
        <v>0</v>
      </c>
      <c r="N664" s="35">
        <f t="shared" si="143"/>
        <v>0</v>
      </c>
      <c r="O664" s="7">
        <f t="shared" si="154"/>
        <v>0</v>
      </c>
      <c r="P664" s="35">
        <f t="shared" si="155"/>
        <v>0</v>
      </c>
      <c r="Q664" s="7">
        <f t="shared" si="154"/>
        <v>0</v>
      </c>
      <c r="R664" s="35">
        <f t="shared" si="156"/>
        <v>0</v>
      </c>
      <c r="S664" s="7">
        <f t="shared" si="154"/>
        <v>0</v>
      </c>
      <c r="T664" s="35">
        <f t="shared" si="144"/>
        <v>0</v>
      </c>
      <c r="U664" s="20" t="s">
        <v>706</v>
      </c>
    </row>
    <row r="665" spans="1:21" ht="33" hidden="1">
      <c r="A665" s="61" t="str">
        <f ca="1">IF(ISERROR(MATCH(E665,Код_КВР,0)),"",INDIRECT(ADDRESS(MATCH(E665,Код_КВР,0)+1,2,,,"КВР")))</f>
        <v>Предоставление субсидий бюджетным, автономным учреждениям и иным некоммерческим организациям</v>
      </c>
      <c r="B665" s="43" t="s">
        <v>569</v>
      </c>
      <c r="C665" s="8" t="s">
        <v>220</v>
      </c>
      <c r="D665" s="1" t="s">
        <v>214</v>
      </c>
      <c r="E665" s="89">
        <v>600</v>
      </c>
      <c r="F665" s="7">
        <f t="shared" si="154"/>
        <v>0</v>
      </c>
      <c r="G665" s="7">
        <f t="shared" si="154"/>
        <v>0</v>
      </c>
      <c r="H665" s="35">
        <f t="shared" si="148"/>
        <v>0</v>
      </c>
      <c r="I665" s="7">
        <f t="shared" si="154"/>
        <v>0</v>
      </c>
      <c r="J665" s="35">
        <f t="shared" si="145"/>
        <v>0</v>
      </c>
      <c r="K665" s="7">
        <f t="shared" si="154"/>
        <v>0</v>
      </c>
      <c r="L665" s="35">
        <f t="shared" si="142"/>
        <v>0</v>
      </c>
      <c r="M665" s="7">
        <f t="shared" si="154"/>
        <v>0</v>
      </c>
      <c r="N665" s="35">
        <f t="shared" si="143"/>
        <v>0</v>
      </c>
      <c r="O665" s="7">
        <f t="shared" si="154"/>
        <v>0</v>
      </c>
      <c r="P665" s="35">
        <f t="shared" si="155"/>
        <v>0</v>
      </c>
      <c r="Q665" s="7">
        <f t="shared" si="154"/>
        <v>0</v>
      </c>
      <c r="R665" s="35">
        <f t="shared" si="156"/>
        <v>0</v>
      </c>
      <c r="S665" s="7">
        <f t="shared" si="154"/>
        <v>0</v>
      </c>
      <c r="T665" s="35">
        <f t="shared" si="144"/>
        <v>0</v>
      </c>
      <c r="U665" s="20" t="s">
        <v>706</v>
      </c>
    </row>
    <row r="666" spans="1:21" hidden="1">
      <c r="A666" s="61" t="str">
        <f ca="1">IF(ISERROR(MATCH(E666,Код_КВР,0)),"",INDIRECT(ADDRESS(MATCH(E666,Код_КВР,0)+1,2,,,"КВР")))</f>
        <v>Субсидии бюджетным учреждениям</v>
      </c>
      <c r="B666" s="43" t="s">
        <v>569</v>
      </c>
      <c r="C666" s="8" t="s">
        <v>220</v>
      </c>
      <c r="D666" s="1" t="s">
        <v>214</v>
      </c>
      <c r="E666" s="89">
        <v>610</v>
      </c>
      <c r="F666" s="7">
        <f t="shared" si="154"/>
        <v>0</v>
      </c>
      <c r="G666" s="7">
        <f t="shared" si="154"/>
        <v>0</v>
      </c>
      <c r="H666" s="35">
        <f t="shared" si="148"/>
        <v>0</v>
      </c>
      <c r="I666" s="7">
        <f t="shared" si="154"/>
        <v>0</v>
      </c>
      <c r="J666" s="35">
        <f t="shared" si="145"/>
        <v>0</v>
      </c>
      <c r="K666" s="7">
        <f t="shared" si="154"/>
        <v>0</v>
      </c>
      <c r="L666" s="35">
        <f t="shared" si="142"/>
        <v>0</v>
      </c>
      <c r="M666" s="7">
        <f t="shared" si="154"/>
        <v>0</v>
      </c>
      <c r="N666" s="35">
        <f t="shared" si="143"/>
        <v>0</v>
      </c>
      <c r="O666" s="7">
        <f t="shared" si="154"/>
        <v>0</v>
      </c>
      <c r="P666" s="35">
        <f t="shared" si="155"/>
        <v>0</v>
      </c>
      <c r="Q666" s="7">
        <f t="shared" si="154"/>
        <v>0</v>
      </c>
      <c r="R666" s="35">
        <f t="shared" si="156"/>
        <v>0</v>
      </c>
      <c r="S666" s="7">
        <f t="shared" si="154"/>
        <v>0</v>
      </c>
      <c r="T666" s="35">
        <f t="shared" si="144"/>
        <v>0</v>
      </c>
      <c r="U666" s="20" t="s">
        <v>706</v>
      </c>
    </row>
    <row r="667" spans="1:21" hidden="1">
      <c r="A667" s="61" t="str">
        <f ca="1">IF(ISERROR(MATCH(E667,Код_КВР,0)),"",INDIRECT(ADDRESS(MATCH(E667,Код_КВР,0)+1,2,,,"КВР")))</f>
        <v>Субсидии бюджетным учреждениям на иные цели</v>
      </c>
      <c r="B667" s="43" t="s">
        <v>569</v>
      </c>
      <c r="C667" s="8" t="s">
        <v>220</v>
      </c>
      <c r="D667" s="1" t="s">
        <v>214</v>
      </c>
      <c r="E667" s="89">
        <v>612</v>
      </c>
      <c r="F667" s="7">
        <f>прил.6!G1136</f>
        <v>0</v>
      </c>
      <c r="G667" s="7">
        <f>прил.6!H1136</f>
        <v>0</v>
      </c>
      <c r="H667" s="35">
        <f t="shared" si="148"/>
        <v>0</v>
      </c>
      <c r="I667" s="7">
        <f>прил.6!J1136</f>
        <v>0</v>
      </c>
      <c r="J667" s="35">
        <f t="shared" si="145"/>
        <v>0</v>
      </c>
      <c r="K667" s="7">
        <f>прил.6!L1136</f>
        <v>0</v>
      </c>
      <c r="L667" s="35">
        <f t="shared" si="142"/>
        <v>0</v>
      </c>
      <c r="M667" s="7">
        <f>прил.6!N1136</f>
        <v>0</v>
      </c>
      <c r="N667" s="35">
        <f t="shared" si="143"/>
        <v>0</v>
      </c>
      <c r="O667" s="7">
        <f>прил.6!P1136</f>
        <v>0</v>
      </c>
      <c r="P667" s="35">
        <f t="shared" si="155"/>
        <v>0</v>
      </c>
      <c r="Q667" s="7">
        <f>прил.6!R1136</f>
        <v>0</v>
      </c>
      <c r="R667" s="35">
        <f t="shared" si="156"/>
        <v>0</v>
      </c>
      <c r="S667" s="7">
        <f>прил.6!T1136</f>
        <v>0</v>
      </c>
      <c r="T667" s="35">
        <f t="shared" si="144"/>
        <v>0</v>
      </c>
      <c r="U667" s="20" t="s">
        <v>706</v>
      </c>
    </row>
    <row r="668" spans="1:21" hidden="1">
      <c r="A668" s="61" t="str">
        <f ca="1">IF(ISERROR(MATCH(C668,Код_Раздел,0)),"",INDIRECT(ADDRESS(MATCH(C668,Код_Раздел,0)+1,2,,,"Раздел")))</f>
        <v>Физическая культура и спорт</v>
      </c>
      <c r="B668" s="43" t="s">
        <v>569</v>
      </c>
      <c r="C668" s="8" t="s">
        <v>222</v>
      </c>
      <c r="D668" s="8"/>
      <c r="E668" s="89"/>
      <c r="F668" s="7">
        <f t="shared" ref="F668:S671" si="157">F669</f>
        <v>0</v>
      </c>
      <c r="G668" s="7">
        <f t="shared" si="157"/>
        <v>0</v>
      </c>
      <c r="H668" s="35">
        <f t="shared" si="148"/>
        <v>0</v>
      </c>
      <c r="I668" s="7">
        <f t="shared" si="157"/>
        <v>0</v>
      </c>
      <c r="J668" s="35">
        <f t="shared" si="145"/>
        <v>0</v>
      </c>
      <c r="K668" s="7">
        <f t="shared" si="157"/>
        <v>0</v>
      </c>
      <c r="L668" s="35">
        <f t="shared" si="142"/>
        <v>0</v>
      </c>
      <c r="M668" s="7">
        <f t="shared" si="157"/>
        <v>0</v>
      </c>
      <c r="N668" s="35">
        <f t="shared" si="143"/>
        <v>0</v>
      </c>
      <c r="O668" s="7">
        <f t="shared" si="157"/>
        <v>0</v>
      </c>
      <c r="P668" s="35">
        <f t="shared" si="155"/>
        <v>0</v>
      </c>
      <c r="Q668" s="7">
        <f t="shared" si="157"/>
        <v>0</v>
      </c>
      <c r="R668" s="35">
        <f t="shared" si="156"/>
        <v>0</v>
      </c>
      <c r="S668" s="7">
        <f t="shared" si="157"/>
        <v>0</v>
      </c>
      <c r="T668" s="35">
        <f t="shared" si="144"/>
        <v>0</v>
      </c>
      <c r="U668" s="20" t="s">
        <v>706</v>
      </c>
    </row>
    <row r="669" spans="1:21" hidden="1">
      <c r="A669" s="12" t="s">
        <v>184</v>
      </c>
      <c r="B669" s="43" t="s">
        <v>569</v>
      </c>
      <c r="C669" s="8" t="s">
        <v>222</v>
      </c>
      <c r="D669" s="1" t="s">
        <v>211</v>
      </c>
      <c r="E669" s="89"/>
      <c r="F669" s="7">
        <f t="shared" si="157"/>
        <v>0</v>
      </c>
      <c r="G669" s="7">
        <f t="shared" si="157"/>
        <v>0</v>
      </c>
      <c r="H669" s="35">
        <f t="shared" si="148"/>
        <v>0</v>
      </c>
      <c r="I669" s="7">
        <f t="shared" si="157"/>
        <v>0</v>
      </c>
      <c r="J669" s="35">
        <f t="shared" si="145"/>
        <v>0</v>
      </c>
      <c r="K669" s="7">
        <f t="shared" si="157"/>
        <v>0</v>
      </c>
      <c r="L669" s="35">
        <f t="shared" si="142"/>
        <v>0</v>
      </c>
      <c r="M669" s="7">
        <f t="shared" si="157"/>
        <v>0</v>
      </c>
      <c r="N669" s="35">
        <f t="shared" si="143"/>
        <v>0</v>
      </c>
      <c r="O669" s="7">
        <f t="shared" si="157"/>
        <v>0</v>
      </c>
      <c r="P669" s="35">
        <f t="shared" si="155"/>
        <v>0</v>
      </c>
      <c r="Q669" s="7">
        <f t="shared" si="157"/>
        <v>0</v>
      </c>
      <c r="R669" s="35">
        <f t="shared" si="156"/>
        <v>0</v>
      </c>
      <c r="S669" s="7">
        <f t="shared" si="157"/>
        <v>0</v>
      </c>
      <c r="T669" s="35">
        <f t="shared" si="144"/>
        <v>0</v>
      </c>
      <c r="U669" s="20" t="s">
        <v>706</v>
      </c>
    </row>
    <row r="670" spans="1:21" ht="33" hidden="1">
      <c r="A670" s="61" t="str">
        <f ca="1">IF(ISERROR(MATCH(E670,Код_КВР,0)),"",INDIRECT(ADDRESS(MATCH(E670,Код_КВР,0)+1,2,,,"КВР")))</f>
        <v>Предоставление субсидий бюджетным, автономным учреждениям и иным некоммерческим организациям</v>
      </c>
      <c r="B670" s="43" t="s">
        <v>569</v>
      </c>
      <c r="C670" s="8" t="s">
        <v>222</v>
      </c>
      <c r="D670" s="1" t="s">
        <v>211</v>
      </c>
      <c r="E670" s="89">
        <v>600</v>
      </c>
      <c r="F670" s="7">
        <f t="shared" si="157"/>
        <v>0</v>
      </c>
      <c r="G670" s="7">
        <f t="shared" si="157"/>
        <v>0</v>
      </c>
      <c r="H670" s="35">
        <f t="shared" si="148"/>
        <v>0</v>
      </c>
      <c r="I670" s="7">
        <f t="shared" si="157"/>
        <v>0</v>
      </c>
      <c r="J670" s="35">
        <f t="shared" si="145"/>
        <v>0</v>
      </c>
      <c r="K670" s="7">
        <f t="shared" si="157"/>
        <v>0</v>
      </c>
      <c r="L670" s="35">
        <f t="shared" si="142"/>
        <v>0</v>
      </c>
      <c r="M670" s="7">
        <f t="shared" si="157"/>
        <v>0</v>
      </c>
      <c r="N670" s="35">
        <f t="shared" si="143"/>
        <v>0</v>
      </c>
      <c r="O670" s="7">
        <f t="shared" si="157"/>
        <v>0</v>
      </c>
      <c r="P670" s="35">
        <f t="shared" si="155"/>
        <v>0</v>
      </c>
      <c r="Q670" s="7">
        <f t="shared" si="157"/>
        <v>0</v>
      </c>
      <c r="R670" s="35">
        <f t="shared" si="156"/>
        <v>0</v>
      </c>
      <c r="S670" s="7">
        <f t="shared" si="157"/>
        <v>0</v>
      </c>
      <c r="T670" s="35">
        <f t="shared" si="144"/>
        <v>0</v>
      </c>
      <c r="U670" s="20" t="s">
        <v>706</v>
      </c>
    </row>
    <row r="671" spans="1:21" hidden="1">
      <c r="A671" s="61" t="str">
        <f ca="1">IF(ISERROR(MATCH(E671,Код_КВР,0)),"",INDIRECT(ADDRESS(MATCH(E671,Код_КВР,0)+1,2,,,"КВР")))</f>
        <v>Субсидии автономным учреждениям</v>
      </c>
      <c r="B671" s="43" t="s">
        <v>569</v>
      </c>
      <c r="C671" s="8" t="s">
        <v>222</v>
      </c>
      <c r="D671" s="1" t="s">
        <v>211</v>
      </c>
      <c r="E671" s="89">
        <v>620</v>
      </c>
      <c r="F671" s="7">
        <f t="shared" si="157"/>
        <v>0</v>
      </c>
      <c r="G671" s="7">
        <f t="shared" si="157"/>
        <v>0</v>
      </c>
      <c r="H671" s="35">
        <f t="shared" si="148"/>
        <v>0</v>
      </c>
      <c r="I671" s="7">
        <f t="shared" si="157"/>
        <v>0</v>
      </c>
      <c r="J671" s="35">
        <f t="shared" si="145"/>
        <v>0</v>
      </c>
      <c r="K671" s="7">
        <f t="shared" si="157"/>
        <v>0</v>
      </c>
      <c r="L671" s="35">
        <f t="shared" ref="L671:L739" si="158">J671+K671</f>
        <v>0</v>
      </c>
      <c r="M671" s="7">
        <f t="shared" si="157"/>
        <v>0</v>
      </c>
      <c r="N671" s="35">
        <f t="shared" ref="N671:N739" si="159">L671+M671</f>
        <v>0</v>
      </c>
      <c r="O671" s="7">
        <f t="shared" si="157"/>
        <v>0</v>
      </c>
      <c r="P671" s="35">
        <f t="shared" si="155"/>
        <v>0</v>
      </c>
      <c r="Q671" s="7">
        <f t="shared" si="157"/>
        <v>0</v>
      </c>
      <c r="R671" s="35">
        <f t="shared" si="156"/>
        <v>0</v>
      </c>
      <c r="S671" s="7">
        <f t="shared" si="157"/>
        <v>0</v>
      </c>
      <c r="T671" s="35">
        <f t="shared" si="144"/>
        <v>0</v>
      </c>
      <c r="U671" s="20" t="s">
        <v>706</v>
      </c>
    </row>
    <row r="672" spans="1:21" hidden="1">
      <c r="A672" s="61" t="str">
        <f ca="1">IF(ISERROR(MATCH(E672,Код_КВР,0)),"",INDIRECT(ADDRESS(MATCH(E672,Код_КВР,0)+1,2,,,"КВР")))</f>
        <v>Субсидии автономным учреждениям на иные цели</v>
      </c>
      <c r="B672" s="43" t="s">
        <v>569</v>
      </c>
      <c r="C672" s="8" t="s">
        <v>222</v>
      </c>
      <c r="D672" s="1" t="s">
        <v>211</v>
      </c>
      <c r="E672" s="89">
        <v>622</v>
      </c>
      <c r="F672" s="7">
        <f>прил.6!G1269</f>
        <v>0</v>
      </c>
      <c r="G672" s="7">
        <f>прил.6!H1269</f>
        <v>0</v>
      </c>
      <c r="H672" s="35">
        <f t="shared" si="148"/>
        <v>0</v>
      </c>
      <c r="I672" s="7">
        <f>прил.6!J1269</f>
        <v>0</v>
      </c>
      <c r="J672" s="35">
        <f t="shared" si="145"/>
        <v>0</v>
      </c>
      <c r="K672" s="7">
        <f>прил.6!L1269</f>
        <v>0</v>
      </c>
      <c r="L672" s="35">
        <f t="shared" si="158"/>
        <v>0</v>
      </c>
      <c r="M672" s="7">
        <f>прил.6!N1269</f>
        <v>0</v>
      </c>
      <c r="N672" s="35">
        <f t="shared" si="159"/>
        <v>0</v>
      </c>
      <c r="O672" s="7">
        <f>прил.6!P1269</f>
        <v>0</v>
      </c>
      <c r="P672" s="35">
        <f t="shared" si="155"/>
        <v>0</v>
      </c>
      <c r="Q672" s="7">
        <f>прил.6!R1269</f>
        <v>0</v>
      </c>
      <c r="R672" s="35">
        <f t="shared" si="156"/>
        <v>0</v>
      </c>
      <c r="S672" s="7">
        <f>прил.6!T1269</f>
        <v>0</v>
      </c>
      <c r="T672" s="35">
        <f t="shared" ref="T672:T740" si="160">R672+S672</f>
        <v>0</v>
      </c>
      <c r="U672" s="20" t="s">
        <v>706</v>
      </c>
    </row>
    <row r="673" spans="1:21">
      <c r="A673" s="61" t="str">
        <f ca="1">IF(ISERROR(MATCH(B673,Код_КЦСР,0)),"",INDIRECT(ADDRESS(MATCH(B673,Код_КЦСР,0)+1,2,,,"КЦСР")))</f>
        <v>Пропаганда здорового образа жизни</v>
      </c>
      <c r="B673" s="43" t="s">
        <v>571</v>
      </c>
      <c r="C673" s="8"/>
      <c r="D673" s="1"/>
      <c r="E673" s="113"/>
      <c r="F673" s="7">
        <f>F674+F679+F688</f>
        <v>729.4</v>
      </c>
      <c r="G673" s="7">
        <f>G674+G679+G688</f>
        <v>0</v>
      </c>
      <c r="H673" s="35">
        <f t="shared" si="148"/>
        <v>729.4</v>
      </c>
      <c r="I673" s="7">
        <f>I674+I679+I688</f>
        <v>0</v>
      </c>
      <c r="J673" s="35">
        <f t="shared" si="145"/>
        <v>729.4</v>
      </c>
      <c r="K673" s="7">
        <f>K674+K679+K688</f>
        <v>0</v>
      </c>
      <c r="L673" s="35">
        <f t="shared" si="158"/>
        <v>729.4</v>
      </c>
      <c r="M673" s="7">
        <f>M674+M679+M688</f>
        <v>0</v>
      </c>
      <c r="N673" s="35">
        <f t="shared" si="159"/>
        <v>729.4</v>
      </c>
      <c r="O673" s="7">
        <f>O674+O679+O688</f>
        <v>0</v>
      </c>
      <c r="P673" s="35">
        <f t="shared" si="155"/>
        <v>729.4</v>
      </c>
      <c r="Q673" s="7">
        <f>Q674+Q679+Q688</f>
        <v>-15.7</v>
      </c>
      <c r="R673" s="35">
        <f t="shared" si="156"/>
        <v>713.69999999999993</v>
      </c>
      <c r="S673" s="7">
        <f>S674+S679+S688+S715</f>
        <v>50</v>
      </c>
      <c r="T673" s="35">
        <f t="shared" si="160"/>
        <v>763.69999999999993</v>
      </c>
    </row>
    <row r="674" spans="1:21">
      <c r="A674" s="61" t="str">
        <f ca="1">IF(ISERROR(MATCH(C674,Код_Раздел,0)),"",INDIRECT(ADDRESS(MATCH(C674,Код_Раздел,0)+1,2,,,"Раздел")))</f>
        <v>Общегосударственные  вопросы</v>
      </c>
      <c r="B674" s="43" t="s">
        <v>571</v>
      </c>
      <c r="C674" s="8" t="s">
        <v>211</v>
      </c>
      <c r="D674" s="1"/>
      <c r="E674" s="113"/>
      <c r="F674" s="7">
        <f t="shared" ref="F674:S677" si="161">F675</f>
        <v>399.4</v>
      </c>
      <c r="G674" s="7">
        <f t="shared" si="161"/>
        <v>0</v>
      </c>
      <c r="H674" s="35">
        <f t="shared" si="148"/>
        <v>399.4</v>
      </c>
      <c r="I674" s="7">
        <f t="shared" si="161"/>
        <v>0</v>
      </c>
      <c r="J674" s="35">
        <f t="shared" si="145"/>
        <v>399.4</v>
      </c>
      <c r="K674" s="7">
        <f t="shared" si="161"/>
        <v>0</v>
      </c>
      <c r="L674" s="35">
        <f t="shared" si="158"/>
        <v>399.4</v>
      </c>
      <c r="M674" s="7">
        <f t="shared" si="161"/>
        <v>0</v>
      </c>
      <c r="N674" s="35">
        <f t="shared" si="159"/>
        <v>399.4</v>
      </c>
      <c r="O674" s="7">
        <f t="shared" si="161"/>
        <v>0</v>
      </c>
      <c r="P674" s="35">
        <f t="shared" si="155"/>
        <v>399.4</v>
      </c>
      <c r="Q674" s="7">
        <f t="shared" si="161"/>
        <v>-15.7</v>
      </c>
      <c r="R674" s="35">
        <f t="shared" si="156"/>
        <v>383.7</v>
      </c>
      <c r="S674" s="7">
        <f t="shared" si="161"/>
        <v>0</v>
      </c>
      <c r="T674" s="35">
        <f t="shared" si="160"/>
        <v>383.7</v>
      </c>
    </row>
    <row r="675" spans="1:21">
      <c r="A675" s="12" t="s">
        <v>235</v>
      </c>
      <c r="B675" s="43" t="s">
        <v>571</v>
      </c>
      <c r="C675" s="8" t="s">
        <v>211</v>
      </c>
      <c r="D675" s="1" t="s">
        <v>188</v>
      </c>
      <c r="E675" s="113"/>
      <c r="F675" s="7">
        <f t="shared" si="161"/>
        <v>399.4</v>
      </c>
      <c r="G675" s="7">
        <f t="shared" si="161"/>
        <v>0</v>
      </c>
      <c r="H675" s="35">
        <f t="shared" si="148"/>
        <v>399.4</v>
      </c>
      <c r="I675" s="7">
        <f t="shared" si="161"/>
        <v>0</v>
      </c>
      <c r="J675" s="35">
        <f t="shared" si="145"/>
        <v>399.4</v>
      </c>
      <c r="K675" s="7">
        <f t="shared" si="161"/>
        <v>0</v>
      </c>
      <c r="L675" s="35">
        <f t="shared" si="158"/>
        <v>399.4</v>
      </c>
      <c r="M675" s="7">
        <f t="shared" si="161"/>
        <v>0</v>
      </c>
      <c r="N675" s="35">
        <f t="shared" si="159"/>
        <v>399.4</v>
      </c>
      <c r="O675" s="7">
        <f t="shared" si="161"/>
        <v>0</v>
      </c>
      <c r="P675" s="35">
        <f t="shared" si="155"/>
        <v>399.4</v>
      </c>
      <c r="Q675" s="7">
        <f t="shared" si="161"/>
        <v>-15.7</v>
      </c>
      <c r="R675" s="35">
        <f t="shared" si="156"/>
        <v>383.7</v>
      </c>
      <c r="S675" s="7">
        <f t="shared" si="161"/>
        <v>0</v>
      </c>
      <c r="T675" s="35">
        <f t="shared" si="160"/>
        <v>383.7</v>
      </c>
    </row>
    <row r="676" spans="1:21">
      <c r="A676" s="61" t="str">
        <f ca="1">IF(ISERROR(MATCH(E676,Код_КВР,0)),"",INDIRECT(ADDRESS(MATCH(E676,Код_КВР,0)+1,2,,,"КВР")))</f>
        <v>Закупка товаров, работ и услуг для муниципальных нужд</v>
      </c>
      <c r="B676" s="43" t="s">
        <v>571</v>
      </c>
      <c r="C676" s="8" t="s">
        <v>211</v>
      </c>
      <c r="D676" s="1" t="s">
        <v>188</v>
      </c>
      <c r="E676" s="113">
        <v>200</v>
      </c>
      <c r="F676" s="7">
        <f t="shared" si="161"/>
        <v>399.4</v>
      </c>
      <c r="G676" s="7">
        <f t="shared" si="161"/>
        <v>0</v>
      </c>
      <c r="H676" s="35">
        <f t="shared" si="148"/>
        <v>399.4</v>
      </c>
      <c r="I676" s="7">
        <f t="shared" si="161"/>
        <v>0</v>
      </c>
      <c r="J676" s="35">
        <f t="shared" si="145"/>
        <v>399.4</v>
      </c>
      <c r="K676" s="7">
        <f t="shared" si="161"/>
        <v>0</v>
      </c>
      <c r="L676" s="35">
        <f t="shared" si="158"/>
        <v>399.4</v>
      </c>
      <c r="M676" s="7">
        <f t="shared" si="161"/>
        <v>0</v>
      </c>
      <c r="N676" s="35">
        <f t="shared" si="159"/>
        <v>399.4</v>
      </c>
      <c r="O676" s="7">
        <f t="shared" si="161"/>
        <v>0</v>
      </c>
      <c r="P676" s="35">
        <f t="shared" si="155"/>
        <v>399.4</v>
      </c>
      <c r="Q676" s="7">
        <f t="shared" si="161"/>
        <v>-15.7</v>
      </c>
      <c r="R676" s="35">
        <f t="shared" si="156"/>
        <v>383.7</v>
      </c>
      <c r="S676" s="7">
        <f t="shared" si="161"/>
        <v>0</v>
      </c>
      <c r="T676" s="35">
        <f t="shared" si="160"/>
        <v>383.7</v>
      </c>
    </row>
    <row r="677" spans="1:21" ht="36.75" customHeight="1">
      <c r="A677" s="61" t="str">
        <f ca="1">IF(ISERROR(MATCH(E677,Код_КВР,0)),"",INDIRECT(ADDRESS(MATCH(E677,Код_КВР,0)+1,2,,,"КВР")))</f>
        <v>Иные закупки товаров, работ и услуг для обеспечения муниципальных нужд</v>
      </c>
      <c r="B677" s="43" t="s">
        <v>571</v>
      </c>
      <c r="C677" s="8" t="s">
        <v>211</v>
      </c>
      <c r="D677" s="1" t="s">
        <v>188</v>
      </c>
      <c r="E677" s="113">
        <v>240</v>
      </c>
      <c r="F677" s="7">
        <f t="shared" si="161"/>
        <v>399.4</v>
      </c>
      <c r="G677" s="7">
        <f t="shared" si="161"/>
        <v>0</v>
      </c>
      <c r="H677" s="35">
        <f t="shared" si="148"/>
        <v>399.4</v>
      </c>
      <c r="I677" s="7">
        <f t="shared" si="161"/>
        <v>0</v>
      </c>
      <c r="J677" s="35">
        <f t="shared" ref="J677:J745" si="162">H677+I677</f>
        <v>399.4</v>
      </c>
      <c r="K677" s="7">
        <f t="shared" si="161"/>
        <v>0</v>
      </c>
      <c r="L677" s="35">
        <f t="shared" si="158"/>
        <v>399.4</v>
      </c>
      <c r="M677" s="7">
        <f t="shared" si="161"/>
        <v>0</v>
      </c>
      <c r="N677" s="35">
        <f t="shared" si="159"/>
        <v>399.4</v>
      </c>
      <c r="O677" s="7">
        <f t="shared" si="161"/>
        <v>0</v>
      </c>
      <c r="P677" s="35">
        <f t="shared" si="155"/>
        <v>399.4</v>
      </c>
      <c r="Q677" s="7">
        <f t="shared" si="161"/>
        <v>-15.7</v>
      </c>
      <c r="R677" s="35">
        <f t="shared" si="156"/>
        <v>383.7</v>
      </c>
      <c r="S677" s="7">
        <f t="shared" si="161"/>
        <v>0</v>
      </c>
      <c r="T677" s="35">
        <f t="shared" si="160"/>
        <v>383.7</v>
      </c>
    </row>
    <row r="678" spans="1:21" ht="37.5" customHeight="1">
      <c r="A678" s="61" t="str">
        <f ca="1">IF(ISERROR(MATCH(E678,Код_КВР,0)),"",INDIRECT(ADDRESS(MATCH(E678,Код_КВР,0)+1,2,,,"КВР")))</f>
        <v xml:space="preserve">Прочая закупка товаров, работ и услуг для обеспечения муниципальных нужд         </v>
      </c>
      <c r="B678" s="43" t="s">
        <v>571</v>
      </c>
      <c r="C678" s="8" t="s">
        <v>211</v>
      </c>
      <c r="D678" s="1" t="s">
        <v>188</v>
      </c>
      <c r="E678" s="113">
        <v>244</v>
      </c>
      <c r="F678" s="7">
        <f>прил.6!G108</f>
        <v>399.4</v>
      </c>
      <c r="G678" s="7">
        <f>прил.6!H108</f>
        <v>0</v>
      </c>
      <c r="H678" s="35">
        <f t="shared" si="148"/>
        <v>399.4</v>
      </c>
      <c r="I678" s="7">
        <f>прил.6!J108</f>
        <v>0</v>
      </c>
      <c r="J678" s="35">
        <f t="shared" si="162"/>
        <v>399.4</v>
      </c>
      <c r="K678" s="7">
        <f>прил.6!L108</f>
        <v>0</v>
      </c>
      <c r="L678" s="35">
        <f t="shared" si="158"/>
        <v>399.4</v>
      </c>
      <c r="M678" s="7">
        <f>прил.6!N108</f>
        <v>0</v>
      </c>
      <c r="N678" s="35">
        <f t="shared" si="159"/>
        <v>399.4</v>
      </c>
      <c r="O678" s="7">
        <f>прил.6!P108</f>
        <v>0</v>
      </c>
      <c r="P678" s="35">
        <f t="shared" si="155"/>
        <v>399.4</v>
      </c>
      <c r="Q678" s="7">
        <f>прил.6!R108</f>
        <v>-15.7</v>
      </c>
      <c r="R678" s="35">
        <f t="shared" si="156"/>
        <v>383.7</v>
      </c>
      <c r="S678" s="7">
        <f>прил.6!T108</f>
        <v>0</v>
      </c>
      <c r="T678" s="35">
        <f t="shared" si="160"/>
        <v>383.7</v>
      </c>
    </row>
    <row r="679" spans="1:21">
      <c r="A679" s="61" t="str">
        <f ca="1">IF(ISERROR(MATCH(C679,Код_Раздел,0)),"",INDIRECT(ADDRESS(MATCH(C679,Код_Раздел,0)+1,2,,,"Раздел")))</f>
        <v>Образование</v>
      </c>
      <c r="B679" s="43" t="s">
        <v>571</v>
      </c>
      <c r="C679" s="8" t="s">
        <v>193</v>
      </c>
      <c r="D679" s="1"/>
      <c r="E679" s="113"/>
      <c r="F679" s="7">
        <f>F680+F684</f>
        <v>330</v>
      </c>
      <c r="G679" s="7">
        <f>G680+G684</f>
        <v>0</v>
      </c>
      <c r="H679" s="35">
        <f t="shared" si="148"/>
        <v>330</v>
      </c>
      <c r="I679" s="7">
        <f>I680+I684</f>
        <v>0</v>
      </c>
      <c r="J679" s="35">
        <f t="shared" si="162"/>
        <v>330</v>
      </c>
      <c r="K679" s="7">
        <f>K680+K684</f>
        <v>0</v>
      </c>
      <c r="L679" s="35">
        <f t="shared" si="158"/>
        <v>330</v>
      </c>
      <c r="M679" s="7">
        <f>M680+M684</f>
        <v>0</v>
      </c>
      <c r="N679" s="35">
        <f t="shared" si="159"/>
        <v>330</v>
      </c>
      <c r="O679" s="7">
        <f>O680+O684</f>
        <v>0</v>
      </c>
      <c r="P679" s="35">
        <f t="shared" si="155"/>
        <v>330</v>
      </c>
      <c r="Q679" s="7">
        <f>Q680+Q684</f>
        <v>0</v>
      </c>
      <c r="R679" s="35">
        <f t="shared" si="156"/>
        <v>330</v>
      </c>
      <c r="S679" s="7">
        <f>S680+S684</f>
        <v>0</v>
      </c>
      <c r="T679" s="35">
        <f t="shared" si="160"/>
        <v>330</v>
      </c>
    </row>
    <row r="680" spans="1:21">
      <c r="A680" s="12" t="s">
        <v>197</v>
      </c>
      <c r="B680" s="43" t="s">
        <v>571</v>
      </c>
      <c r="C680" s="8" t="s">
        <v>193</v>
      </c>
      <c r="D680" s="1" t="s">
        <v>193</v>
      </c>
      <c r="E680" s="113"/>
      <c r="F680" s="7">
        <f t="shared" ref="F680:S682" si="163">F681</f>
        <v>330</v>
      </c>
      <c r="G680" s="7">
        <f t="shared" si="163"/>
        <v>0</v>
      </c>
      <c r="H680" s="35">
        <f t="shared" si="148"/>
        <v>330</v>
      </c>
      <c r="I680" s="7">
        <f t="shared" si="163"/>
        <v>0</v>
      </c>
      <c r="J680" s="35">
        <f t="shared" si="162"/>
        <v>330</v>
      </c>
      <c r="K680" s="7">
        <f t="shared" si="163"/>
        <v>0</v>
      </c>
      <c r="L680" s="35">
        <f t="shared" si="158"/>
        <v>330</v>
      </c>
      <c r="M680" s="7">
        <f t="shared" si="163"/>
        <v>0</v>
      </c>
      <c r="N680" s="35">
        <f t="shared" si="159"/>
        <v>330</v>
      </c>
      <c r="O680" s="7">
        <f t="shared" si="163"/>
        <v>0</v>
      </c>
      <c r="P680" s="35">
        <f t="shared" si="155"/>
        <v>330</v>
      </c>
      <c r="Q680" s="7">
        <f t="shared" si="163"/>
        <v>0</v>
      </c>
      <c r="R680" s="35">
        <f t="shared" si="156"/>
        <v>330</v>
      </c>
      <c r="S680" s="7">
        <f t="shared" si="163"/>
        <v>0</v>
      </c>
      <c r="T680" s="35">
        <f t="shared" si="160"/>
        <v>330</v>
      </c>
    </row>
    <row r="681" spans="1:21" ht="36.75" customHeight="1">
      <c r="A681" s="61" t="str">
        <f ca="1">IF(ISERROR(MATCH(E681,Код_КВР,0)),"",INDIRECT(ADDRESS(MATCH(E681,Код_КВР,0)+1,2,,,"КВР")))</f>
        <v>Предоставление субсидий бюджетным, автономным учреждениям и иным некоммерческим организациям</v>
      </c>
      <c r="B681" s="43" t="s">
        <v>571</v>
      </c>
      <c r="C681" s="8" t="s">
        <v>193</v>
      </c>
      <c r="D681" s="1" t="s">
        <v>193</v>
      </c>
      <c r="E681" s="113">
        <v>600</v>
      </c>
      <c r="F681" s="7">
        <f t="shared" si="163"/>
        <v>330</v>
      </c>
      <c r="G681" s="7">
        <f t="shared" si="163"/>
        <v>0</v>
      </c>
      <c r="H681" s="35">
        <f t="shared" si="148"/>
        <v>330</v>
      </c>
      <c r="I681" s="7">
        <f t="shared" si="163"/>
        <v>0</v>
      </c>
      <c r="J681" s="35">
        <f t="shared" si="162"/>
        <v>330</v>
      </c>
      <c r="K681" s="7">
        <f t="shared" si="163"/>
        <v>0</v>
      </c>
      <c r="L681" s="35">
        <f t="shared" si="158"/>
        <v>330</v>
      </c>
      <c r="M681" s="7">
        <f t="shared" si="163"/>
        <v>0</v>
      </c>
      <c r="N681" s="35">
        <f t="shared" si="159"/>
        <v>330</v>
      </c>
      <c r="O681" s="7">
        <f t="shared" si="163"/>
        <v>0</v>
      </c>
      <c r="P681" s="35">
        <f t="shared" si="155"/>
        <v>330</v>
      </c>
      <c r="Q681" s="7">
        <f t="shared" si="163"/>
        <v>0</v>
      </c>
      <c r="R681" s="35">
        <f t="shared" si="156"/>
        <v>330</v>
      </c>
      <c r="S681" s="7">
        <f t="shared" si="163"/>
        <v>0</v>
      </c>
      <c r="T681" s="35">
        <f t="shared" si="160"/>
        <v>330</v>
      </c>
    </row>
    <row r="682" spans="1:21">
      <c r="A682" s="61" t="str">
        <f ca="1">IF(ISERROR(MATCH(E682,Код_КВР,0)),"",INDIRECT(ADDRESS(MATCH(E682,Код_КВР,0)+1,2,,,"КВР")))</f>
        <v>Субсидии бюджетным учреждениям</v>
      </c>
      <c r="B682" s="43" t="s">
        <v>571</v>
      </c>
      <c r="C682" s="8" t="s">
        <v>193</v>
      </c>
      <c r="D682" s="1" t="s">
        <v>193</v>
      </c>
      <c r="E682" s="113">
        <v>610</v>
      </c>
      <c r="F682" s="7">
        <f t="shared" si="163"/>
        <v>330</v>
      </c>
      <c r="G682" s="7">
        <f t="shared" si="163"/>
        <v>0</v>
      </c>
      <c r="H682" s="35">
        <f t="shared" si="148"/>
        <v>330</v>
      </c>
      <c r="I682" s="7">
        <f t="shared" si="163"/>
        <v>0</v>
      </c>
      <c r="J682" s="35">
        <f t="shared" si="162"/>
        <v>330</v>
      </c>
      <c r="K682" s="7">
        <f t="shared" si="163"/>
        <v>0</v>
      </c>
      <c r="L682" s="35">
        <f t="shared" si="158"/>
        <v>330</v>
      </c>
      <c r="M682" s="7">
        <f t="shared" si="163"/>
        <v>0</v>
      </c>
      <c r="N682" s="35">
        <f t="shared" si="159"/>
        <v>330</v>
      </c>
      <c r="O682" s="7">
        <f t="shared" si="163"/>
        <v>0</v>
      </c>
      <c r="P682" s="35">
        <f t="shared" si="155"/>
        <v>330</v>
      </c>
      <c r="Q682" s="7">
        <f t="shared" si="163"/>
        <v>0</v>
      </c>
      <c r="R682" s="35">
        <f t="shared" si="156"/>
        <v>330</v>
      </c>
      <c r="S682" s="7">
        <f t="shared" si="163"/>
        <v>0</v>
      </c>
      <c r="T682" s="35">
        <f t="shared" si="160"/>
        <v>330</v>
      </c>
    </row>
    <row r="683" spans="1:21">
      <c r="A683" s="61" t="str">
        <f ca="1">IF(ISERROR(MATCH(E683,Код_КВР,0)),"",INDIRECT(ADDRESS(MATCH(E683,Код_КВР,0)+1,2,,,"КВР")))</f>
        <v>Субсидии бюджетным учреждениям на иные цели</v>
      </c>
      <c r="B683" s="43" t="s">
        <v>571</v>
      </c>
      <c r="C683" s="8" t="s">
        <v>193</v>
      </c>
      <c r="D683" s="1" t="s">
        <v>193</v>
      </c>
      <c r="E683" s="113">
        <v>612</v>
      </c>
      <c r="F683" s="7">
        <f>прил.6!G322</f>
        <v>330</v>
      </c>
      <c r="G683" s="7">
        <f>прил.6!H322</f>
        <v>0</v>
      </c>
      <c r="H683" s="35">
        <f t="shared" si="148"/>
        <v>330</v>
      </c>
      <c r="I683" s="7">
        <f>прил.6!J322</f>
        <v>0</v>
      </c>
      <c r="J683" s="35">
        <f t="shared" si="162"/>
        <v>330</v>
      </c>
      <c r="K683" s="7">
        <f>прил.6!L322</f>
        <v>0</v>
      </c>
      <c r="L683" s="35">
        <f t="shared" si="158"/>
        <v>330</v>
      </c>
      <c r="M683" s="7">
        <f>прил.6!N322</f>
        <v>0</v>
      </c>
      <c r="N683" s="35">
        <f t="shared" si="159"/>
        <v>330</v>
      </c>
      <c r="O683" s="7">
        <f>прил.6!P322</f>
        <v>0</v>
      </c>
      <c r="P683" s="35">
        <f t="shared" si="155"/>
        <v>330</v>
      </c>
      <c r="Q683" s="7">
        <f>прил.6!R322</f>
        <v>0</v>
      </c>
      <c r="R683" s="35">
        <f t="shared" si="156"/>
        <v>330</v>
      </c>
      <c r="S683" s="7">
        <f>прил.6!T322</f>
        <v>0</v>
      </c>
      <c r="T683" s="35">
        <f t="shared" si="160"/>
        <v>330</v>
      </c>
    </row>
    <row r="684" spans="1:21" hidden="1">
      <c r="A684" s="12" t="s">
        <v>249</v>
      </c>
      <c r="B684" s="43" t="s">
        <v>571</v>
      </c>
      <c r="C684" s="8" t="s">
        <v>193</v>
      </c>
      <c r="D684" s="8" t="s">
        <v>217</v>
      </c>
      <c r="E684" s="89"/>
      <c r="F684" s="7">
        <f t="shared" ref="F684:S686" si="164">F685</f>
        <v>0</v>
      </c>
      <c r="G684" s="7">
        <f t="shared" si="164"/>
        <v>0</v>
      </c>
      <c r="H684" s="35">
        <f t="shared" si="148"/>
        <v>0</v>
      </c>
      <c r="I684" s="7">
        <f t="shared" si="164"/>
        <v>0</v>
      </c>
      <c r="J684" s="35">
        <f t="shared" si="162"/>
        <v>0</v>
      </c>
      <c r="K684" s="7">
        <f t="shared" si="164"/>
        <v>0</v>
      </c>
      <c r="L684" s="35">
        <f t="shared" si="158"/>
        <v>0</v>
      </c>
      <c r="M684" s="7">
        <f t="shared" si="164"/>
        <v>0</v>
      </c>
      <c r="N684" s="35">
        <f t="shared" si="159"/>
        <v>0</v>
      </c>
      <c r="O684" s="7">
        <f t="shared" si="164"/>
        <v>0</v>
      </c>
      <c r="P684" s="35">
        <f t="shared" si="155"/>
        <v>0</v>
      </c>
      <c r="Q684" s="7">
        <f t="shared" si="164"/>
        <v>0</v>
      </c>
      <c r="R684" s="35">
        <f t="shared" si="156"/>
        <v>0</v>
      </c>
      <c r="S684" s="7">
        <f t="shared" si="164"/>
        <v>0</v>
      </c>
      <c r="T684" s="35">
        <f t="shared" si="160"/>
        <v>0</v>
      </c>
      <c r="U684" s="20" t="s">
        <v>706</v>
      </c>
    </row>
    <row r="685" spans="1:21" hidden="1">
      <c r="A685" s="61" t="str">
        <f ca="1">IF(ISERROR(MATCH(E685,Код_КВР,0)),"",INDIRECT(ADDRESS(MATCH(E685,Код_КВР,0)+1,2,,,"КВР")))</f>
        <v>Закупка товаров, работ и услуг для муниципальных нужд</v>
      </c>
      <c r="B685" s="43" t="s">
        <v>571</v>
      </c>
      <c r="C685" s="8" t="s">
        <v>193</v>
      </c>
      <c r="D685" s="8" t="s">
        <v>217</v>
      </c>
      <c r="E685" s="89">
        <v>200</v>
      </c>
      <c r="F685" s="7">
        <f t="shared" si="164"/>
        <v>0</v>
      </c>
      <c r="G685" s="7">
        <f t="shared" si="164"/>
        <v>0</v>
      </c>
      <c r="H685" s="35">
        <f t="shared" ref="H685:H753" si="165">F685+G685</f>
        <v>0</v>
      </c>
      <c r="I685" s="7">
        <f t="shared" si="164"/>
        <v>0</v>
      </c>
      <c r="J685" s="35">
        <f t="shared" si="162"/>
        <v>0</v>
      </c>
      <c r="K685" s="7">
        <f t="shared" si="164"/>
        <v>0</v>
      </c>
      <c r="L685" s="35">
        <f t="shared" si="158"/>
        <v>0</v>
      </c>
      <c r="M685" s="7">
        <f t="shared" si="164"/>
        <v>0</v>
      </c>
      <c r="N685" s="35">
        <f t="shared" si="159"/>
        <v>0</v>
      </c>
      <c r="O685" s="7">
        <f t="shared" si="164"/>
        <v>0</v>
      </c>
      <c r="P685" s="35">
        <f t="shared" si="155"/>
        <v>0</v>
      </c>
      <c r="Q685" s="7">
        <f t="shared" si="164"/>
        <v>0</v>
      </c>
      <c r="R685" s="35">
        <f t="shared" si="156"/>
        <v>0</v>
      </c>
      <c r="S685" s="7">
        <f t="shared" si="164"/>
        <v>0</v>
      </c>
      <c r="T685" s="35">
        <f t="shared" si="160"/>
        <v>0</v>
      </c>
      <c r="U685" s="20" t="s">
        <v>706</v>
      </c>
    </row>
    <row r="686" spans="1:21" ht="33" hidden="1">
      <c r="A686" s="61" t="str">
        <f ca="1">IF(ISERROR(MATCH(E686,Код_КВР,0)),"",INDIRECT(ADDRESS(MATCH(E686,Код_КВР,0)+1,2,,,"КВР")))</f>
        <v>Иные закупки товаров, работ и услуг для обеспечения муниципальных нужд</v>
      </c>
      <c r="B686" s="43" t="s">
        <v>571</v>
      </c>
      <c r="C686" s="8" t="s">
        <v>193</v>
      </c>
      <c r="D686" s="8" t="s">
        <v>217</v>
      </c>
      <c r="E686" s="89">
        <v>240</v>
      </c>
      <c r="F686" s="7">
        <f t="shared" si="164"/>
        <v>0</v>
      </c>
      <c r="G686" s="7">
        <f t="shared" si="164"/>
        <v>0</v>
      </c>
      <c r="H686" s="35">
        <f t="shared" si="165"/>
        <v>0</v>
      </c>
      <c r="I686" s="7">
        <f t="shared" si="164"/>
        <v>0</v>
      </c>
      <c r="J686" s="35">
        <f t="shared" si="162"/>
        <v>0</v>
      </c>
      <c r="K686" s="7">
        <f t="shared" si="164"/>
        <v>0</v>
      </c>
      <c r="L686" s="35">
        <f t="shared" si="158"/>
        <v>0</v>
      </c>
      <c r="M686" s="7">
        <f t="shared" si="164"/>
        <v>0</v>
      </c>
      <c r="N686" s="35">
        <f t="shared" si="159"/>
        <v>0</v>
      </c>
      <c r="O686" s="7">
        <f t="shared" si="164"/>
        <v>0</v>
      </c>
      <c r="P686" s="35">
        <f t="shared" si="155"/>
        <v>0</v>
      </c>
      <c r="Q686" s="7">
        <f t="shared" si="164"/>
        <v>0</v>
      </c>
      <c r="R686" s="35">
        <f t="shared" si="156"/>
        <v>0</v>
      </c>
      <c r="S686" s="7">
        <f t="shared" si="164"/>
        <v>0</v>
      </c>
      <c r="T686" s="35">
        <f t="shared" si="160"/>
        <v>0</v>
      </c>
      <c r="U686" s="20" t="s">
        <v>706</v>
      </c>
    </row>
    <row r="687" spans="1:21" ht="33" hidden="1">
      <c r="A687" s="61" t="str">
        <f ca="1">IF(ISERROR(MATCH(E687,Код_КВР,0)),"",INDIRECT(ADDRESS(MATCH(E687,Код_КВР,0)+1,2,,,"КВР")))</f>
        <v xml:space="preserve">Прочая закупка товаров, работ и услуг для обеспечения муниципальных нужд         </v>
      </c>
      <c r="B687" s="43" t="s">
        <v>571</v>
      </c>
      <c r="C687" s="8" t="s">
        <v>193</v>
      </c>
      <c r="D687" s="8" t="s">
        <v>217</v>
      </c>
      <c r="E687" s="89">
        <v>244</v>
      </c>
      <c r="F687" s="7">
        <f>прил.6!G785</f>
        <v>0</v>
      </c>
      <c r="G687" s="7">
        <f>прил.6!H785</f>
        <v>0</v>
      </c>
      <c r="H687" s="35">
        <f t="shared" si="165"/>
        <v>0</v>
      </c>
      <c r="I687" s="7">
        <f>прил.6!J785</f>
        <v>0</v>
      </c>
      <c r="J687" s="35">
        <f t="shared" si="162"/>
        <v>0</v>
      </c>
      <c r="K687" s="7">
        <f>прил.6!L785</f>
        <v>0</v>
      </c>
      <c r="L687" s="35">
        <f t="shared" si="158"/>
        <v>0</v>
      </c>
      <c r="M687" s="7">
        <f>прил.6!N785</f>
        <v>0</v>
      </c>
      <c r="N687" s="35">
        <f t="shared" si="159"/>
        <v>0</v>
      </c>
      <c r="O687" s="7">
        <f>прил.6!P785</f>
        <v>0</v>
      </c>
      <c r="P687" s="35">
        <f t="shared" si="155"/>
        <v>0</v>
      </c>
      <c r="Q687" s="7">
        <f>прил.6!R785</f>
        <v>0</v>
      </c>
      <c r="R687" s="35">
        <f t="shared" si="156"/>
        <v>0</v>
      </c>
      <c r="S687" s="7">
        <f>прил.6!T785</f>
        <v>0</v>
      </c>
      <c r="T687" s="35">
        <f t="shared" si="160"/>
        <v>0</v>
      </c>
      <c r="U687" s="20" t="s">
        <v>706</v>
      </c>
    </row>
    <row r="688" spans="1:21" hidden="1">
      <c r="A688" s="61" t="str">
        <f ca="1">IF(ISERROR(MATCH(C688,Код_Раздел,0)),"",INDIRECT(ADDRESS(MATCH(C688,Код_Раздел,0)+1,2,,,"Раздел")))</f>
        <v>Культура, кинематография</v>
      </c>
      <c r="B688" s="43" t="s">
        <v>571</v>
      </c>
      <c r="C688" s="8" t="s">
        <v>220</v>
      </c>
      <c r="D688" s="1"/>
      <c r="E688" s="89"/>
      <c r="F688" s="7">
        <f t="shared" ref="F688:S691" si="166">F689</f>
        <v>0</v>
      </c>
      <c r="G688" s="7">
        <f t="shared" si="166"/>
        <v>0</v>
      </c>
      <c r="H688" s="35">
        <f t="shared" si="165"/>
        <v>0</v>
      </c>
      <c r="I688" s="7">
        <f t="shared" si="166"/>
        <v>0</v>
      </c>
      <c r="J688" s="35">
        <f t="shared" si="162"/>
        <v>0</v>
      </c>
      <c r="K688" s="7">
        <f t="shared" si="166"/>
        <v>0</v>
      </c>
      <c r="L688" s="35">
        <f t="shared" si="158"/>
        <v>0</v>
      </c>
      <c r="M688" s="7">
        <f t="shared" si="166"/>
        <v>0</v>
      </c>
      <c r="N688" s="35">
        <f t="shared" si="159"/>
        <v>0</v>
      </c>
      <c r="O688" s="7">
        <f t="shared" si="166"/>
        <v>0</v>
      </c>
      <c r="P688" s="35">
        <f t="shared" si="155"/>
        <v>0</v>
      </c>
      <c r="Q688" s="7">
        <f t="shared" si="166"/>
        <v>0</v>
      </c>
      <c r="R688" s="35">
        <f t="shared" si="156"/>
        <v>0</v>
      </c>
      <c r="S688" s="7">
        <f t="shared" si="166"/>
        <v>0</v>
      </c>
      <c r="T688" s="35">
        <f t="shared" si="160"/>
        <v>0</v>
      </c>
      <c r="U688" s="20" t="s">
        <v>706</v>
      </c>
    </row>
    <row r="689" spans="1:21" hidden="1">
      <c r="A689" s="12" t="s">
        <v>161</v>
      </c>
      <c r="B689" s="43" t="s">
        <v>571</v>
      </c>
      <c r="C689" s="8" t="s">
        <v>220</v>
      </c>
      <c r="D689" s="1" t="s">
        <v>214</v>
      </c>
      <c r="E689" s="89"/>
      <c r="F689" s="7">
        <f t="shared" si="166"/>
        <v>0</v>
      </c>
      <c r="G689" s="7">
        <f t="shared" si="166"/>
        <v>0</v>
      </c>
      <c r="H689" s="35">
        <f t="shared" si="165"/>
        <v>0</v>
      </c>
      <c r="I689" s="7">
        <f t="shared" si="166"/>
        <v>0</v>
      </c>
      <c r="J689" s="35">
        <f t="shared" si="162"/>
        <v>0</v>
      </c>
      <c r="K689" s="7">
        <f t="shared" si="166"/>
        <v>0</v>
      </c>
      <c r="L689" s="35">
        <f t="shared" si="158"/>
        <v>0</v>
      </c>
      <c r="M689" s="7">
        <f t="shared" si="166"/>
        <v>0</v>
      </c>
      <c r="N689" s="35">
        <f t="shared" si="159"/>
        <v>0</v>
      </c>
      <c r="O689" s="7">
        <f t="shared" si="166"/>
        <v>0</v>
      </c>
      <c r="P689" s="35">
        <f t="shared" si="155"/>
        <v>0</v>
      </c>
      <c r="Q689" s="7">
        <f t="shared" si="166"/>
        <v>0</v>
      </c>
      <c r="R689" s="35">
        <f t="shared" si="156"/>
        <v>0</v>
      </c>
      <c r="S689" s="7">
        <f t="shared" si="166"/>
        <v>0</v>
      </c>
      <c r="T689" s="35">
        <f t="shared" si="160"/>
        <v>0</v>
      </c>
      <c r="U689" s="20" t="s">
        <v>706</v>
      </c>
    </row>
    <row r="690" spans="1:21" hidden="1">
      <c r="A690" s="61" t="str">
        <f ca="1">IF(ISERROR(MATCH(E690,Код_КВР,0)),"",INDIRECT(ADDRESS(MATCH(E690,Код_КВР,0)+1,2,,,"КВР")))</f>
        <v>Закупка товаров, работ и услуг для муниципальных нужд</v>
      </c>
      <c r="B690" s="43" t="s">
        <v>571</v>
      </c>
      <c r="C690" s="8" t="s">
        <v>220</v>
      </c>
      <c r="D690" s="1" t="s">
        <v>214</v>
      </c>
      <c r="E690" s="89">
        <v>200</v>
      </c>
      <c r="F690" s="7">
        <f t="shared" si="166"/>
        <v>0</v>
      </c>
      <c r="G690" s="7">
        <f t="shared" si="166"/>
        <v>0</v>
      </c>
      <c r="H690" s="35">
        <f t="shared" si="165"/>
        <v>0</v>
      </c>
      <c r="I690" s="7">
        <f t="shared" si="166"/>
        <v>0</v>
      </c>
      <c r="J690" s="35">
        <f t="shared" si="162"/>
        <v>0</v>
      </c>
      <c r="K690" s="7">
        <f t="shared" si="166"/>
        <v>0</v>
      </c>
      <c r="L690" s="35">
        <f t="shared" si="158"/>
        <v>0</v>
      </c>
      <c r="M690" s="7">
        <f t="shared" si="166"/>
        <v>0</v>
      </c>
      <c r="N690" s="35">
        <f t="shared" si="159"/>
        <v>0</v>
      </c>
      <c r="O690" s="7">
        <f t="shared" si="166"/>
        <v>0</v>
      </c>
      <c r="P690" s="35">
        <f t="shared" si="155"/>
        <v>0</v>
      </c>
      <c r="Q690" s="7">
        <f t="shared" si="166"/>
        <v>0</v>
      </c>
      <c r="R690" s="35">
        <f t="shared" si="156"/>
        <v>0</v>
      </c>
      <c r="S690" s="7">
        <f t="shared" si="166"/>
        <v>0</v>
      </c>
      <c r="T690" s="35">
        <f t="shared" si="160"/>
        <v>0</v>
      </c>
      <c r="U690" s="20" t="s">
        <v>706</v>
      </c>
    </row>
    <row r="691" spans="1:21" ht="33" hidden="1">
      <c r="A691" s="61" t="str">
        <f ca="1">IF(ISERROR(MATCH(E691,Код_КВР,0)),"",INDIRECT(ADDRESS(MATCH(E691,Код_КВР,0)+1,2,,,"КВР")))</f>
        <v>Иные закупки товаров, работ и услуг для обеспечения муниципальных нужд</v>
      </c>
      <c r="B691" s="43" t="s">
        <v>571</v>
      </c>
      <c r="C691" s="8" t="s">
        <v>220</v>
      </c>
      <c r="D691" s="1" t="s">
        <v>214</v>
      </c>
      <c r="E691" s="89">
        <v>240</v>
      </c>
      <c r="F691" s="7">
        <f t="shared" si="166"/>
        <v>0</v>
      </c>
      <c r="G691" s="7">
        <f t="shared" si="166"/>
        <v>0</v>
      </c>
      <c r="H691" s="35">
        <f t="shared" si="165"/>
        <v>0</v>
      </c>
      <c r="I691" s="7">
        <f t="shared" si="166"/>
        <v>0</v>
      </c>
      <c r="J691" s="35">
        <f t="shared" si="162"/>
        <v>0</v>
      </c>
      <c r="K691" s="7">
        <f t="shared" si="166"/>
        <v>0</v>
      </c>
      <c r="L691" s="35">
        <f t="shared" si="158"/>
        <v>0</v>
      </c>
      <c r="M691" s="7">
        <f t="shared" si="166"/>
        <v>0</v>
      </c>
      <c r="N691" s="35">
        <f t="shared" si="159"/>
        <v>0</v>
      </c>
      <c r="O691" s="7">
        <f t="shared" si="166"/>
        <v>0</v>
      </c>
      <c r="P691" s="35">
        <f t="shared" si="155"/>
        <v>0</v>
      </c>
      <c r="Q691" s="7">
        <f t="shared" si="166"/>
        <v>0</v>
      </c>
      <c r="R691" s="35">
        <f t="shared" si="156"/>
        <v>0</v>
      </c>
      <c r="S691" s="7">
        <f t="shared" si="166"/>
        <v>0</v>
      </c>
      <c r="T691" s="35">
        <f t="shared" si="160"/>
        <v>0</v>
      </c>
      <c r="U691" s="20" t="s">
        <v>706</v>
      </c>
    </row>
    <row r="692" spans="1:21" ht="33" hidden="1">
      <c r="A692" s="61" t="str">
        <f ca="1">IF(ISERROR(MATCH(E692,Код_КВР,0)),"",INDIRECT(ADDRESS(MATCH(E692,Код_КВР,0)+1,2,,,"КВР")))</f>
        <v xml:space="preserve">Прочая закупка товаров, работ и услуг для обеспечения муниципальных нужд         </v>
      </c>
      <c r="B692" s="43" t="s">
        <v>571</v>
      </c>
      <c r="C692" s="8" t="s">
        <v>220</v>
      </c>
      <c r="D692" s="1" t="s">
        <v>214</v>
      </c>
      <c r="E692" s="89">
        <v>244</v>
      </c>
      <c r="F692" s="7">
        <f>прил.6!G1140</f>
        <v>0</v>
      </c>
      <c r="G692" s="7">
        <f>прил.6!H1140</f>
        <v>0</v>
      </c>
      <c r="H692" s="35">
        <f t="shared" si="165"/>
        <v>0</v>
      </c>
      <c r="I692" s="7">
        <f>прил.6!J1140</f>
        <v>0</v>
      </c>
      <c r="J692" s="35">
        <f t="shared" si="162"/>
        <v>0</v>
      </c>
      <c r="K692" s="7">
        <f>прил.6!L1140</f>
        <v>0</v>
      </c>
      <c r="L692" s="35">
        <f t="shared" si="158"/>
        <v>0</v>
      </c>
      <c r="M692" s="7">
        <f>прил.6!N1140</f>
        <v>0</v>
      </c>
      <c r="N692" s="35">
        <f t="shared" si="159"/>
        <v>0</v>
      </c>
      <c r="O692" s="7">
        <f>прил.6!P1140</f>
        <v>0</v>
      </c>
      <c r="P692" s="35">
        <f t="shared" si="155"/>
        <v>0</v>
      </c>
      <c r="Q692" s="7">
        <f>прил.6!R1140</f>
        <v>0</v>
      </c>
      <c r="R692" s="35">
        <f t="shared" si="156"/>
        <v>0</v>
      </c>
      <c r="S692" s="7">
        <f>прил.6!T1140</f>
        <v>0</v>
      </c>
      <c r="T692" s="35">
        <f t="shared" si="160"/>
        <v>0</v>
      </c>
      <c r="U692" s="20" t="s">
        <v>706</v>
      </c>
    </row>
    <row r="693" spans="1:21" hidden="1">
      <c r="A693" s="61" t="str">
        <f ca="1">IF(ISERROR(MATCH(B693,Код_КЦСР,0)),"",INDIRECT(ADDRESS(MATCH(B693,Код_КЦСР,0)+1,2,,,"КЦСР")))</f>
        <v>Здоровье на рабочем месте</v>
      </c>
      <c r="B693" s="43" t="s">
        <v>573</v>
      </c>
      <c r="C693" s="8"/>
      <c r="D693" s="1"/>
      <c r="E693" s="89"/>
      <c r="F693" s="7">
        <f>F694+F699</f>
        <v>0</v>
      </c>
      <c r="G693" s="7">
        <f>G694+G699</f>
        <v>0</v>
      </c>
      <c r="H693" s="35">
        <f t="shared" si="165"/>
        <v>0</v>
      </c>
      <c r="I693" s="7">
        <f>I694+I699</f>
        <v>0</v>
      </c>
      <c r="J693" s="35">
        <f t="shared" si="162"/>
        <v>0</v>
      </c>
      <c r="K693" s="7">
        <f>K694+K699</f>
        <v>0</v>
      </c>
      <c r="L693" s="35">
        <f t="shared" si="158"/>
        <v>0</v>
      </c>
      <c r="M693" s="7">
        <f>M694+M699</f>
        <v>0</v>
      </c>
      <c r="N693" s="35">
        <f t="shared" si="159"/>
        <v>0</v>
      </c>
      <c r="O693" s="7">
        <f>O694+O699</f>
        <v>0</v>
      </c>
      <c r="P693" s="35">
        <f t="shared" si="155"/>
        <v>0</v>
      </c>
      <c r="Q693" s="7">
        <f>Q694+Q699</f>
        <v>0</v>
      </c>
      <c r="R693" s="35">
        <f t="shared" si="156"/>
        <v>0</v>
      </c>
      <c r="S693" s="7">
        <f>S694+S699</f>
        <v>0</v>
      </c>
      <c r="T693" s="35">
        <f t="shared" si="160"/>
        <v>0</v>
      </c>
      <c r="U693" s="20" t="s">
        <v>706</v>
      </c>
    </row>
    <row r="694" spans="1:21" hidden="1">
      <c r="A694" s="61" t="str">
        <f ca="1">IF(ISERROR(MATCH(C694,Код_Раздел,0)),"",INDIRECT(ADDRESS(MATCH(C694,Код_Раздел,0)+1,2,,,"Раздел")))</f>
        <v>Образование</v>
      </c>
      <c r="B694" s="43" t="s">
        <v>573</v>
      </c>
      <c r="C694" s="8" t="s">
        <v>193</v>
      </c>
      <c r="D694" s="1"/>
      <c r="E694" s="89"/>
      <c r="F694" s="7">
        <f t="shared" ref="F694:S697" si="167">F695</f>
        <v>0</v>
      </c>
      <c r="G694" s="7">
        <f t="shared" si="167"/>
        <v>0</v>
      </c>
      <c r="H694" s="35">
        <f t="shared" si="165"/>
        <v>0</v>
      </c>
      <c r="I694" s="7">
        <f t="shared" si="167"/>
        <v>0</v>
      </c>
      <c r="J694" s="35">
        <f t="shared" si="162"/>
        <v>0</v>
      </c>
      <c r="K694" s="7">
        <f t="shared" si="167"/>
        <v>0</v>
      </c>
      <c r="L694" s="35">
        <f t="shared" si="158"/>
        <v>0</v>
      </c>
      <c r="M694" s="7">
        <f t="shared" si="167"/>
        <v>0</v>
      </c>
      <c r="N694" s="35">
        <f t="shared" si="159"/>
        <v>0</v>
      </c>
      <c r="O694" s="7">
        <f t="shared" si="167"/>
        <v>0</v>
      </c>
      <c r="P694" s="35">
        <f t="shared" si="155"/>
        <v>0</v>
      </c>
      <c r="Q694" s="7">
        <f t="shared" si="167"/>
        <v>0</v>
      </c>
      <c r="R694" s="35">
        <f t="shared" si="156"/>
        <v>0</v>
      </c>
      <c r="S694" s="7">
        <f t="shared" si="167"/>
        <v>0</v>
      </c>
      <c r="T694" s="35">
        <f t="shared" si="160"/>
        <v>0</v>
      </c>
      <c r="U694" s="20" t="s">
        <v>706</v>
      </c>
    </row>
    <row r="695" spans="1:21" hidden="1">
      <c r="A695" s="12" t="s">
        <v>197</v>
      </c>
      <c r="B695" s="43" t="s">
        <v>573</v>
      </c>
      <c r="C695" s="8" t="s">
        <v>193</v>
      </c>
      <c r="D695" s="1" t="s">
        <v>193</v>
      </c>
      <c r="E695" s="89"/>
      <c r="F695" s="7">
        <f t="shared" si="167"/>
        <v>0</v>
      </c>
      <c r="G695" s="7">
        <f t="shared" si="167"/>
        <v>0</v>
      </c>
      <c r="H695" s="35">
        <f t="shared" si="165"/>
        <v>0</v>
      </c>
      <c r="I695" s="7">
        <f t="shared" si="167"/>
        <v>0</v>
      </c>
      <c r="J695" s="35">
        <f t="shared" si="162"/>
        <v>0</v>
      </c>
      <c r="K695" s="7">
        <f t="shared" si="167"/>
        <v>0</v>
      </c>
      <c r="L695" s="35">
        <f t="shared" si="158"/>
        <v>0</v>
      </c>
      <c r="M695" s="7">
        <f t="shared" si="167"/>
        <v>0</v>
      </c>
      <c r="N695" s="35">
        <f t="shared" si="159"/>
        <v>0</v>
      </c>
      <c r="O695" s="7">
        <f t="shared" si="167"/>
        <v>0</v>
      </c>
      <c r="P695" s="35">
        <f t="shared" si="155"/>
        <v>0</v>
      </c>
      <c r="Q695" s="7">
        <f t="shared" si="167"/>
        <v>0</v>
      </c>
      <c r="R695" s="35">
        <f t="shared" si="156"/>
        <v>0</v>
      </c>
      <c r="S695" s="7">
        <f t="shared" si="167"/>
        <v>0</v>
      </c>
      <c r="T695" s="35">
        <f t="shared" si="160"/>
        <v>0</v>
      </c>
      <c r="U695" s="20" t="s">
        <v>706</v>
      </c>
    </row>
    <row r="696" spans="1:21" ht="33" hidden="1">
      <c r="A696" s="61" t="str">
        <f ca="1">IF(ISERROR(MATCH(E696,Код_КВР,0)),"",INDIRECT(ADDRESS(MATCH(E696,Код_КВР,0)+1,2,,,"КВР")))</f>
        <v>Предоставление субсидий бюджетным, автономным учреждениям и иным некоммерческим организациям</v>
      </c>
      <c r="B696" s="43" t="s">
        <v>573</v>
      </c>
      <c r="C696" s="8" t="s">
        <v>193</v>
      </c>
      <c r="D696" s="1" t="s">
        <v>193</v>
      </c>
      <c r="E696" s="89">
        <v>600</v>
      </c>
      <c r="F696" s="7">
        <f t="shared" si="167"/>
        <v>0</v>
      </c>
      <c r="G696" s="7">
        <f t="shared" si="167"/>
        <v>0</v>
      </c>
      <c r="H696" s="35">
        <f t="shared" si="165"/>
        <v>0</v>
      </c>
      <c r="I696" s="7">
        <f t="shared" si="167"/>
        <v>0</v>
      </c>
      <c r="J696" s="35">
        <f t="shared" si="162"/>
        <v>0</v>
      </c>
      <c r="K696" s="7">
        <f t="shared" si="167"/>
        <v>0</v>
      </c>
      <c r="L696" s="35">
        <f t="shared" si="158"/>
        <v>0</v>
      </c>
      <c r="M696" s="7">
        <f t="shared" si="167"/>
        <v>0</v>
      </c>
      <c r="N696" s="35">
        <f t="shared" si="159"/>
        <v>0</v>
      </c>
      <c r="O696" s="7">
        <f t="shared" si="167"/>
        <v>0</v>
      </c>
      <c r="P696" s="35">
        <f t="shared" si="155"/>
        <v>0</v>
      </c>
      <c r="Q696" s="7">
        <f t="shared" si="167"/>
        <v>0</v>
      </c>
      <c r="R696" s="35">
        <f t="shared" si="156"/>
        <v>0</v>
      </c>
      <c r="S696" s="7">
        <f t="shared" si="167"/>
        <v>0</v>
      </c>
      <c r="T696" s="35">
        <f t="shared" si="160"/>
        <v>0</v>
      </c>
      <c r="U696" s="20" t="s">
        <v>706</v>
      </c>
    </row>
    <row r="697" spans="1:21" hidden="1">
      <c r="A697" s="61" t="str">
        <f ca="1">IF(ISERROR(MATCH(E697,Код_КВР,0)),"",INDIRECT(ADDRESS(MATCH(E697,Код_КВР,0)+1,2,,,"КВР")))</f>
        <v>Субсидии бюджетным учреждениям</v>
      </c>
      <c r="B697" s="43" t="s">
        <v>573</v>
      </c>
      <c r="C697" s="8" t="s">
        <v>193</v>
      </c>
      <c r="D697" s="1" t="s">
        <v>193</v>
      </c>
      <c r="E697" s="89">
        <v>610</v>
      </c>
      <c r="F697" s="7">
        <f t="shared" si="167"/>
        <v>0</v>
      </c>
      <c r="G697" s="7">
        <f t="shared" si="167"/>
        <v>0</v>
      </c>
      <c r="H697" s="35">
        <f t="shared" si="165"/>
        <v>0</v>
      </c>
      <c r="I697" s="7">
        <f t="shared" si="167"/>
        <v>0</v>
      </c>
      <c r="J697" s="35">
        <f t="shared" si="162"/>
        <v>0</v>
      </c>
      <c r="K697" s="7">
        <f t="shared" si="167"/>
        <v>0</v>
      </c>
      <c r="L697" s="35">
        <f t="shared" si="158"/>
        <v>0</v>
      </c>
      <c r="M697" s="7">
        <f t="shared" si="167"/>
        <v>0</v>
      </c>
      <c r="N697" s="35">
        <f t="shared" si="159"/>
        <v>0</v>
      </c>
      <c r="O697" s="7">
        <f t="shared" si="167"/>
        <v>0</v>
      </c>
      <c r="P697" s="35">
        <f t="shared" si="155"/>
        <v>0</v>
      </c>
      <c r="Q697" s="7">
        <f t="shared" si="167"/>
        <v>0</v>
      </c>
      <c r="R697" s="35">
        <f t="shared" si="156"/>
        <v>0</v>
      </c>
      <c r="S697" s="7">
        <f t="shared" si="167"/>
        <v>0</v>
      </c>
      <c r="T697" s="35">
        <f t="shared" si="160"/>
        <v>0</v>
      </c>
      <c r="U697" s="20" t="s">
        <v>706</v>
      </c>
    </row>
    <row r="698" spans="1:21" hidden="1">
      <c r="A698" s="61" t="str">
        <f ca="1">IF(ISERROR(MATCH(E698,Код_КВР,0)),"",INDIRECT(ADDRESS(MATCH(E698,Код_КВР,0)+1,2,,,"КВР")))</f>
        <v>Субсидии бюджетным учреждениям на иные цели</v>
      </c>
      <c r="B698" s="43" t="s">
        <v>573</v>
      </c>
      <c r="C698" s="8" t="s">
        <v>193</v>
      </c>
      <c r="D698" s="1" t="s">
        <v>193</v>
      </c>
      <c r="E698" s="89">
        <v>612</v>
      </c>
      <c r="F698" s="7">
        <f>прил.6!G326</f>
        <v>0</v>
      </c>
      <c r="G698" s="7">
        <f>прил.6!H326</f>
        <v>0</v>
      </c>
      <c r="H698" s="35">
        <f t="shared" si="165"/>
        <v>0</v>
      </c>
      <c r="I698" s="7">
        <f>прил.6!J326</f>
        <v>0</v>
      </c>
      <c r="J698" s="35">
        <f t="shared" si="162"/>
        <v>0</v>
      </c>
      <c r="K698" s="7">
        <f>прил.6!L326</f>
        <v>0</v>
      </c>
      <c r="L698" s="35">
        <f t="shared" si="158"/>
        <v>0</v>
      </c>
      <c r="M698" s="7">
        <f>прил.6!N326</f>
        <v>0</v>
      </c>
      <c r="N698" s="35">
        <f t="shared" si="159"/>
        <v>0</v>
      </c>
      <c r="O698" s="7">
        <f>прил.6!P326</f>
        <v>0</v>
      </c>
      <c r="P698" s="35">
        <f t="shared" si="155"/>
        <v>0</v>
      </c>
      <c r="Q698" s="7">
        <f>прил.6!R326</f>
        <v>0</v>
      </c>
      <c r="R698" s="35">
        <f t="shared" si="156"/>
        <v>0</v>
      </c>
      <c r="S698" s="7">
        <f>прил.6!T326</f>
        <v>0</v>
      </c>
      <c r="T698" s="35">
        <f t="shared" si="160"/>
        <v>0</v>
      </c>
      <c r="U698" s="20" t="s">
        <v>706</v>
      </c>
    </row>
    <row r="699" spans="1:21" hidden="1">
      <c r="A699" s="61" t="str">
        <f ca="1">IF(ISERROR(MATCH(C699,Код_Раздел,0)),"",INDIRECT(ADDRESS(MATCH(C699,Код_Раздел,0)+1,2,,,"Раздел")))</f>
        <v>Культура, кинематография</v>
      </c>
      <c r="B699" s="43" t="s">
        <v>573</v>
      </c>
      <c r="C699" s="8" t="s">
        <v>220</v>
      </c>
      <c r="D699" s="1"/>
      <c r="E699" s="89"/>
      <c r="F699" s="7">
        <f t="shared" ref="F699:S702" si="168">F700</f>
        <v>0</v>
      </c>
      <c r="G699" s="7">
        <f t="shared" si="168"/>
        <v>0</v>
      </c>
      <c r="H699" s="35">
        <f t="shared" si="165"/>
        <v>0</v>
      </c>
      <c r="I699" s="7">
        <f t="shared" si="168"/>
        <v>0</v>
      </c>
      <c r="J699" s="35">
        <f t="shared" si="162"/>
        <v>0</v>
      </c>
      <c r="K699" s="7">
        <f t="shared" si="168"/>
        <v>0</v>
      </c>
      <c r="L699" s="35">
        <f t="shared" si="158"/>
        <v>0</v>
      </c>
      <c r="M699" s="7">
        <f t="shared" si="168"/>
        <v>0</v>
      </c>
      <c r="N699" s="35">
        <f t="shared" si="159"/>
        <v>0</v>
      </c>
      <c r="O699" s="7">
        <f t="shared" si="168"/>
        <v>0</v>
      </c>
      <c r="P699" s="35">
        <f t="shared" si="155"/>
        <v>0</v>
      </c>
      <c r="Q699" s="7">
        <f t="shared" si="168"/>
        <v>0</v>
      </c>
      <c r="R699" s="35">
        <f t="shared" si="156"/>
        <v>0</v>
      </c>
      <c r="S699" s="7">
        <f t="shared" si="168"/>
        <v>0</v>
      </c>
      <c r="T699" s="35">
        <f t="shared" si="160"/>
        <v>0</v>
      </c>
      <c r="U699" s="20" t="s">
        <v>706</v>
      </c>
    </row>
    <row r="700" spans="1:21" hidden="1">
      <c r="A700" s="12" t="s">
        <v>161</v>
      </c>
      <c r="B700" s="43" t="s">
        <v>573</v>
      </c>
      <c r="C700" s="8" t="s">
        <v>220</v>
      </c>
      <c r="D700" s="1" t="s">
        <v>214</v>
      </c>
      <c r="E700" s="89"/>
      <c r="F700" s="7">
        <f t="shared" si="168"/>
        <v>0</v>
      </c>
      <c r="G700" s="7">
        <f t="shared" si="168"/>
        <v>0</v>
      </c>
      <c r="H700" s="35">
        <f t="shared" si="165"/>
        <v>0</v>
      </c>
      <c r="I700" s="7">
        <f t="shared" si="168"/>
        <v>0</v>
      </c>
      <c r="J700" s="35">
        <f t="shared" si="162"/>
        <v>0</v>
      </c>
      <c r="K700" s="7">
        <f t="shared" si="168"/>
        <v>0</v>
      </c>
      <c r="L700" s="35">
        <f t="shared" si="158"/>
        <v>0</v>
      </c>
      <c r="M700" s="7">
        <f t="shared" si="168"/>
        <v>0</v>
      </c>
      <c r="N700" s="35">
        <f t="shared" si="159"/>
        <v>0</v>
      </c>
      <c r="O700" s="7">
        <f t="shared" si="168"/>
        <v>0</v>
      </c>
      <c r="P700" s="35">
        <f t="shared" si="155"/>
        <v>0</v>
      </c>
      <c r="Q700" s="7">
        <f t="shared" si="168"/>
        <v>0</v>
      </c>
      <c r="R700" s="35">
        <f t="shared" si="156"/>
        <v>0</v>
      </c>
      <c r="S700" s="7">
        <f t="shared" si="168"/>
        <v>0</v>
      </c>
      <c r="T700" s="35">
        <f t="shared" si="160"/>
        <v>0</v>
      </c>
      <c r="U700" s="20" t="s">
        <v>706</v>
      </c>
    </row>
    <row r="701" spans="1:21" hidden="1">
      <c r="A701" s="61" t="str">
        <f ca="1">IF(ISERROR(MATCH(E701,Код_КВР,0)),"",INDIRECT(ADDRESS(MATCH(E701,Код_КВР,0)+1,2,,,"КВР")))</f>
        <v>Закупка товаров, работ и услуг для муниципальных нужд</v>
      </c>
      <c r="B701" s="43" t="s">
        <v>573</v>
      </c>
      <c r="C701" s="8" t="s">
        <v>220</v>
      </c>
      <c r="D701" s="1" t="s">
        <v>214</v>
      </c>
      <c r="E701" s="89">
        <v>200</v>
      </c>
      <c r="F701" s="7">
        <f t="shared" si="168"/>
        <v>0</v>
      </c>
      <c r="G701" s="7">
        <f t="shared" si="168"/>
        <v>0</v>
      </c>
      <c r="H701" s="35">
        <f t="shared" si="165"/>
        <v>0</v>
      </c>
      <c r="I701" s="7">
        <f t="shared" si="168"/>
        <v>0</v>
      </c>
      <c r="J701" s="35">
        <f t="shared" si="162"/>
        <v>0</v>
      </c>
      <c r="K701" s="7">
        <f t="shared" si="168"/>
        <v>0</v>
      </c>
      <c r="L701" s="35">
        <f t="shared" si="158"/>
        <v>0</v>
      </c>
      <c r="M701" s="7">
        <f t="shared" si="168"/>
        <v>0</v>
      </c>
      <c r="N701" s="35">
        <f t="shared" si="159"/>
        <v>0</v>
      </c>
      <c r="O701" s="7">
        <f t="shared" si="168"/>
        <v>0</v>
      </c>
      <c r="P701" s="35">
        <f t="shared" si="155"/>
        <v>0</v>
      </c>
      <c r="Q701" s="7">
        <f t="shared" si="168"/>
        <v>0</v>
      </c>
      <c r="R701" s="35">
        <f t="shared" si="156"/>
        <v>0</v>
      </c>
      <c r="S701" s="7">
        <f t="shared" si="168"/>
        <v>0</v>
      </c>
      <c r="T701" s="35">
        <f t="shared" si="160"/>
        <v>0</v>
      </c>
      <c r="U701" s="20" t="s">
        <v>706</v>
      </c>
    </row>
    <row r="702" spans="1:21" ht="33" hidden="1">
      <c r="A702" s="61" t="str">
        <f ca="1">IF(ISERROR(MATCH(E702,Код_КВР,0)),"",INDIRECT(ADDRESS(MATCH(E702,Код_КВР,0)+1,2,,,"КВР")))</f>
        <v>Иные закупки товаров, работ и услуг для обеспечения муниципальных нужд</v>
      </c>
      <c r="B702" s="43" t="s">
        <v>573</v>
      </c>
      <c r="C702" s="8" t="s">
        <v>220</v>
      </c>
      <c r="D702" s="1" t="s">
        <v>214</v>
      </c>
      <c r="E702" s="89">
        <v>240</v>
      </c>
      <c r="F702" s="7">
        <f t="shared" si="168"/>
        <v>0</v>
      </c>
      <c r="G702" s="7">
        <f t="shared" si="168"/>
        <v>0</v>
      </c>
      <c r="H702" s="35">
        <f t="shared" si="165"/>
        <v>0</v>
      </c>
      <c r="I702" s="7">
        <f t="shared" si="168"/>
        <v>0</v>
      </c>
      <c r="J702" s="35">
        <f t="shared" si="162"/>
        <v>0</v>
      </c>
      <c r="K702" s="7">
        <f t="shared" si="168"/>
        <v>0</v>
      </c>
      <c r="L702" s="35">
        <f t="shared" si="158"/>
        <v>0</v>
      </c>
      <c r="M702" s="7">
        <f t="shared" si="168"/>
        <v>0</v>
      </c>
      <c r="N702" s="35">
        <f t="shared" si="159"/>
        <v>0</v>
      </c>
      <c r="O702" s="7">
        <f t="shared" si="168"/>
        <v>0</v>
      </c>
      <c r="P702" s="35">
        <f t="shared" si="155"/>
        <v>0</v>
      </c>
      <c r="Q702" s="7">
        <f t="shared" si="168"/>
        <v>0</v>
      </c>
      <c r="R702" s="35">
        <f t="shared" si="156"/>
        <v>0</v>
      </c>
      <c r="S702" s="7">
        <f t="shared" si="168"/>
        <v>0</v>
      </c>
      <c r="T702" s="35">
        <f t="shared" si="160"/>
        <v>0</v>
      </c>
      <c r="U702" s="20" t="s">
        <v>706</v>
      </c>
    </row>
    <row r="703" spans="1:21" ht="33" hidden="1">
      <c r="A703" s="61" t="str">
        <f ca="1">IF(ISERROR(MATCH(E703,Код_КВР,0)),"",INDIRECT(ADDRESS(MATCH(E703,Код_КВР,0)+1,2,,,"КВР")))</f>
        <v xml:space="preserve">Прочая закупка товаров, работ и услуг для обеспечения муниципальных нужд         </v>
      </c>
      <c r="B703" s="43" t="s">
        <v>573</v>
      </c>
      <c r="C703" s="8" t="s">
        <v>220</v>
      </c>
      <c r="D703" s="1" t="s">
        <v>214</v>
      </c>
      <c r="E703" s="89">
        <v>244</v>
      </c>
      <c r="F703" s="7">
        <f>прил.6!G1144</f>
        <v>0</v>
      </c>
      <c r="G703" s="7">
        <f>прил.6!H1144</f>
        <v>0</v>
      </c>
      <c r="H703" s="35">
        <f t="shared" si="165"/>
        <v>0</v>
      </c>
      <c r="I703" s="7">
        <f>прил.6!J1144</f>
        <v>0</v>
      </c>
      <c r="J703" s="35">
        <f t="shared" si="162"/>
        <v>0</v>
      </c>
      <c r="K703" s="7">
        <f>прил.6!L1144</f>
        <v>0</v>
      </c>
      <c r="L703" s="35">
        <f t="shared" si="158"/>
        <v>0</v>
      </c>
      <c r="M703" s="7">
        <f>прил.6!N1144</f>
        <v>0</v>
      </c>
      <c r="N703" s="35">
        <f t="shared" si="159"/>
        <v>0</v>
      </c>
      <c r="O703" s="7">
        <f>прил.6!P1144</f>
        <v>0</v>
      </c>
      <c r="P703" s="35">
        <f t="shared" si="155"/>
        <v>0</v>
      </c>
      <c r="Q703" s="7">
        <f>прил.6!R1144</f>
        <v>0</v>
      </c>
      <c r="R703" s="35">
        <f t="shared" si="156"/>
        <v>0</v>
      </c>
      <c r="S703" s="7">
        <f>прил.6!T1144</f>
        <v>0</v>
      </c>
      <c r="T703" s="35">
        <f t="shared" si="160"/>
        <v>0</v>
      </c>
      <c r="U703" s="20" t="s">
        <v>706</v>
      </c>
    </row>
    <row r="704" spans="1:21" hidden="1">
      <c r="A704" s="61" t="str">
        <f ca="1">IF(ISERROR(MATCH(B704,Код_КЦСР,0)),"",INDIRECT(ADDRESS(MATCH(B704,Код_КЦСР,0)+1,2,,,"КЦСР")))</f>
        <v>Здоровье на рабочем месте</v>
      </c>
      <c r="B704" s="43" t="s">
        <v>574</v>
      </c>
      <c r="C704" s="8"/>
      <c r="D704" s="1"/>
      <c r="E704" s="89"/>
      <c r="F704" s="7">
        <f>F705+F710</f>
        <v>0</v>
      </c>
      <c r="G704" s="7">
        <f>G705+G710</f>
        <v>0</v>
      </c>
      <c r="H704" s="35">
        <f t="shared" si="165"/>
        <v>0</v>
      </c>
      <c r="I704" s="7">
        <f>I705+I710</f>
        <v>0</v>
      </c>
      <c r="J704" s="35">
        <f t="shared" si="162"/>
        <v>0</v>
      </c>
      <c r="K704" s="7">
        <f>K705+K710</f>
        <v>0</v>
      </c>
      <c r="L704" s="35">
        <f t="shared" si="158"/>
        <v>0</v>
      </c>
      <c r="M704" s="7">
        <f>M705+M710</f>
        <v>0</v>
      </c>
      <c r="N704" s="35">
        <f t="shared" si="159"/>
        <v>0</v>
      </c>
      <c r="O704" s="7">
        <f>O705+O710</f>
        <v>0</v>
      </c>
      <c r="P704" s="35">
        <f t="shared" si="155"/>
        <v>0</v>
      </c>
      <c r="Q704" s="7">
        <f>Q705+Q710</f>
        <v>0</v>
      </c>
      <c r="R704" s="35">
        <f t="shared" si="156"/>
        <v>0</v>
      </c>
      <c r="S704" s="7">
        <f>S705+S710</f>
        <v>0</v>
      </c>
      <c r="T704" s="35">
        <f t="shared" si="160"/>
        <v>0</v>
      </c>
      <c r="U704" s="20" t="s">
        <v>706</v>
      </c>
    </row>
    <row r="705" spans="1:21" hidden="1">
      <c r="A705" s="61" t="str">
        <f ca="1">IF(ISERROR(MATCH(C705,Код_Раздел,0)),"",INDIRECT(ADDRESS(MATCH(C705,Код_Раздел,0)+1,2,,,"Раздел")))</f>
        <v>Национальная безопасность и правоохранительная  деятельность</v>
      </c>
      <c r="B705" s="43" t="s">
        <v>574</v>
      </c>
      <c r="C705" s="8" t="s">
        <v>213</v>
      </c>
      <c r="D705" s="1"/>
      <c r="E705" s="89"/>
      <c r="F705" s="7">
        <f t="shared" ref="F705:S708" si="169">F706</f>
        <v>0</v>
      </c>
      <c r="G705" s="7">
        <f t="shared" si="169"/>
        <v>0</v>
      </c>
      <c r="H705" s="35">
        <f t="shared" si="165"/>
        <v>0</v>
      </c>
      <c r="I705" s="7">
        <f t="shared" si="169"/>
        <v>0</v>
      </c>
      <c r="J705" s="35">
        <f t="shared" si="162"/>
        <v>0</v>
      </c>
      <c r="K705" s="7">
        <f t="shared" si="169"/>
        <v>0</v>
      </c>
      <c r="L705" s="35">
        <f t="shared" si="158"/>
        <v>0</v>
      </c>
      <c r="M705" s="7">
        <f t="shared" si="169"/>
        <v>0</v>
      </c>
      <c r="N705" s="35">
        <f t="shared" si="159"/>
        <v>0</v>
      </c>
      <c r="O705" s="7">
        <f t="shared" si="169"/>
        <v>0</v>
      </c>
      <c r="P705" s="35">
        <f t="shared" si="155"/>
        <v>0</v>
      </c>
      <c r="Q705" s="7">
        <f t="shared" si="169"/>
        <v>0</v>
      </c>
      <c r="R705" s="35">
        <f t="shared" si="156"/>
        <v>0</v>
      </c>
      <c r="S705" s="7">
        <f t="shared" si="169"/>
        <v>0</v>
      </c>
      <c r="T705" s="35">
        <f t="shared" si="160"/>
        <v>0</v>
      </c>
      <c r="U705" s="20" t="s">
        <v>706</v>
      </c>
    </row>
    <row r="706" spans="1:21" ht="33" hidden="1">
      <c r="A706" s="12" t="s">
        <v>259</v>
      </c>
      <c r="B706" s="43" t="s">
        <v>574</v>
      </c>
      <c r="C706" s="8" t="s">
        <v>213</v>
      </c>
      <c r="D706" s="1" t="s">
        <v>217</v>
      </c>
      <c r="E706" s="89"/>
      <c r="F706" s="7">
        <f t="shared" si="169"/>
        <v>0</v>
      </c>
      <c r="G706" s="7">
        <f t="shared" si="169"/>
        <v>0</v>
      </c>
      <c r="H706" s="35">
        <f t="shared" si="165"/>
        <v>0</v>
      </c>
      <c r="I706" s="7">
        <f t="shared" si="169"/>
        <v>0</v>
      </c>
      <c r="J706" s="35">
        <f t="shared" si="162"/>
        <v>0</v>
      </c>
      <c r="K706" s="7">
        <f t="shared" si="169"/>
        <v>0</v>
      </c>
      <c r="L706" s="35">
        <f t="shared" si="158"/>
        <v>0</v>
      </c>
      <c r="M706" s="7">
        <f t="shared" si="169"/>
        <v>0</v>
      </c>
      <c r="N706" s="35">
        <f t="shared" si="159"/>
        <v>0</v>
      </c>
      <c r="O706" s="7">
        <f t="shared" si="169"/>
        <v>0</v>
      </c>
      <c r="P706" s="35">
        <f t="shared" si="155"/>
        <v>0</v>
      </c>
      <c r="Q706" s="7">
        <f t="shared" si="169"/>
        <v>0</v>
      </c>
      <c r="R706" s="35">
        <f t="shared" si="156"/>
        <v>0</v>
      </c>
      <c r="S706" s="7">
        <f t="shared" si="169"/>
        <v>0</v>
      </c>
      <c r="T706" s="35">
        <f t="shared" si="160"/>
        <v>0</v>
      </c>
      <c r="U706" s="20" t="s">
        <v>706</v>
      </c>
    </row>
    <row r="707" spans="1:21" hidden="1">
      <c r="A707" s="61" t="str">
        <f ca="1">IF(ISERROR(MATCH(E707,Код_КВР,0)),"",INDIRECT(ADDRESS(MATCH(E707,Код_КВР,0)+1,2,,,"КВР")))</f>
        <v>Закупка товаров, работ и услуг для муниципальных нужд</v>
      </c>
      <c r="B707" s="43" t="s">
        <v>574</v>
      </c>
      <c r="C707" s="8" t="s">
        <v>213</v>
      </c>
      <c r="D707" s="1" t="s">
        <v>217</v>
      </c>
      <c r="E707" s="89">
        <v>200</v>
      </c>
      <c r="F707" s="7">
        <f t="shared" si="169"/>
        <v>0</v>
      </c>
      <c r="G707" s="7">
        <f t="shared" si="169"/>
        <v>0</v>
      </c>
      <c r="H707" s="35">
        <f t="shared" si="165"/>
        <v>0</v>
      </c>
      <c r="I707" s="7">
        <f t="shared" si="169"/>
        <v>0</v>
      </c>
      <c r="J707" s="35">
        <f t="shared" si="162"/>
        <v>0</v>
      </c>
      <c r="K707" s="7">
        <f t="shared" si="169"/>
        <v>0</v>
      </c>
      <c r="L707" s="35">
        <f t="shared" si="158"/>
        <v>0</v>
      </c>
      <c r="M707" s="7">
        <f t="shared" si="169"/>
        <v>0</v>
      </c>
      <c r="N707" s="35">
        <f t="shared" si="159"/>
        <v>0</v>
      </c>
      <c r="O707" s="7">
        <f t="shared" si="169"/>
        <v>0</v>
      </c>
      <c r="P707" s="35">
        <f t="shared" si="155"/>
        <v>0</v>
      </c>
      <c r="Q707" s="7">
        <f t="shared" si="169"/>
        <v>0</v>
      </c>
      <c r="R707" s="35">
        <f t="shared" si="156"/>
        <v>0</v>
      </c>
      <c r="S707" s="7">
        <f t="shared" si="169"/>
        <v>0</v>
      </c>
      <c r="T707" s="35">
        <f t="shared" si="160"/>
        <v>0</v>
      </c>
      <c r="U707" s="20" t="s">
        <v>706</v>
      </c>
    </row>
    <row r="708" spans="1:21" ht="33" hidden="1">
      <c r="A708" s="61" t="str">
        <f ca="1">IF(ISERROR(MATCH(E708,Код_КВР,0)),"",INDIRECT(ADDRESS(MATCH(E708,Код_КВР,0)+1,2,,,"КВР")))</f>
        <v>Иные закупки товаров, работ и услуг для обеспечения муниципальных нужд</v>
      </c>
      <c r="B708" s="43" t="s">
        <v>574</v>
      </c>
      <c r="C708" s="8" t="s">
        <v>213</v>
      </c>
      <c r="D708" s="1" t="s">
        <v>217</v>
      </c>
      <c r="E708" s="89">
        <v>240</v>
      </c>
      <c r="F708" s="7">
        <f t="shared" si="169"/>
        <v>0</v>
      </c>
      <c r="G708" s="7">
        <f t="shared" si="169"/>
        <v>0</v>
      </c>
      <c r="H708" s="35">
        <f t="shared" si="165"/>
        <v>0</v>
      </c>
      <c r="I708" s="7">
        <f t="shared" si="169"/>
        <v>0</v>
      </c>
      <c r="J708" s="35">
        <f t="shared" si="162"/>
        <v>0</v>
      </c>
      <c r="K708" s="7">
        <f t="shared" si="169"/>
        <v>0</v>
      </c>
      <c r="L708" s="35">
        <f t="shared" si="158"/>
        <v>0</v>
      </c>
      <c r="M708" s="7">
        <f t="shared" si="169"/>
        <v>0</v>
      </c>
      <c r="N708" s="35">
        <f t="shared" si="159"/>
        <v>0</v>
      </c>
      <c r="O708" s="7">
        <f t="shared" si="169"/>
        <v>0</v>
      </c>
      <c r="P708" s="35">
        <f t="shared" si="155"/>
        <v>0</v>
      </c>
      <c r="Q708" s="7">
        <f t="shared" si="169"/>
        <v>0</v>
      </c>
      <c r="R708" s="35">
        <f t="shared" si="156"/>
        <v>0</v>
      </c>
      <c r="S708" s="7">
        <f t="shared" si="169"/>
        <v>0</v>
      </c>
      <c r="T708" s="35">
        <f t="shared" si="160"/>
        <v>0</v>
      </c>
      <c r="U708" s="20" t="s">
        <v>706</v>
      </c>
    </row>
    <row r="709" spans="1:21" ht="33" hidden="1">
      <c r="A709" s="61" t="str">
        <f ca="1">IF(ISERROR(MATCH(E709,Код_КВР,0)),"",INDIRECT(ADDRESS(MATCH(E709,Код_КВР,0)+1,2,,,"КВР")))</f>
        <v xml:space="preserve">Прочая закупка товаров, работ и услуг для обеспечения муниципальных нужд         </v>
      </c>
      <c r="B709" s="43" t="s">
        <v>574</v>
      </c>
      <c r="C709" s="8" t="s">
        <v>213</v>
      </c>
      <c r="D709" s="1" t="s">
        <v>217</v>
      </c>
      <c r="E709" s="89">
        <v>244</v>
      </c>
      <c r="F709" s="7">
        <f>прил.6!G185</f>
        <v>0</v>
      </c>
      <c r="G709" s="7">
        <f>прил.6!H185</f>
        <v>0</v>
      </c>
      <c r="H709" s="35">
        <f t="shared" si="165"/>
        <v>0</v>
      </c>
      <c r="I709" s="7">
        <f>прил.6!J185</f>
        <v>0</v>
      </c>
      <c r="J709" s="35">
        <f t="shared" si="162"/>
        <v>0</v>
      </c>
      <c r="K709" s="7">
        <f>прил.6!L185</f>
        <v>0</v>
      </c>
      <c r="L709" s="35">
        <f t="shared" si="158"/>
        <v>0</v>
      </c>
      <c r="M709" s="7">
        <f>прил.6!N185</f>
        <v>0</v>
      </c>
      <c r="N709" s="35">
        <f t="shared" si="159"/>
        <v>0</v>
      </c>
      <c r="O709" s="7">
        <f>прил.6!P185</f>
        <v>0</v>
      </c>
      <c r="P709" s="35">
        <f t="shared" si="155"/>
        <v>0</v>
      </c>
      <c r="Q709" s="7">
        <f>прил.6!R185</f>
        <v>0</v>
      </c>
      <c r="R709" s="35">
        <f t="shared" si="156"/>
        <v>0</v>
      </c>
      <c r="S709" s="7">
        <f>прил.6!T185</f>
        <v>0</v>
      </c>
      <c r="T709" s="35">
        <f t="shared" si="160"/>
        <v>0</v>
      </c>
      <c r="U709" s="20" t="s">
        <v>706</v>
      </c>
    </row>
    <row r="710" spans="1:21" hidden="1">
      <c r="A710" s="61" t="str">
        <f ca="1">IF(ISERROR(MATCH(C710,Код_Раздел,0)),"",INDIRECT(ADDRESS(MATCH(C710,Код_Раздел,0)+1,2,,,"Раздел")))</f>
        <v>Социальная политика</v>
      </c>
      <c r="B710" s="43" t="s">
        <v>574</v>
      </c>
      <c r="C710" s="8" t="s">
        <v>186</v>
      </c>
      <c r="D710" s="1"/>
      <c r="E710" s="89"/>
      <c r="F710" s="7">
        <f t="shared" ref="F710:S713" si="170">F711</f>
        <v>0</v>
      </c>
      <c r="G710" s="7">
        <f t="shared" si="170"/>
        <v>0</v>
      </c>
      <c r="H710" s="35">
        <f t="shared" si="165"/>
        <v>0</v>
      </c>
      <c r="I710" s="7">
        <f t="shared" si="170"/>
        <v>0</v>
      </c>
      <c r="J710" s="35">
        <f t="shared" si="162"/>
        <v>0</v>
      </c>
      <c r="K710" s="7">
        <f t="shared" si="170"/>
        <v>0</v>
      </c>
      <c r="L710" s="35">
        <f t="shared" si="158"/>
        <v>0</v>
      </c>
      <c r="M710" s="7">
        <f t="shared" si="170"/>
        <v>0</v>
      </c>
      <c r="N710" s="35">
        <f t="shared" si="159"/>
        <v>0</v>
      </c>
      <c r="O710" s="7">
        <f t="shared" si="170"/>
        <v>0</v>
      </c>
      <c r="P710" s="35">
        <f t="shared" si="155"/>
        <v>0</v>
      </c>
      <c r="Q710" s="7">
        <f t="shared" si="170"/>
        <v>0</v>
      </c>
      <c r="R710" s="35">
        <f t="shared" si="156"/>
        <v>0</v>
      </c>
      <c r="S710" s="7">
        <f t="shared" si="170"/>
        <v>0</v>
      </c>
      <c r="T710" s="35">
        <f t="shared" si="160"/>
        <v>0</v>
      </c>
      <c r="U710" s="20" t="s">
        <v>706</v>
      </c>
    </row>
    <row r="711" spans="1:21" hidden="1">
      <c r="A711" s="12" t="s">
        <v>187</v>
      </c>
      <c r="B711" s="43" t="s">
        <v>574</v>
      </c>
      <c r="C711" s="8" t="s">
        <v>186</v>
      </c>
      <c r="D711" s="1" t="s">
        <v>215</v>
      </c>
      <c r="E711" s="89"/>
      <c r="F711" s="7">
        <f t="shared" si="170"/>
        <v>0</v>
      </c>
      <c r="G711" s="7">
        <f t="shared" si="170"/>
        <v>0</v>
      </c>
      <c r="H711" s="35">
        <f t="shared" si="165"/>
        <v>0</v>
      </c>
      <c r="I711" s="7">
        <f t="shared" si="170"/>
        <v>0</v>
      </c>
      <c r="J711" s="35">
        <f t="shared" si="162"/>
        <v>0</v>
      </c>
      <c r="K711" s="7">
        <f t="shared" si="170"/>
        <v>0</v>
      </c>
      <c r="L711" s="35">
        <f t="shared" si="158"/>
        <v>0</v>
      </c>
      <c r="M711" s="7">
        <f t="shared" si="170"/>
        <v>0</v>
      </c>
      <c r="N711" s="35">
        <f t="shared" si="159"/>
        <v>0</v>
      </c>
      <c r="O711" s="7">
        <f t="shared" si="170"/>
        <v>0</v>
      </c>
      <c r="P711" s="35">
        <f t="shared" si="155"/>
        <v>0</v>
      </c>
      <c r="Q711" s="7">
        <f t="shared" si="170"/>
        <v>0</v>
      </c>
      <c r="R711" s="35">
        <f t="shared" si="156"/>
        <v>0</v>
      </c>
      <c r="S711" s="7">
        <f t="shared" si="170"/>
        <v>0</v>
      </c>
      <c r="T711" s="35">
        <f t="shared" si="160"/>
        <v>0</v>
      </c>
      <c r="U711" s="20" t="s">
        <v>706</v>
      </c>
    </row>
    <row r="712" spans="1:21" hidden="1">
      <c r="A712" s="61" t="str">
        <f ca="1">IF(ISERROR(MATCH(E712,Код_КВР,0)),"",INDIRECT(ADDRESS(MATCH(E712,Код_КВР,0)+1,2,,,"КВР")))</f>
        <v>Закупка товаров, работ и услуг для муниципальных нужд</v>
      </c>
      <c r="B712" s="43" t="s">
        <v>574</v>
      </c>
      <c r="C712" s="8" t="s">
        <v>186</v>
      </c>
      <c r="D712" s="1" t="s">
        <v>215</v>
      </c>
      <c r="E712" s="89">
        <v>200</v>
      </c>
      <c r="F712" s="7">
        <f t="shared" si="170"/>
        <v>0</v>
      </c>
      <c r="G712" s="7">
        <f t="shared" si="170"/>
        <v>0</v>
      </c>
      <c r="H712" s="35">
        <f t="shared" si="165"/>
        <v>0</v>
      </c>
      <c r="I712" s="7">
        <f t="shared" si="170"/>
        <v>0</v>
      </c>
      <c r="J712" s="35">
        <f t="shared" si="162"/>
        <v>0</v>
      </c>
      <c r="K712" s="7">
        <f t="shared" si="170"/>
        <v>0</v>
      </c>
      <c r="L712" s="35">
        <f t="shared" si="158"/>
        <v>0</v>
      </c>
      <c r="M712" s="7">
        <f t="shared" si="170"/>
        <v>0</v>
      </c>
      <c r="N712" s="35">
        <f t="shared" si="159"/>
        <v>0</v>
      </c>
      <c r="O712" s="7">
        <f t="shared" si="170"/>
        <v>0</v>
      </c>
      <c r="P712" s="35">
        <f t="shared" si="155"/>
        <v>0</v>
      </c>
      <c r="Q712" s="7">
        <f t="shared" si="170"/>
        <v>0</v>
      </c>
      <c r="R712" s="35">
        <f t="shared" si="156"/>
        <v>0</v>
      </c>
      <c r="S712" s="7">
        <f t="shared" si="170"/>
        <v>0</v>
      </c>
      <c r="T712" s="35">
        <f t="shared" si="160"/>
        <v>0</v>
      </c>
      <c r="U712" s="20" t="s">
        <v>706</v>
      </c>
    </row>
    <row r="713" spans="1:21" ht="33" hidden="1">
      <c r="A713" s="61" t="str">
        <f ca="1">IF(ISERROR(MATCH(E713,Код_КВР,0)),"",INDIRECT(ADDRESS(MATCH(E713,Код_КВР,0)+1,2,,,"КВР")))</f>
        <v>Иные закупки товаров, работ и услуг для обеспечения муниципальных нужд</v>
      </c>
      <c r="B713" s="43" t="s">
        <v>574</v>
      </c>
      <c r="C713" s="8" t="s">
        <v>186</v>
      </c>
      <c r="D713" s="1" t="s">
        <v>215</v>
      </c>
      <c r="E713" s="89">
        <v>240</v>
      </c>
      <c r="F713" s="7">
        <f t="shared" si="170"/>
        <v>0</v>
      </c>
      <c r="G713" s="7">
        <f t="shared" si="170"/>
        <v>0</v>
      </c>
      <c r="H713" s="35">
        <f t="shared" si="165"/>
        <v>0</v>
      </c>
      <c r="I713" s="7">
        <f t="shared" si="170"/>
        <v>0</v>
      </c>
      <c r="J713" s="35">
        <f t="shared" si="162"/>
        <v>0</v>
      </c>
      <c r="K713" s="7">
        <f t="shared" si="170"/>
        <v>0</v>
      </c>
      <c r="L713" s="35">
        <f t="shared" si="158"/>
        <v>0</v>
      </c>
      <c r="M713" s="7">
        <f t="shared" si="170"/>
        <v>0</v>
      </c>
      <c r="N713" s="35">
        <f t="shared" si="159"/>
        <v>0</v>
      </c>
      <c r="O713" s="7">
        <f t="shared" si="170"/>
        <v>0</v>
      </c>
      <c r="P713" s="35">
        <f t="shared" si="155"/>
        <v>0</v>
      </c>
      <c r="Q713" s="7">
        <f t="shared" si="170"/>
        <v>0</v>
      </c>
      <c r="R713" s="35">
        <f t="shared" si="156"/>
        <v>0</v>
      </c>
      <c r="S713" s="7">
        <f t="shared" si="170"/>
        <v>0</v>
      </c>
      <c r="T713" s="35">
        <f t="shared" si="160"/>
        <v>0</v>
      </c>
      <c r="U713" s="20" t="s">
        <v>706</v>
      </c>
    </row>
    <row r="714" spans="1:21" ht="39" hidden="1" customHeight="1">
      <c r="A714" s="61" t="str">
        <f ca="1">IF(ISERROR(MATCH(E714,Код_КВР,0)),"",INDIRECT(ADDRESS(MATCH(E714,Код_КВР,0)+1,2,,,"КВР")))</f>
        <v xml:space="preserve">Прочая закупка товаров, работ и услуг для обеспечения муниципальных нужд         </v>
      </c>
      <c r="B714" s="43" t="s">
        <v>574</v>
      </c>
      <c r="C714" s="8" t="s">
        <v>186</v>
      </c>
      <c r="D714" s="1" t="s">
        <v>215</v>
      </c>
      <c r="E714" s="89">
        <v>244</v>
      </c>
      <c r="F714" s="7">
        <f>прил.6!G1420</f>
        <v>0</v>
      </c>
      <c r="G714" s="7">
        <f>прил.6!H1420</f>
        <v>0</v>
      </c>
      <c r="H714" s="35">
        <f t="shared" si="165"/>
        <v>0</v>
      </c>
      <c r="I714" s="7">
        <f>прил.6!J1420</f>
        <v>0</v>
      </c>
      <c r="J714" s="35">
        <f t="shared" si="162"/>
        <v>0</v>
      </c>
      <c r="K714" s="7">
        <f>прил.6!L1420</f>
        <v>0</v>
      </c>
      <c r="L714" s="35">
        <f t="shared" si="158"/>
        <v>0</v>
      </c>
      <c r="M714" s="7">
        <f>прил.6!N1420</f>
        <v>0</v>
      </c>
      <c r="N714" s="35">
        <f t="shared" si="159"/>
        <v>0</v>
      </c>
      <c r="O714" s="7">
        <f>прил.6!P1420</f>
        <v>0</v>
      </c>
      <c r="P714" s="35">
        <f t="shared" si="155"/>
        <v>0</v>
      </c>
      <c r="Q714" s="7">
        <f>прил.6!R1420</f>
        <v>0</v>
      </c>
      <c r="R714" s="35">
        <f t="shared" si="156"/>
        <v>0</v>
      </c>
      <c r="S714" s="7">
        <f>прил.6!T1420</f>
        <v>0</v>
      </c>
      <c r="T714" s="35">
        <f t="shared" si="160"/>
        <v>0</v>
      </c>
      <c r="U714" s="20" t="s">
        <v>706</v>
      </c>
    </row>
    <row r="715" spans="1:21">
      <c r="A715" s="61" t="str">
        <f ca="1">IF(ISERROR(MATCH(C715,Код_Раздел,0)),"",INDIRECT(ADDRESS(MATCH(C715,Код_Раздел,0)+1,2,,,"Раздел")))</f>
        <v>Социальная политика</v>
      </c>
      <c r="B715" s="43" t="s">
        <v>571</v>
      </c>
      <c r="C715" s="8" t="s">
        <v>186</v>
      </c>
      <c r="D715" s="1"/>
      <c r="E715" s="113"/>
      <c r="F715" s="7"/>
      <c r="G715" s="7"/>
      <c r="H715" s="35"/>
      <c r="I715" s="7"/>
      <c r="J715" s="35"/>
      <c r="K715" s="7"/>
      <c r="L715" s="35"/>
      <c r="M715" s="7"/>
      <c r="N715" s="35"/>
      <c r="O715" s="7"/>
      <c r="P715" s="35"/>
      <c r="Q715" s="7"/>
      <c r="R715" s="35"/>
      <c r="S715" s="7">
        <f t="shared" ref="S715:S718" si="171">S716</f>
        <v>50</v>
      </c>
      <c r="T715" s="35">
        <f t="shared" si="160"/>
        <v>50</v>
      </c>
    </row>
    <row r="716" spans="1:21">
      <c r="A716" s="12" t="s">
        <v>187</v>
      </c>
      <c r="B716" s="43" t="s">
        <v>571</v>
      </c>
      <c r="C716" s="8" t="s">
        <v>186</v>
      </c>
      <c r="D716" s="1" t="s">
        <v>215</v>
      </c>
      <c r="E716" s="113"/>
      <c r="F716" s="7"/>
      <c r="G716" s="7"/>
      <c r="H716" s="35"/>
      <c r="I716" s="7"/>
      <c r="J716" s="35"/>
      <c r="K716" s="7"/>
      <c r="L716" s="35"/>
      <c r="M716" s="7"/>
      <c r="N716" s="35"/>
      <c r="O716" s="7"/>
      <c r="P716" s="35"/>
      <c r="Q716" s="7"/>
      <c r="R716" s="35"/>
      <c r="S716" s="7">
        <f t="shared" si="171"/>
        <v>50</v>
      </c>
      <c r="T716" s="35">
        <f t="shared" si="160"/>
        <v>50</v>
      </c>
    </row>
    <row r="717" spans="1:21">
      <c r="A717" s="61" t="str">
        <f ca="1">IF(ISERROR(MATCH(E717,Код_КВР,0)),"",INDIRECT(ADDRESS(MATCH(E717,Код_КВР,0)+1,2,,,"КВР")))</f>
        <v>Закупка товаров, работ и услуг для муниципальных нужд</v>
      </c>
      <c r="B717" s="43" t="s">
        <v>571</v>
      </c>
      <c r="C717" s="8" t="s">
        <v>186</v>
      </c>
      <c r="D717" s="1" t="s">
        <v>215</v>
      </c>
      <c r="E717" s="113">
        <v>200</v>
      </c>
      <c r="F717" s="7"/>
      <c r="G717" s="7"/>
      <c r="H717" s="35"/>
      <c r="I717" s="7"/>
      <c r="J717" s="35"/>
      <c r="K717" s="7"/>
      <c r="L717" s="35"/>
      <c r="M717" s="7"/>
      <c r="N717" s="35"/>
      <c r="O717" s="7"/>
      <c r="P717" s="35"/>
      <c r="Q717" s="7"/>
      <c r="R717" s="35"/>
      <c r="S717" s="7">
        <f t="shared" si="171"/>
        <v>50</v>
      </c>
      <c r="T717" s="35">
        <f t="shared" si="160"/>
        <v>50</v>
      </c>
    </row>
    <row r="718" spans="1:21" ht="33">
      <c r="A718" s="61" t="str">
        <f ca="1">IF(ISERROR(MATCH(E718,Код_КВР,0)),"",INDIRECT(ADDRESS(MATCH(E718,Код_КВР,0)+1,2,,,"КВР")))</f>
        <v>Иные закупки товаров, работ и услуг для обеспечения муниципальных нужд</v>
      </c>
      <c r="B718" s="43" t="s">
        <v>571</v>
      </c>
      <c r="C718" s="8" t="s">
        <v>186</v>
      </c>
      <c r="D718" s="1" t="s">
        <v>215</v>
      </c>
      <c r="E718" s="113">
        <v>240</v>
      </c>
      <c r="F718" s="7"/>
      <c r="G718" s="7"/>
      <c r="H718" s="35"/>
      <c r="I718" s="7"/>
      <c r="J718" s="35"/>
      <c r="K718" s="7"/>
      <c r="L718" s="35"/>
      <c r="M718" s="7"/>
      <c r="N718" s="35"/>
      <c r="O718" s="7"/>
      <c r="P718" s="35"/>
      <c r="Q718" s="7"/>
      <c r="R718" s="35"/>
      <c r="S718" s="7">
        <f t="shared" si="171"/>
        <v>50</v>
      </c>
      <c r="T718" s="35">
        <f t="shared" si="160"/>
        <v>50</v>
      </c>
    </row>
    <row r="719" spans="1:21" ht="33">
      <c r="A719" s="61" t="str">
        <f ca="1">IF(ISERROR(MATCH(E719,Код_КВР,0)),"",INDIRECT(ADDRESS(MATCH(E719,Код_КВР,0)+1,2,,,"КВР")))</f>
        <v xml:space="preserve">Прочая закупка товаров, работ и услуг для обеспечения муниципальных нужд         </v>
      </c>
      <c r="B719" s="43" t="s">
        <v>571</v>
      </c>
      <c r="C719" s="8" t="s">
        <v>186</v>
      </c>
      <c r="D719" s="1" t="s">
        <v>215</v>
      </c>
      <c r="E719" s="113">
        <v>244</v>
      </c>
      <c r="F719" s="7"/>
      <c r="G719" s="7"/>
      <c r="H719" s="35"/>
      <c r="I719" s="7"/>
      <c r="J719" s="35"/>
      <c r="K719" s="7"/>
      <c r="L719" s="35"/>
      <c r="M719" s="7"/>
      <c r="N719" s="35"/>
      <c r="O719" s="7"/>
      <c r="P719" s="35"/>
      <c r="Q719" s="7"/>
      <c r="R719" s="35"/>
      <c r="S719" s="7">
        <f>прил.6!T1424</f>
        <v>50</v>
      </c>
      <c r="T719" s="35">
        <f t="shared" si="160"/>
        <v>50</v>
      </c>
    </row>
    <row r="720" spans="1:21" hidden="1">
      <c r="A720" s="61" t="str">
        <f ca="1">IF(ISERROR(MATCH(B720,Код_КЦСР,0)),"",INDIRECT(ADDRESS(MATCH(B720,Код_КЦСР,0)+1,2,,,"КЦСР")))</f>
        <v>Активное долголетие</v>
      </c>
      <c r="B720" s="43" t="s">
        <v>576</v>
      </c>
      <c r="C720" s="8"/>
      <c r="D720" s="1"/>
      <c r="E720" s="113"/>
      <c r="F720" s="7">
        <f>F721+F726</f>
        <v>50</v>
      </c>
      <c r="G720" s="7">
        <f>G721+G726</f>
        <v>0</v>
      </c>
      <c r="H720" s="35">
        <f t="shared" si="165"/>
        <v>50</v>
      </c>
      <c r="I720" s="7">
        <f>I721+I726</f>
        <v>0</v>
      </c>
      <c r="J720" s="35">
        <f t="shared" si="162"/>
        <v>50</v>
      </c>
      <c r="K720" s="7">
        <f>K721+K726</f>
        <v>0</v>
      </c>
      <c r="L720" s="35">
        <f t="shared" si="158"/>
        <v>50</v>
      </c>
      <c r="M720" s="7">
        <f>M721+M726</f>
        <v>0</v>
      </c>
      <c r="N720" s="35">
        <f t="shared" si="159"/>
        <v>50</v>
      </c>
      <c r="O720" s="7">
        <f>O721+O726</f>
        <v>0</v>
      </c>
      <c r="P720" s="35">
        <f t="shared" si="155"/>
        <v>50</v>
      </c>
      <c r="Q720" s="7">
        <f>Q721+Q726</f>
        <v>0</v>
      </c>
      <c r="R720" s="35">
        <f t="shared" si="156"/>
        <v>50</v>
      </c>
      <c r="S720" s="7">
        <f>S721+S726</f>
        <v>-50</v>
      </c>
      <c r="T720" s="35">
        <f t="shared" si="160"/>
        <v>0</v>
      </c>
      <c r="U720" s="20" t="s">
        <v>706</v>
      </c>
    </row>
    <row r="721" spans="1:21" hidden="1">
      <c r="A721" s="61" t="str">
        <f ca="1">IF(ISERROR(MATCH(C721,Код_Раздел,0)),"",INDIRECT(ADDRESS(MATCH(C721,Код_Раздел,0)+1,2,,,"Раздел")))</f>
        <v>Культура, кинематография</v>
      </c>
      <c r="B721" s="43" t="s">
        <v>576</v>
      </c>
      <c r="C721" s="8" t="s">
        <v>220</v>
      </c>
      <c r="D721" s="1"/>
      <c r="E721" s="89"/>
      <c r="F721" s="7">
        <f t="shared" ref="F721:S724" si="172">F722</f>
        <v>0</v>
      </c>
      <c r="G721" s="7">
        <f t="shared" si="172"/>
        <v>0</v>
      </c>
      <c r="H721" s="35">
        <f t="shared" si="165"/>
        <v>0</v>
      </c>
      <c r="I721" s="7">
        <f t="shared" si="172"/>
        <v>0</v>
      </c>
      <c r="J721" s="35">
        <f t="shared" si="162"/>
        <v>0</v>
      </c>
      <c r="K721" s="7">
        <f t="shared" si="172"/>
        <v>0</v>
      </c>
      <c r="L721" s="35">
        <f t="shared" si="158"/>
        <v>0</v>
      </c>
      <c r="M721" s="7">
        <f t="shared" si="172"/>
        <v>0</v>
      </c>
      <c r="N721" s="35">
        <f t="shared" si="159"/>
        <v>0</v>
      </c>
      <c r="O721" s="7">
        <f t="shared" si="172"/>
        <v>0</v>
      </c>
      <c r="P721" s="35">
        <f t="shared" si="155"/>
        <v>0</v>
      </c>
      <c r="Q721" s="7">
        <f t="shared" si="172"/>
        <v>0</v>
      </c>
      <c r="R721" s="35">
        <f t="shared" si="156"/>
        <v>0</v>
      </c>
      <c r="S721" s="7">
        <f t="shared" si="172"/>
        <v>0</v>
      </c>
      <c r="T721" s="35">
        <f t="shared" si="160"/>
        <v>0</v>
      </c>
      <c r="U721" s="20" t="s">
        <v>706</v>
      </c>
    </row>
    <row r="722" spans="1:21" hidden="1">
      <c r="A722" s="12" t="s">
        <v>161</v>
      </c>
      <c r="B722" s="43" t="s">
        <v>576</v>
      </c>
      <c r="C722" s="8" t="s">
        <v>220</v>
      </c>
      <c r="D722" s="1" t="s">
        <v>214</v>
      </c>
      <c r="E722" s="89"/>
      <c r="F722" s="7">
        <f t="shared" si="172"/>
        <v>0</v>
      </c>
      <c r="G722" s="7">
        <f t="shared" si="172"/>
        <v>0</v>
      </c>
      <c r="H722" s="35">
        <f t="shared" si="165"/>
        <v>0</v>
      </c>
      <c r="I722" s="7">
        <f t="shared" si="172"/>
        <v>0</v>
      </c>
      <c r="J722" s="35">
        <f t="shared" si="162"/>
        <v>0</v>
      </c>
      <c r="K722" s="7">
        <f t="shared" si="172"/>
        <v>0</v>
      </c>
      <c r="L722" s="35">
        <f t="shared" si="158"/>
        <v>0</v>
      </c>
      <c r="M722" s="7">
        <f t="shared" si="172"/>
        <v>0</v>
      </c>
      <c r="N722" s="35">
        <f t="shared" si="159"/>
        <v>0</v>
      </c>
      <c r="O722" s="7">
        <f t="shared" si="172"/>
        <v>0</v>
      </c>
      <c r="P722" s="35">
        <f t="shared" si="155"/>
        <v>0</v>
      </c>
      <c r="Q722" s="7">
        <f t="shared" si="172"/>
        <v>0</v>
      </c>
      <c r="R722" s="35">
        <f t="shared" si="156"/>
        <v>0</v>
      </c>
      <c r="S722" s="7">
        <f t="shared" si="172"/>
        <v>0</v>
      </c>
      <c r="T722" s="35">
        <f t="shared" si="160"/>
        <v>0</v>
      </c>
      <c r="U722" s="20" t="s">
        <v>706</v>
      </c>
    </row>
    <row r="723" spans="1:21" hidden="1">
      <c r="A723" s="61" t="str">
        <f ca="1">IF(ISERROR(MATCH(E723,Код_КВР,0)),"",INDIRECT(ADDRESS(MATCH(E723,Код_КВР,0)+1,2,,,"КВР")))</f>
        <v>Закупка товаров, работ и услуг для муниципальных нужд</v>
      </c>
      <c r="B723" s="43" t="s">
        <v>576</v>
      </c>
      <c r="C723" s="8" t="s">
        <v>220</v>
      </c>
      <c r="D723" s="1" t="s">
        <v>214</v>
      </c>
      <c r="E723" s="89">
        <v>200</v>
      </c>
      <c r="F723" s="7">
        <f t="shared" si="172"/>
        <v>0</v>
      </c>
      <c r="G723" s="7">
        <f t="shared" si="172"/>
        <v>0</v>
      </c>
      <c r="H723" s="35">
        <f t="shared" si="165"/>
        <v>0</v>
      </c>
      <c r="I723" s="7">
        <f t="shared" si="172"/>
        <v>0</v>
      </c>
      <c r="J723" s="35">
        <f t="shared" si="162"/>
        <v>0</v>
      </c>
      <c r="K723" s="7">
        <f t="shared" si="172"/>
        <v>0</v>
      </c>
      <c r="L723" s="35">
        <f t="shared" si="158"/>
        <v>0</v>
      </c>
      <c r="M723" s="7">
        <f t="shared" si="172"/>
        <v>0</v>
      </c>
      <c r="N723" s="35">
        <f t="shared" si="159"/>
        <v>0</v>
      </c>
      <c r="O723" s="7">
        <f t="shared" si="172"/>
        <v>0</v>
      </c>
      <c r="P723" s="35">
        <f t="shared" si="155"/>
        <v>0</v>
      </c>
      <c r="Q723" s="7">
        <f t="shared" si="172"/>
        <v>0</v>
      </c>
      <c r="R723" s="35">
        <f t="shared" si="156"/>
        <v>0</v>
      </c>
      <c r="S723" s="7">
        <f t="shared" si="172"/>
        <v>0</v>
      </c>
      <c r="T723" s="35">
        <f t="shared" si="160"/>
        <v>0</v>
      </c>
      <c r="U723" s="20" t="s">
        <v>706</v>
      </c>
    </row>
    <row r="724" spans="1:21" ht="33" hidden="1">
      <c r="A724" s="61" t="str">
        <f ca="1">IF(ISERROR(MATCH(E724,Код_КВР,0)),"",INDIRECT(ADDRESS(MATCH(E724,Код_КВР,0)+1,2,,,"КВР")))</f>
        <v>Иные закупки товаров, работ и услуг для обеспечения муниципальных нужд</v>
      </c>
      <c r="B724" s="43" t="s">
        <v>576</v>
      </c>
      <c r="C724" s="8" t="s">
        <v>220</v>
      </c>
      <c r="D724" s="1" t="s">
        <v>214</v>
      </c>
      <c r="E724" s="89">
        <v>240</v>
      </c>
      <c r="F724" s="7">
        <f t="shared" si="172"/>
        <v>0</v>
      </c>
      <c r="G724" s="7">
        <f t="shared" si="172"/>
        <v>0</v>
      </c>
      <c r="H724" s="35">
        <f t="shared" si="165"/>
        <v>0</v>
      </c>
      <c r="I724" s="7">
        <f t="shared" si="172"/>
        <v>0</v>
      </c>
      <c r="J724" s="35">
        <f t="shared" si="162"/>
        <v>0</v>
      </c>
      <c r="K724" s="7">
        <f t="shared" si="172"/>
        <v>0</v>
      </c>
      <c r="L724" s="35">
        <f t="shared" si="158"/>
        <v>0</v>
      </c>
      <c r="M724" s="7">
        <f t="shared" si="172"/>
        <v>0</v>
      </c>
      <c r="N724" s="35">
        <f t="shared" si="159"/>
        <v>0</v>
      </c>
      <c r="O724" s="7">
        <f t="shared" si="172"/>
        <v>0</v>
      </c>
      <c r="P724" s="35">
        <f t="shared" si="155"/>
        <v>0</v>
      </c>
      <c r="Q724" s="7">
        <f t="shared" si="172"/>
        <v>0</v>
      </c>
      <c r="R724" s="35">
        <f t="shared" si="156"/>
        <v>0</v>
      </c>
      <c r="S724" s="7">
        <f t="shared" si="172"/>
        <v>0</v>
      </c>
      <c r="T724" s="35">
        <f t="shared" si="160"/>
        <v>0</v>
      </c>
      <c r="U724" s="20" t="s">
        <v>706</v>
      </c>
    </row>
    <row r="725" spans="1:21" ht="33" hidden="1">
      <c r="A725" s="61" t="str">
        <f ca="1">IF(ISERROR(MATCH(E725,Код_КВР,0)),"",INDIRECT(ADDRESS(MATCH(E725,Код_КВР,0)+1,2,,,"КВР")))</f>
        <v xml:space="preserve">Прочая закупка товаров, работ и услуг для обеспечения муниципальных нужд         </v>
      </c>
      <c r="B725" s="43" t="s">
        <v>576</v>
      </c>
      <c r="C725" s="8" t="s">
        <v>220</v>
      </c>
      <c r="D725" s="1" t="s">
        <v>214</v>
      </c>
      <c r="E725" s="89">
        <v>244</v>
      </c>
      <c r="F725" s="7">
        <f>прил.6!G1148</f>
        <v>0</v>
      </c>
      <c r="G725" s="7">
        <f>прил.6!H1148</f>
        <v>0</v>
      </c>
      <c r="H725" s="35">
        <f t="shared" si="165"/>
        <v>0</v>
      </c>
      <c r="I725" s="7">
        <f>прил.6!J1148</f>
        <v>0</v>
      </c>
      <c r="J725" s="35">
        <f t="shared" si="162"/>
        <v>0</v>
      </c>
      <c r="K725" s="7">
        <f>прил.6!L1148</f>
        <v>0</v>
      </c>
      <c r="L725" s="35">
        <f t="shared" si="158"/>
        <v>0</v>
      </c>
      <c r="M725" s="7">
        <f>прил.6!N1148</f>
        <v>0</v>
      </c>
      <c r="N725" s="35">
        <f t="shared" si="159"/>
        <v>0</v>
      </c>
      <c r="O725" s="7">
        <f>прил.6!P1148</f>
        <v>0</v>
      </c>
      <c r="P725" s="35">
        <f t="shared" si="155"/>
        <v>0</v>
      </c>
      <c r="Q725" s="7">
        <f>прил.6!R1148</f>
        <v>0</v>
      </c>
      <c r="R725" s="35">
        <f t="shared" si="156"/>
        <v>0</v>
      </c>
      <c r="S725" s="7">
        <f>прил.6!T1148</f>
        <v>0</v>
      </c>
      <c r="T725" s="35">
        <f t="shared" si="160"/>
        <v>0</v>
      </c>
      <c r="U725" s="20" t="s">
        <v>706</v>
      </c>
    </row>
    <row r="726" spans="1:21" hidden="1">
      <c r="A726" s="61" t="str">
        <f ca="1">IF(ISERROR(MATCH(C726,Код_Раздел,0)),"",INDIRECT(ADDRESS(MATCH(C726,Код_Раздел,0)+1,2,,,"Раздел")))</f>
        <v>Социальная политика</v>
      </c>
      <c r="B726" s="43" t="s">
        <v>576</v>
      </c>
      <c r="C726" s="8" t="s">
        <v>186</v>
      </c>
      <c r="D726" s="1"/>
      <c r="E726" s="113"/>
      <c r="F726" s="7">
        <f t="shared" ref="F726:S729" si="173">F727</f>
        <v>50</v>
      </c>
      <c r="G726" s="7">
        <f t="shared" si="173"/>
        <v>0</v>
      </c>
      <c r="H726" s="35">
        <f t="shared" si="165"/>
        <v>50</v>
      </c>
      <c r="I726" s="7">
        <f t="shared" si="173"/>
        <v>0</v>
      </c>
      <c r="J726" s="35">
        <f t="shared" si="162"/>
        <v>50</v>
      </c>
      <c r="K726" s="7">
        <f t="shared" si="173"/>
        <v>0</v>
      </c>
      <c r="L726" s="35">
        <f t="shared" si="158"/>
        <v>50</v>
      </c>
      <c r="M726" s="7">
        <f t="shared" si="173"/>
        <v>0</v>
      </c>
      <c r="N726" s="35">
        <f t="shared" si="159"/>
        <v>50</v>
      </c>
      <c r="O726" s="7">
        <f t="shared" si="173"/>
        <v>0</v>
      </c>
      <c r="P726" s="35">
        <f t="shared" si="155"/>
        <v>50</v>
      </c>
      <c r="Q726" s="7">
        <f t="shared" si="173"/>
        <v>0</v>
      </c>
      <c r="R726" s="35">
        <f t="shared" si="156"/>
        <v>50</v>
      </c>
      <c r="S726" s="7">
        <f t="shared" si="173"/>
        <v>-50</v>
      </c>
      <c r="T726" s="35">
        <f t="shared" si="160"/>
        <v>0</v>
      </c>
      <c r="U726" s="20" t="s">
        <v>706</v>
      </c>
    </row>
    <row r="727" spans="1:21" hidden="1">
      <c r="A727" s="12" t="s">
        <v>187</v>
      </c>
      <c r="B727" s="43" t="s">
        <v>576</v>
      </c>
      <c r="C727" s="8" t="s">
        <v>186</v>
      </c>
      <c r="D727" s="1" t="s">
        <v>215</v>
      </c>
      <c r="E727" s="113"/>
      <c r="F727" s="7">
        <f t="shared" si="173"/>
        <v>50</v>
      </c>
      <c r="G727" s="7">
        <f t="shared" si="173"/>
        <v>0</v>
      </c>
      <c r="H727" s="35">
        <f t="shared" si="165"/>
        <v>50</v>
      </c>
      <c r="I727" s="7">
        <f t="shared" si="173"/>
        <v>0</v>
      </c>
      <c r="J727" s="35">
        <f t="shared" si="162"/>
        <v>50</v>
      </c>
      <c r="K727" s="7">
        <f t="shared" si="173"/>
        <v>0</v>
      </c>
      <c r="L727" s="35">
        <f t="shared" si="158"/>
        <v>50</v>
      </c>
      <c r="M727" s="7">
        <f t="shared" si="173"/>
        <v>0</v>
      </c>
      <c r="N727" s="35">
        <f t="shared" si="159"/>
        <v>50</v>
      </c>
      <c r="O727" s="7">
        <f t="shared" si="173"/>
        <v>0</v>
      </c>
      <c r="P727" s="35">
        <f t="shared" si="155"/>
        <v>50</v>
      </c>
      <c r="Q727" s="7">
        <f t="shared" si="173"/>
        <v>0</v>
      </c>
      <c r="R727" s="35">
        <f t="shared" si="156"/>
        <v>50</v>
      </c>
      <c r="S727" s="7">
        <f t="shared" si="173"/>
        <v>-50</v>
      </c>
      <c r="T727" s="35">
        <f t="shared" si="160"/>
        <v>0</v>
      </c>
      <c r="U727" s="20" t="s">
        <v>706</v>
      </c>
    </row>
    <row r="728" spans="1:21" hidden="1">
      <c r="A728" s="61" t="str">
        <f ca="1">IF(ISERROR(MATCH(E728,Код_КВР,0)),"",INDIRECT(ADDRESS(MATCH(E728,Код_КВР,0)+1,2,,,"КВР")))</f>
        <v>Закупка товаров, работ и услуг для муниципальных нужд</v>
      </c>
      <c r="B728" s="43" t="s">
        <v>576</v>
      </c>
      <c r="C728" s="8" t="s">
        <v>186</v>
      </c>
      <c r="D728" s="1" t="s">
        <v>215</v>
      </c>
      <c r="E728" s="113">
        <v>200</v>
      </c>
      <c r="F728" s="7">
        <f t="shared" si="173"/>
        <v>50</v>
      </c>
      <c r="G728" s="7">
        <f t="shared" si="173"/>
        <v>0</v>
      </c>
      <c r="H728" s="35">
        <f t="shared" si="165"/>
        <v>50</v>
      </c>
      <c r="I728" s="7">
        <f t="shared" si="173"/>
        <v>0</v>
      </c>
      <c r="J728" s="35">
        <f t="shared" si="162"/>
        <v>50</v>
      </c>
      <c r="K728" s="7">
        <f t="shared" si="173"/>
        <v>0</v>
      </c>
      <c r="L728" s="35">
        <f t="shared" si="158"/>
        <v>50</v>
      </c>
      <c r="M728" s="7">
        <f t="shared" si="173"/>
        <v>0</v>
      </c>
      <c r="N728" s="35">
        <f t="shared" si="159"/>
        <v>50</v>
      </c>
      <c r="O728" s="7">
        <f t="shared" si="173"/>
        <v>0</v>
      </c>
      <c r="P728" s="35">
        <f t="shared" si="155"/>
        <v>50</v>
      </c>
      <c r="Q728" s="7">
        <f t="shared" si="173"/>
        <v>0</v>
      </c>
      <c r="R728" s="35">
        <f t="shared" si="156"/>
        <v>50</v>
      </c>
      <c r="S728" s="7">
        <f t="shared" si="173"/>
        <v>-50</v>
      </c>
      <c r="T728" s="35">
        <f t="shared" si="160"/>
        <v>0</v>
      </c>
      <c r="U728" s="20" t="s">
        <v>706</v>
      </c>
    </row>
    <row r="729" spans="1:21" ht="33" hidden="1">
      <c r="A729" s="61" t="str">
        <f ca="1">IF(ISERROR(MATCH(E729,Код_КВР,0)),"",INDIRECT(ADDRESS(MATCH(E729,Код_КВР,0)+1,2,,,"КВР")))</f>
        <v>Иные закупки товаров, работ и услуг для обеспечения муниципальных нужд</v>
      </c>
      <c r="B729" s="43" t="s">
        <v>576</v>
      </c>
      <c r="C729" s="8" t="s">
        <v>186</v>
      </c>
      <c r="D729" s="1" t="s">
        <v>215</v>
      </c>
      <c r="E729" s="113">
        <v>240</v>
      </c>
      <c r="F729" s="7">
        <f t="shared" si="173"/>
        <v>50</v>
      </c>
      <c r="G729" s="7">
        <f t="shared" si="173"/>
        <v>0</v>
      </c>
      <c r="H729" s="35">
        <f t="shared" si="165"/>
        <v>50</v>
      </c>
      <c r="I729" s="7">
        <f t="shared" si="173"/>
        <v>0</v>
      </c>
      <c r="J729" s="35">
        <f t="shared" si="162"/>
        <v>50</v>
      </c>
      <c r="K729" s="7">
        <f t="shared" si="173"/>
        <v>0</v>
      </c>
      <c r="L729" s="35">
        <f t="shared" si="158"/>
        <v>50</v>
      </c>
      <c r="M729" s="7">
        <f t="shared" si="173"/>
        <v>0</v>
      </c>
      <c r="N729" s="35">
        <f t="shared" si="159"/>
        <v>50</v>
      </c>
      <c r="O729" s="7">
        <f t="shared" si="173"/>
        <v>0</v>
      </c>
      <c r="P729" s="35">
        <f t="shared" si="155"/>
        <v>50</v>
      </c>
      <c r="Q729" s="7">
        <f t="shared" si="173"/>
        <v>0</v>
      </c>
      <c r="R729" s="35">
        <f t="shared" si="156"/>
        <v>50</v>
      </c>
      <c r="S729" s="7">
        <f t="shared" si="173"/>
        <v>-50</v>
      </c>
      <c r="T729" s="35">
        <f t="shared" si="160"/>
        <v>0</v>
      </c>
      <c r="U729" s="20" t="s">
        <v>706</v>
      </c>
    </row>
    <row r="730" spans="1:21" ht="33" hidden="1">
      <c r="A730" s="61" t="str">
        <f ca="1">IF(ISERROR(MATCH(E730,Код_КВР,0)),"",INDIRECT(ADDRESS(MATCH(E730,Код_КВР,0)+1,2,,,"КВР")))</f>
        <v xml:space="preserve">Прочая закупка товаров, работ и услуг для обеспечения муниципальных нужд         </v>
      </c>
      <c r="B730" s="43" t="s">
        <v>576</v>
      </c>
      <c r="C730" s="8" t="s">
        <v>186</v>
      </c>
      <c r="D730" s="1" t="s">
        <v>215</v>
      </c>
      <c r="E730" s="113">
        <v>244</v>
      </c>
      <c r="F730" s="7">
        <f>прил.6!G1428</f>
        <v>50</v>
      </c>
      <c r="G730" s="7">
        <f>прил.6!H1428</f>
        <v>0</v>
      </c>
      <c r="H730" s="35">
        <f t="shared" si="165"/>
        <v>50</v>
      </c>
      <c r="I730" s="7">
        <f>прил.6!J1428</f>
        <v>0</v>
      </c>
      <c r="J730" s="35">
        <f t="shared" si="162"/>
        <v>50</v>
      </c>
      <c r="K730" s="7">
        <f>прил.6!L1428</f>
        <v>0</v>
      </c>
      <c r="L730" s="35">
        <f t="shared" si="158"/>
        <v>50</v>
      </c>
      <c r="M730" s="7">
        <f>прил.6!N1428</f>
        <v>0</v>
      </c>
      <c r="N730" s="35">
        <f t="shared" si="159"/>
        <v>50</v>
      </c>
      <c r="O730" s="7">
        <f>прил.6!P1428</f>
        <v>0</v>
      </c>
      <c r="P730" s="35">
        <f t="shared" si="155"/>
        <v>50</v>
      </c>
      <c r="Q730" s="7">
        <f>прил.6!R1428</f>
        <v>0</v>
      </c>
      <c r="R730" s="35">
        <f t="shared" si="156"/>
        <v>50</v>
      </c>
      <c r="S730" s="7">
        <f>прил.6!T1428</f>
        <v>-50</v>
      </c>
      <c r="T730" s="35">
        <f t="shared" si="160"/>
        <v>0</v>
      </c>
      <c r="U730" s="20" t="s">
        <v>706</v>
      </c>
    </row>
    <row r="731" spans="1:21" ht="33">
      <c r="A731" s="61" t="str">
        <f ca="1">IF(ISERROR(MATCH(B731,Код_КЦСР,0)),"",INDIRECT(ADDRESS(MATCH(B731,Код_КЦСР,0)+1,2,,,"КЦСР")))</f>
        <v>Муниципальная программа «iCity – Современные информационные технологии г. Череповца»  на 2014-2020 годы</v>
      </c>
      <c r="B731" s="43" t="s">
        <v>578</v>
      </c>
      <c r="C731" s="8"/>
      <c r="D731" s="1"/>
      <c r="E731" s="113"/>
      <c r="F731" s="7">
        <f>F732+F738</f>
        <v>46345.3</v>
      </c>
      <c r="G731" s="7">
        <f>G732+G738</f>
        <v>0</v>
      </c>
      <c r="H731" s="35">
        <f t="shared" si="165"/>
        <v>46345.3</v>
      </c>
      <c r="I731" s="7">
        <f>I732+I738</f>
        <v>2175.6999999999998</v>
      </c>
      <c r="J731" s="35">
        <f t="shared" si="162"/>
        <v>48521</v>
      </c>
      <c r="K731" s="7">
        <f>K732+K738</f>
        <v>-642.5</v>
      </c>
      <c r="L731" s="35">
        <f t="shared" si="158"/>
        <v>47878.5</v>
      </c>
      <c r="M731" s="7">
        <f>M732+M738</f>
        <v>41.6</v>
      </c>
      <c r="N731" s="35">
        <f t="shared" si="159"/>
        <v>47920.1</v>
      </c>
      <c r="O731" s="7">
        <f>O732+O738</f>
        <v>1200</v>
      </c>
      <c r="P731" s="35">
        <f t="shared" si="155"/>
        <v>49120.1</v>
      </c>
      <c r="Q731" s="7">
        <f>Q732+Q738</f>
        <v>12.700000000000003</v>
      </c>
      <c r="R731" s="35">
        <f t="shared" si="156"/>
        <v>49132.799999999996</v>
      </c>
      <c r="S731" s="7">
        <f>S732+S738</f>
        <v>0</v>
      </c>
      <c r="T731" s="35">
        <f t="shared" si="160"/>
        <v>49132.799999999996</v>
      </c>
    </row>
    <row r="732" spans="1:21" ht="56.25" customHeight="1">
      <c r="A732" s="61" t="str">
        <f ca="1">IF(ISERROR(MATCH(B732,Код_КЦСР,0)),"",INDIRECT(ADDRESS(MATCH(B732,Код_КЦСР,0)+1,2,,,"КЦСР")))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732" s="43" t="s">
        <v>580</v>
      </c>
      <c r="C732" s="8"/>
      <c r="D732" s="1"/>
      <c r="E732" s="113"/>
      <c r="F732" s="7">
        <f t="shared" ref="F732:S736" si="174">F733</f>
        <v>736</v>
      </c>
      <c r="G732" s="7">
        <f t="shared" si="174"/>
        <v>0</v>
      </c>
      <c r="H732" s="35">
        <f t="shared" si="165"/>
        <v>736</v>
      </c>
      <c r="I732" s="7">
        <f t="shared" si="174"/>
        <v>500</v>
      </c>
      <c r="J732" s="35">
        <f t="shared" si="162"/>
        <v>1236</v>
      </c>
      <c r="K732" s="7">
        <f t="shared" si="174"/>
        <v>0</v>
      </c>
      <c r="L732" s="35">
        <f t="shared" si="158"/>
        <v>1236</v>
      </c>
      <c r="M732" s="7">
        <f t="shared" si="174"/>
        <v>0</v>
      </c>
      <c r="N732" s="35">
        <f t="shared" si="159"/>
        <v>1236</v>
      </c>
      <c r="O732" s="7">
        <f t="shared" si="174"/>
        <v>0</v>
      </c>
      <c r="P732" s="35">
        <f t="shared" ref="P732:P810" si="175">N732+O732</f>
        <v>1236</v>
      </c>
      <c r="Q732" s="7">
        <f t="shared" si="174"/>
        <v>137.9</v>
      </c>
      <c r="R732" s="35">
        <f t="shared" ref="R732:R810" si="176">P732+Q732</f>
        <v>1373.9</v>
      </c>
      <c r="S732" s="7">
        <f t="shared" si="174"/>
        <v>81.2</v>
      </c>
      <c r="T732" s="35">
        <f t="shared" si="160"/>
        <v>1455.1000000000001</v>
      </c>
    </row>
    <row r="733" spans="1:21">
      <c r="A733" s="61" t="str">
        <f ca="1">IF(ISERROR(MATCH(C733,Код_Раздел,0)),"",INDIRECT(ADDRESS(MATCH(C733,Код_Раздел,0)+1,2,,,"Раздел")))</f>
        <v>Национальная экономика</v>
      </c>
      <c r="B733" s="43" t="s">
        <v>580</v>
      </c>
      <c r="C733" s="8" t="s">
        <v>214</v>
      </c>
      <c r="D733" s="1"/>
      <c r="E733" s="113"/>
      <c r="F733" s="7">
        <f t="shared" si="174"/>
        <v>736</v>
      </c>
      <c r="G733" s="7">
        <f t="shared" si="174"/>
        <v>0</v>
      </c>
      <c r="H733" s="35">
        <f t="shared" si="165"/>
        <v>736</v>
      </c>
      <c r="I733" s="7">
        <f t="shared" si="174"/>
        <v>500</v>
      </c>
      <c r="J733" s="35">
        <f t="shared" si="162"/>
        <v>1236</v>
      </c>
      <c r="K733" s="7">
        <f t="shared" si="174"/>
        <v>0</v>
      </c>
      <c r="L733" s="35">
        <f t="shared" si="158"/>
        <v>1236</v>
      </c>
      <c r="M733" s="7">
        <f t="shared" si="174"/>
        <v>0</v>
      </c>
      <c r="N733" s="35">
        <f t="shared" si="159"/>
        <v>1236</v>
      </c>
      <c r="O733" s="7">
        <f t="shared" si="174"/>
        <v>0</v>
      </c>
      <c r="P733" s="35">
        <f t="shared" si="175"/>
        <v>1236</v>
      </c>
      <c r="Q733" s="7">
        <f t="shared" si="174"/>
        <v>137.9</v>
      </c>
      <c r="R733" s="35">
        <f t="shared" si="176"/>
        <v>1373.9</v>
      </c>
      <c r="S733" s="7">
        <f t="shared" si="174"/>
        <v>81.2</v>
      </c>
      <c r="T733" s="35">
        <f t="shared" si="160"/>
        <v>1455.1000000000001</v>
      </c>
    </row>
    <row r="734" spans="1:21">
      <c r="A734" s="12" t="s">
        <v>228</v>
      </c>
      <c r="B734" s="43" t="s">
        <v>580</v>
      </c>
      <c r="C734" s="8" t="s">
        <v>214</v>
      </c>
      <c r="D734" s="1" t="s">
        <v>186</v>
      </c>
      <c r="E734" s="113"/>
      <c r="F734" s="7">
        <f t="shared" si="174"/>
        <v>736</v>
      </c>
      <c r="G734" s="7">
        <f t="shared" si="174"/>
        <v>0</v>
      </c>
      <c r="H734" s="35">
        <f t="shared" si="165"/>
        <v>736</v>
      </c>
      <c r="I734" s="7">
        <f t="shared" si="174"/>
        <v>500</v>
      </c>
      <c r="J734" s="35">
        <f t="shared" si="162"/>
        <v>1236</v>
      </c>
      <c r="K734" s="7">
        <f t="shared" si="174"/>
        <v>0</v>
      </c>
      <c r="L734" s="35">
        <f t="shared" si="158"/>
        <v>1236</v>
      </c>
      <c r="M734" s="7">
        <f t="shared" si="174"/>
        <v>0</v>
      </c>
      <c r="N734" s="35">
        <f t="shared" si="159"/>
        <v>1236</v>
      </c>
      <c r="O734" s="7">
        <f t="shared" si="174"/>
        <v>0</v>
      </c>
      <c r="P734" s="35">
        <f t="shared" si="175"/>
        <v>1236</v>
      </c>
      <c r="Q734" s="7">
        <f t="shared" si="174"/>
        <v>137.9</v>
      </c>
      <c r="R734" s="35">
        <f t="shared" si="176"/>
        <v>1373.9</v>
      </c>
      <c r="S734" s="7">
        <f t="shared" si="174"/>
        <v>81.2</v>
      </c>
      <c r="T734" s="35">
        <f t="shared" si="160"/>
        <v>1455.1000000000001</v>
      </c>
    </row>
    <row r="735" spans="1:21" ht="36.75" customHeight="1">
      <c r="A735" s="61" t="str">
        <f ca="1">IF(ISERROR(MATCH(E735,Код_КВР,0)),"",INDIRECT(ADDRESS(MATCH(E735,Код_КВР,0)+1,2,,,"КВР")))</f>
        <v>Предоставление субсидий бюджетным, автономным учреждениям и иным некоммерческим организациям</v>
      </c>
      <c r="B735" s="43" t="s">
        <v>580</v>
      </c>
      <c r="C735" s="8" t="s">
        <v>214</v>
      </c>
      <c r="D735" s="1" t="s">
        <v>186</v>
      </c>
      <c r="E735" s="113">
        <v>600</v>
      </c>
      <c r="F735" s="7">
        <f t="shared" si="174"/>
        <v>736</v>
      </c>
      <c r="G735" s="7">
        <f t="shared" si="174"/>
        <v>0</v>
      </c>
      <c r="H735" s="35">
        <f t="shared" si="165"/>
        <v>736</v>
      </c>
      <c r="I735" s="7">
        <f t="shared" si="174"/>
        <v>500</v>
      </c>
      <c r="J735" s="35">
        <f t="shared" si="162"/>
        <v>1236</v>
      </c>
      <c r="K735" s="7">
        <f t="shared" si="174"/>
        <v>0</v>
      </c>
      <c r="L735" s="35">
        <f t="shared" si="158"/>
        <v>1236</v>
      </c>
      <c r="M735" s="7">
        <f t="shared" si="174"/>
        <v>0</v>
      </c>
      <c r="N735" s="35">
        <f t="shared" si="159"/>
        <v>1236</v>
      </c>
      <c r="O735" s="7">
        <f t="shared" si="174"/>
        <v>0</v>
      </c>
      <c r="P735" s="35">
        <f t="shared" si="175"/>
        <v>1236</v>
      </c>
      <c r="Q735" s="7">
        <f t="shared" si="174"/>
        <v>137.9</v>
      </c>
      <c r="R735" s="35">
        <f t="shared" si="176"/>
        <v>1373.9</v>
      </c>
      <c r="S735" s="7">
        <f t="shared" si="174"/>
        <v>81.2</v>
      </c>
      <c r="T735" s="35">
        <f t="shared" si="160"/>
        <v>1455.1000000000001</v>
      </c>
    </row>
    <row r="736" spans="1:21">
      <c r="A736" s="61" t="str">
        <f ca="1">IF(ISERROR(MATCH(E736,Код_КВР,0)),"",INDIRECT(ADDRESS(MATCH(E736,Код_КВР,0)+1,2,,,"КВР")))</f>
        <v>Субсидии бюджетным учреждениям</v>
      </c>
      <c r="B736" s="43" t="s">
        <v>580</v>
      </c>
      <c r="C736" s="8" t="s">
        <v>214</v>
      </c>
      <c r="D736" s="1" t="s">
        <v>186</v>
      </c>
      <c r="E736" s="113">
        <v>610</v>
      </c>
      <c r="F736" s="7">
        <f t="shared" si="174"/>
        <v>736</v>
      </c>
      <c r="G736" s="7">
        <f t="shared" si="174"/>
        <v>0</v>
      </c>
      <c r="H736" s="35">
        <f t="shared" si="165"/>
        <v>736</v>
      </c>
      <c r="I736" s="7">
        <f t="shared" si="174"/>
        <v>500</v>
      </c>
      <c r="J736" s="35">
        <f t="shared" si="162"/>
        <v>1236</v>
      </c>
      <c r="K736" s="7">
        <f t="shared" si="174"/>
        <v>0</v>
      </c>
      <c r="L736" s="35">
        <f t="shared" si="158"/>
        <v>1236</v>
      </c>
      <c r="M736" s="7">
        <f t="shared" si="174"/>
        <v>0</v>
      </c>
      <c r="N736" s="35">
        <f t="shared" si="159"/>
        <v>1236</v>
      </c>
      <c r="O736" s="7">
        <f t="shared" si="174"/>
        <v>0</v>
      </c>
      <c r="P736" s="35">
        <f t="shared" si="175"/>
        <v>1236</v>
      </c>
      <c r="Q736" s="7">
        <f t="shared" si="174"/>
        <v>137.9</v>
      </c>
      <c r="R736" s="35">
        <f t="shared" si="176"/>
        <v>1373.9</v>
      </c>
      <c r="S736" s="7">
        <f t="shared" si="174"/>
        <v>81.2</v>
      </c>
      <c r="T736" s="35">
        <f t="shared" si="160"/>
        <v>1455.1000000000001</v>
      </c>
    </row>
    <row r="737" spans="1:20">
      <c r="A737" s="61" t="str">
        <f ca="1">IF(ISERROR(MATCH(E737,Код_КВР,0)),"",INDIRECT(ADDRESS(MATCH(E737,Код_КВР,0)+1,2,,,"КВР")))</f>
        <v>Субсидии бюджетным учреждениям на иные цели</v>
      </c>
      <c r="B737" s="43" t="s">
        <v>580</v>
      </c>
      <c r="C737" s="8" t="s">
        <v>214</v>
      </c>
      <c r="D737" s="1" t="s">
        <v>186</v>
      </c>
      <c r="E737" s="113">
        <v>612</v>
      </c>
      <c r="F737" s="7">
        <f>прил.6!G250</f>
        <v>736</v>
      </c>
      <c r="G737" s="7">
        <f>прил.6!H250</f>
        <v>0</v>
      </c>
      <c r="H737" s="35">
        <f t="shared" si="165"/>
        <v>736</v>
      </c>
      <c r="I737" s="7">
        <f>прил.6!J250</f>
        <v>500</v>
      </c>
      <c r="J737" s="35">
        <f t="shared" si="162"/>
        <v>1236</v>
      </c>
      <c r="K737" s="7">
        <f>прил.6!L250</f>
        <v>0</v>
      </c>
      <c r="L737" s="35">
        <f t="shared" si="158"/>
        <v>1236</v>
      </c>
      <c r="M737" s="7">
        <f>прил.6!N250</f>
        <v>0</v>
      </c>
      <c r="N737" s="35">
        <f t="shared" si="159"/>
        <v>1236</v>
      </c>
      <c r="O737" s="7">
        <f>прил.6!P250</f>
        <v>0</v>
      </c>
      <c r="P737" s="35">
        <f t="shared" si="175"/>
        <v>1236</v>
      </c>
      <c r="Q737" s="7">
        <f>прил.6!R250</f>
        <v>137.9</v>
      </c>
      <c r="R737" s="35">
        <f t="shared" si="176"/>
        <v>1373.9</v>
      </c>
      <c r="S737" s="7">
        <f>прил.6!T250</f>
        <v>81.2</v>
      </c>
      <c r="T737" s="35">
        <f t="shared" si="160"/>
        <v>1455.1000000000001</v>
      </c>
    </row>
    <row r="738" spans="1:20" ht="85.5" customHeight="1">
      <c r="A738" s="61" t="str">
        <f ca="1">IF(ISERROR(MATCH(B738,Код_КЦСР,0)),"",INDIRECT(ADDRESS(MATCH(B738,Код_КЦСР,0)+1,2,,,"КЦСР")))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738" s="43" t="s">
        <v>581</v>
      </c>
      <c r="C738" s="8"/>
      <c r="D738" s="1"/>
      <c r="E738" s="113"/>
      <c r="F738" s="7">
        <f t="shared" ref="F738:S741" si="177">F739</f>
        <v>45609.3</v>
      </c>
      <c r="G738" s="7">
        <f t="shared" si="177"/>
        <v>0</v>
      </c>
      <c r="H738" s="35">
        <f t="shared" si="165"/>
        <v>45609.3</v>
      </c>
      <c r="I738" s="7">
        <f t="shared" si="177"/>
        <v>1675.7</v>
      </c>
      <c r="J738" s="35">
        <f t="shared" si="162"/>
        <v>47285</v>
      </c>
      <c r="K738" s="7">
        <f t="shared" si="177"/>
        <v>-642.5</v>
      </c>
      <c r="L738" s="35">
        <f t="shared" si="158"/>
        <v>46642.5</v>
      </c>
      <c r="M738" s="7">
        <f t="shared" si="177"/>
        <v>41.6</v>
      </c>
      <c r="N738" s="35">
        <f t="shared" si="159"/>
        <v>46684.1</v>
      </c>
      <c r="O738" s="7">
        <f t="shared" si="177"/>
        <v>1200</v>
      </c>
      <c r="P738" s="35">
        <f t="shared" si="175"/>
        <v>47884.1</v>
      </c>
      <c r="Q738" s="7">
        <f t="shared" si="177"/>
        <v>-125.2</v>
      </c>
      <c r="R738" s="35">
        <f t="shared" si="176"/>
        <v>47758.9</v>
      </c>
      <c r="S738" s="7">
        <f t="shared" si="177"/>
        <v>-81.199999999999989</v>
      </c>
      <c r="T738" s="35">
        <f t="shared" si="160"/>
        <v>47677.700000000004</v>
      </c>
    </row>
    <row r="739" spans="1:20">
      <c r="A739" s="61" t="str">
        <f ca="1">IF(ISERROR(MATCH(C739,Код_Раздел,0)),"",INDIRECT(ADDRESS(MATCH(C739,Код_Раздел,0)+1,2,,,"Раздел")))</f>
        <v>Национальная экономика</v>
      </c>
      <c r="B739" s="43" t="s">
        <v>581</v>
      </c>
      <c r="C739" s="8" t="s">
        <v>214</v>
      </c>
      <c r="D739" s="1"/>
      <c r="E739" s="113"/>
      <c r="F739" s="7">
        <f t="shared" si="177"/>
        <v>45609.3</v>
      </c>
      <c r="G739" s="7">
        <f t="shared" si="177"/>
        <v>0</v>
      </c>
      <c r="H739" s="35">
        <f t="shared" si="165"/>
        <v>45609.3</v>
      </c>
      <c r="I739" s="7">
        <f t="shared" si="177"/>
        <v>1675.7</v>
      </c>
      <c r="J739" s="35">
        <f t="shared" si="162"/>
        <v>47285</v>
      </c>
      <c r="K739" s="7">
        <f t="shared" si="177"/>
        <v>-642.5</v>
      </c>
      <c r="L739" s="35">
        <f t="shared" si="158"/>
        <v>46642.5</v>
      </c>
      <c r="M739" s="7">
        <f t="shared" si="177"/>
        <v>41.6</v>
      </c>
      <c r="N739" s="35">
        <f t="shared" si="159"/>
        <v>46684.1</v>
      </c>
      <c r="O739" s="7">
        <f t="shared" si="177"/>
        <v>1200</v>
      </c>
      <c r="P739" s="35">
        <f t="shared" si="175"/>
        <v>47884.1</v>
      </c>
      <c r="Q739" s="7">
        <f t="shared" si="177"/>
        <v>-125.2</v>
      </c>
      <c r="R739" s="35">
        <f t="shared" si="176"/>
        <v>47758.9</v>
      </c>
      <c r="S739" s="7">
        <f t="shared" si="177"/>
        <v>-81.199999999999989</v>
      </c>
      <c r="T739" s="35">
        <f t="shared" si="160"/>
        <v>47677.700000000004</v>
      </c>
    </row>
    <row r="740" spans="1:20">
      <c r="A740" s="12" t="s">
        <v>228</v>
      </c>
      <c r="B740" s="43" t="s">
        <v>581</v>
      </c>
      <c r="C740" s="8" t="s">
        <v>214</v>
      </c>
      <c r="D740" s="1" t="s">
        <v>186</v>
      </c>
      <c r="E740" s="113"/>
      <c r="F740" s="7">
        <f t="shared" si="177"/>
        <v>45609.3</v>
      </c>
      <c r="G740" s="7">
        <f t="shared" si="177"/>
        <v>0</v>
      </c>
      <c r="H740" s="35">
        <f t="shared" si="165"/>
        <v>45609.3</v>
      </c>
      <c r="I740" s="7">
        <f t="shared" si="177"/>
        <v>1675.7</v>
      </c>
      <c r="J740" s="35">
        <f t="shared" si="162"/>
        <v>47285</v>
      </c>
      <c r="K740" s="7">
        <f t="shared" si="177"/>
        <v>-642.5</v>
      </c>
      <c r="L740" s="35">
        <f t="shared" ref="L740:L825" si="178">J740+K740</f>
        <v>46642.5</v>
      </c>
      <c r="M740" s="7">
        <f t="shared" si="177"/>
        <v>41.6</v>
      </c>
      <c r="N740" s="35">
        <f t="shared" ref="N740:N830" si="179">L740+M740</f>
        <v>46684.1</v>
      </c>
      <c r="O740" s="7">
        <f t="shared" si="177"/>
        <v>1200</v>
      </c>
      <c r="P740" s="35">
        <f t="shared" si="175"/>
        <v>47884.1</v>
      </c>
      <c r="Q740" s="7">
        <f t="shared" si="177"/>
        <v>-125.2</v>
      </c>
      <c r="R740" s="35">
        <f t="shared" si="176"/>
        <v>47758.9</v>
      </c>
      <c r="S740" s="7">
        <f t="shared" si="177"/>
        <v>-81.199999999999989</v>
      </c>
      <c r="T740" s="35">
        <f t="shared" si="160"/>
        <v>47677.700000000004</v>
      </c>
    </row>
    <row r="741" spans="1:20" ht="35.25" customHeight="1">
      <c r="A741" s="61" t="str">
        <f ca="1">IF(ISERROR(MATCH(E741,Код_КВР,0)),"",INDIRECT(ADDRESS(MATCH(E741,Код_КВР,0)+1,2,,,"КВР")))</f>
        <v>Предоставление субсидий бюджетным, автономным учреждениям и иным некоммерческим организациям</v>
      </c>
      <c r="B741" s="43" t="s">
        <v>581</v>
      </c>
      <c r="C741" s="8" t="s">
        <v>214</v>
      </c>
      <c r="D741" s="1" t="s">
        <v>186</v>
      </c>
      <c r="E741" s="113">
        <v>600</v>
      </c>
      <c r="F741" s="7">
        <f t="shared" si="177"/>
        <v>45609.3</v>
      </c>
      <c r="G741" s="7">
        <f t="shared" si="177"/>
        <v>0</v>
      </c>
      <c r="H741" s="35">
        <f t="shared" si="165"/>
        <v>45609.3</v>
      </c>
      <c r="I741" s="7">
        <f t="shared" si="177"/>
        <v>1675.7</v>
      </c>
      <c r="J741" s="35">
        <f t="shared" si="162"/>
        <v>47285</v>
      </c>
      <c r="K741" s="7">
        <f t="shared" si="177"/>
        <v>-642.5</v>
      </c>
      <c r="L741" s="35">
        <f t="shared" si="178"/>
        <v>46642.5</v>
      </c>
      <c r="M741" s="7">
        <f t="shared" si="177"/>
        <v>41.6</v>
      </c>
      <c r="N741" s="35">
        <f t="shared" si="179"/>
        <v>46684.1</v>
      </c>
      <c r="O741" s="7">
        <f t="shared" si="177"/>
        <v>1200</v>
      </c>
      <c r="P741" s="35">
        <f t="shared" si="175"/>
        <v>47884.1</v>
      </c>
      <c r="Q741" s="7">
        <f t="shared" si="177"/>
        <v>-125.2</v>
      </c>
      <c r="R741" s="35">
        <f t="shared" si="176"/>
        <v>47758.9</v>
      </c>
      <c r="S741" s="7">
        <f t="shared" si="177"/>
        <v>-81.199999999999989</v>
      </c>
      <c r="T741" s="35">
        <f t="shared" ref="T741:T817" si="180">R741+S741</f>
        <v>47677.700000000004</v>
      </c>
    </row>
    <row r="742" spans="1:20">
      <c r="A742" s="61" t="str">
        <f ca="1">IF(ISERROR(MATCH(E742,Код_КВР,0)),"",INDIRECT(ADDRESS(MATCH(E742,Код_КВР,0)+1,2,,,"КВР")))</f>
        <v>Субсидии бюджетным учреждениям</v>
      </c>
      <c r="B742" s="43" t="s">
        <v>581</v>
      </c>
      <c r="C742" s="8" t="s">
        <v>214</v>
      </c>
      <c r="D742" s="1" t="s">
        <v>186</v>
      </c>
      <c r="E742" s="113">
        <v>610</v>
      </c>
      <c r="F742" s="7">
        <f>SUM(F743:F744)</f>
        <v>45609.3</v>
      </c>
      <c r="G742" s="7">
        <f>SUM(G743:G744)</f>
        <v>0</v>
      </c>
      <c r="H742" s="35">
        <f t="shared" si="165"/>
        <v>45609.3</v>
      </c>
      <c r="I742" s="7">
        <f>SUM(I743:I744)</f>
        <v>1675.7</v>
      </c>
      <c r="J742" s="35">
        <f t="shared" si="162"/>
        <v>47285</v>
      </c>
      <c r="K742" s="7">
        <f>SUM(K743:K744)</f>
        <v>-642.5</v>
      </c>
      <c r="L742" s="35">
        <f t="shared" si="178"/>
        <v>46642.5</v>
      </c>
      <c r="M742" s="7">
        <f>SUM(M743:M744)</f>
        <v>41.6</v>
      </c>
      <c r="N742" s="35">
        <f t="shared" si="179"/>
        <v>46684.1</v>
      </c>
      <c r="O742" s="7">
        <f>SUM(O743:O744)</f>
        <v>1200</v>
      </c>
      <c r="P742" s="35">
        <f t="shared" si="175"/>
        <v>47884.1</v>
      </c>
      <c r="Q742" s="7">
        <f>SUM(Q743:Q744)</f>
        <v>-125.2</v>
      </c>
      <c r="R742" s="35">
        <f t="shared" si="176"/>
        <v>47758.9</v>
      </c>
      <c r="S742" s="7">
        <f>SUM(S743:S744)</f>
        <v>-81.199999999999989</v>
      </c>
      <c r="T742" s="35">
        <f t="shared" si="180"/>
        <v>47677.700000000004</v>
      </c>
    </row>
    <row r="743" spans="1:20" ht="53.25" customHeight="1">
      <c r="A743" s="61" t="str">
        <f ca="1">IF(ISERROR(MATCH(E743,Код_КВР,0)),"",INDIRECT(ADDRESS(MATCH(E743,Код_КВР,0)+1,2,,,"КВР")))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43" s="43" t="s">
        <v>581</v>
      </c>
      <c r="C743" s="8" t="s">
        <v>214</v>
      </c>
      <c r="D743" s="1" t="s">
        <v>186</v>
      </c>
      <c r="E743" s="113">
        <v>611</v>
      </c>
      <c r="F743" s="7">
        <f>прил.6!G254</f>
        <v>42162.3</v>
      </c>
      <c r="G743" s="7">
        <f>прил.6!H254</f>
        <v>0</v>
      </c>
      <c r="H743" s="35">
        <f t="shared" si="165"/>
        <v>42162.3</v>
      </c>
      <c r="I743" s="7">
        <f>прил.6!J254</f>
        <v>1545.7</v>
      </c>
      <c r="J743" s="35">
        <f t="shared" si="162"/>
        <v>43708</v>
      </c>
      <c r="K743" s="7">
        <f>прил.6!L254</f>
        <v>-642.5</v>
      </c>
      <c r="L743" s="35">
        <f t="shared" si="178"/>
        <v>43065.5</v>
      </c>
      <c r="M743" s="7">
        <f>прил.6!N254</f>
        <v>0</v>
      </c>
      <c r="N743" s="35">
        <f t="shared" si="179"/>
        <v>43065.5</v>
      </c>
      <c r="O743" s="7">
        <f>прил.6!P254</f>
        <v>0</v>
      </c>
      <c r="P743" s="35">
        <f t="shared" si="175"/>
        <v>43065.5</v>
      </c>
      <c r="Q743" s="7">
        <f>прил.6!R254</f>
        <v>0</v>
      </c>
      <c r="R743" s="35">
        <f t="shared" si="176"/>
        <v>43065.5</v>
      </c>
      <c r="S743" s="7">
        <f>прил.6!T254</f>
        <v>0</v>
      </c>
      <c r="T743" s="35">
        <f t="shared" si="180"/>
        <v>43065.5</v>
      </c>
    </row>
    <row r="744" spans="1:20">
      <c r="A744" s="61" t="str">
        <f ca="1">IF(ISERROR(MATCH(E744,Код_КВР,0)),"",INDIRECT(ADDRESS(MATCH(E744,Код_КВР,0)+1,2,,,"КВР")))</f>
        <v>Субсидии бюджетным учреждениям на иные цели</v>
      </c>
      <c r="B744" s="43" t="s">
        <v>581</v>
      </c>
      <c r="C744" s="8" t="s">
        <v>214</v>
      </c>
      <c r="D744" s="1" t="s">
        <v>186</v>
      </c>
      <c r="E744" s="113">
        <v>612</v>
      </c>
      <c r="F744" s="7">
        <f>прил.6!G255</f>
        <v>3447</v>
      </c>
      <c r="G744" s="7">
        <f>прил.6!H255</f>
        <v>0</v>
      </c>
      <c r="H744" s="35">
        <f t="shared" si="165"/>
        <v>3447</v>
      </c>
      <c r="I744" s="7">
        <f>прил.6!J255</f>
        <v>130</v>
      </c>
      <c r="J744" s="35">
        <f t="shared" si="162"/>
        <v>3577</v>
      </c>
      <c r="K744" s="7">
        <f>прил.6!L255</f>
        <v>0</v>
      </c>
      <c r="L744" s="35">
        <f t="shared" si="178"/>
        <v>3577</v>
      </c>
      <c r="M744" s="7">
        <f>прил.6!N255</f>
        <v>41.6</v>
      </c>
      <c r="N744" s="35">
        <f t="shared" si="179"/>
        <v>3618.6</v>
      </c>
      <c r="O744" s="7">
        <f>прил.6!P255</f>
        <v>1200</v>
      </c>
      <c r="P744" s="35">
        <f t="shared" si="175"/>
        <v>4818.6000000000004</v>
      </c>
      <c r="Q744" s="7">
        <f>прил.6!R255</f>
        <v>-125.2</v>
      </c>
      <c r="R744" s="35">
        <f t="shared" si="176"/>
        <v>4693.4000000000005</v>
      </c>
      <c r="S744" s="7">
        <f>прил.6!T255</f>
        <v>-81.199999999999989</v>
      </c>
      <c r="T744" s="35">
        <f t="shared" si="180"/>
        <v>4612.2000000000007</v>
      </c>
    </row>
    <row r="745" spans="1:20" ht="35.25" customHeight="1">
      <c r="A745" s="61" t="str">
        <f ca="1">IF(ISERROR(MATCH(B745,Код_КЦСР,0)),"",INDIRECT(ADDRESS(MATCH(B745,Код_КЦСР,0)+1,2,,,"КЦСР")))</f>
        <v>Муниципальная программа «Развитие внутреннего и въездного туризма в г. Череповце» на 2014-2022 годы</v>
      </c>
      <c r="B745" s="45" t="s">
        <v>1</v>
      </c>
      <c r="C745" s="8"/>
      <c r="D745" s="1"/>
      <c r="E745" s="113"/>
      <c r="F745" s="7">
        <f>F746+F757</f>
        <v>91.4</v>
      </c>
      <c r="G745" s="7">
        <f>G746+G757</f>
        <v>0</v>
      </c>
      <c r="H745" s="35">
        <f t="shared" si="165"/>
        <v>91.4</v>
      </c>
      <c r="I745" s="7">
        <f>I746+I757</f>
        <v>0</v>
      </c>
      <c r="J745" s="35">
        <f t="shared" si="162"/>
        <v>91.4</v>
      </c>
      <c r="K745" s="7">
        <f>K746+K757</f>
        <v>0</v>
      </c>
      <c r="L745" s="35">
        <f t="shared" si="178"/>
        <v>91.4</v>
      </c>
      <c r="M745" s="7">
        <f>M746+M757</f>
        <v>0</v>
      </c>
      <c r="N745" s="35">
        <f t="shared" si="179"/>
        <v>91.4</v>
      </c>
      <c r="O745" s="7">
        <f>O746+O757</f>
        <v>0</v>
      </c>
      <c r="P745" s="35">
        <f t="shared" si="175"/>
        <v>91.4</v>
      </c>
      <c r="Q745" s="7">
        <f>Q746+Q757</f>
        <v>0</v>
      </c>
      <c r="R745" s="35">
        <f t="shared" si="176"/>
        <v>91.4</v>
      </c>
      <c r="S745" s="7">
        <f>S746+S757</f>
        <v>0</v>
      </c>
      <c r="T745" s="35">
        <f t="shared" si="180"/>
        <v>91.4</v>
      </c>
    </row>
    <row r="746" spans="1:20" ht="35.25" customHeight="1">
      <c r="A746" s="61" t="str">
        <f ca="1">IF(ISERROR(MATCH(B746,Код_КЦСР,0)),"",INDIRECT(ADDRESS(MATCH(B746,Код_КЦСР,0)+1,2,,,"КЦСР")))</f>
        <v>Продвижение городского туристского продукта на российском рынке</v>
      </c>
      <c r="B746" s="45" t="s">
        <v>2</v>
      </c>
      <c r="C746" s="8"/>
      <c r="D746" s="1"/>
      <c r="E746" s="113"/>
      <c r="F746" s="7">
        <f>F747</f>
        <v>63.4</v>
      </c>
      <c r="G746" s="7">
        <f>G747</f>
        <v>0</v>
      </c>
      <c r="H746" s="35">
        <f t="shared" si="165"/>
        <v>63.4</v>
      </c>
      <c r="I746" s="7">
        <f>I747</f>
        <v>0</v>
      </c>
      <c r="J746" s="35">
        <f t="shared" ref="J746:J858" si="181">H746+I746</f>
        <v>63.4</v>
      </c>
      <c r="K746" s="7">
        <f>K747</f>
        <v>0</v>
      </c>
      <c r="L746" s="35">
        <f t="shared" si="178"/>
        <v>63.4</v>
      </c>
      <c r="M746" s="7">
        <f>M747</f>
        <v>0</v>
      </c>
      <c r="N746" s="35">
        <f t="shared" si="179"/>
        <v>63.4</v>
      </c>
      <c r="O746" s="7">
        <f>O747</f>
        <v>0</v>
      </c>
      <c r="P746" s="35">
        <f t="shared" si="175"/>
        <v>63.4</v>
      </c>
      <c r="Q746" s="7">
        <f>Q747</f>
        <v>0</v>
      </c>
      <c r="R746" s="35">
        <f t="shared" si="176"/>
        <v>63.4</v>
      </c>
      <c r="S746" s="7">
        <f>S747</f>
        <v>0</v>
      </c>
      <c r="T746" s="35">
        <f t="shared" si="180"/>
        <v>63.4</v>
      </c>
    </row>
    <row r="747" spans="1:20">
      <c r="A747" s="61" t="str">
        <f ca="1">IF(ISERROR(MATCH(C747,Код_Раздел,0)),"",INDIRECT(ADDRESS(MATCH(C747,Код_Раздел,0)+1,2,,,"Раздел")))</f>
        <v>Национальная экономика</v>
      </c>
      <c r="B747" s="45" t="s">
        <v>2</v>
      </c>
      <c r="C747" s="8" t="s">
        <v>214</v>
      </c>
      <c r="D747" s="1"/>
      <c r="E747" s="113"/>
      <c r="F747" s="7">
        <f>F748</f>
        <v>63.4</v>
      </c>
      <c r="G747" s="7">
        <f>G748</f>
        <v>0</v>
      </c>
      <c r="H747" s="35">
        <f t="shared" si="165"/>
        <v>63.4</v>
      </c>
      <c r="I747" s="7">
        <f>I748</f>
        <v>0</v>
      </c>
      <c r="J747" s="35">
        <f t="shared" si="181"/>
        <v>63.4</v>
      </c>
      <c r="K747" s="7">
        <f>K748</f>
        <v>0</v>
      </c>
      <c r="L747" s="35">
        <f t="shared" si="178"/>
        <v>63.4</v>
      </c>
      <c r="M747" s="7">
        <f>M748</f>
        <v>0</v>
      </c>
      <c r="N747" s="35">
        <f t="shared" si="179"/>
        <v>63.4</v>
      </c>
      <c r="O747" s="7">
        <f>O748</f>
        <v>0</v>
      </c>
      <c r="P747" s="35">
        <f t="shared" si="175"/>
        <v>63.4</v>
      </c>
      <c r="Q747" s="7">
        <f>Q748</f>
        <v>0</v>
      </c>
      <c r="R747" s="35">
        <f t="shared" si="176"/>
        <v>63.4</v>
      </c>
      <c r="S747" s="7">
        <f>S748</f>
        <v>0</v>
      </c>
      <c r="T747" s="35">
        <f t="shared" si="180"/>
        <v>63.4</v>
      </c>
    </row>
    <row r="748" spans="1:20">
      <c r="A748" s="12" t="s">
        <v>221</v>
      </c>
      <c r="B748" s="45" t="s">
        <v>2</v>
      </c>
      <c r="C748" s="8" t="s">
        <v>214</v>
      </c>
      <c r="D748" s="8" t="s">
        <v>194</v>
      </c>
      <c r="E748" s="113"/>
      <c r="F748" s="7">
        <f>F749+F751+F754</f>
        <v>63.4</v>
      </c>
      <c r="G748" s="7">
        <f>G749+G751+G754</f>
        <v>0</v>
      </c>
      <c r="H748" s="35">
        <f t="shared" si="165"/>
        <v>63.4</v>
      </c>
      <c r="I748" s="7">
        <f>I749+I751+I754</f>
        <v>0</v>
      </c>
      <c r="J748" s="35">
        <f t="shared" si="181"/>
        <v>63.4</v>
      </c>
      <c r="K748" s="7">
        <f>K749+K751+K754</f>
        <v>0</v>
      </c>
      <c r="L748" s="35">
        <f t="shared" si="178"/>
        <v>63.4</v>
      </c>
      <c r="M748" s="7">
        <f>M749+M751+M754</f>
        <v>0</v>
      </c>
      <c r="N748" s="35">
        <f t="shared" si="179"/>
        <v>63.4</v>
      </c>
      <c r="O748" s="7">
        <f>O749+O751+O754</f>
        <v>0</v>
      </c>
      <c r="P748" s="35">
        <f t="shared" si="175"/>
        <v>63.4</v>
      </c>
      <c r="Q748" s="7">
        <f>Q749+Q751+Q754</f>
        <v>0</v>
      </c>
      <c r="R748" s="35">
        <f t="shared" si="176"/>
        <v>63.4</v>
      </c>
      <c r="S748" s="7">
        <f>S749+S751+S754</f>
        <v>0</v>
      </c>
      <c r="T748" s="35">
        <f t="shared" si="180"/>
        <v>63.4</v>
      </c>
    </row>
    <row r="749" spans="1:20" ht="36.75" customHeight="1">
      <c r="A749" s="61" t="str">
        <f t="shared" ref="A749:A756" ca="1" si="182">IF(ISERROR(MATCH(E749,Код_КВР,0)),"",INDIRECT(ADDRESS(MATCH(E749,Код_КВР,0)+1,2,,,"КВР")))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49" s="45" t="s">
        <v>2</v>
      </c>
      <c r="C749" s="8" t="s">
        <v>214</v>
      </c>
      <c r="D749" s="8" t="s">
        <v>194</v>
      </c>
      <c r="E749" s="113">
        <v>100</v>
      </c>
      <c r="F749" s="7">
        <f>F750</f>
        <v>11</v>
      </c>
      <c r="G749" s="7">
        <f>G750</f>
        <v>0</v>
      </c>
      <c r="H749" s="35">
        <f t="shared" si="165"/>
        <v>11</v>
      </c>
      <c r="I749" s="7">
        <f>I750</f>
        <v>0</v>
      </c>
      <c r="J749" s="35">
        <f t="shared" si="181"/>
        <v>11</v>
      </c>
      <c r="K749" s="7">
        <f>K750</f>
        <v>0</v>
      </c>
      <c r="L749" s="35">
        <f t="shared" si="178"/>
        <v>11</v>
      </c>
      <c r="M749" s="7">
        <f>M750</f>
        <v>0</v>
      </c>
      <c r="N749" s="35">
        <f t="shared" si="179"/>
        <v>11</v>
      </c>
      <c r="O749" s="7">
        <f>O750</f>
        <v>0</v>
      </c>
      <c r="P749" s="35">
        <f t="shared" si="175"/>
        <v>11</v>
      </c>
      <c r="Q749" s="7">
        <f>Q750</f>
        <v>0</v>
      </c>
      <c r="R749" s="35">
        <f t="shared" si="176"/>
        <v>11</v>
      </c>
      <c r="S749" s="7">
        <f>S750</f>
        <v>0</v>
      </c>
      <c r="T749" s="35">
        <f t="shared" si="180"/>
        <v>11</v>
      </c>
    </row>
    <row r="750" spans="1:20">
      <c r="A750" s="61" t="str">
        <f t="shared" ca="1" si="182"/>
        <v>Расходы на выплаты персоналу муниципальных органов</v>
      </c>
      <c r="B750" s="45" t="s">
        <v>2</v>
      </c>
      <c r="C750" s="8" t="s">
        <v>214</v>
      </c>
      <c r="D750" s="8" t="s">
        <v>194</v>
      </c>
      <c r="E750" s="113">
        <v>120</v>
      </c>
      <c r="F750" s="7">
        <f>прил.6!G920</f>
        <v>11</v>
      </c>
      <c r="G750" s="7">
        <f>прил.6!H920</f>
        <v>0</v>
      </c>
      <c r="H750" s="35">
        <f t="shared" si="165"/>
        <v>11</v>
      </c>
      <c r="I750" s="7">
        <f>прил.6!J920</f>
        <v>0</v>
      </c>
      <c r="J750" s="35">
        <f t="shared" si="181"/>
        <v>11</v>
      </c>
      <c r="K750" s="7">
        <f>прил.6!L920</f>
        <v>0</v>
      </c>
      <c r="L750" s="35">
        <f t="shared" si="178"/>
        <v>11</v>
      </c>
      <c r="M750" s="7">
        <f>прил.6!N920</f>
        <v>0</v>
      </c>
      <c r="N750" s="35">
        <f t="shared" si="179"/>
        <v>11</v>
      </c>
      <c r="O750" s="7">
        <f>прил.6!P920</f>
        <v>0</v>
      </c>
      <c r="P750" s="35">
        <f t="shared" si="175"/>
        <v>11</v>
      </c>
      <c r="Q750" s="7">
        <f>прил.6!R920</f>
        <v>0</v>
      </c>
      <c r="R750" s="35">
        <f t="shared" si="176"/>
        <v>11</v>
      </c>
      <c r="S750" s="7">
        <f>прил.6!T920</f>
        <v>0</v>
      </c>
      <c r="T750" s="35">
        <f t="shared" si="180"/>
        <v>11</v>
      </c>
    </row>
    <row r="751" spans="1:20">
      <c r="A751" s="61" t="str">
        <f t="shared" ca="1" si="182"/>
        <v>Закупка товаров, работ и услуг для муниципальных нужд</v>
      </c>
      <c r="B751" s="45" t="s">
        <v>2</v>
      </c>
      <c r="C751" s="8" t="s">
        <v>214</v>
      </c>
      <c r="D751" s="8" t="s">
        <v>194</v>
      </c>
      <c r="E751" s="113">
        <v>200</v>
      </c>
      <c r="F751" s="7">
        <f>F752</f>
        <v>22</v>
      </c>
      <c r="G751" s="7">
        <f>G752</f>
        <v>0</v>
      </c>
      <c r="H751" s="35">
        <f t="shared" si="165"/>
        <v>22</v>
      </c>
      <c r="I751" s="7">
        <f>I752</f>
        <v>0</v>
      </c>
      <c r="J751" s="35">
        <f t="shared" si="181"/>
        <v>22</v>
      </c>
      <c r="K751" s="7">
        <f>K752</f>
        <v>0</v>
      </c>
      <c r="L751" s="35">
        <f t="shared" si="178"/>
        <v>22</v>
      </c>
      <c r="M751" s="7">
        <f>M752</f>
        <v>0</v>
      </c>
      <c r="N751" s="35">
        <f t="shared" si="179"/>
        <v>22</v>
      </c>
      <c r="O751" s="7">
        <f>O752</f>
        <v>0</v>
      </c>
      <c r="P751" s="35">
        <f t="shared" si="175"/>
        <v>22</v>
      </c>
      <c r="Q751" s="7">
        <f>Q752</f>
        <v>0</v>
      </c>
      <c r="R751" s="35">
        <f t="shared" si="176"/>
        <v>22</v>
      </c>
      <c r="S751" s="7">
        <f>S752</f>
        <v>0</v>
      </c>
      <c r="T751" s="35">
        <f t="shared" si="180"/>
        <v>22</v>
      </c>
    </row>
    <row r="752" spans="1:20" ht="36" customHeight="1">
      <c r="A752" s="61" t="str">
        <f t="shared" ca="1" si="182"/>
        <v>Иные закупки товаров, работ и услуг для обеспечения муниципальных нужд</v>
      </c>
      <c r="B752" s="45" t="s">
        <v>2</v>
      </c>
      <c r="C752" s="8" t="s">
        <v>214</v>
      </c>
      <c r="D752" s="8" t="s">
        <v>194</v>
      </c>
      <c r="E752" s="113">
        <v>240</v>
      </c>
      <c r="F752" s="7">
        <f>F753</f>
        <v>22</v>
      </c>
      <c r="G752" s="7">
        <f>G753</f>
        <v>0</v>
      </c>
      <c r="H752" s="35">
        <f t="shared" si="165"/>
        <v>22</v>
      </c>
      <c r="I752" s="7">
        <f>I753</f>
        <v>0</v>
      </c>
      <c r="J752" s="35">
        <f t="shared" si="181"/>
        <v>22</v>
      </c>
      <c r="K752" s="7">
        <f>K753</f>
        <v>0</v>
      </c>
      <c r="L752" s="35">
        <f t="shared" si="178"/>
        <v>22</v>
      </c>
      <c r="M752" s="7">
        <f>M753</f>
        <v>0</v>
      </c>
      <c r="N752" s="35">
        <f t="shared" si="179"/>
        <v>22</v>
      </c>
      <c r="O752" s="7">
        <f>O753</f>
        <v>0</v>
      </c>
      <c r="P752" s="35">
        <f t="shared" si="175"/>
        <v>22</v>
      </c>
      <c r="Q752" s="7">
        <f>Q753</f>
        <v>0</v>
      </c>
      <c r="R752" s="35">
        <f t="shared" si="176"/>
        <v>22</v>
      </c>
      <c r="S752" s="7">
        <f>S753</f>
        <v>0</v>
      </c>
      <c r="T752" s="35">
        <f t="shared" si="180"/>
        <v>22</v>
      </c>
    </row>
    <row r="753" spans="1:20" ht="33.75" customHeight="1">
      <c r="A753" s="61" t="str">
        <f t="shared" ca="1" si="182"/>
        <v xml:space="preserve">Прочая закупка товаров, работ и услуг для обеспечения муниципальных нужд         </v>
      </c>
      <c r="B753" s="45" t="s">
        <v>2</v>
      </c>
      <c r="C753" s="8" t="s">
        <v>214</v>
      </c>
      <c r="D753" s="8" t="s">
        <v>194</v>
      </c>
      <c r="E753" s="113">
        <v>244</v>
      </c>
      <c r="F753" s="7">
        <f>прил.6!G302+прил.6!G468+прил.6!G1559</f>
        <v>22</v>
      </c>
      <c r="G753" s="7">
        <f>прил.6!H302+прил.6!H468+прил.6!H1559</f>
        <v>0</v>
      </c>
      <c r="H753" s="35">
        <f t="shared" si="165"/>
        <v>22</v>
      </c>
      <c r="I753" s="7">
        <f>прил.6!J302+прил.6!J468+прил.6!J1559</f>
        <v>0</v>
      </c>
      <c r="J753" s="35">
        <f t="shared" si="181"/>
        <v>22</v>
      </c>
      <c r="K753" s="7">
        <f>прил.6!L302+прил.6!L468+прил.6!L1559</f>
        <v>0</v>
      </c>
      <c r="L753" s="35">
        <f t="shared" si="178"/>
        <v>22</v>
      </c>
      <c r="M753" s="7">
        <f>прил.6!N302+прил.6!N468+прил.6!N1559</f>
        <v>0</v>
      </c>
      <c r="N753" s="35">
        <f t="shared" si="179"/>
        <v>22</v>
      </c>
      <c r="O753" s="7">
        <f>прил.6!P302+прил.6!P468+прил.6!P1559</f>
        <v>0</v>
      </c>
      <c r="P753" s="35">
        <f t="shared" si="175"/>
        <v>22</v>
      </c>
      <c r="Q753" s="7">
        <f>прил.6!R302+прил.6!R468+прил.6!R1559</f>
        <v>0</v>
      </c>
      <c r="R753" s="35">
        <f t="shared" si="176"/>
        <v>22</v>
      </c>
      <c r="S753" s="7">
        <f>прил.6!T302+прил.6!T468+прил.6!T1559</f>
        <v>0</v>
      </c>
      <c r="T753" s="35">
        <f t="shared" si="180"/>
        <v>22</v>
      </c>
    </row>
    <row r="754" spans="1:20" ht="36" customHeight="1">
      <c r="A754" s="61" t="str">
        <f t="shared" ca="1" si="182"/>
        <v>Предоставление субсидий бюджетным, автономным учреждениям и иным некоммерческим организациям</v>
      </c>
      <c r="B754" s="45" t="s">
        <v>2</v>
      </c>
      <c r="C754" s="8" t="s">
        <v>214</v>
      </c>
      <c r="D754" s="8" t="s">
        <v>194</v>
      </c>
      <c r="E754" s="113">
        <v>600</v>
      </c>
      <c r="F754" s="7">
        <f>F755</f>
        <v>30.4</v>
      </c>
      <c r="G754" s="7">
        <f>G755</f>
        <v>0</v>
      </c>
      <c r="H754" s="35">
        <f t="shared" ref="H754:H866" si="183">F754+G754</f>
        <v>30.4</v>
      </c>
      <c r="I754" s="7">
        <f>I755</f>
        <v>0</v>
      </c>
      <c r="J754" s="35">
        <f t="shared" si="181"/>
        <v>30.4</v>
      </c>
      <c r="K754" s="7">
        <f>K755</f>
        <v>0</v>
      </c>
      <c r="L754" s="35">
        <f t="shared" si="178"/>
        <v>30.4</v>
      </c>
      <c r="M754" s="7">
        <f>M755</f>
        <v>0</v>
      </c>
      <c r="N754" s="35">
        <f t="shared" si="179"/>
        <v>30.4</v>
      </c>
      <c r="O754" s="7">
        <f>O755</f>
        <v>0</v>
      </c>
      <c r="P754" s="35">
        <f t="shared" si="175"/>
        <v>30.4</v>
      </c>
      <c r="Q754" s="7">
        <f>Q755</f>
        <v>0</v>
      </c>
      <c r="R754" s="35">
        <f t="shared" si="176"/>
        <v>30.4</v>
      </c>
      <c r="S754" s="7">
        <f>S755</f>
        <v>0</v>
      </c>
      <c r="T754" s="35">
        <f t="shared" si="180"/>
        <v>30.4</v>
      </c>
    </row>
    <row r="755" spans="1:20">
      <c r="A755" s="61" t="str">
        <f t="shared" ca="1" si="182"/>
        <v>Субсидии бюджетным учреждениям</v>
      </c>
      <c r="B755" s="45" t="s">
        <v>2</v>
      </c>
      <c r="C755" s="8" t="s">
        <v>214</v>
      </c>
      <c r="D755" s="8" t="s">
        <v>194</v>
      </c>
      <c r="E755" s="113">
        <v>610</v>
      </c>
      <c r="F755" s="7">
        <f>F756</f>
        <v>30.4</v>
      </c>
      <c r="G755" s="7">
        <f>G756</f>
        <v>0</v>
      </c>
      <c r="H755" s="35">
        <f t="shared" si="183"/>
        <v>30.4</v>
      </c>
      <c r="I755" s="7">
        <f>I756</f>
        <v>0</v>
      </c>
      <c r="J755" s="35">
        <f t="shared" si="181"/>
        <v>30.4</v>
      </c>
      <c r="K755" s="7">
        <f>K756</f>
        <v>0</v>
      </c>
      <c r="L755" s="35">
        <f t="shared" si="178"/>
        <v>30.4</v>
      </c>
      <c r="M755" s="7">
        <f>M756</f>
        <v>0</v>
      </c>
      <c r="N755" s="35">
        <f t="shared" si="179"/>
        <v>30.4</v>
      </c>
      <c r="O755" s="7">
        <f>O756</f>
        <v>0</v>
      </c>
      <c r="P755" s="35">
        <f t="shared" si="175"/>
        <v>30.4</v>
      </c>
      <c r="Q755" s="7">
        <f>Q756</f>
        <v>0</v>
      </c>
      <c r="R755" s="35">
        <f t="shared" si="176"/>
        <v>30.4</v>
      </c>
      <c r="S755" s="7">
        <f>S756</f>
        <v>0</v>
      </c>
      <c r="T755" s="35">
        <f t="shared" si="180"/>
        <v>30.4</v>
      </c>
    </row>
    <row r="756" spans="1:20">
      <c r="A756" s="61" t="str">
        <f t="shared" ca="1" si="182"/>
        <v>Субсидии бюджетным учреждениям на иные цели</v>
      </c>
      <c r="B756" s="45" t="s">
        <v>2</v>
      </c>
      <c r="C756" s="8" t="s">
        <v>214</v>
      </c>
      <c r="D756" s="8" t="s">
        <v>194</v>
      </c>
      <c r="E756" s="113">
        <v>612</v>
      </c>
      <c r="F756" s="7">
        <f>прил.6!G923</f>
        <v>30.4</v>
      </c>
      <c r="G756" s="7">
        <f>прил.6!H923</f>
        <v>0</v>
      </c>
      <c r="H756" s="35">
        <f t="shared" si="183"/>
        <v>30.4</v>
      </c>
      <c r="I756" s="7">
        <f>прил.6!J923</f>
        <v>0</v>
      </c>
      <c r="J756" s="35">
        <f t="shared" si="181"/>
        <v>30.4</v>
      </c>
      <c r="K756" s="7">
        <f>прил.6!L923</f>
        <v>0</v>
      </c>
      <c r="L756" s="35">
        <f t="shared" si="178"/>
        <v>30.4</v>
      </c>
      <c r="M756" s="7">
        <f>прил.6!N923</f>
        <v>0</v>
      </c>
      <c r="N756" s="35">
        <f t="shared" si="179"/>
        <v>30.4</v>
      </c>
      <c r="O756" s="7">
        <f>прил.6!P923</f>
        <v>0</v>
      </c>
      <c r="P756" s="35">
        <f t="shared" si="175"/>
        <v>30.4</v>
      </c>
      <c r="Q756" s="7">
        <f>прил.6!R923</f>
        <v>0</v>
      </c>
      <c r="R756" s="35">
        <f t="shared" si="176"/>
        <v>30.4</v>
      </c>
      <c r="S756" s="7">
        <f>прил.6!T923</f>
        <v>0</v>
      </c>
      <c r="T756" s="35">
        <f t="shared" si="180"/>
        <v>30.4</v>
      </c>
    </row>
    <row r="757" spans="1:20">
      <c r="A757" s="61" t="str">
        <f ca="1">IF(ISERROR(MATCH(B757,Код_КЦСР,0)),"",INDIRECT(ADDRESS(MATCH(B757,Код_КЦСР,0)+1,2,,,"КЦСР")))</f>
        <v>Развитие туристской, инженерной и транспортной инфраструктур</v>
      </c>
      <c r="B757" s="45" t="s">
        <v>3</v>
      </c>
      <c r="C757" s="8"/>
      <c r="D757" s="1"/>
      <c r="E757" s="113"/>
      <c r="F757" s="7">
        <f t="shared" ref="F757:S761" si="184">F758</f>
        <v>28</v>
      </c>
      <c r="G757" s="7">
        <f t="shared" si="184"/>
        <v>0</v>
      </c>
      <c r="H757" s="35">
        <f t="shared" si="183"/>
        <v>28</v>
      </c>
      <c r="I757" s="7">
        <f t="shared" si="184"/>
        <v>0</v>
      </c>
      <c r="J757" s="35">
        <f t="shared" si="181"/>
        <v>28</v>
      </c>
      <c r="K757" s="7">
        <f t="shared" si="184"/>
        <v>0</v>
      </c>
      <c r="L757" s="35">
        <f t="shared" si="178"/>
        <v>28</v>
      </c>
      <c r="M757" s="7">
        <f t="shared" si="184"/>
        <v>0</v>
      </c>
      <c r="N757" s="35">
        <f t="shared" si="179"/>
        <v>28</v>
      </c>
      <c r="O757" s="7">
        <f t="shared" si="184"/>
        <v>0</v>
      </c>
      <c r="P757" s="35">
        <f t="shared" si="175"/>
        <v>28</v>
      </c>
      <c r="Q757" s="7">
        <f t="shared" si="184"/>
        <v>0</v>
      </c>
      <c r="R757" s="35">
        <f t="shared" si="176"/>
        <v>28</v>
      </c>
      <c r="S757" s="7">
        <f t="shared" si="184"/>
        <v>0</v>
      </c>
      <c r="T757" s="35">
        <f t="shared" si="180"/>
        <v>28</v>
      </c>
    </row>
    <row r="758" spans="1:20">
      <c r="A758" s="61" t="str">
        <f ca="1">IF(ISERROR(MATCH(C758,Код_Раздел,0)),"",INDIRECT(ADDRESS(MATCH(C758,Код_Раздел,0)+1,2,,,"Раздел")))</f>
        <v>Национальная экономика</v>
      </c>
      <c r="B758" s="45" t="s">
        <v>3</v>
      </c>
      <c r="C758" s="8" t="s">
        <v>214</v>
      </c>
      <c r="D758" s="1"/>
      <c r="E758" s="113"/>
      <c r="F758" s="7">
        <f t="shared" si="184"/>
        <v>28</v>
      </c>
      <c r="G758" s="7">
        <f t="shared" si="184"/>
        <v>0</v>
      </c>
      <c r="H758" s="35">
        <f t="shared" si="183"/>
        <v>28</v>
      </c>
      <c r="I758" s="7">
        <f t="shared" si="184"/>
        <v>0</v>
      </c>
      <c r="J758" s="35">
        <f t="shared" si="181"/>
        <v>28</v>
      </c>
      <c r="K758" s="7">
        <f t="shared" si="184"/>
        <v>0</v>
      </c>
      <c r="L758" s="35">
        <f t="shared" si="178"/>
        <v>28</v>
      </c>
      <c r="M758" s="7">
        <f t="shared" si="184"/>
        <v>0</v>
      </c>
      <c r="N758" s="35">
        <f t="shared" si="179"/>
        <v>28</v>
      </c>
      <c r="O758" s="7">
        <f t="shared" si="184"/>
        <v>0</v>
      </c>
      <c r="P758" s="35">
        <f t="shared" si="175"/>
        <v>28</v>
      </c>
      <c r="Q758" s="7">
        <f t="shared" si="184"/>
        <v>0</v>
      </c>
      <c r="R758" s="35">
        <f t="shared" si="176"/>
        <v>28</v>
      </c>
      <c r="S758" s="7">
        <f t="shared" si="184"/>
        <v>0</v>
      </c>
      <c r="T758" s="35">
        <f t="shared" si="180"/>
        <v>28</v>
      </c>
    </row>
    <row r="759" spans="1:20">
      <c r="A759" s="12" t="s">
        <v>221</v>
      </c>
      <c r="B759" s="45" t="s">
        <v>3</v>
      </c>
      <c r="C759" s="8" t="s">
        <v>214</v>
      </c>
      <c r="D759" s="8" t="s">
        <v>194</v>
      </c>
      <c r="E759" s="113"/>
      <c r="F759" s="7">
        <f t="shared" si="184"/>
        <v>28</v>
      </c>
      <c r="G759" s="7">
        <f t="shared" si="184"/>
        <v>0</v>
      </c>
      <c r="H759" s="35">
        <f t="shared" si="183"/>
        <v>28</v>
      </c>
      <c r="I759" s="7">
        <f t="shared" si="184"/>
        <v>0</v>
      </c>
      <c r="J759" s="35">
        <f t="shared" si="181"/>
        <v>28</v>
      </c>
      <c r="K759" s="7">
        <f t="shared" si="184"/>
        <v>0</v>
      </c>
      <c r="L759" s="35">
        <f t="shared" si="178"/>
        <v>28</v>
      </c>
      <c r="M759" s="7">
        <f t="shared" si="184"/>
        <v>0</v>
      </c>
      <c r="N759" s="35">
        <f t="shared" si="179"/>
        <v>28</v>
      </c>
      <c r="O759" s="7">
        <f t="shared" si="184"/>
        <v>0</v>
      </c>
      <c r="P759" s="35">
        <f t="shared" si="175"/>
        <v>28</v>
      </c>
      <c r="Q759" s="7">
        <f t="shared" si="184"/>
        <v>0</v>
      </c>
      <c r="R759" s="35">
        <f t="shared" si="176"/>
        <v>28</v>
      </c>
      <c r="S759" s="7">
        <f t="shared" si="184"/>
        <v>0</v>
      </c>
      <c r="T759" s="35">
        <f t="shared" si="180"/>
        <v>28</v>
      </c>
    </row>
    <row r="760" spans="1:20">
      <c r="A760" s="61" t="str">
        <f ca="1">IF(ISERROR(MATCH(E760,Код_КВР,0)),"",INDIRECT(ADDRESS(MATCH(E760,Код_КВР,0)+1,2,,,"КВР")))</f>
        <v>Закупка товаров, работ и услуг для муниципальных нужд</v>
      </c>
      <c r="B760" s="45" t="s">
        <v>3</v>
      </c>
      <c r="C760" s="8" t="s">
        <v>214</v>
      </c>
      <c r="D760" s="8" t="s">
        <v>194</v>
      </c>
      <c r="E760" s="113">
        <v>200</v>
      </c>
      <c r="F760" s="7">
        <f t="shared" si="184"/>
        <v>28</v>
      </c>
      <c r="G760" s="7">
        <f t="shared" si="184"/>
        <v>0</v>
      </c>
      <c r="H760" s="35">
        <f t="shared" si="183"/>
        <v>28</v>
      </c>
      <c r="I760" s="7">
        <f t="shared" si="184"/>
        <v>0</v>
      </c>
      <c r="J760" s="35">
        <f t="shared" si="181"/>
        <v>28</v>
      </c>
      <c r="K760" s="7">
        <f t="shared" si="184"/>
        <v>0</v>
      </c>
      <c r="L760" s="35">
        <f t="shared" si="178"/>
        <v>28</v>
      </c>
      <c r="M760" s="7">
        <f t="shared" si="184"/>
        <v>0</v>
      </c>
      <c r="N760" s="35">
        <f t="shared" si="179"/>
        <v>28</v>
      </c>
      <c r="O760" s="7">
        <f t="shared" si="184"/>
        <v>0</v>
      </c>
      <c r="P760" s="35">
        <f t="shared" si="175"/>
        <v>28</v>
      </c>
      <c r="Q760" s="7">
        <f t="shared" si="184"/>
        <v>0</v>
      </c>
      <c r="R760" s="35">
        <f t="shared" si="176"/>
        <v>28</v>
      </c>
      <c r="S760" s="7">
        <f t="shared" si="184"/>
        <v>0</v>
      </c>
      <c r="T760" s="35">
        <f t="shared" si="180"/>
        <v>28</v>
      </c>
    </row>
    <row r="761" spans="1:20" ht="33">
      <c r="A761" s="61" t="str">
        <f ca="1">IF(ISERROR(MATCH(E761,Код_КВР,0)),"",INDIRECT(ADDRESS(MATCH(E761,Код_КВР,0)+1,2,,,"КВР")))</f>
        <v>Иные закупки товаров, работ и услуг для обеспечения муниципальных нужд</v>
      </c>
      <c r="B761" s="45" t="s">
        <v>3</v>
      </c>
      <c r="C761" s="8" t="s">
        <v>214</v>
      </c>
      <c r="D761" s="8" t="s">
        <v>194</v>
      </c>
      <c r="E761" s="113">
        <v>240</v>
      </c>
      <c r="F761" s="7">
        <f t="shared" si="184"/>
        <v>28</v>
      </c>
      <c r="G761" s="7">
        <f t="shared" si="184"/>
        <v>0</v>
      </c>
      <c r="H761" s="35">
        <f t="shared" si="183"/>
        <v>28</v>
      </c>
      <c r="I761" s="7">
        <f t="shared" si="184"/>
        <v>0</v>
      </c>
      <c r="J761" s="35">
        <f t="shared" si="181"/>
        <v>28</v>
      </c>
      <c r="K761" s="7">
        <f t="shared" si="184"/>
        <v>0</v>
      </c>
      <c r="L761" s="35">
        <f t="shared" si="178"/>
        <v>28</v>
      </c>
      <c r="M761" s="7">
        <f t="shared" si="184"/>
        <v>0</v>
      </c>
      <c r="N761" s="35">
        <f t="shared" si="179"/>
        <v>28</v>
      </c>
      <c r="O761" s="7">
        <f t="shared" si="184"/>
        <v>0</v>
      </c>
      <c r="P761" s="35">
        <f t="shared" si="175"/>
        <v>28</v>
      </c>
      <c r="Q761" s="7">
        <f t="shared" si="184"/>
        <v>0</v>
      </c>
      <c r="R761" s="35">
        <f t="shared" si="176"/>
        <v>28</v>
      </c>
      <c r="S761" s="7">
        <f t="shared" si="184"/>
        <v>0</v>
      </c>
      <c r="T761" s="35">
        <f t="shared" si="180"/>
        <v>28</v>
      </c>
    </row>
    <row r="762" spans="1:20" ht="33">
      <c r="A762" s="61" t="str">
        <f ca="1">IF(ISERROR(MATCH(E762,Код_КВР,0)),"",INDIRECT(ADDRESS(MATCH(E762,Код_КВР,0)+1,2,,,"КВР")))</f>
        <v xml:space="preserve">Прочая закупка товаров, работ и услуг для обеспечения муниципальных нужд         </v>
      </c>
      <c r="B762" s="45" t="s">
        <v>3</v>
      </c>
      <c r="C762" s="8" t="s">
        <v>214</v>
      </c>
      <c r="D762" s="8" t="s">
        <v>194</v>
      </c>
      <c r="E762" s="113">
        <v>244</v>
      </c>
      <c r="F762" s="7">
        <f>прил.6!G472</f>
        <v>28</v>
      </c>
      <c r="G762" s="7">
        <f>прил.6!H472</f>
        <v>0</v>
      </c>
      <c r="H762" s="35">
        <f t="shared" si="183"/>
        <v>28</v>
      </c>
      <c r="I762" s="7">
        <f>прил.6!J472</f>
        <v>0</v>
      </c>
      <c r="J762" s="35">
        <f t="shared" si="181"/>
        <v>28</v>
      </c>
      <c r="K762" s="7">
        <f>прил.6!L472</f>
        <v>0</v>
      </c>
      <c r="L762" s="35">
        <f t="shared" si="178"/>
        <v>28</v>
      </c>
      <c r="M762" s="7">
        <f>прил.6!N472</f>
        <v>0</v>
      </c>
      <c r="N762" s="35">
        <f t="shared" si="179"/>
        <v>28</v>
      </c>
      <c r="O762" s="7">
        <f>прил.6!P472</f>
        <v>0</v>
      </c>
      <c r="P762" s="35">
        <f t="shared" si="175"/>
        <v>28</v>
      </c>
      <c r="Q762" s="7">
        <f>прил.6!R472</f>
        <v>0</v>
      </c>
      <c r="R762" s="35">
        <f t="shared" si="176"/>
        <v>28</v>
      </c>
      <c r="S762" s="7">
        <f>прил.6!T472</f>
        <v>0</v>
      </c>
      <c r="T762" s="35">
        <f t="shared" si="180"/>
        <v>28</v>
      </c>
    </row>
    <row r="763" spans="1:20" ht="33">
      <c r="A763" s="61" t="str">
        <f ca="1">IF(ISERROR(MATCH(B763,Код_КЦСР,0)),"",INDIRECT(ADDRESS(MATCH(B763,Код_КЦСР,0)+1,2,,,"КЦСР")))</f>
        <v>Муниципальная программа «Социальная поддержка граждан» на 2014-2018 годы</v>
      </c>
      <c r="B763" s="45" t="s">
        <v>5</v>
      </c>
      <c r="C763" s="8"/>
      <c r="D763" s="1"/>
      <c r="E763" s="113"/>
      <c r="F763" s="7">
        <f>F764+F770+F782+F792+F802+F816+F850+F860+F866+F885+F891+F900+F910+F944</f>
        <v>859558.59999999986</v>
      </c>
      <c r="G763" s="7">
        <f>G764+G770+G782+G792+G802+G816+G850+G860+G866+G885+G891+G900+G910+G944</f>
        <v>0</v>
      </c>
      <c r="H763" s="35">
        <f t="shared" si="183"/>
        <v>859558.59999999986</v>
      </c>
      <c r="I763" s="7">
        <f>I764+I770+I782+I792+I802+I816+I850+I860+I866+I885+I891+I900+I910+I944</f>
        <v>0</v>
      </c>
      <c r="J763" s="35">
        <f t="shared" si="181"/>
        <v>859558.59999999986</v>
      </c>
      <c r="K763" s="7">
        <f>K764+K770+K782+K792+K802+K816+K850+K860+K866+K885+K891+K900+K910+K944</f>
        <v>-3790.2</v>
      </c>
      <c r="L763" s="35">
        <f t="shared" si="178"/>
        <v>855768.39999999991</v>
      </c>
      <c r="M763" s="7">
        <f>M764+M770+M782+M792+M802+M816+M850+M860+M866+M885+M891+M900+M910+M944+M830</f>
        <v>432</v>
      </c>
      <c r="N763" s="35">
        <f t="shared" si="179"/>
        <v>856200.39999999991</v>
      </c>
      <c r="O763" s="7">
        <f>O764+O770+O782+O792+O802+O816+O850+O860+O866+O885+O891+O900+O910+O944+O830</f>
        <v>0</v>
      </c>
      <c r="P763" s="35">
        <f t="shared" si="175"/>
        <v>856200.39999999991</v>
      </c>
      <c r="Q763" s="7">
        <f>Q764+Q770+Q782+Q792+Q802+Q816+Q850+Q860+Q866+Q885+Q891+Q900+Q910+Q944+Q830+Q874+Q776+Q837</f>
        <v>64600.399999999994</v>
      </c>
      <c r="R763" s="35">
        <f t="shared" si="176"/>
        <v>920800.79999999993</v>
      </c>
      <c r="S763" s="7">
        <f>S764+S770+S782+S792+S802+S816+S850+S860+S866+S885+S891+S900+S910+S944+S830+S874+S776+S837</f>
        <v>46570.900000000009</v>
      </c>
      <c r="T763" s="35">
        <f t="shared" si="180"/>
        <v>967371.7</v>
      </c>
    </row>
    <row r="764" spans="1:20" ht="56.25" customHeight="1">
      <c r="A764" s="61" t="str">
        <f ca="1">IF(ISERROR(MATCH(B764,Код_КЦСР,0)),"",INDIRECT(ADDRESS(MATCH(B764,Код_КЦСР,0)+1,2,,,"КЦСР")))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764" s="45" t="s">
        <v>6</v>
      </c>
      <c r="C764" s="8"/>
      <c r="D764" s="1"/>
      <c r="E764" s="113"/>
      <c r="F764" s="7">
        <f t="shared" ref="F764:S768" si="185">F765</f>
        <v>962.5</v>
      </c>
      <c r="G764" s="7">
        <f t="shared" si="185"/>
        <v>0</v>
      </c>
      <c r="H764" s="35">
        <f t="shared" si="183"/>
        <v>962.5</v>
      </c>
      <c r="I764" s="7">
        <f t="shared" si="185"/>
        <v>0</v>
      </c>
      <c r="J764" s="35">
        <f t="shared" si="181"/>
        <v>962.5</v>
      </c>
      <c r="K764" s="7">
        <f t="shared" si="185"/>
        <v>0</v>
      </c>
      <c r="L764" s="35">
        <f t="shared" si="178"/>
        <v>962.5</v>
      </c>
      <c r="M764" s="7">
        <f t="shared" si="185"/>
        <v>0</v>
      </c>
      <c r="N764" s="35">
        <f t="shared" si="179"/>
        <v>962.5</v>
      </c>
      <c r="O764" s="7">
        <f t="shared" si="185"/>
        <v>0</v>
      </c>
      <c r="P764" s="35">
        <f t="shared" si="175"/>
        <v>962.5</v>
      </c>
      <c r="Q764" s="7">
        <f t="shared" si="185"/>
        <v>0</v>
      </c>
      <c r="R764" s="35">
        <f t="shared" si="176"/>
        <v>962.5</v>
      </c>
      <c r="S764" s="7">
        <f t="shared" si="185"/>
        <v>0</v>
      </c>
      <c r="T764" s="35">
        <f t="shared" si="180"/>
        <v>962.5</v>
      </c>
    </row>
    <row r="765" spans="1:20">
      <c r="A765" s="61" t="str">
        <f ca="1">IF(ISERROR(MATCH(C765,Код_Раздел,0)),"",INDIRECT(ADDRESS(MATCH(C765,Код_Раздел,0)+1,2,,,"Раздел")))</f>
        <v>Образование</v>
      </c>
      <c r="B765" s="45" t="s">
        <v>6</v>
      </c>
      <c r="C765" s="8" t="s">
        <v>193</v>
      </c>
      <c r="D765" s="1"/>
      <c r="E765" s="113"/>
      <c r="F765" s="7">
        <f t="shared" si="185"/>
        <v>962.5</v>
      </c>
      <c r="G765" s="7">
        <f t="shared" si="185"/>
        <v>0</v>
      </c>
      <c r="H765" s="35">
        <f t="shared" si="183"/>
        <v>962.5</v>
      </c>
      <c r="I765" s="7">
        <f t="shared" si="185"/>
        <v>0</v>
      </c>
      <c r="J765" s="35">
        <f t="shared" si="181"/>
        <v>962.5</v>
      </c>
      <c r="K765" s="7">
        <f t="shared" si="185"/>
        <v>0</v>
      </c>
      <c r="L765" s="35">
        <f t="shared" si="178"/>
        <v>962.5</v>
      </c>
      <c r="M765" s="7">
        <f t="shared" si="185"/>
        <v>0</v>
      </c>
      <c r="N765" s="35">
        <f t="shared" si="179"/>
        <v>962.5</v>
      </c>
      <c r="O765" s="7">
        <f t="shared" si="185"/>
        <v>0</v>
      </c>
      <c r="P765" s="35">
        <f t="shared" si="175"/>
        <v>962.5</v>
      </c>
      <c r="Q765" s="7">
        <f t="shared" si="185"/>
        <v>0</v>
      </c>
      <c r="R765" s="35">
        <f t="shared" si="176"/>
        <v>962.5</v>
      </c>
      <c r="S765" s="7">
        <f t="shared" si="185"/>
        <v>0</v>
      </c>
      <c r="T765" s="35">
        <f t="shared" si="180"/>
        <v>962.5</v>
      </c>
    </row>
    <row r="766" spans="1:20">
      <c r="A766" s="12" t="s">
        <v>197</v>
      </c>
      <c r="B766" s="45" t="s">
        <v>6</v>
      </c>
      <c r="C766" s="8" t="s">
        <v>193</v>
      </c>
      <c r="D766" s="8" t="s">
        <v>193</v>
      </c>
      <c r="E766" s="113"/>
      <c r="F766" s="7">
        <f t="shared" si="185"/>
        <v>962.5</v>
      </c>
      <c r="G766" s="7">
        <f t="shared" si="185"/>
        <v>0</v>
      </c>
      <c r="H766" s="35">
        <f t="shared" si="183"/>
        <v>962.5</v>
      </c>
      <c r="I766" s="7">
        <f t="shared" si="185"/>
        <v>0</v>
      </c>
      <c r="J766" s="35">
        <f t="shared" si="181"/>
        <v>962.5</v>
      </c>
      <c r="K766" s="7">
        <f t="shared" si="185"/>
        <v>0</v>
      </c>
      <c r="L766" s="35">
        <f t="shared" si="178"/>
        <v>962.5</v>
      </c>
      <c r="M766" s="7">
        <f t="shared" si="185"/>
        <v>0</v>
      </c>
      <c r="N766" s="35">
        <f t="shared" si="179"/>
        <v>962.5</v>
      </c>
      <c r="O766" s="7">
        <f t="shared" si="185"/>
        <v>0</v>
      </c>
      <c r="P766" s="35">
        <f t="shared" si="175"/>
        <v>962.5</v>
      </c>
      <c r="Q766" s="7">
        <f t="shared" si="185"/>
        <v>0</v>
      </c>
      <c r="R766" s="35">
        <f t="shared" si="176"/>
        <v>962.5</v>
      </c>
      <c r="S766" s="7">
        <f t="shared" si="185"/>
        <v>0</v>
      </c>
      <c r="T766" s="35">
        <f t="shared" si="180"/>
        <v>962.5</v>
      </c>
    </row>
    <row r="767" spans="1:20">
      <c r="A767" s="61" t="str">
        <f ca="1">IF(ISERROR(MATCH(E767,Код_КВР,0)),"",INDIRECT(ADDRESS(MATCH(E767,Код_КВР,0)+1,2,,,"КВР")))</f>
        <v>Социальное обеспечение и иные выплаты населению</v>
      </c>
      <c r="B767" s="45" t="s">
        <v>6</v>
      </c>
      <c r="C767" s="8" t="s">
        <v>193</v>
      </c>
      <c r="D767" s="8" t="s">
        <v>193</v>
      </c>
      <c r="E767" s="113">
        <v>300</v>
      </c>
      <c r="F767" s="7">
        <f t="shared" si="185"/>
        <v>962.5</v>
      </c>
      <c r="G767" s="7">
        <f t="shared" si="185"/>
        <v>0</v>
      </c>
      <c r="H767" s="35">
        <f t="shared" si="183"/>
        <v>962.5</v>
      </c>
      <c r="I767" s="7">
        <f t="shared" si="185"/>
        <v>0</v>
      </c>
      <c r="J767" s="35">
        <f t="shared" si="181"/>
        <v>962.5</v>
      </c>
      <c r="K767" s="7">
        <f t="shared" si="185"/>
        <v>0</v>
      </c>
      <c r="L767" s="35">
        <f t="shared" si="178"/>
        <v>962.5</v>
      </c>
      <c r="M767" s="7">
        <f t="shared" si="185"/>
        <v>0</v>
      </c>
      <c r="N767" s="35">
        <f t="shared" si="179"/>
        <v>962.5</v>
      </c>
      <c r="O767" s="7">
        <f t="shared" si="185"/>
        <v>0</v>
      </c>
      <c r="P767" s="35">
        <f t="shared" si="175"/>
        <v>962.5</v>
      </c>
      <c r="Q767" s="7">
        <f t="shared" si="185"/>
        <v>0</v>
      </c>
      <c r="R767" s="35">
        <f t="shared" si="176"/>
        <v>962.5</v>
      </c>
      <c r="S767" s="7">
        <f t="shared" si="185"/>
        <v>0</v>
      </c>
      <c r="T767" s="35">
        <f t="shared" si="180"/>
        <v>962.5</v>
      </c>
    </row>
    <row r="768" spans="1:20" ht="36" customHeight="1">
      <c r="A768" s="61" t="str">
        <f ca="1">IF(ISERROR(MATCH(E768,Код_КВР,0)),"",INDIRECT(ADDRESS(MATCH(E768,Код_КВР,0)+1,2,,,"КВР")))</f>
        <v>Социальные выплаты гражданам, кроме публичных нормативных социальных выплат</v>
      </c>
      <c r="B768" s="45" t="s">
        <v>6</v>
      </c>
      <c r="C768" s="8" t="s">
        <v>193</v>
      </c>
      <c r="D768" s="8" t="s">
        <v>193</v>
      </c>
      <c r="E768" s="113">
        <v>320</v>
      </c>
      <c r="F768" s="7">
        <f t="shared" si="185"/>
        <v>962.5</v>
      </c>
      <c r="G768" s="7">
        <f t="shared" si="185"/>
        <v>0</v>
      </c>
      <c r="H768" s="35">
        <f t="shared" si="183"/>
        <v>962.5</v>
      </c>
      <c r="I768" s="7">
        <f t="shared" si="185"/>
        <v>0</v>
      </c>
      <c r="J768" s="35">
        <f t="shared" si="181"/>
        <v>962.5</v>
      </c>
      <c r="K768" s="7">
        <f t="shared" si="185"/>
        <v>0</v>
      </c>
      <c r="L768" s="35">
        <f t="shared" si="178"/>
        <v>962.5</v>
      </c>
      <c r="M768" s="7">
        <f t="shared" si="185"/>
        <v>0</v>
      </c>
      <c r="N768" s="35">
        <f t="shared" si="179"/>
        <v>962.5</v>
      </c>
      <c r="O768" s="7">
        <f t="shared" si="185"/>
        <v>0</v>
      </c>
      <c r="P768" s="35">
        <f t="shared" si="175"/>
        <v>962.5</v>
      </c>
      <c r="Q768" s="7">
        <f t="shared" si="185"/>
        <v>0</v>
      </c>
      <c r="R768" s="35">
        <f t="shared" si="176"/>
        <v>962.5</v>
      </c>
      <c r="S768" s="7">
        <f t="shared" si="185"/>
        <v>0</v>
      </c>
      <c r="T768" s="35">
        <f t="shared" si="180"/>
        <v>962.5</v>
      </c>
    </row>
    <row r="769" spans="1:20" ht="33">
      <c r="A769" s="61" t="str">
        <f ca="1">IF(ISERROR(MATCH(E769,Код_КВР,0)),"",INDIRECT(ADDRESS(MATCH(E769,Код_КВР,0)+1,2,,,"КВР")))</f>
        <v>Приобретение товаров, работ, услуг в пользу граждан в целях их социального обеспечения</v>
      </c>
      <c r="B769" s="45" t="s">
        <v>6</v>
      </c>
      <c r="C769" s="8" t="s">
        <v>193</v>
      </c>
      <c r="D769" s="8" t="s">
        <v>193</v>
      </c>
      <c r="E769" s="113">
        <v>323</v>
      </c>
      <c r="F769" s="7">
        <f>прил.6!G1310</f>
        <v>962.5</v>
      </c>
      <c r="G769" s="7">
        <f>прил.6!H1310</f>
        <v>0</v>
      </c>
      <c r="H769" s="35">
        <f t="shared" si="183"/>
        <v>962.5</v>
      </c>
      <c r="I769" s="7">
        <f>прил.6!J1310</f>
        <v>0</v>
      </c>
      <c r="J769" s="35">
        <f t="shared" si="181"/>
        <v>962.5</v>
      </c>
      <c r="K769" s="7">
        <f>прил.6!L1310</f>
        <v>0</v>
      </c>
      <c r="L769" s="35">
        <f t="shared" si="178"/>
        <v>962.5</v>
      </c>
      <c r="M769" s="7">
        <f>прил.6!N1310</f>
        <v>0</v>
      </c>
      <c r="N769" s="35">
        <f t="shared" si="179"/>
        <v>962.5</v>
      </c>
      <c r="O769" s="7">
        <f>прил.6!P1310</f>
        <v>0</v>
      </c>
      <c r="P769" s="35">
        <f t="shared" si="175"/>
        <v>962.5</v>
      </c>
      <c r="Q769" s="7">
        <f>прил.6!R1310</f>
        <v>0</v>
      </c>
      <c r="R769" s="35">
        <f t="shared" si="176"/>
        <v>962.5</v>
      </c>
      <c r="S769" s="7">
        <f>прил.6!T1310</f>
        <v>0</v>
      </c>
      <c r="T769" s="35">
        <f t="shared" si="180"/>
        <v>962.5</v>
      </c>
    </row>
    <row r="770" spans="1:20" ht="75" customHeight="1">
      <c r="A770" s="61" t="str">
        <f ca="1">IF(ISERROR(MATCH(B770,Код_КЦСР,0)),"",INDIRECT(ADDRESS(MATCH(B770,Код_КЦСР,0)+1,2,,,"КЦСР")))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770" s="47" t="s">
        <v>8</v>
      </c>
      <c r="C770" s="8"/>
      <c r="D770" s="1"/>
      <c r="E770" s="113"/>
      <c r="F770" s="7">
        <f t="shared" ref="F770:S774" si="186">F771</f>
        <v>113.2</v>
      </c>
      <c r="G770" s="7">
        <f t="shared" si="186"/>
        <v>0</v>
      </c>
      <c r="H770" s="35">
        <f t="shared" si="183"/>
        <v>113.2</v>
      </c>
      <c r="I770" s="7">
        <f t="shared" si="186"/>
        <v>0</v>
      </c>
      <c r="J770" s="35">
        <f t="shared" si="181"/>
        <v>113.2</v>
      </c>
      <c r="K770" s="7">
        <f t="shared" si="186"/>
        <v>0</v>
      </c>
      <c r="L770" s="35">
        <f t="shared" si="178"/>
        <v>113.2</v>
      </c>
      <c r="M770" s="7">
        <f t="shared" si="186"/>
        <v>0</v>
      </c>
      <c r="N770" s="35">
        <f t="shared" si="179"/>
        <v>113.2</v>
      </c>
      <c r="O770" s="7">
        <f t="shared" si="186"/>
        <v>0</v>
      </c>
      <c r="P770" s="35">
        <f t="shared" si="175"/>
        <v>113.2</v>
      </c>
      <c r="Q770" s="7">
        <f t="shared" si="186"/>
        <v>0</v>
      </c>
      <c r="R770" s="35">
        <f t="shared" si="176"/>
        <v>113.2</v>
      </c>
      <c r="S770" s="7">
        <f t="shared" si="186"/>
        <v>0</v>
      </c>
      <c r="T770" s="35">
        <f t="shared" si="180"/>
        <v>113.2</v>
      </c>
    </row>
    <row r="771" spans="1:20">
      <c r="A771" s="61" t="str">
        <f ca="1">IF(ISERROR(MATCH(C771,Код_Раздел,0)),"",INDIRECT(ADDRESS(MATCH(C771,Код_Раздел,0)+1,2,,,"Раздел")))</f>
        <v>Образование</v>
      </c>
      <c r="B771" s="47" t="s">
        <v>8</v>
      </c>
      <c r="C771" s="8" t="s">
        <v>193</v>
      </c>
      <c r="D771" s="1"/>
      <c r="E771" s="113"/>
      <c r="F771" s="7">
        <f t="shared" si="186"/>
        <v>113.2</v>
      </c>
      <c r="G771" s="7">
        <f t="shared" si="186"/>
        <v>0</v>
      </c>
      <c r="H771" s="35">
        <f t="shared" si="183"/>
        <v>113.2</v>
      </c>
      <c r="I771" s="7">
        <f t="shared" si="186"/>
        <v>0</v>
      </c>
      <c r="J771" s="35">
        <f t="shared" si="181"/>
        <v>113.2</v>
      </c>
      <c r="K771" s="7">
        <f t="shared" si="186"/>
        <v>0</v>
      </c>
      <c r="L771" s="35">
        <f t="shared" si="178"/>
        <v>113.2</v>
      </c>
      <c r="M771" s="7">
        <f t="shared" si="186"/>
        <v>0</v>
      </c>
      <c r="N771" s="35">
        <f t="shared" si="179"/>
        <v>113.2</v>
      </c>
      <c r="O771" s="7">
        <f t="shared" si="186"/>
        <v>0</v>
      </c>
      <c r="P771" s="35">
        <f t="shared" si="175"/>
        <v>113.2</v>
      </c>
      <c r="Q771" s="7">
        <f t="shared" si="186"/>
        <v>0</v>
      </c>
      <c r="R771" s="35">
        <f t="shared" si="176"/>
        <v>113.2</v>
      </c>
      <c r="S771" s="7">
        <f t="shared" si="186"/>
        <v>0</v>
      </c>
      <c r="T771" s="35">
        <f t="shared" si="180"/>
        <v>113.2</v>
      </c>
    </row>
    <row r="772" spans="1:20">
      <c r="A772" s="12" t="s">
        <v>197</v>
      </c>
      <c r="B772" s="47" t="s">
        <v>8</v>
      </c>
      <c r="C772" s="8" t="s">
        <v>193</v>
      </c>
      <c r="D772" s="8" t="s">
        <v>193</v>
      </c>
      <c r="E772" s="113"/>
      <c r="F772" s="7">
        <f t="shared" si="186"/>
        <v>113.2</v>
      </c>
      <c r="G772" s="7">
        <f t="shared" si="186"/>
        <v>0</v>
      </c>
      <c r="H772" s="35">
        <f t="shared" si="183"/>
        <v>113.2</v>
      </c>
      <c r="I772" s="7">
        <f t="shared" si="186"/>
        <v>0</v>
      </c>
      <c r="J772" s="35">
        <f t="shared" si="181"/>
        <v>113.2</v>
      </c>
      <c r="K772" s="7">
        <f t="shared" si="186"/>
        <v>0</v>
      </c>
      <c r="L772" s="35">
        <f t="shared" si="178"/>
        <v>113.2</v>
      </c>
      <c r="M772" s="7">
        <f t="shared" si="186"/>
        <v>0</v>
      </c>
      <c r="N772" s="35">
        <f t="shared" si="179"/>
        <v>113.2</v>
      </c>
      <c r="O772" s="7">
        <f t="shared" si="186"/>
        <v>0</v>
      </c>
      <c r="P772" s="35">
        <f t="shared" si="175"/>
        <v>113.2</v>
      </c>
      <c r="Q772" s="7">
        <f t="shared" si="186"/>
        <v>0</v>
      </c>
      <c r="R772" s="35">
        <f t="shared" si="176"/>
        <v>113.2</v>
      </c>
      <c r="S772" s="7">
        <f t="shared" si="186"/>
        <v>0</v>
      </c>
      <c r="T772" s="35">
        <f t="shared" si="180"/>
        <v>113.2</v>
      </c>
    </row>
    <row r="773" spans="1:20" ht="33">
      <c r="A773" s="61" t="str">
        <f ca="1">IF(ISERROR(MATCH(E773,Код_КВР,0)),"",INDIRECT(ADDRESS(MATCH(E773,Код_КВР,0)+1,2,,,"КВР")))</f>
        <v>Капитальные вложения в объекты недвижимого имущества муниципальной собственности</v>
      </c>
      <c r="B773" s="47" t="s">
        <v>8</v>
      </c>
      <c r="C773" s="8" t="s">
        <v>193</v>
      </c>
      <c r="D773" s="8" t="s">
        <v>193</v>
      </c>
      <c r="E773" s="113">
        <v>400</v>
      </c>
      <c r="F773" s="7">
        <f t="shared" si="186"/>
        <v>113.2</v>
      </c>
      <c r="G773" s="7">
        <f t="shared" si="186"/>
        <v>0</v>
      </c>
      <c r="H773" s="35">
        <f t="shared" si="183"/>
        <v>113.2</v>
      </c>
      <c r="I773" s="7">
        <f t="shared" si="186"/>
        <v>0</v>
      </c>
      <c r="J773" s="35">
        <f t="shared" si="181"/>
        <v>113.2</v>
      </c>
      <c r="K773" s="7">
        <f t="shared" si="186"/>
        <v>0</v>
      </c>
      <c r="L773" s="35">
        <f t="shared" si="178"/>
        <v>113.2</v>
      </c>
      <c r="M773" s="7">
        <f t="shared" si="186"/>
        <v>0</v>
      </c>
      <c r="N773" s="35">
        <f t="shared" si="179"/>
        <v>113.2</v>
      </c>
      <c r="O773" s="7">
        <f t="shared" si="186"/>
        <v>0</v>
      </c>
      <c r="P773" s="35">
        <f t="shared" si="175"/>
        <v>113.2</v>
      </c>
      <c r="Q773" s="7">
        <f t="shared" si="186"/>
        <v>0</v>
      </c>
      <c r="R773" s="35">
        <f t="shared" si="176"/>
        <v>113.2</v>
      </c>
      <c r="S773" s="7">
        <f t="shared" si="186"/>
        <v>0</v>
      </c>
      <c r="T773" s="35">
        <f t="shared" si="180"/>
        <v>113.2</v>
      </c>
    </row>
    <row r="774" spans="1:20">
      <c r="A774" s="61" t="str">
        <f ca="1">IF(ISERROR(MATCH(E774,Код_КВР,0)),"",INDIRECT(ADDRESS(MATCH(E774,Код_КВР,0)+1,2,,,"КВР")))</f>
        <v>Бюджетные инвестиции</v>
      </c>
      <c r="B774" s="47" t="s">
        <v>8</v>
      </c>
      <c r="C774" s="8" t="s">
        <v>193</v>
      </c>
      <c r="D774" s="8" t="s">
        <v>193</v>
      </c>
      <c r="E774" s="113">
        <v>410</v>
      </c>
      <c r="F774" s="7">
        <f t="shared" si="186"/>
        <v>113.2</v>
      </c>
      <c r="G774" s="7">
        <f t="shared" si="186"/>
        <v>0</v>
      </c>
      <c r="H774" s="35">
        <f t="shared" si="183"/>
        <v>113.2</v>
      </c>
      <c r="I774" s="7">
        <f t="shared" si="186"/>
        <v>0</v>
      </c>
      <c r="J774" s="35">
        <f t="shared" si="181"/>
        <v>113.2</v>
      </c>
      <c r="K774" s="7">
        <f t="shared" si="186"/>
        <v>0</v>
      </c>
      <c r="L774" s="35">
        <f t="shared" si="178"/>
        <v>113.2</v>
      </c>
      <c r="M774" s="7">
        <f t="shared" si="186"/>
        <v>0</v>
      </c>
      <c r="N774" s="35">
        <f t="shared" si="179"/>
        <v>113.2</v>
      </c>
      <c r="O774" s="7">
        <f t="shared" si="186"/>
        <v>0</v>
      </c>
      <c r="P774" s="35">
        <f t="shared" si="175"/>
        <v>113.2</v>
      </c>
      <c r="Q774" s="7">
        <f t="shared" si="186"/>
        <v>0</v>
      </c>
      <c r="R774" s="35">
        <f t="shared" si="176"/>
        <v>113.2</v>
      </c>
      <c r="S774" s="7">
        <f t="shared" si="186"/>
        <v>0</v>
      </c>
      <c r="T774" s="35">
        <f t="shared" si="180"/>
        <v>113.2</v>
      </c>
    </row>
    <row r="775" spans="1:20" ht="33">
      <c r="A775" s="61" t="str">
        <f ca="1">IF(ISERROR(MATCH(E775,Код_КВР,0)),"",INDIRECT(ADDRESS(MATCH(E775,Код_КВР,0)+1,2,,,"КВР")))</f>
        <v>Бюджетные инвестиции в объекты капитального строительства муниципальной собственности</v>
      </c>
      <c r="B775" s="47" t="s">
        <v>8</v>
      </c>
      <c r="C775" s="8" t="s">
        <v>193</v>
      </c>
      <c r="D775" s="8" t="s">
        <v>193</v>
      </c>
      <c r="E775" s="113">
        <v>414</v>
      </c>
      <c r="F775" s="7">
        <f>прил.6!G1641</f>
        <v>113.2</v>
      </c>
      <c r="G775" s="7">
        <f>прил.6!H1641</f>
        <v>0</v>
      </c>
      <c r="H775" s="35">
        <f t="shared" si="183"/>
        <v>113.2</v>
      </c>
      <c r="I775" s="7">
        <f>прил.6!J1641</f>
        <v>0</v>
      </c>
      <c r="J775" s="35">
        <f t="shared" si="181"/>
        <v>113.2</v>
      </c>
      <c r="K775" s="7">
        <f>прил.6!L1641</f>
        <v>0</v>
      </c>
      <c r="L775" s="35">
        <f t="shared" si="178"/>
        <v>113.2</v>
      </c>
      <c r="M775" s="7">
        <f>прил.6!N1641</f>
        <v>0</v>
      </c>
      <c r="N775" s="35">
        <f t="shared" si="179"/>
        <v>113.2</v>
      </c>
      <c r="O775" s="7">
        <f>прил.6!P1641</f>
        <v>0</v>
      </c>
      <c r="P775" s="35">
        <f t="shared" si="175"/>
        <v>113.2</v>
      </c>
      <c r="Q775" s="7">
        <f>прил.6!R1641</f>
        <v>0</v>
      </c>
      <c r="R775" s="35">
        <f t="shared" si="176"/>
        <v>113.2</v>
      </c>
      <c r="S775" s="7">
        <f>прил.6!T1641</f>
        <v>0</v>
      </c>
      <c r="T775" s="35">
        <f t="shared" si="180"/>
        <v>113.2</v>
      </c>
    </row>
    <row r="776" spans="1:20" ht="56.25" customHeight="1">
      <c r="A776" s="61" t="str">
        <f ca="1">IF(ISERROR(MATCH(B776,Код_КЦСР,0)),"",INDIRECT(ADDRESS(MATCH(B776,Код_КЦСР,0)+1,2,,,"КЦСР")))</f>
        <v>Мероприятия по подпрограмме «Безбарьерная среда» в рамках софинансирования с государственной программой «Социальная поддержка граждан в Вологодской области на 2014-2018 годы»</v>
      </c>
      <c r="B776" s="45" t="s">
        <v>655</v>
      </c>
      <c r="C776" s="8"/>
      <c r="D776" s="1"/>
      <c r="E776" s="113"/>
      <c r="F776" s="7"/>
      <c r="G776" s="7"/>
      <c r="H776" s="35"/>
      <c r="I776" s="7"/>
      <c r="J776" s="35"/>
      <c r="K776" s="7"/>
      <c r="L776" s="35"/>
      <c r="M776" s="7"/>
      <c r="N776" s="35"/>
      <c r="O776" s="7"/>
      <c r="P776" s="35"/>
      <c r="Q776" s="7">
        <f>Q777</f>
        <v>75</v>
      </c>
      <c r="R776" s="35">
        <f t="shared" si="176"/>
        <v>75</v>
      </c>
      <c r="S776" s="7">
        <f>S777</f>
        <v>0</v>
      </c>
      <c r="T776" s="35">
        <f t="shared" si="180"/>
        <v>75</v>
      </c>
    </row>
    <row r="777" spans="1:20">
      <c r="A777" s="61" t="str">
        <f ca="1">IF(ISERROR(MATCH(C777,Код_Раздел,0)),"",INDIRECT(ADDRESS(MATCH(C777,Код_Раздел,0)+1,2,,,"Раздел")))</f>
        <v>Национальная экономика</v>
      </c>
      <c r="B777" s="45" t="s">
        <v>655</v>
      </c>
      <c r="C777" s="8" t="s">
        <v>214</v>
      </c>
      <c r="D777" s="1"/>
      <c r="E777" s="113"/>
      <c r="F777" s="7"/>
      <c r="G777" s="7"/>
      <c r="H777" s="35"/>
      <c r="I777" s="7"/>
      <c r="J777" s="35"/>
      <c r="K777" s="7"/>
      <c r="L777" s="35"/>
      <c r="M777" s="7"/>
      <c r="N777" s="35"/>
      <c r="O777" s="7"/>
      <c r="P777" s="35"/>
      <c r="Q777" s="7">
        <f>Q778</f>
        <v>75</v>
      </c>
      <c r="R777" s="35">
        <f t="shared" si="176"/>
        <v>75</v>
      </c>
      <c r="S777" s="7">
        <f>S778</f>
        <v>0</v>
      </c>
      <c r="T777" s="35">
        <f t="shared" si="180"/>
        <v>75</v>
      </c>
    </row>
    <row r="778" spans="1:20" ht="20.25" customHeight="1">
      <c r="A778" s="76" t="s">
        <v>178</v>
      </c>
      <c r="B778" s="45" t="s">
        <v>655</v>
      </c>
      <c r="C778" s="8" t="s">
        <v>214</v>
      </c>
      <c r="D778" s="8" t="s">
        <v>217</v>
      </c>
      <c r="E778" s="113"/>
      <c r="F778" s="7"/>
      <c r="G778" s="7"/>
      <c r="H778" s="35"/>
      <c r="I778" s="7"/>
      <c r="J778" s="35"/>
      <c r="K778" s="7"/>
      <c r="L778" s="35"/>
      <c r="M778" s="7"/>
      <c r="N778" s="35"/>
      <c r="O778" s="7"/>
      <c r="P778" s="35"/>
      <c r="Q778" s="7">
        <f>Q779</f>
        <v>75</v>
      </c>
      <c r="R778" s="35">
        <f t="shared" si="176"/>
        <v>75</v>
      </c>
      <c r="S778" s="7">
        <f>S779</f>
        <v>0</v>
      </c>
      <c r="T778" s="35">
        <f t="shared" si="180"/>
        <v>75</v>
      </c>
    </row>
    <row r="779" spans="1:20" ht="21" customHeight="1">
      <c r="A779" s="61" t="str">
        <f ca="1">IF(ISERROR(MATCH(E779,Код_КВР,0)),"",INDIRECT(ADDRESS(MATCH(E779,Код_КВР,0)+1,2,,,"КВР")))</f>
        <v>Закупка товаров, работ и услуг для муниципальных нужд</v>
      </c>
      <c r="B779" s="45" t="s">
        <v>655</v>
      </c>
      <c r="C779" s="8" t="s">
        <v>214</v>
      </c>
      <c r="D779" s="8" t="s">
        <v>217</v>
      </c>
      <c r="E779" s="113">
        <v>200</v>
      </c>
      <c r="F779" s="7"/>
      <c r="G779" s="7"/>
      <c r="H779" s="35"/>
      <c r="I779" s="7"/>
      <c r="J779" s="35"/>
      <c r="K779" s="7"/>
      <c r="L779" s="35"/>
      <c r="M779" s="7"/>
      <c r="N779" s="35"/>
      <c r="O779" s="7"/>
      <c r="P779" s="35"/>
      <c r="Q779" s="7">
        <f>Q780</f>
        <v>75</v>
      </c>
      <c r="R779" s="35">
        <f t="shared" si="176"/>
        <v>75</v>
      </c>
      <c r="S779" s="7">
        <f>S780</f>
        <v>0</v>
      </c>
      <c r="T779" s="35">
        <f t="shared" si="180"/>
        <v>75</v>
      </c>
    </row>
    <row r="780" spans="1:20" ht="33" customHeight="1">
      <c r="A780" s="61" t="str">
        <f ca="1">IF(ISERROR(MATCH(E780,Код_КВР,0)),"",INDIRECT(ADDRESS(MATCH(E780,Код_КВР,0)+1,2,,,"КВР")))</f>
        <v>Иные закупки товаров, работ и услуг для обеспечения муниципальных нужд</v>
      </c>
      <c r="B780" s="45" t="s">
        <v>655</v>
      </c>
      <c r="C780" s="8" t="s">
        <v>214</v>
      </c>
      <c r="D780" s="8" t="s">
        <v>217</v>
      </c>
      <c r="E780" s="113">
        <v>240</v>
      </c>
      <c r="F780" s="7"/>
      <c r="G780" s="7"/>
      <c r="H780" s="35"/>
      <c r="I780" s="7"/>
      <c r="J780" s="35"/>
      <c r="K780" s="7"/>
      <c r="L780" s="35"/>
      <c r="M780" s="7"/>
      <c r="N780" s="35"/>
      <c r="O780" s="7"/>
      <c r="P780" s="35"/>
      <c r="Q780" s="7">
        <f>Q781</f>
        <v>75</v>
      </c>
      <c r="R780" s="35">
        <f t="shared" si="176"/>
        <v>75</v>
      </c>
      <c r="S780" s="7">
        <f>S781</f>
        <v>0</v>
      </c>
      <c r="T780" s="35">
        <f t="shared" si="180"/>
        <v>75</v>
      </c>
    </row>
    <row r="781" spans="1:20" ht="33">
      <c r="A781" s="61" t="str">
        <f ca="1">IF(ISERROR(MATCH(E781,Код_КВР,0)),"",INDIRECT(ADDRESS(MATCH(E781,Код_КВР,0)+1,2,,,"КВР")))</f>
        <v xml:space="preserve">Прочая закупка товаров, работ и услуг для обеспечения муниципальных нужд         </v>
      </c>
      <c r="B781" s="45" t="s">
        <v>655</v>
      </c>
      <c r="C781" s="8" t="s">
        <v>214</v>
      </c>
      <c r="D781" s="8" t="s">
        <v>217</v>
      </c>
      <c r="E781" s="113">
        <v>244</v>
      </c>
      <c r="F781" s="7"/>
      <c r="G781" s="7"/>
      <c r="H781" s="35"/>
      <c r="I781" s="7"/>
      <c r="J781" s="35"/>
      <c r="K781" s="7"/>
      <c r="L781" s="35"/>
      <c r="M781" s="7"/>
      <c r="N781" s="35"/>
      <c r="O781" s="7"/>
      <c r="P781" s="35"/>
      <c r="Q781" s="7">
        <f>прил.6!R437</f>
        <v>75</v>
      </c>
      <c r="R781" s="35">
        <f t="shared" si="176"/>
        <v>75</v>
      </c>
      <c r="S781" s="7">
        <f>прил.6!T437</f>
        <v>0</v>
      </c>
      <c r="T781" s="35">
        <f t="shared" si="180"/>
        <v>75</v>
      </c>
    </row>
    <row r="782" spans="1:20" ht="33">
      <c r="A782" s="61" t="str">
        <f ca="1">IF(ISERROR(MATCH(B782,Код_КЦСР,0)),"",INDIRECT(ADDRESS(MATCH(B782,Код_КЦСР,0)+1,2,,,"КЦСР")))</f>
        <v>Выплата ежемесячного социального пособия на оздоровление работникам учреждений здравоохранения</v>
      </c>
      <c r="B782" s="45" t="s">
        <v>9</v>
      </c>
      <c r="C782" s="8"/>
      <c r="D782" s="1"/>
      <c r="E782" s="113"/>
      <c r="F782" s="7">
        <f t="shared" ref="F782:S790" si="187">F783</f>
        <v>27293</v>
      </c>
      <c r="G782" s="7">
        <f t="shared" si="187"/>
        <v>0</v>
      </c>
      <c r="H782" s="35">
        <f t="shared" si="183"/>
        <v>27293</v>
      </c>
      <c r="I782" s="7">
        <f t="shared" si="187"/>
        <v>0</v>
      </c>
      <c r="J782" s="35">
        <f t="shared" si="181"/>
        <v>27293</v>
      </c>
      <c r="K782" s="7">
        <f t="shared" si="187"/>
        <v>-825</v>
      </c>
      <c r="L782" s="35">
        <f t="shared" si="178"/>
        <v>26468</v>
      </c>
      <c r="M782" s="7">
        <f t="shared" si="187"/>
        <v>0</v>
      </c>
      <c r="N782" s="35">
        <f t="shared" si="179"/>
        <v>26468</v>
      </c>
      <c r="O782" s="7">
        <f t="shared" si="187"/>
        <v>0</v>
      </c>
      <c r="P782" s="35">
        <f t="shared" si="175"/>
        <v>26468</v>
      </c>
      <c r="Q782" s="7">
        <f t="shared" si="187"/>
        <v>0</v>
      </c>
      <c r="R782" s="35">
        <f t="shared" si="176"/>
        <v>26468</v>
      </c>
      <c r="S782" s="7">
        <f t="shared" si="187"/>
        <v>0</v>
      </c>
      <c r="T782" s="35">
        <f t="shared" si="180"/>
        <v>26468</v>
      </c>
    </row>
    <row r="783" spans="1:20" ht="58.5" customHeight="1">
      <c r="A783" s="61" t="str">
        <f ca="1">IF(ISERROR(MATCH(B783,Код_КЦСР,0)),"",INDIRECT(ADDRESS(MATCH(B783,Код_КЦСР,0)+1,2,,,"КЦСР")))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783" s="45" t="s">
        <v>11</v>
      </c>
      <c r="C783" s="8"/>
      <c r="D783" s="1"/>
      <c r="E783" s="113"/>
      <c r="F783" s="7">
        <f t="shared" si="187"/>
        <v>27293</v>
      </c>
      <c r="G783" s="7">
        <f t="shared" si="187"/>
        <v>0</v>
      </c>
      <c r="H783" s="35">
        <f t="shared" si="183"/>
        <v>27293</v>
      </c>
      <c r="I783" s="7">
        <f t="shared" si="187"/>
        <v>0</v>
      </c>
      <c r="J783" s="35">
        <f t="shared" si="181"/>
        <v>27293</v>
      </c>
      <c r="K783" s="7">
        <f t="shared" si="187"/>
        <v>-825</v>
      </c>
      <c r="L783" s="35">
        <f t="shared" si="178"/>
        <v>26468</v>
      </c>
      <c r="M783" s="7">
        <f t="shared" si="187"/>
        <v>0</v>
      </c>
      <c r="N783" s="35">
        <f t="shared" si="179"/>
        <v>26468</v>
      </c>
      <c r="O783" s="7">
        <f t="shared" si="187"/>
        <v>0</v>
      </c>
      <c r="P783" s="35">
        <f t="shared" si="175"/>
        <v>26468</v>
      </c>
      <c r="Q783" s="7">
        <f t="shared" si="187"/>
        <v>0</v>
      </c>
      <c r="R783" s="35">
        <f t="shared" si="176"/>
        <v>26468</v>
      </c>
      <c r="S783" s="7">
        <f t="shared" si="187"/>
        <v>0</v>
      </c>
      <c r="T783" s="35">
        <f t="shared" si="180"/>
        <v>26468</v>
      </c>
    </row>
    <row r="784" spans="1:20">
      <c r="A784" s="61" t="str">
        <f ca="1">IF(ISERROR(MATCH(C784,Код_Раздел,0)),"",INDIRECT(ADDRESS(MATCH(C784,Код_Раздел,0)+1,2,,,"Раздел")))</f>
        <v>Социальная политика</v>
      </c>
      <c r="B784" s="45" t="s">
        <v>11</v>
      </c>
      <c r="C784" s="8" t="s">
        <v>186</v>
      </c>
      <c r="D784" s="1"/>
      <c r="E784" s="113"/>
      <c r="F784" s="7">
        <f t="shared" si="187"/>
        <v>27293</v>
      </c>
      <c r="G784" s="7">
        <f t="shared" si="187"/>
        <v>0</v>
      </c>
      <c r="H784" s="35">
        <f t="shared" si="183"/>
        <v>27293</v>
      </c>
      <c r="I784" s="7">
        <f t="shared" si="187"/>
        <v>0</v>
      </c>
      <c r="J784" s="35">
        <f t="shared" si="181"/>
        <v>27293</v>
      </c>
      <c r="K784" s="7">
        <f t="shared" si="187"/>
        <v>-825</v>
      </c>
      <c r="L784" s="35">
        <f t="shared" si="178"/>
        <v>26468</v>
      </c>
      <c r="M784" s="7">
        <f t="shared" si="187"/>
        <v>0</v>
      </c>
      <c r="N784" s="35">
        <f t="shared" si="179"/>
        <v>26468</v>
      </c>
      <c r="O784" s="7">
        <f t="shared" si="187"/>
        <v>0</v>
      </c>
      <c r="P784" s="35">
        <f t="shared" si="175"/>
        <v>26468</v>
      </c>
      <c r="Q784" s="7">
        <f t="shared" si="187"/>
        <v>0</v>
      </c>
      <c r="R784" s="35">
        <f t="shared" si="176"/>
        <v>26468</v>
      </c>
      <c r="S784" s="7">
        <f t="shared" si="187"/>
        <v>0</v>
      </c>
      <c r="T784" s="35">
        <f t="shared" si="180"/>
        <v>26468</v>
      </c>
    </row>
    <row r="785" spans="1:20">
      <c r="A785" s="12" t="s">
        <v>177</v>
      </c>
      <c r="B785" s="45" t="s">
        <v>11</v>
      </c>
      <c r="C785" s="8" t="s">
        <v>186</v>
      </c>
      <c r="D785" s="8" t="s">
        <v>213</v>
      </c>
      <c r="E785" s="113"/>
      <c r="F785" s="7">
        <f>F789</f>
        <v>27293</v>
      </c>
      <c r="G785" s="7">
        <f>G789</f>
        <v>0</v>
      </c>
      <c r="H785" s="35">
        <f t="shared" si="183"/>
        <v>27293</v>
      </c>
      <c r="I785" s="7">
        <f>I789</f>
        <v>0</v>
      </c>
      <c r="J785" s="35">
        <f t="shared" si="181"/>
        <v>27293</v>
      </c>
      <c r="K785" s="7">
        <f>K789</f>
        <v>-825</v>
      </c>
      <c r="L785" s="35">
        <f t="shared" si="178"/>
        <v>26468</v>
      </c>
      <c r="M785" s="7">
        <f>M789</f>
        <v>0</v>
      </c>
      <c r="N785" s="35">
        <f t="shared" si="179"/>
        <v>26468</v>
      </c>
      <c r="O785" s="7">
        <f>O789</f>
        <v>0</v>
      </c>
      <c r="P785" s="35">
        <f t="shared" si="175"/>
        <v>26468</v>
      </c>
      <c r="Q785" s="7">
        <f>Q789</f>
        <v>0</v>
      </c>
      <c r="R785" s="35">
        <f t="shared" si="176"/>
        <v>26468</v>
      </c>
      <c r="S785" s="7">
        <f>S786+S789</f>
        <v>0</v>
      </c>
      <c r="T785" s="35">
        <f t="shared" si="180"/>
        <v>26468</v>
      </c>
    </row>
    <row r="786" spans="1:20">
      <c r="A786" s="61" t="str">
        <f t="shared" ref="A786:A791" ca="1" si="188">IF(ISERROR(MATCH(E786,Код_КВР,0)),"",INDIRECT(ADDRESS(MATCH(E786,Код_КВР,0)+1,2,,,"КВР")))</f>
        <v>Закупка товаров, работ и услуг для муниципальных нужд</v>
      </c>
      <c r="B786" s="45" t="s">
        <v>11</v>
      </c>
      <c r="C786" s="8" t="s">
        <v>186</v>
      </c>
      <c r="D786" s="8" t="s">
        <v>213</v>
      </c>
      <c r="E786" s="113">
        <v>200</v>
      </c>
      <c r="F786" s="7"/>
      <c r="G786" s="7"/>
      <c r="H786" s="35"/>
      <c r="I786" s="7"/>
      <c r="J786" s="35"/>
      <c r="K786" s="7"/>
      <c r="L786" s="35"/>
      <c r="M786" s="7"/>
      <c r="N786" s="35"/>
      <c r="O786" s="7"/>
      <c r="P786" s="35"/>
      <c r="Q786" s="7"/>
      <c r="R786" s="35"/>
      <c r="S786" s="7">
        <f t="shared" si="187"/>
        <v>270.2</v>
      </c>
      <c r="T786" s="35">
        <f t="shared" si="180"/>
        <v>270.2</v>
      </c>
    </row>
    <row r="787" spans="1:20" ht="33">
      <c r="A787" s="61" t="str">
        <f t="shared" ca="1" si="188"/>
        <v>Иные закупки товаров, работ и услуг для обеспечения муниципальных нужд</v>
      </c>
      <c r="B787" s="45" t="s">
        <v>11</v>
      </c>
      <c r="C787" s="8" t="s">
        <v>186</v>
      </c>
      <c r="D787" s="8" t="s">
        <v>213</v>
      </c>
      <c r="E787" s="113">
        <v>240</v>
      </c>
      <c r="F787" s="7"/>
      <c r="G787" s="7"/>
      <c r="H787" s="35"/>
      <c r="I787" s="7"/>
      <c r="J787" s="35"/>
      <c r="K787" s="7"/>
      <c r="L787" s="35"/>
      <c r="M787" s="7"/>
      <c r="N787" s="35"/>
      <c r="O787" s="7"/>
      <c r="P787" s="35"/>
      <c r="Q787" s="7"/>
      <c r="R787" s="35"/>
      <c r="S787" s="7">
        <f t="shared" si="187"/>
        <v>270.2</v>
      </c>
      <c r="T787" s="35">
        <f t="shared" si="180"/>
        <v>270.2</v>
      </c>
    </row>
    <row r="788" spans="1:20" ht="33">
      <c r="A788" s="61" t="str">
        <f t="shared" ca="1" si="188"/>
        <v xml:space="preserve">Прочая закупка товаров, работ и услуг для обеспечения муниципальных нужд         </v>
      </c>
      <c r="B788" s="45" t="s">
        <v>11</v>
      </c>
      <c r="C788" s="8" t="s">
        <v>186</v>
      </c>
      <c r="D788" s="8" t="s">
        <v>213</v>
      </c>
      <c r="E788" s="113">
        <v>244</v>
      </c>
      <c r="F788" s="7"/>
      <c r="G788" s="7"/>
      <c r="H788" s="35"/>
      <c r="I788" s="7"/>
      <c r="J788" s="35"/>
      <c r="K788" s="7"/>
      <c r="L788" s="35"/>
      <c r="M788" s="7"/>
      <c r="N788" s="35"/>
      <c r="O788" s="7"/>
      <c r="P788" s="35"/>
      <c r="Q788" s="7"/>
      <c r="R788" s="35"/>
      <c r="S788" s="7">
        <f>прил.6!T1350</f>
        <v>270.2</v>
      </c>
      <c r="T788" s="35">
        <f t="shared" si="180"/>
        <v>270.2</v>
      </c>
    </row>
    <row r="789" spans="1:20">
      <c r="A789" s="61" t="str">
        <f t="shared" ca="1" si="188"/>
        <v>Социальное обеспечение и иные выплаты населению</v>
      </c>
      <c r="B789" s="45" t="s">
        <v>11</v>
      </c>
      <c r="C789" s="8" t="s">
        <v>186</v>
      </c>
      <c r="D789" s="8" t="s">
        <v>213</v>
      </c>
      <c r="E789" s="113">
        <v>300</v>
      </c>
      <c r="F789" s="7">
        <f t="shared" si="187"/>
        <v>27293</v>
      </c>
      <c r="G789" s="7">
        <f t="shared" si="187"/>
        <v>0</v>
      </c>
      <c r="H789" s="35">
        <f t="shared" si="183"/>
        <v>27293</v>
      </c>
      <c r="I789" s="7">
        <f t="shared" si="187"/>
        <v>0</v>
      </c>
      <c r="J789" s="35">
        <f t="shared" si="181"/>
        <v>27293</v>
      </c>
      <c r="K789" s="7">
        <f t="shared" si="187"/>
        <v>-825</v>
      </c>
      <c r="L789" s="35">
        <f t="shared" si="178"/>
        <v>26468</v>
      </c>
      <c r="M789" s="7">
        <f t="shared" si="187"/>
        <v>0</v>
      </c>
      <c r="N789" s="35">
        <f t="shared" si="179"/>
        <v>26468</v>
      </c>
      <c r="O789" s="7">
        <f t="shared" si="187"/>
        <v>0</v>
      </c>
      <c r="P789" s="35">
        <f t="shared" si="175"/>
        <v>26468</v>
      </c>
      <c r="Q789" s="7">
        <f t="shared" si="187"/>
        <v>0</v>
      </c>
      <c r="R789" s="35">
        <f t="shared" si="176"/>
        <v>26468</v>
      </c>
      <c r="S789" s="7">
        <f t="shared" si="187"/>
        <v>-270.2</v>
      </c>
      <c r="T789" s="35">
        <f t="shared" si="180"/>
        <v>26197.8</v>
      </c>
    </row>
    <row r="790" spans="1:20" ht="18.75" customHeight="1">
      <c r="A790" s="61" t="str">
        <f t="shared" ca="1" si="188"/>
        <v>Публичные нормативные социальные выплаты гражданам</v>
      </c>
      <c r="B790" s="45" t="s">
        <v>11</v>
      </c>
      <c r="C790" s="8" t="s">
        <v>186</v>
      </c>
      <c r="D790" s="8" t="s">
        <v>213</v>
      </c>
      <c r="E790" s="113">
        <v>310</v>
      </c>
      <c r="F790" s="7">
        <f t="shared" si="187"/>
        <v>27293</v>
      </c>
      <c r="G790" s="7">
        <f t="shared" si="187"/>
        <v>0</v>
      </c>
      <c r="H790" s="35">
        <f t="shared" si="183"/>
        <v>27293</v>
      </c>
      <c r="I790" s="7">
        <f t="shared" si="187"/>
        <v>0</v>
      </c>
      <c r="J790" s="35">
        <f t="shared" si="181"/>
        <v>27293</v>
      </c>
      <c r="K790" s="7">
        <f t="shared" si="187"/>
        <v>-825</v>
      </c>
      <c r="L790" s="35">
        <f t="shared" si="178"/>
        <v>26468</v>
      </c>
      <c r="M790" s="7">
        <f t="shared" si="187"/>
        <v>0</v>
      </c>
      <c r="N790" s="35">
        <f t="shared" si="179"/>
        <v>26468</v>
      </c>
      <c r="O790" s="7">
        <f t="shared" si="187"/>
        <v>0</v>
      </c>
      <c r="P790" s="35">
        <f t="shared" si="175"/>
        <v>26468</v>
      </c>
      <c r="Q790" s="7">
        <f t="shared" si="187"/>
        <v>0</v>
      </c>
      <c r="R790" s="35">
        <f t="shared" si="176"/>
        <v>26468</v>
      </c>
      <c r="S790" s="7">
        <f t="shared" si="187"/>
        <v>-270.2</v>
      </c>
      <c r="T790" s="35">
        <f t="shared" si="180"/>
        <v>26197.8</v>
      </c>
    </row>
    <row r="791" spans="1:20" ht="35.25" customHeight="1">
      <c r="A791" s="61" t="str">
        <f t="shared" ca="1" si="188"/>
        <v>Пособия, компенсации, меры социальной поддержки по публичным нормативным обязательствам</v>
      </c>
      <c r="B791" s="45" t="s">
        <v>11</v>
      </c>
      <c r="C791" s="8" t="s">
        <v>186</v>
      </c>
      <c r="D791" s="8" t="s">
        <v>213</v>
      </c>
      <c r="E791" s="113">
        <v>313</v>
      </c>
      <c r="F791" s="7">
        <f>прил.6!G1353</f>
        <v>27293</v>
      </c>
      <c r="G791" s="7">
        <f>прил.6!H1353</f>
        <v>0</v>
      </c>
      <c r="H791" s="35">
        <f t="shared" si="183"/>
        <v>27293</v>
      </c>
      <c r="I791" s="7">
        <f>прил.6!J1353</f>
        <v>0</v>
      </c>
      <c r="J791" s="35">
        <f t="shared" si="181"/>
        <v>27293</v>
      </c>
      <c r="K791" s="7">
        <f>прил.6!L1353</f>
        <v>-825</v>
      </c>
      <c r="L791" s="35">
        <f t="shared" si="178"/>
        <v>26468</v>
      </c>
      <c r="M791" s="7">
        <f>прил.6!N1353</f>
        <v>0</v>
      </c>
      <c r="N791" s="35">
        <f t="shared" si="179"/>
        <v>26468</v>
      </c>
      <c r="O791" s="7">
        <f>прил.6!P1353</f>
        <v>0</v>
      </c>
      <c r="P791" s="35">
        <f t="shared" si="175"/>
        <v>26468</v>
      </c>
      <c r="Q791" s="7">
        <f>прил.6!R1353</f>
        <v>0</v>
      </c>
      <c r="R791" s="35">
        <f t="shared" si="176"/>
        <v>26468</v>
      </c>
      <c r="S791" s="7">
        <f>прил.6!T1353</f>
        <v>-270.2</v>
      </c>
      <c r="T791" s="35">
        <f t="shared" si="180"/>
        <v>26197.8</v>
      </c>
    </row>
    <row r="792" spans="1:20" ht="41.25" customHeight="1">
      <c r="A792" s="61" t="str">
        <f ca="1">IF(ISERROR(MATCH(B792,Код_КЦСР,0)),"",INDIRECT(ADDRESS(MATCH(B792,Код_КЦСР,0)+1,2,,,"КЦСР")))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792" s="45" t="s">
        <v>12</v>
      </c>
      <c r="C792" s="8"/>
      <c r="D792" s="1"/>
      <c r="E792" s="113"/>
      <c r="F792" s="7">
        <f t="shared" ref="F792:S800" si="189">F793</f>
        <v>3888</v>
      </c>
      <c r="G792" s="7">
        <f t="shared" si="189"/>
        <v>0</v>
      </c>
      <c r="H792" s="35">
        <f t="shared" si="183"/>
        <v>3888</v>
      </c>
      <c r="I792" s="7">
        <f t="shared" si="189"/>
        <v>0</v>
      </c>
      <c r="J792" s="35">
        <f t="shared" si="181"/>
        <v>3888</v>
      </c>
      <c r="K792" s="7">
        <f t="shared" si="189"/>
        <v>0</v>
      </c>
      <c r="L792" s="35">
        <f t="shared" si="178"/>
        <v>3888</v>
      </c>
      <c r="M792" s="7">
        <f t="shared" si="189"/>
        <v>0</v>
      </c>
      <c r="N792" s="35">
        <f t="shared" si="179"/>
        <v>3888</v>
      </c>
      <c r="O792" s="7">
        <f t="shared" si="189"/>
        <v>0</v>
      </c>
      <c r="P792" s="35">
        <f t="shared" si="175"/>
        <v>3888</v>
      </c>
      <c r="Q792" s="7">
        <f t="shared" si="189"/>
        <v>0</v>
      </c>
      <c r="R792" s="35">
        <f t="shared" si="176"/>
        <v>3888</v>
      </c>
      <c r="S792" s="7">
        <f t="shared" si="189"/>
        <v>0</v>
      </c>
      <c r="T792" s="35">
        <f t="shared" si="180"/>
        <v>3888</v>
      </c>
    </row>
    <row r="793" spans="1:20" ht="70.7" customHeight="1">
      <c r="A793" s="61" t="str">
        <f ca="1">IF(ISERROR(MATCH(B793,Код_КЦСР,0)),"",INDIRECT(ADDRESS(MATCH(B793,Код_КЦСР,0)+1,2,,,"КЦСР")))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793" s="45" t="s">
        <v>13</v>
      </c>
      <c r="C793" s="8"/>
      <c r="D793" s="1"/>
      <c r="E793" s="113"/>
      <c r="F793" s="7">
        <f t="shared" si="189"/>
        <v>3888</v>
      </c>
      <c r="G793" s="7">
        <f t="shared" si="189"/>
        <v>0</v>
      </c>
      <c r="H793" s="35">
        <f t="shared" si="183"/>
        <v>3888</v>
      </c>
      <c r="I793" s="7">
        <f t="shared" si="189"/>
        <v>0</v>
      </c>
      <c r="J793" s="35">
        <f t="shared" si="181"/>
        <v>3888</v>
      </c>
      <c r="K793" s="7">
        <f t="shared" si="189"/>
        <v>0</v>
      </c>
      <c r="L793" s="35">
        <f t="shared" si="178"/>
        <v>3888</v>
      </c>
      <c r="M793" s="7">
        <f t="shared" si="189"/>
        <v>0</v>
      </c>
      <c r="N793" s="35">
        <f t="shared" si="179"/>
        <v>3888</v>
      </c>
      <c r="O793" s="7">
        <f t="shared" si="189"/>
        <v>0</v>
      </c>
      <c r="P793" s="35">
        <f t="shared" si="175"/>
        <v>3888</v>
      </c>
      <c r="Q793" s="7">
        <f t="shared" si="189"/>
        <v>0</v>
      </c>
      <c r="R793" s="35">
        <f t="shared" si="176"/>
        <v>3888</v>
      </c>
      <c r="S793" s="7">
        <f t="shared" si="189"/>
        <v>0</v>
      </c>
      <c r="T793" s="35">
        <f t="shared" si="180"/>
        <v>3888</v>
      </c>
    </row>
    <row r="794" spans="1:20">
      <c r="A794" s="61" t="str">
        <f ca="1">IF(ISERROR(MATCH(C794,Код_Раздел,0)),"",INDIRECT(ADDRESS(MATCH(C794,Код_Раздел,0)+1,2,,,"Раздел")))</f>
        <v>Социальная политика</v>
      </c>
      <c r="B794" s="45" t="s">
        <v>13</v>
      </c>
      <c r="C794" s="8" t="s">
        <v>186</v>
      </c>
      <c r="D794" s="1"/>
      <c r="E794" s="113"/>
      <c r="F794" s="7">
        <f t="shared" si="189"/>
        <v>3888</v>
      </c>
      <c r="G794" s="7">
        <f t="shared" si="189"/>
        <v>0</v>
      </c>
      <c r="H794" s="35">
        <f t="shared" si="183"/>
        <v>3888</v>
      </c>
      <c r="I794" s="7">
        <f t="shared" si="189"/>
        <v>0</v>
      </c>
      <c r="J794" s="35">
        <f t="shared" si="181"/>
        <v>3888</v>
      </c>
      <c r="K794" s="7">
        <f t="shared" si="189"/>
        <v>0</v>
      </c>
      <c r="L794" s="35">
        <f t="shared" si="178"/>
        <v>3888</v>
      </c>
      <c r="M794" s="7">
        <f t="shared" si="189"/>
        <v>0</v>
      </c>
      <c r="N794" s="35">
        <f t="shared" si="179"/>
        <v>3888</v>
      </c>
      <c r="O794" s="7">
        <f t="shared" si="189"/>
        <v>0</v>
      </c>
      <c r="P794" s="35">
        <f t="shared" si="175"/>
        <v>3888</v>
      </c>
      <c r="Q794" s="7">
        <f t="shared" si="189"/>
        <v>0</v>
      </c>
      <c r="R794" s="35">
        <f t="shared" si="176"/>
        <v>3888</v>
      </c>
      <c r="S794" s="7">
        <f t="shared" si="189"/>
        <v>0</v>
      </c>
      <c r="T794" s="35">
        <f t="shared" si="180"/>
        <v>3888</v>
      </c>
    </row>
    <row r="795" spans="1:20">
      <c r="A795" s="12" t="s">
        <v>177</v>
      </c>
      <c r="B795" s="45" t="s">
        <v>13</v>
      </c>
      <c r="C795" s="8" t="s">
        <v>186</v>
      </c>
      <c r="D795" s="8" t="s">
        <v>213</v>
      </c>
      <c r="E795" s="113"/>
      <c r="F795" s="7">
        <f>F799</f>
        <v>3888</v>
      </c>
      <c r="G795" s="7">
        <f>G799</f>
        <v>0</v>
      </c>
      <c r="H795" s="35">
        <f t="shared" si="183"/>
        <v>3888</v>
      </c>
      <c r="I795" s="7">
        <f>I799</f>
        <v>0</v>
      </c>
      <c r="J795" s="35">
        <f t="shared" si="181"/>
        <v>3888</v>
      </c>
      <c r="K795" s="7">
        <f>K799</f>
        <v>0</v>
      </c>
      <c r="L795" s="35">
        <f t="shared" si="178"/>
        <v>3888</v>
      </c>
      <c r="M795" s="7">
        <f>M799</f>
        <v>0</v>
      </c>
      <c r="N795" s="35">
        <f t="shared" si="179"/>
        <v>3888</v>
      </c>
      <c r="O795" s="7">
        <f>O799</f>
        <v>0</v>
      </c>
      <c r="P795" s="35">
        <f t="shared" si="175"/>
        <v>3888</v>
      </c>
      <c r="Q795" s="7">
        <f>Q799</f>
        <v>0</v>
      </c>
      <c r="R795" s="35">
        <f t="shared" si="176"/>
        <v>3888</v>
      </c>
      <c r="S795" s="7">
        <f>S796+S799</f>
        <v>0</v>
      </c>
      <c r="T795" s="35">
        <f t="shared" si="180"/>
        <v>3888</v>
      </c>
    </row>
    <row r="796" spans="1:20">
      <c r="A796" s="61" t="str">
        <f t="shared" ref="A796:A801" ca="1" si="190">IF(ISERROR(MATCH(E796,Код_КВР,0)),"",INDIRECT(ADDRESS(MATCH(E796,Код_КВР,0)+1,2,,,"КВР")))</f>
        <v>Закупка товаров, работ и услуг для муниципальных нужд</v>
      </c>
      <c r="B796" s="45" t="s">
        <v>13</v>
      </c>
      <c r="C796" s="8" t="s">
        <v>186</v>
      </c>
      <c r="D796" s="8" t="s">
        <v>213</v>
      </c>
      <c r="E796" s="113">
        <v>200</v>
      </c>
      <c r="F796" s="7"/>
      <c r="G796" s="7"/>
      <c r="H796" s="35"/>
      <c r="I796" s="7"/>
      <c r="J796" s="35"/>
      <c r="K796" s="7"/>
      <c r="L796" s="35"/>
      <c r="M796" s="7"/>
      <c r="N796" s="35"/>
      <c r="O796" s="7"/>
      <c r="P796" s="35"/>
      <c r="Q796" s="7"/>
      <c r="R796" s="35"/>
      <c r="S796" s="7">
        <f>S797</f>
        <v>38.5</v>
      </c>
      <c r="T796" s="35">
        <f t="shared" si="180"/>
        <v>38.5</v>
      </c>
    </row>
    <row r="797" spans="1:20" ht="33">
      <c r="A797" s="61" t="str">
        <f t="shared" ca="1" si="190"/>
        <v>Иные закупки товаров, работ и услуг для обеспечения муниципальных нужд</v>
      </c>
      <c r="B797" s="45" t="s">
        <v>13</v>
      </c>
      <c r="C797" s="8" t="s">
        <v>186</v>
      </c>
      <c r="D797" s="8" t="s">
        <v>213</v>
      </c>
      <c r="E797" s="113">
        <v>240</v>
      </c>
      <c r="F797" s="7"/>
      <c r="G797" s="7"/>
      <c r="H797" s="35"/>
      <c r="I797" s="7"/>
      <c r="J797" s="35"/>
      <c r="K797" s="7"/>
      <c r="L797" s="35"/>
      <c r="M797" s="7"/>
      <c r="N797" s="35"/>
      <c r="O797" s="7"/>
      <c r="P797" s="35"/>
      <c r="Q797" s="7"/>
      <c r="R797" s="35"/>
      <c r="S797" s="7">
        <f>S798</f>
        <v>38.5</v>
      </c>
      <c r="T797" s="35">
        <f t="shared" si="180"/>
        <v>38.5</v>
      </c>
    </row>
    <row r="798" spans="1:20" ht="33">
      <c r="A798" s="61" t="str">
        <f t="shared" ca="1" si="190"/>
        <v xml:space="preserve">Прочая закупка товаров, работ и услуг для обеспечения муниципальных нужд         </v>
      </c>
      <c r="B798" s="45" t="s">
        <v>13</v>
      </c>
      <c r="C798" s="8" t="s">
        <v>186</v>
      </c>
      <c r="D798" s="8" t="s">
        <v>213</v>
      </c>
      <c r="E798" s="113">
        <v>244</v>
      </c>
      <c r="F798" s="7"/>
      <c r="G798" s="7"/>
      <c r="H798" s="35"/>
      <c r="I798" s="7"/>
      <c r="J798" s="35"/>
      <c r="K798" s="7"/>
      <c r="L798" s="35"/>
      <c r="M798" s="7"/>
      <c r="N798" s="35"/>
      <c r="O798" s="7"/>
      <c r="P798" s="35"/>
      <c r="Q798" s="7"/>
      <c r="R798" s="35"/>
      <c r="S798" s="7">
        <f>прил.6!T1358</f>
        <v>38.5</v>
      </c>
      <c r="T798" s="35">
        <f t="shared" si="180"/>
        <v>38.5</v>
      </c>
    </row>
    <row r="799" spans="1:20">
      <c r="A799" s="61" t="str">
        <f t="shared" ca="1" si="190"/>
        <v>Социальное обеспечение и иные выплаты населению</v>
      </c>
      <c r="B799" s="45" t="s">
        <v>13</v>
      </c>
      <c r="C799" s="8" t="s">
        <v>186</v>
      </c>
      <c r="D799" s="8" t="s">
        <v>213</v>
      </c>
      <c r="E799" s="113">
        <v>300</v>
      </c>
      <c r="F799" s="7">
        <f t="shared" si="189"/>
        <v>3888</v>
      </c>
      <c r="G799" s="7">
        <f t="shared" si="189"/>
        <v>0</v>
      </c>
      <c r="H799" s="35">
        <f t="shared" si="183"/>
        <v>3888</v>
      </c>
      <c r="I799" s="7">
        <f t="shared" si="189"/>
        <v>0</v>
      </c>
      <c r="J799" s="35">
        <f t="shared" si="181"/>
        <v>3888</v>
      </c>
      <c r="K799" s="7">
        <f t="shared" si="189"/>
        <v>0</v>
      </c>
      <c r="L799" s="35">
        <f t="shared" si="178"/>
        <v>3888</v>
      </c>
      <c r="M799" s="7">
        <f t="shared" si="189"/>
        <v>0</v>
      </c>
      <c r="N799" s="35">
        <f t="shared" si="179"/>
        <v>3888</v>
      </c>
      <c r="O799" s="7">
        <f t="shared" si="189"/>
        <v>0</v>
      </c>
      <c r="P799" s="35">
        <f t="shared" si="175"/>
        <v>3888</v>
      </c>
      <c r="Q799" s="7">
        <f t="shared" si="189"/>
        <v>0</v>
      </c>
      <c r="R799" s="35">
        <f t="shared" si="176"/>
        <v>3888</v>
      </c>
      <c r="S799" s="7">
        <f t="shared" si="189"/>
        <v>-38.5</v>
      </c>
      <c r="T799" s="35">
        <f t="shared" si="180"/>
        <v>3849.5</v>
      </c>
    </row>
    <row r="800" spans="1:20">
      <c r="A800" s="61" t="str">
        <f t="shared" ca="1" si="190"/>
        <v>Публичные нормативные социальные выплаты гражданам</v>
      </c>
      <c r="B800" s="45" t="s">
        <v>13</v>
      </c>
      <c r="C800" s="8" t="s">
        <v>186</v>
      </c>
      <c r="D800" s="8" t="s">
        <v>213</v>
      </c>
      <c r="E800" s="113">
        <v>310</v>
      </c>
      <c r="F800" s="7">
        <f t="shared" si="189"/>
        <v>3888</v>
      </c>
      <c r="G800" s="7">
        <f t="shared" si="189"/>
        <v>0</v>
      </c>
      <c r="H800" s="35">
        <f t="shared" si="183"/>
        <v>3888</v>
      </c>
      <c r="I800" s="7">
        <f t="shared" si="189"/>
        <v>0</v>
      </c>
      <c r="J800" s="35">
        <f t="shared" si="181"/>
        <v>3888</v>
      </c>
      <c r="K800" s="7">
        <f t="shared" si="189"/>
        <v>0</v>
      </c>
      <c r="L800" s="35">
        <f t="shared" si="178"/>
        <v>3888</v>
      </c>
      <c r="M800" s="7">
        <f t="shared" si="189"/>
        <v>0</v>
      </c>
      <c r="N800" s="35">
        <f t="shared" si="179"/>
        <v>3888</v>
      </c>
      <c r="O800" s="7">
        <f t="shared" si="189"/>
        <v>0</v>
      </c>
      <c r="P800" s="35">
        <f t="shared" si="175"/>
        <v>3888</v>
      </c>
      <c r="Q800" s="7">
        <f t="shared" si="189"/>
        <v>0</v>
      </c>
      <c r="R800" s="35">
        <f t="shared" si="176"/>
        <v>3888</v>
      </c>
      <c r="S800" s="7">
        <f t="shared" si="189"/>
        <v>-38.5</v>
      </c>
      <c r="T800" s="35">
        <f t="shared" si="180"/>
        <v>3849.5</v>
      </c>
    </row>
    <row r="801" spans="1:21" ht="33">
      <c r="A801" s="61" t="str">
        <f t="shared" ca="1" si="190"/>
        <v>Пособия, компенсации, меры социальной поддержки по публичным нормативным обязательствам</v>
      </c>
      <c r="B801" s="45" t="s">
        <v>13</v>
      </c>
      <c r="C801" s="8" t="s">
        <v>186</v>
      </c>
      <c r="D801" s="8" t="s">
        <v>213</v>
      </c>
      <c r="E801" s="113">
        <v>313</v>
      </c>
      <c r="F801" s="7">
        <f>прил.6!G1361</f>
        <v>3888</v>
      </c>
      <c r="G801" s="7">
        <f>прил.6!H1361</f>
        <v>0</v>
      </c>
      <c r="H801" s="35">
        <f t="shared" si="183"/>
        <v>3888</v>
      </c>
      <c r="I801" s="7">
        <f>прил.6!J1361</f>
        <v>0</v>
      </c>
      <c r="J801" s="35">
        <f t="shared" si="181"/>
        <v>3888</v>
      </c>
      <c r="K801" s="7">
        <f>прил.6!L1361</f>
        <v>0</v>
      </c>
      <c r="L801" s="35">
        <f t="shared" si="178"/>
        <v>3888</v>
      </c>
      <c r="M801" s="7">
        <f>прил.6!N1361</f>
        <v>0</v>
      </c>
      <c r="N801" s="35">
        <f t="shared" si="179"/>
        <v>3888</v>
      </c>
      <c r="O801" s="7">
        <f>прил.6!P1361</f>
        <v>0</v>
      </c>
      <c r="P801" s="35">
        <f t="shared" si="175"/>
        <v>3888</v>
      </c>
      <c r="Q801" s="7">
        <f>прил.6!R1361</f>
        <v>0</v>
      </c>
      <c r="R801" s="35">
        <f t="shared" si="176"/>
        <v>3888</v>
      </c>
      <c r="S801" s="7">
        <f>прил.6!T1361</f>
        <v>-38.5</v>
      </c>
      <c r="T801" s="35">
        <f t="shared" si="180"/>
        <v>3849.5</v>
      </c>
    </row>
    <row r="802" spans="1:21" ht="36.75" customHeight="1">
      <c r="A802" s="61" t="str">
        <f ca="1">IF(ISERROR(MATCH(B802,Код_КЦСР,0)),"",INDIRECT(ADDRESS(MATCH(B802,Код_КЦСР,0)+1,2,,,"КЦСР")))</f>
        <v>Выплата вознаграждений лицам, имеющим знак «За особые заслуги перед городом Череповцом»</v>
      </c>
      <c r="B802" s="45" t="s">
        <v>14</v>
      </c>
      <c r="C802" s="8"/>
      <c r="D802" s="1"/>
      <c r="E802" s="113"/>
      <c r="F802" s="7">
        <f t="shared" ref="F802:S810" si="191">F803</f>
        <v>421.2</v>
      </c>
      <c r="G802" s="7">
        <f t="shared" si="191"/>
        <v>0</v>
      </c>
      <c r="H802" s="35">
        <f t="shared" si="183"/>
        <v>421.2</v>
      </c>
      <c r="I802" s="7">
        <f t="shared" si="191"/>
        <v>0</v>
      </c>
      <c r="J802" s="35">
        <f t="shared" si="181"/>
        <v>421.2</v>
      </c>
      <c r="K802" s="7">
        <f t="shared" si="191"/>
        <v>0</v>
      </c>
      <c r="L802" s="35">
        <f t="shared" si="178"/>
        <v>421.2</v>
      </c>
      <c r="M802" s="7">
        <f t="shared" si="191"/>
        <v>0</v>
      </c>
      <c r="N802" s="35">
        <f t="shared" si="179"/>
        <v>421.2</v>
      </c>
      <c r="O802" s="7">
        <f t="shared" si="191"/>
        <v>0</v>
      </c>
      <c r="P802" s="35">
        <f t="shared" si="175"/>
        <v>421.2</v>
      </c>
      <c r="Q802" s="7">
        <f t="shared" si="191"/>
        <v>0</v>
      </c>
      <c r="R802" s="35">
        <f t="shared" si="176"/>
        <v>421.2</v>
      </c>
      <c r="S802" s="7">
        <f t="shared" si="191"/>
        <v>0</v>
      </c>
      <c r="T802" s="35">
        <f t="shared" si="180"/>
        <v>421.2</v>
      </c>
    </row>
    <row r="803" spans="1:21" ht="54.75" customHeight="1">
      <c r="A803" s="61" t="str">
        <f ca="1">IF(ISERROR(MATCH(B803,Код_КЦСР,0)),"",INDIRECT(ADDRESS(MATCH(B803,Код_КЦСР,0)+1,2,,,"КЦСР")))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803" s="45" t="s">
        <v>16</v>
      </c>
      <c r="C803" s="8"/>
      <c r="D803" s="1"/>
      <c r="E803" s="113"/>
      <c r="F803" s="7">
        <f t="shared" si="191"/>
        <v>421.2</v>
      </c>
      <c r="G803" s="7">
        <f t="shared" si="191"/>
        <v>0</v>
      </c>
      <c r="H803" s="35">
        <f t="shared" si="183"/>
        <v>421.2</v>
      </c>
      <c r="I803" s="7">
        <f t="shared" si="191"/>
        <v>0</v>
      </c>
      <c r="J803" s="35">
        <f t="shared" si="181"/>
        <v>421.2</v>
      </c>
      <c r="K803" s="7">
        <f t="shared" si="191"/>
        <v>0</v>
      </c>
      <c r="L803" s="35">
        <f t="shared" si="178"/>
        <v>421.2</v>
      </c>
      <c r="M803" s="7">
        <f t="shared" si="191"/>
        <v>0</v>
      </c>
      <c r="N803" s="35">
        <f t="shared" si="179"/>
        <v>421.2</v>
      </c>
      <c r="O803" s="7">
        <f t="shared" si="191"/>
        <v>0</v>
      </c>
      <c r="P803" s="35">
        <f t="shared" si="175"/>
        <v>421.2</v>
      </c>
      <c r="Q803" s="7">
        <f t="shared" si="191"/>
        <v>0</v>
      </c>
      <c r="R803" s="35">
        <f t="shared" si="176"/>
        <v>421.2</v>
      </c>
      <c r="S803" s="7">
        <f t="shared" si="191"/>
        <v>0</v>
      </c>
      <c r="T803" s="35">
        <f t="shared" si="180"/>
        <v>421.2</v>
      </c>
    </row>
    <row r="804" spans="1:21">
      <c r="A804" s="61" t="str">
        <f ca="1">IF(ISERROR(MATCH(C804,Код_Раздел,0)),"",INDIRECT(ADDRESS(MATCH(C804,Код_Раздел,0)+1,2,,,"Раздел")))</f>
        <v>Социальная политика</v>
      </c>
      <c r="B804" s="45" t="s">
        <v>16</v>
      </c>
      <c r="C804" s="8" t="s">
        <v>186</v>
      </c>
      <c r="D804" s="1"/>
      <c r="E804" s="113"/>
      <c r="F804" s="7">
        <f>F805</f>
        <v>421.2</v>
      </c>
      <c r="G804" s="7">
        <f>G805</f>
        <v>0</v>
      </c>
      <c r="H804" s="35">
        <f t="shared" si="183"/>
        <v>421.2</v>
      </c>
      <c r="I804" s="7">
        <f>I805</f>
        <v>0</v>
      </c>
      <c r="J804" s="35">
        <f t="shared" si="181"/>
        <v>421.2</v>
      </c>
      <c r="K804" s="7">
        <f>K805</f>
        <v>0</v>
      </c>
      <c r="L804" s="35">
        <f t="shared" si="178"/>
        <v>421.2</v>
      </c>
      <c r="M804" s="7">
        <f>M805</f>
        <v>0</v>
      </c>
      <c r="N804" s="35">
        <f t="shared" si="179"/>
        <v>421.2</v>
      </c>
      <c r="O804" s="7">
        <f>O805</f>
        <v>0</v>
      </c>
      <c r="P804" s="35">
        <f t="shared" si="175"/>
        <v>421.2</v>
      </c>
      <c r="Q804" s="7">
        <f>Q805</f>
        <v>0</v>
      </c>
      <c r="R804" s="35">
        <f t="shared" si="176"/>
        <v>421.2</v>
      </c>
      <c r="S804" s="7">
        <f>S805+S812</f>
        <v>0</v>
      </c>
      <c r="T804" s="35">
        <f t="shared" si="180"/>
        <v>421.2</v>
      </c>
    </row>
    <row r="805" spans="1:21">
      <c r="A805" s="12" t="s">
        <v>177</v>
      </c>
      <c r="B805" s="45" t="s">
        <v>16</v>
      </c>
      <c r="C805" s="8" t="s">
        <v>186</v>
      </c>
      <c r="D805" s="8" t="s">
        <v>213</v>
      </c>
      <c r="E805" s="113"/>
      <c r="F805" s="7">
        <f>F809</f>
        <v>421.2</v>
      </c>
      <c r="G805" s="7">
        <f>G809</f>
        <v>0</v>
      </c>
      <c r="H805" s="35">
        <f t="shared" si="183"/>
        <v>421.2</v>
      </c>
      <c r="I805" s="7">
        <f>I809</f>
        <v>0</v>
      </c>
      <c r="J805" s="35">
        <f t="shared" si="181"/>
        <v>421.2</v>
      </c>
      <c r="K805" s="7">
        <f>K809</f>
        <v>0</v>
      </c>
      <c r="L805" s="35">
        <f t="shared" si="178"/>
        <v>421.2</v>
      </c>
      <c r="M805" s="7">
        <f>M809</f>
        <v>0</v>
      </c>
      <c r="N805" s="35">
        <f t="shared" si="179"/>
        <v>421.2</v>
      </c>
      <c r="O805" s="7">
        <f>O809</f>
        <v>0</v>
      </c>
      <c r="P805" s="35">
        <f t="shared" si="175"/>
        <v>421.2</v>
      </c>
      <c r="Q805" s="7">
        <f>Q809</f>
        <v>0</v>
      </c>
      <c r="R805" s="35">
        <f t="shared" si="176"/>
        <v>421.2</v>
      </c>
      <c r="S805" s="7">
        <f>S806+S809</f>
        <v>0</v>
      </c>
      <c r="T805" s="35">
        <f t="shared" si="180"/>
        <v>421.2</v>
      </c>
    </row>
    <row r="806" spans="1:21">
      <c r="A806" s="61" t="str">
        <f t="shared" ref="A806:A811" ca="1" si="192">IF(ISERROR(MATCH(E806,Код_КВР,0)),"",INDIRECT(ADDRESS(MATCH(E806,Код_КВР,0)+1,2,,,"КВР")))</f>
        <v>Закупка товаров, работ и услуг для муниципальных нужд</v>
      </c>
      <c r="B806" s="45" t="s">
        <v>16</v>
      </c>
      <c r="C806" s="8" t="s">
        <v>186</v>
      </c>
      <c r="D806" s="8" t="s">
        <v>213</v>
      </c>
      <c r="E806" s="113">
        <v>200</v>
      </c>
      <c r="F806" s="7"/>
      <c r="G806" s="7"/>
      <c r="H806" s="35"/>
      <c r="I806" s="7"/>
      <c r="J806" s="35"/>
      <c r="K806" s="7"/>
      <c r="L806" s="35"/>
      <c r="M806" s="7"/>
      <c r="N806" s="35"/>
      <c r="O806" s="7"/>
      <c r="P806" s="35"/>
      <c r="Q806" s="7"/>
      <c r="R806" s="35"/>
      <c r="S806" s="7">
        <f t="shared" si="191"/>
        <v>4.2</v>
      </c>
      <c r="T806" s="35">
        <f t="shared" si="180"/>
        <v>4.2</v>
      </c>
    </row>
    <row r="807" spans="1:21" ht="33">
      <c r="A807" s="61" t="str">
        <f t="shared" ca="1" si="192"/>
        <v>Иные закупки товаров, работ и услуг для обеспечения муниципальных нужд</v>
      </c>
      <c r="B807" s="45" t="s">
        <v>16</v>
      </c>
      <c r="C807" s="8" t="s">
        <v>186</v>
      </c>
      <c r="D807" s="8" t="s">
        <v>213</v>
      </c>
      <c r="E807" s="113">
        <v>240</v>
      </c>
      <c r="F807" s="7"/>
      <c r="G807" s="7"/>
      <c r="H807" s="35"/>
      <c r="I807" s="7"/>
      <c r="J807" s="35"/>
      <c r="K807" s="7"/>
      <c r="L807" s="35"/>
      <c r="M807" s="7"/>
      <c r="N807" s="35"/>
      <c r="O807" s="7"/>
      <c r="P807" s="35"/>
      <c r="Q807" s="7"/>
      <c r="R807" s="35"/>
      <c r="S807" s="7">
        <f t="shared" si="191"/>
        <v>4.2</v>
      </c>
      <c r="T807" s="35">
        <f t="shared" si="180"/>
        <v>4.2</v>
      </c>
    </row>
    <row r="808" spans="1:21" ht="33">
      <c r="A808" s="61" t="str">
        <f t="shared" ca="1" si="192"/>
        <v xml:space="preserve">Прочая закупка товаров, работ и услуг для обеспечения муниципальных нужд         </v>
      </c>
      <c r="B808" s="45" t="s">
        <v>16</v>
      </c>
      <c r="C808" s="8" t="s">
        <v>186</v>
      </c>
      <c r="D808" s="8" t="s">
        <v>213</v>
      </c>
      <c r="E808" s="113">
        <v>244</v>
      </c>
      <c r="F808" s="7"/>
      <c r="G808" s="7"/>
      <c r="H808" s="35"/>
      <c r="I808" s="7"/>
      <c r="J808" s="35"/>
      <c r="K808" s="7"/>
      <c r="L808" s="35"/>
      <c r="M808" s="7"/>
      <c r="N808" s="35"/>
      <c r="O808" s="7"/>
      <c r="P808" s="35"/>
      <c r="Q808" s="7"/>
      <c r="R808" s="35"/>
      <c r="S808" s="7">
        <f>прил.6!T1366</f>
        <v>4.2</v>
      </c>
      <c r="T808" s="35">
        <f t="shared" si="180"/>
        <v>4.2</v>
      </c>
    </row>
    <row r="809" spans="1:21">
      <c r="A809" s="61" t="str">
        <f t="shared" ca="1" si="192"/>
        <v>Социальное обеспечение и иные выплаты населению</v>
      </c>
      <c r="B809" s="45" t="s">
        <v>16</v>
      </c>
      <c r="C809" s="8" t="s">
        <v>186</v>
      </c>
      <c r="D809" s="8" t="s">
        <v>213</v>
      </c>
      <c r="E809" s="113">
        <v>300</v>
      </c>
      <c r="F809" s="7">
        <f t="shared" si="191"/>
        <v>421.2</v>
      </c>
      <c r="G809" s="7">
        <f t="shared" si="191"/>
        <v>0</v>
      </c>
      <c r="H809" s="35">
        <f t="shared" si="183"/>
        <v>421.2</v>
      </c>
      <c r="I809" s="7">
        <f t="shared" si="191"/>
        <v>0</v>
      </c>
      <c r="J809" s="35">
        <f t="shared" si="181"/>
        <v>421.2</v>
      </c>
      <c r="K809" s="7">
        <f t="shared" si="191"/>
        <v>0</v>
      </c>
      <c r="L809" s="35">
        <f t="shared" si="178"/>
        <v>421.2</v>
      </c>
      <c r="M809" s="7">
        <f t="shared" si="191"/>
        <v>0</v>
      </c>
      <c r="N809" s="35">
        <f t="shared" si="179"/>
        <v>421.2</v>
      </c>
      <c r="O809" s="7">
        <f t="shared" si="191"/>
        <v>0</v>
      </c>
      <c r="P809" s="35">
        <f t="shared" si="175"/>
        <v>421.2</v>
      </c>
      <c r="Q809" s="7">
        <f t="shared" si="191"/>
        <v>0</v>
      </c>
      <c r="R809" s="35">
        <f t="shared" si="176"/>
        <v>421.2</v>
      </c>
      <c r="S809" s="7">
        <f t="shared" si="191"/>
        <v>-4.2</v>
      </c>
      <c r="T809" s="35">
        <f t="shared" si="180"/>
        <v>417</v>
      </c>
    </row>
    <row r="810" spans="1:21">
      <c r="A810" s="61" t="str">
        <f t="shared" ca="1" si="192"/>
        <v>Публичные нормативные социальные выплаты гражданам</v>
      </c>
      <c r="B810" s="45" t="s">
        <v>16</v>
      </c>
      <c r="C810" s="8" t="s">
        <v>186</v>
      </c>
      <c r="D810" s="8" t="s">
        <v>213</v>
      </c>
      <c r="E810" s="113">
        <v>310</v>
      </c>
      <c r="F810" s="7">
        <f t="shared" si="191"/>
        <v>421.2</v>
      </c>
      <c r="G810" s="7">
        <f t="shared" si="191"/>
        <v>0</v>
      </c>
      <c r="H810" s="35">
        <f t="shared" si="183"/>
        <v>421.2</v>
      </c>
      <c r="I810" s="7">
        <f t="shared" si="191"/>
        <v>0</v>
      </c>
      <c r="J810" s="35">
        <f t="shared" si="181"/>
        <v>421.2</v>
      </c>
      <c r="K810" s="7">
        <f t="shared" si="191"/>
        <v>0</v>
      </c>
      <c r="L810" s="35">
        <f t="shared" si="178"/>
        <v>421.2</v>
      </c>
      <c r="M810" s="7">
        <f t="shared" si="191"/>
        <v>0</v>
      </c>
      <c r="N810" s="35">
        <f t="shared" si="179"/>
        <v>421.2</v>
      </c>
      <c r="O810" s="7">
        <f t="shared" si="191"/>
        <v>0</v>
      </c>
      <c r="P810" s="35">
        <f t="shared" si="175"/>
        <v>421.2</v>
      </c>
      <c r="Q810" s="7">
        <f t="shared" si="191"/>
        <v>0</v>
      </c>
      <c r="R810" s="35">
        <f t="shared" si="176"/>
        <v>421.2</v>
      </c>
      <c r="S810" s="7">
        <f t="shared" si="191"/>
        <v>-4.2</v>
      </c>
      <c r="T810" s="35">
        <f t="shared" si="180"/>
        <v>417</v>
      </c>
    </row>
    <row r="811" spans="1:21" ht="33">
      <c r="A811" s="61" t="str">
        <f t="shared" ca="1" si="192"/>
        <v>Пособия, компенсации, меры социальной поддержки по публичным нормативным обязательствам</v>
      </c>
      <c r="B811" s="45" t="s">
        <v>16</v>
      </c>
      <c r="C811" s="8" t="s">
        <v>186</v>
      </c>
      <c r="D811" s="8" t="s">
        <v>213</v>
      </c>
      <c r="E811" s="113">
        <v>313</v>
      </c>
      <c r="F811" s="7">
        <f>прил.6!G1369</f>
        <v>421.2</v>
      </c>
      <c r="G811" s="7">
        <f>прил.6!H1369</f>
        <v>0</v>
      </c>
      <c r="H811" s="35">
        <f t="shared" si="183"/>
        <v>421.2</v>
      </c>
      <c r="I811" s="7">
        <f>прил.6!J1369</f>
        <v>0</v>
      </c>
      <c r="J811" s="35">
        <f t="shared" si="181"/>
        <v>421.2</v>
      </c>
      <c r="K811" s="7">
        <f>прил.6!L1369</f>
        <v>0</v>
      </c>
      <c r="L811" s="35">
        <f t="shared" si="178"/>
        <v>421.2</v>
      </c>
      <c r="M811" s="7">
        <f>прил.6!N1369</f>
        <v>0</v>
      </c>
      <c r="N811" s="35">
        <f t="shared" si="179"/>
        <v>421.2</v>
      </c>
      <c r="O811" s="7">
        <f>прил.6!P1369</f>
        <v>0</v>
      </c>
      <c r="P811" s="35">
        <f t="shared" ref="P811:P916" si="193">N811+O811</f>
        <v>421.2</v>
      </c>
      <c r="Q811" s="7">
        <f>прил.6!R1369</f>
        <v>0</v>
      </c>
      <c r="R811" s="35">
        <f t="shared" ref="R811:R916" si="194">P811+Q811</f>
        <v>421.2</v>
      </c>
      <c r="S811" s="7">
        <f>прил.6!T1369</f>
        <v>-4.2</v>
      </c>
      <c r="T811" s="35">
        <f t="shared" si="180"/>
        <v>417</v>
      </c>
    </row>
    <row r="812" spans="1:21" hidden="1">
      <c r="A812" s="12" t="s">
        <v>177</v>
      </c>
      <c r="B812" s="45" t="s">
        <v>16</v>
      </c>
      <c r="C812" s="8" t="s">
        <v>186</v>
      </c>
      <c r="D812" s="8" t="s">
        <v>213</v>
      </c>
      <c r="E812" s="98"/>
      <c r="F812" s="7"/>
      <c r="G812" s="7"/>
      <c r="H812" s="35"/>
      <c r="I812" s="7"/>
      <c r="J812" s="35"/>
      <c r="K812" s="7"/>
      <c r="L812" s="35"/>
      <c r="M812" s="7"/>
      <c r="N812" s="35"/>
      <c r="O812" s="7"/>
      <c r="P812" s="35"/>
      <c r="Q812" s="7"/>
      <c r="R812" s="35"/>
      <c r="S812" s="7"/>
      <c r="T812" s="35"/>
      <c r="U812" s="20" t="s">
        <v>706</v>
      </c>
    </row>
    <row r="813" spans="1:21" hidden="1">
      <c r="A813" s="61" t="str">
        <f ca="1">IF(ISERROR(MATCH(E813,Код_КВР,0)),"",INDIRECT(ADDRESS(MATCH(E813,Код_КВР,0)+1,2,,,"КВР")))</f>
        <v>Закупка товаров, работ и услуг для муниципальных нужд</v>
      </c>
      <c r="B813" s="45" t="s">
        <v>16</v>
      </c>
      <c r="C813" s="8" t="s">
        <v>186</v>
      </c>
      <c r="D813" s="8" t="s">
        <v>213</v>
      </c>
      <c r="E813" s="98">
        <v>200</v>
      </c>
      <c r="F813" s="7"/>
      <c r="G813" s="7"/>
      <c r="H813" s="35"/>
      <c r="I813" s="7"/>
      <c r="J813" s="35"/>
      <c r="K813" s="7"/>
      <c r="L813" s="35"/>
      <c r="M813" s="7"/>
      <c r="N813" s="35"/>
      <c r="O813" s="7"/>
      <c r="P813" s="35"/>
      <c r="Q813" s="7"/>
      <c r="R813" s="35"/>
      <c r="S813" s="7"/>
      <c r="T813" s="35"/>
      <c r="U813" s="20" t="s">
        <v>706</v>
      </c>
    </row>
    <row r="814" spans="1:21" ht="33" hidden="1">
      <c r="A814" s="61" t="str">
        <f ca="1">IF(ISERROR(MATCH(E814,Код_КВР,0)),"",INDIRECT(ADDRESS(MATCH(E814,Код_КВР,0)+1,2,,,"КВР")))</f>
        <v>Иные закупки товаров, работ и услуг для обеспечения муниципальных нужд</v>
      </c>
      <c r="B814" s="45" t="s">
        <v>16</v>
      </c>
      <c r="C814" s="8" t="s">
        <v>186</v>
      </c>
      <c r="D814" s="8" t="s">
        <v>213</v>
      </c>
      <c r="E814" s="98">
        <v>240</v>
      </c>
      <c r="F814" s="7"/>
      <c r="G814" s="7"/>
      <c r="H814" s="35"/>
      <c r="I814" s="7"/>
      <c r="J814" s="35"/>
      <c r="K814" s="7"/>
      <c r="L814" s="35"/>
      <c r="M814" s="7"/>
      <c r="N814" s="35"/>
      <c r="O814" s="7"/>
      <c r="P814" s="35"/>
      <c r="Q814" s="7"/>
      <c r="R814" s="35"/>
      <c r="S814" s="7"/>
      <c r="T814" s="35"/>
      <c r="U814" s="20" t="s">
        <v>706</v>
      </c>
    </row>
    <row r="815" spans="1:21" ht="33" hidden="1">
      <c r="A815" s="61" t="str">
        <f ca="1">IF(ISERROR(MATCH(E815,Код_КВР,0)),"",INDIRECT(ADDRESS(MATCH(E815,Код_КВР,0)+1,2,,,"КВР")))</f>
        <v xml:space="preserve">Прочая закупка товаров, работ и услуг для обеспечения муниципальных нужд         </v>
      </c>
      <c r="B815" s="45" t="s">
        <v>16</v>
      </c>
      <c r="C815" s="8" t="s">
        <v>186</v>
      </c>
      <c r="D815" s="8" t="s">
        <v>213</v>
      </c>
      <c r="E815" s="98">
        <v>244</v>
      </c>
      <c r="F815" s="7"/>
      <c r="G815" s="7"/>
      <c r="H815" s="35"/>
      <c r="I815" s="7"/>
      <c r="J815" s="35"/>
      <c r="K815" s="7"/>
      <c r="L815" s="35"/>
      <c r="M815" s="7"/>
      <c r="N815" s="35"/>
      <c r="O815" s="7"/>
      <c r="P815" s="35"/>
      <c r="Q815" s="7"/>
      <c r="R815" s="35"/>
      <c r="S815" s="7"/>
      <c r="T815" s="35"/>
      <c r="U815" s="20" t="s">
        <v>706</v>
      </c>
    </row>
    <row r="816" spans="1:21" ht="36" customHeight="1">
      <c r="A816" s="61" t="str">
        <f ca="1">IF(ISERROR(MATCH(B816,Код_КЦСР,0)),"",INDIRECT(ADDRESS(MATCH(B816,Код_КЦСР,0)+1,2,,,"КЦСР")))</f>
        <v>Выплата вознаграждений лицам, имеющим звание «Почетный гражданин города Череповца</v>
      </c>
      <c r="B816" s="45" t="s">
        <v>17</v>
      </c>
      <c r="C816" s="8"/>
      <c r="D816" s="1"/>
      <c r="E816" s="113"/>
      <c r="F816" s="7">
        <f t="shared" ref="F816:S824" si="195">F817</f>
        <v>449.5</v>
      </c>
      <c r="G816" s="7">
        <f t="shared" si="195"/>
        <v>0</v>
      </c>
      <c r="H816" s="35">
        <f t="shared" si="183"/>
        <v>449.5</v>
      </c>
      <c r="I816" s="7">
        <f t="shared" si="195"/>
        <v>0</v>
      </c>
      <c r="J816" s="35">
        <f t="shared" si="181"/>
        <v>449.5</v>
      </c>
      <c r="K816" s="7">
        <f t="shared" si="195"/>
        <v>0</v>
      </c>
      <c r="L816" s="35">
        <f t="shared" si="178"/>
        <v>449.5</v>
      </c>
      <c r="M816" s="7">
        <f t="shared" si="195"/>
        <v>0</v>
      </c>
      <c r="N816" s="35">
        <f t="shared" si="179"/>
        <v>449.5</v>
      </c>
      <c r="O816" s="7">
        <f t="shared" si="195"/>
        <v>0</v>
      </c>
      <c r="P816" s="35">
        <f t="shared" si="193"/>
        <v>449.5</v>
      </c>
      <c r="Q816" s="7">
        <f t="shared" si="195"/>
        <v>0</v>
      </c>
      <c r="R816" s="35">
        <f t="shared" si="194"/>
        <v>449.5</v>
      </c>
      <c r="S816" s="7">
        <f>S817</f>
        <v>0</v>
      </c>
      <c r="T816" s="35">
        <f t="shared" si="180"/>
        <v>449.5</v>
      </c>
    </row>
    <row r="817" spans="1:21" ht="54" customHeight="1">
      <c r="A817" s="61" t="str">
        <f ca="1">IF(ISERROR(MATCH(B817,Код_КЦСР,0)),"",INDIRECT(ADDRESS(MATCH(B817,Код_КЦСР,0)+1,2,,,"КЦСР")))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817" s="45" t="s">
        <v>19</v>
      </c>
      <c r="C817" s="8"/>
      <c r="D817" s="1"/>
      <c r="E817" s="113"/>
      <c r="F817" s="7">
        <f t="shared" si="195"/>
        <v>449.5</v>
      </c>
      <c r="G817" s="7">
        <f t="shared" si="195"/>
        <v>0</v>
      </c>
      <c r="H817" s="35">
        <f t="shared" si="183"/>
        <v>449.5</v>
      </c>
      <c r="I817" s="7">
        <f t="shared" si="195"/>
        <v>0</v>
      </c>
      <c r="J817" s="35">
        <f t="shared" si="181"/>
        <v>449.5</v>
      </c>
      <c r="K817" s="7">
        <f t="shared" si="195"/>
        <v>0</v>
      </c>
      <c r="L817" s="35">
        <f t="shared" si="178"/>
        <v>449.5</v>
      </c>
      <c r="M817" s="7">
        <f t="shared" si="195"/>
        <v>0</v>
      </c>
      <c r="N817" s="35">
        <f t="shared" si="179"/>
        <v>449.5</v>
      </c>
      <c r="O817" s="7">
        <f t="shared" si="195"/>
        <v>0</v>
      </c>
      <c r="P817" s="35">
        <f t="shared" si="193"/>
        <v>449.5</v>
      </c>
      <c r="Q817" s="7">
        <f t="shared" si="195"/>
        <v>0</v>
      </c>
      <c r="R817" s="35">
        <f t="shared" si="194"/>
        <v>449.5</v>
      </c>
      <c r="S817" s="7">
        <f t="shared" si="195"/>
        <v>0</v>
      </c>
      <c r="T817" s="35">
        <f t="shared" si="180"/>
        <v>449.5</v>
      </c>
    </row>
    <row r="818" spans="1:21">
      <c r="A818" s="61" t="str">
        <f ca="1">IF(ISERROR(MATCH(C818,Код_Раздел,0)),"",INDIRECT(ADDRESS(MATCH(C818,Код_Раздел,0)+1,2,,,"Раздел")))</f>
        <v>Социальная политика</v>
      </c>
      <c r="B818" s="45" t="s">
        <v>19</v>
      </c>
      <c r="C818" s="8" t="s">
        <v>186</v>
      </c>
      <c r="D818" s="1"/>
      <c r="E818" s="113"/>
      <c r="F818" s="7">
        <f t="shared" si="195"/>
        <v>449.5</v>
      </c>
      <c r="G818" s="7">
        <f t="shared" si="195"/>
        <v>0</v>
      </c>
      <c r="H818" s="35">
        <f t="shared" si="183"/>
        <v>449.5</v>
      </c>
      <c r="I818" s="7">
        <f t="shared" si="195"/>
        <v>0</v>
      </c>
      <c r="J818" s="35">
        <f t="shared" si="181"/>
        <v>449.5</v>
      </c>
      <c r="K818" s="7">
        <f t="shared" si="195"/>
        <v>0</v>
      </c>
      <c r="L818" s="35">
        <f t="shared" si="178"/>
        <v>449.5</v>
      </c>
      <c r="M818" s="7">
        <f t="shared" si="195"/>
        <v>0</v>
      </c>
      <c r="N818" s="35">
        <f t="shared" si="179"/>
        <v>449.5</v>
      </c>
      <c r="O818" s="7">
        <f t="shared" si="195"/>
        <v>0</v>
      </c>
      <c r="P818" s="35">
        <f t="shared" si="193"/>
        <v>449.5</v>
      </c>
      <c r="Q818" s="7">
        <f t="shared" si="195"/>
        <v>0</v>
      </c>
      <c r="R818" s="35">
        <f t="shared" si="194"/>
        <v>449.5</v>
      </c>
      <c r="S818" s="7">
        <f>S819+S826</f>
        <v>0</v>
      </c>
      <c r="T818" s="35">
        <f t="shared" ref="T818:T891" si="196">R818+S818</f>
        <v>449.5</v>
      </c>
    </row>
    <row r="819" spans="1:21">
      <c r="A819" s="12" t="s">
        <v>177</v>
      </c>
      <c r="B819" s="45" t="s">
        <v>19</v>
      </c>
      <c r="C819" s="8" t="s">
        <v>186</v>
      </c>
      <c r="D819" s="8" t="s">
        <v>213</v>
      </c>
      <c r="E819" s="113"/>
      <c r="F819" s="7">
        <f>F823</f>
        <v>449.5</v>
      </c>
      <c r="G819" s="7">
        <f>G823</f>
        <v>0</v>
      </c>
      <c r="H819" s="35">
        <f t="shared" si="183"/>
        <v>449.5</v>
      </c>
      <c r="I819" s="7">
        <f>I823</f>
        <v>0</v>
      </c>
      <c r="J819" s="35">
        <f t="shared" si="181"/>
        <v>449.5</v>
      </c>
      <c r="K819" s="7">
        <f>K823</f>
        <v>0</v>
      </c>
      <c r="L819" s="35">
        <f t="shared" si="178"/>
        <v>449.5</v>
      </c>
      <c r="M819" s="7">
        <f>M823</f>
        <v>0</v>
      </c>
      <c r="N819" s="35">
        <f t="shared" si="179"/>
        <v>449.5</v>
      </c>
      <c r="O819" s="7">
        <f>O823</f>
        <v>0</v>
      </c>
      <c r="P819" s="35">
        <f t="shared" si="193"/>
        <v>449.5</v>
      </c>
      <c r="Q819" s="7">
        <f>Q823</f>
        <v>0</v>
      </c>
      <c r="R819" s="35">
        <f t="shared" si="194"/>
        <v>449.5</v>
      </c>
      <c r="S819" s="7">
        <f>S820+S823</f>
        <v>0</v>
      </c>
      <c r="T819" s="35">
        <f t="shared" si="196"/>
        <v>449.5</v>
      </c>
    </row>
    <row r="820" spans="1:21">
      <c r="A820" s="61" t="str">
        <f t="shared" ref="A820:A825" ca="1" si="197">IF(ISERROR(MATCH(E820,Код_КВР,0)),"",INDIRECT(ADDRESS(MATCH(E820,Код_КВР,0)+1,2,,,"КВР")))</f>
        <v>Закупка товаров, работ и услуг для муниципальных нужд</v>
      </c>
      <c r="B820" s="45" t="s">
        <v>19</v>
      </c>
      <c r="C820" s="8" t="s">
        <v>186</v>
      </c>
      <c r="D820" s="8" t="s">
        <v>213</v>
      </c>
      <c r="E820" s="113">
        <v>200</v>
      </c>
      <c r="F820" s="7"/>
      <c r="G820" s="7"/>
      <c r="H820" s="35"/>
      <c r="I820" s="7"/>
      <c r="J820" s="35"/>
      <c r="K820" s="7"/>
      <c r="L820" s="35"/>
      <c r="M820" s="7"/>
      <c r="N820" s="35"/>
      <c r="O820" s="7"/>
      <c r="P820" s="35"/>
      <c r="Q820" s="7"/>
      <c r="R820" s="35"/>
      <c r="S820" s="7">
        <f t="shared" si="195"/>
        <v>4.5</v>
      </c>
      <c r="T820" s="35">
        <f t="shared" si="196"/>
        <v>4.5</v>
      </c>
    </row>
    <row r="821" spans="1:21" ht="33">
      <c r="A821" s="61" t="str">
        <f t="shared" ca="1" si="197"/>
        <v>Иные закупки товаров, работ и услуг для обеспечения муниципальных нужд</v>
      </c>
      <c r="B821" s="47" t="s">
        <v>19</v>
      </c>
      <c r="C821" s="8" t="s">
        <v>186</v>
      </c>
      <c r="D821" s="8" t="s">
        <v>213</v>
      </c>
      <c r="E821" s="113">
        <v>240</v>
      </c>
      <c r="F821" s="7"/>
      <c r="G821" s="7"/>
      <c r="H821" s="35"/>
      <c r="I821" s="7"/>
      <c r="J821" s="35"/>
      <c r="K821" s="7"/>
      <c r="L821" s="35"/>
      <c r="M821" s="7"/>
      <c r="N821" s="35"/>
      <c r="O821" s="7"/>
      <c r="P821" s="35"/>
      <c r="Q821" s="7"/>
      <c r="R821" s="35"/>
      <c r="S821" s="7">
        <f t="shared" si="195"/>
        <v>4.5</v>
      </c>
      <c r="T821" s="35">
        <f t="shared" si="196"/>
        <v>4.5</v>
      </c>
    </row>
    <row r="822" spans="1:21" ht="33">
      <c r="A822" s="61" t="str">
        <f t="shared" ca="1" si="197"/>
        <v xml:space="preserve">Прочая закупка товаров, работ и услуг для обеспечения муниципальных нужд         </v>
      </c>
      <c r="B822" s="47" t="s">
        <v>19</v>
      </c>
      <c r="C822" s="8" t="s">
        <v>186</v>
      </c>
      <c r="D822" s="8" t="s">
        <v>213</v>
      </c>
      <c r="E822" s="113">
        <v>244</v>
      </c>
      <c r="F822" s="7"/>
      <c r="G822" s="7"/>
      <c r="H822" s="35"/>
      <c r="I822" s="7"/>
      <c r="J822" s="35"/>
      <c r="K822" s="7"/>
      <c r="L822" s="35"/>
      <c r="M822" s="7"/>
      <c r="N822" s="35"/>
      <c r="O822" s="7"/>
      <c r="P822" s="35"/>
      <c r="Q822" s="7"/>
      <c r="R822" s="35"/>
      <c r="S822" s="7">
        <f>прил.6!T1374</f>
        <v>4.5</v>
      </c>
      <c r="T822" s="35">
        <f t="shared" si="196"/>
        <v>4.5</v>
      </c>
    </row>
    <row r="823" spans="1:21">
      <c r="A823" s="61" t="str">
        <f t="shared" ca="1" si="197"/>
        <v>Социальное обеспечение и иные выплаты населению</v>
      </c>
      <c r="B823" s="45" t="s">
        <v>19</v>
      </c>
      <c r="C823" s="8" t="s">
        <v>186</v>
      </c>
      <c r="D823" s="8" t="s">
        <v>213</v>
      </c>
      <c r="E823" s="113">
        <v>300</v>
      </c>
      <c r="F823" s="7">
        <f t="shared" si="195"/>
        <v>449.5</v>
      </c>
      <c r="G823" s="7">
        <f t="shared" si="195"/>
        <v>0</v>
      </c>
      <c r="H823" s="35">
        <f t="shared" si="183"/>
        <v>449.5</v>
      </c>
      <c r="I823" s="7">
        <f t="shared" si="195"/>
        <v>0</v>
      </c>
      <c r="J823" s="35">
        <f t="shared" si="181"/>
        <v>449.5</v>
      </c>
      <c r="K823" s="7">
        <f t="shared" si="195"/>
        <v>0</v>
      </c>
      <c r="L823" s="35">
        <f t="shared" si="178"/>
        <v>449.5</v>
      </c>
      <c r="M823" s="7">
        <f t="shared" si="195"/>
        <v>0</v>
      </c>
      <c r="N823" s="35">
        <f t="shared" si="179"/>
        <v>449.5</v>
      </c>
      <c r="O823" s="7">
        <f t="shared" si="195"/>
        <v>0</v>
      </c>
      <c r="P823" s="35">
        <f t="shared" si="193"/>
        <v>449.5</v>
      </c>
      <c r="Q823" s="7">
        <f t="shared" si="195"/>
        <v>0</v>
      </c>
      <c r="R823" s="35">
        <f t="shared" si="194"/>
        <v>449.5</v>
      </c>
      <c r="S823" s="7">
        <f t="shared" si="195"/>
        <v>-4.5</v>
      </c>
      <c r="T823" s="35">
        <f t="shared" si="196"/>
        <v>445</v>
      </c>
    </row>
    <row r="824" spans="1:21">
      <c r="A824" s="61" t="str">
        <f t="shared" ca="1" si="197"/>
        <v>Публичные нормативные социальные выплаты гражданам</v>
      </c>
      <c r="B824" s="45" t="s">
        <v>19</v>
      </c>
      <c r="C824" s="8" t="s">
        <v>186</v>
      </c>
      <c r="D824" s="8" t="s">
        <v>213</v>
      </c>
      <c r="E824" s="113">
        <v>310</v>
      </c>
      <c r="F824" s="7">
        <f t="shared" si="195"/>
        <v>449.5</v>
      </c>
      <c r="G824" s="7">
        <f t="shared" si="195"/>
        <v>0</v>
      </c>
      <c r="H824" s="35">
        <f t="shared" si="183"/>
        <v>449.5</v>
      </c>
      <c r="I824" s="7">
        <f t="shared" si="195"/>
        <v>0</v>
      </c>
      <c r="J824" s="35">
        <f t="shared" si="181"/>
        <v>449.5</v>
      </c>
      <c r="K824" s="7">
        <f t="shared" si="195"/>
        <v>0</v>
      </c>
      <c r="L824" s="35">
        <f t="shared" si="178"/>
        <v>449.5</v>
      </c>
      <c r="M824" s="7">
        <f t="shared" si="195"/>
        <v>0</v>
      </c>
      <c r="N824" s="35">
        <f t="shared" si="179"/>
        <v>449.5</v>
      </c>
      <c r="O824" s="7">
        <f t="shared" si="195"/>
        <v>0</v>
      </c>
      <c r="P824" s="35">
        <f t="shared" si="193"/>
        <v>449.5</v>
      </c>
      <c r="Q824" s="7">
        <f t="shared" si="195"/>
        <v>0</v>
      </c>
      <c r="R824" s="35">
        <f t="shared" si="194"/>
        <v>449.5</v>
      </c>
      <c r="S824" s="7">
        <f t="shared" si="195"/>
        <v>-4.5</v>
      </c>
      <c r="T824" s="35">
        <f t="shared" si="196"/>
        <v>445</v>
      </c>
    </row>
    <row r="825" spans="1:21" ht="36" customHeight="1">
      <c r="A825" s="61" t="str">
        <f t="shared" ca="1" si="197"/>
        <v>Пособия, компенсации, меры социальной поддержки по публичным нормативным обязательствам</v>
      </c>
      <c r="B825" s="45" t="s">
        <v>19</v>
      </c>
      <c r="C825" s="8" t="s">
        <v>186</v>
      </c>
      <c r="D825" s="8" t="s">
        <v>213</v>
      </c>
      <c r="E825" s="113">
        <v>313</v>
      </c>
      <c r="F825" s="7">
        <f>прил.6!G1377</f>
        <v>449.5</v>
      </c>
      <c r="G825" s="7">
        <f>прил.6!H1377</f>
        <v>0</v>
      </c>
      <c r="H825" s="35">
        <f t="shared" si="183"/>
        <v>449.5</v>
      </c>
      <c r="I825" s="7">
        <f>прил.6!J1377</f>
        <v>0</v>
      </c>
      <c r="J825" s="35">
        <f t="shared" si="181"/>
        <v>449.5</v>
      </c>
      <c r="K825" s="7">
        <f>прил.6!L1377</f>
        <v>0</v>
      </c>
      <c r="L825" s="35">
        <f t="shared" si="178"/>
        <v>449.5</v>
      </c>
      <c r="M825" s="7">
        <f>прил.6!N1377</f>
        <v>0</v>
      </c>
      <c r="N825" s="35">
        <f t="shared" si="179"/>
        <v>449.5</v>
      </c>
      <c r="O825" s="7">
        <f>прил.6!P1377</f>
        <v>0</v>
      </c>
      <c r="P825" s="35">
        <f t="shared" si="193"/>
        <v>449.5</v>
      </c>
      <c r="Q825" s="7">
        <f>прил.6!R1377</f>
        <v>0</v>
      </c>
      <c r="R825" s="35">
        <f t="shared" si="194"/>
        <v>449.5</v>
      </c>
      <c r="S825" s="7">
        <f>прил.6!T1377</f>
        <v>-4.5</v>
      </c>
      <c r="T825" s="35">
        <f t="shared" si="196"/>
        <v>445</v>
      </c>
    </row>
    <row r="826" spans="1:21" hidden="1">
      <c r="A826" s="12" t="s">
        <v>177</v>
      </c>
      <c r="B826" s="45" t="s">
        <v>19</v>
      </c>
      <c r="C826" s="8" t="s">
        <v>186</v>
      </c>
      <c r="D826" s="8" t="s">
        <v>215</v>
      </c>
      <c r="E826" s="98"/>
      <c r="F826" s="7"/>
      <c r="G826" s="7"/>
      <c r="H826" s="35"/>
      <c r="I826" s="7"/>
      <c r="J826" s="35"/>
      <c r="K826" s="7"/>
      <c r="L826" s="35"/>
      <c r="M826" s="7"/>
      <c r="N826" s="35"/>
      <c r="O826" s="7"/>
      <c r="P826" s="35"/>
      <c r="Q826" s="7"/>
      <c r="R826" s="35"/>
      <c r="S826" s="7"/>
      <c r="T826" s="35"/>
      <c r="U826" s="20" t="s">
        <v>706</v>
      </c>
    </row>
    <row r="827" spans="1:21" hidden="1">
      <c r="A827" s="61" t="str">
        <f ca="1">IF(ISERROR(MATCH(E827,Код_КВР,0)),"",INDIRECT(ADDRESS(MATCH(E827,Код_КВР,0)+1,2,,,"КВР")))</f>
        <v>Закупка товаров, работ и услуг для муниципальных нужд</v>
      </c>
      <c r="B827" s="45" t="s">
        <v>19</v>
      </c>
      <c r="C827" s="8" t="s">
        <v>186</v>
      </c>
      <c r="D827" s="8" t="s">
        <v>215</v>
      </c>
      <c r="E827" s="98">
        <v>200</v>
      </c>
      <c r="F827" s="7"/>
      <c r="G827" s="7"/>
      <c r="H827" s="35"/>
      <c r="I827" s="7"/>
      <c r="J827" s="35"/>
      <c r="K827" s="7"/>
      <c r="L827" s="35"/>
      <c r="M827" s="7"/>
      <c r="N827" s="35"/>
      <c r="O827" s="7"/>
      <c r="P827" s="35"/>
      <c r="Q827" s="7"/>
      <c r="R827" s="35"/>
      <c r="S827" s="7"/>
      <c r="T827" s="35"/>
      <c r="U827" s="20" t="s">
        <v>706</v>
      </c>
    </row>
    <row r="828" spans="1:21" ht="33" hidden="1">
      <c r="A828" s="61" t="str">
        <f ca="1">IF(ISERROR(MATCH(E828,Код_КВР,0)),"",INDIRECT(ADDRESS(MATCH(E828,Код_КВР,0)+1,2,,,"КВР")))</f>
        <v>Иные закупки товаров, работ и услуг для обеспечения муниципальных нужд</v>
      </c>
      <c r="B828" s="45" t="s">
        <v>19</v>
      </c>
      <c r="C828" s="8" t="s">
        <v>186</v>
      </c>
      <c r="D828" s="8" t="s">
        <v>215</v>
      </c>
      <c r="E828" s="98">
        <v>240</v>
      </c>
      <c r="F828" s="7"/>
      <c r="G828" s="7"/>
      <c r="H828" s="35"/>
      <c r="I828" s="7"/>
      <c r="J828" s="35"/>
      <c r="K828" s="7"/>
      <c r="L828" s="35"/>
      <c r="M828" s="7"/>
      <c r="N828" s="35"/>
      <c r="O828" s="7"/>
      <c r="P828" s="35"/>
      <c r="Q828" s="7"/>
      <c r="R828" s="35"/>
      <c r="S828" s="7"/>
      <c r="T828" s="35"/>
      <c r="U828" s="20" t="s">
        <v>706</v>
      </c>
    </row>
    <row r="829" spans="1:21" ht="33" hidden="1">
      <c r="A829" s="61" t="str">
        <f ca="1">IF(ISERROR(MATCH(E829,Код_КВР,0)),"",INDIRECT(ADDRESS(MATCH(E829,Код_КВР,0)+1,2,,,"КВР")))</f>
        <v xml:space="preserve">Прочая закупка товаров, работ и услуг для обеспечения муниципальных нужд         </v>
      </c>
      <c r="B829" s="45" t="s">
        <v>19</v>
      </c>
      <c r="C829" s="8" t="s">
        <v>186</v>
      </c>
      <c r="D829" s="8" t="s">
        <v>215</v>
      </c>
      <c r="E829" s="98">
        <v>244</v>
      </c>
      <c r="F829" s="7"/>
      <c r="G829" s="7"/>
      <c r="H829" s="35"/>
      <c r="I829" s="7"/>
      <c r="J829" s="35"/>
      <c r="K829" s="7"/>
      <c r="L829" s="35"/>
      <c r="M829" s="7"/>
      <c r="N829" s="35"/>
      <c r="O829" s="7"/>
      <c r="P829" s="35"/>
      <c r="Q829" s="7"/>
      <c r="R829" s="35"/>
      <c r="S829" s="7"/>
      <c r="T829" s="35"/>
      <c r="U829" s="20" t="s">
        <v>706</v>
      </c>
    </row>
    <row r="830" spans="1:21" ht="157.5" customHeight="1">
      <c r="A830" s="61" t="str">
        <f ca="1">IF(ISERROR(MATCH(B830,Код_КЦСР,0)),"",INDIRECT(ADDRESS(MATCH(B830,Код_КЦСР,0)+1,2,,,"КЦСР")))</f>
        <v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v>
      </c>
      <c r="B830" s="45" t="s">
        <v>626</v>
      </c>
      <c r="C830" s="8"/>
      <c r="D830" s="1"/>
      <c r="E830" s="113"/>
      <c r="F830" s="7"/>
      <c r="G830" s="7"/>
      <c r="H830" s="35"/>
      <c r="I830" s="7"/>
      <c r="J830" s="35"/>
      <c r="K830" s="7"/>
      <c r="L830" s="35"/>
      <c r="M830" s="7">
        <f t="shared" ref="M830:S842" si="198">M831</f>
        <v>432</v>
      </c>
      <c r="N830" s="35">
        <f t="shared" si="179"/>
        <v>432</v>
      </c>
      <c r="O830" s="7">
        <f t="shared" si="198"/>
        <v>0</v>
      </c>
      <c r="P830" s="35">
        <f t="shared" si="193"/>
        <v>432</v>
      </c>
      <c r="Q830" s="7">
        <f t="shared" si="198"/>
        <v>0</v>
      </c>
      <c r="R830" s="35">
        <f t="shared" si="194"/>
        <v>432</v>
      </c>
      <c r="S830" s="7">
        <f t="shared" si="198"/>
        <v>0</v>
      </c>
      <c r="T830" s="35">
        <f t="shared" si="196"/>
        <v>432</v>
      </c>
    </row>
    <row r="831" spans="1:21" ht="163.5" customHeight="1">
      <c r="A831" s="61" t="str">
        <f ca="1">IF(ISERROR(MATCH(B831,Код_КЦСР,0)),"",INDIRECT(ADDRESS(MATCH(B831,Код_КЦСР,0)+1,2,,,"КЦСР")))</f>
        <v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v>
      </c>
      <c r="B831" s="47" t="s">
        <v>628</v>
      </c>
      <c r="C831" s="8"/>
      <c r="D831" s="1"/>
      <c r="E831" s="113"/>
      <c r="F831" s="7"/>
      <c r="G831" s="7"/>
      <c r="H831" s="35"/>
      <c r="I831" s="7"/>
      <c r="J831" s="35"/>
      <c r="K831" s="7"/>
      <c r="L831" s="35"/>
      <c r="M831" s="7">
        <f t="shared" si="198"/>
        <v>432</v>
      </c>
      <c r="N831" s="35">
        <f t="shared" ref="N831:N837" si="199">L831+M831</f>
        <v>432</v>
      </c>
      <c r="O831" s="7">
        <f t="shared" si="198"/>
        <v>0</v>
      </c>
      <c r="P831" s="35">
        <f t="shared" si="193"/>
        <v>432</v>
      </c>
      <c r="Q831" s="7">
        <f t="shared" si="198"/>
        <v>0</v>
      </c>
      <c r="R831" s="35">
        <f t="shared" si="194"/>
        <v>432</v>
      </c>
      <c r="S831" s="7">
        <f t="shared" si="198"/>
        <v>0</v>
      </c>
      <c r="T831" s="35">
        <f t="shared" si="196"/>
        <v>432</v>
      </c>
    </row>
    <row r="832" spans="1:21" ht="24" customHeight="1">
      <c r="A832" s="61" t="str">
        <f ca="1">IF(ISERROR(MATCH(C832,Код_Раздел,0)),"",INDIRECT(ADDRESS(MATCH(C832,Код_Раздел,0)+1,2,,,"Раздел")))</f>
        <v>Социальная политика</v>
      </c>
      <c r="B832" s="47" t="s">
        <v>628</v>
      </c>
      <c r="C832" s="8" t="s">
        <v>186</v>
      </c>
      <c r="D832" s="1"/>
      <c r="E832" s="113"/>
      <c r="F832" s="7"/>
      <c r="G832" s="7"/>
      <c r="H832" s="35"/>
      <c r="I832" s="7"/>
      <c r="J832" s="35"/>
      <c r="K832" s="7"/>
      <c r="L832" s="35"/>
      <c r="M832" s="7">
        <f t="shared" si="198"/>
        <v>432</v>
      </c>
      <c r="N832" s="35">
        <f t="shared" si="199"/>
        <v>432</v>
      </c>
      <c r="O832" s="7">
        <f t="shared" si="198"/>
        <v>0</v>
      </c>
      <c r="P832" s="35">
        <f t="shared" si="193"/>
        <v>432</v>
      </c>
      <c r="Q832" s="7">
        <f t="shared" si="198"/>
        <v>0</v>
      </c>
      <c r="R832" s="35">
        <f t="shared" si="194"/>
        <v>432</v>
      </c>
      <c r="S832" s="7">
        <f t="shared" si="198"/>
        <v>0</v>
      </c>
      <c r="T832" s="35">
        <f t="shared" si="196"/>
        <v>432</v>
      </c>
    </row>
    <row r="833" spans="1:20" ht="21.95" customHeight="1">
      <c r="A833" s="12" t="s">
        <v>177</v>
      </c>
      <c r="B833" s="47" t="s">
        <v>628</v>
      </c>
      <c r="C833" s="8" t="s">
        <v>186</v>
      </c>
      <c r="D833" s="8" t="s">
        <v>213</v>
      </c>
      <c r="E833" s="113"/>
      <c r="F833" s="7"/>
      <c r="G833" s="7"/>
      <c r="H833" s="35"/>
      <c r="I833" s="7"/>
      <c r="J833" s="35"/>
      <c r="K833" s="7"/>
      <c r="L833" s="35"/>
      <c r="M833" s="7">
        <f t="shared" si="198"/>
        <v>432</v>
      </c>
      <c r="N833" s="35">
        <f t="shared" si="199"/>
        <v>432</v>
      </c>
      <c r="O833" s="7">
        <f t="shared" si="198"/>
        <v>0</v>
      </c>
      <c r="P833" s="35">
        <f t="shared" si="193"/>
        <v>432</v>
      </c>
      <c r="Q833" s="7">
        <f t="shared" si="198"/>
        <v>0</v>
      </c>
      <c r="R833" s="35">
        <f t="shared" si="194"/>
        <v>432</v>
      </c>
      <c r="S833" s="7">
        <f t="shared" si="198"/>
        <v>0</v>
      </c>
      <c r="T833" s="35">
        <f t="shared" si="196"/>
        <v>432</v>
      </c>
    </row>
    <row r="834" spans="1:20" ht="21.95" customHeight="1">
      <c r="A834" s="61" t="str">
        <f ca="1">IF(ISERROR(MATCH(E834,Код_КВР,0)),"",INDIRECT(ADDRESS(MATCH(E834,Код_КВР,0)+1,2,,,"КВР")))</f>
        <v>Социальное обеспечение и иные выплаты населению</v>
      </c>
      <c r="B834" s="47" t="s">
        <v>628</v>
      </c>
      <c r="C834" s="8" t="s">
        <v>186</v>
      </c>
      <c r="D834" s="8" t="s">
        <v>213</v>
      </c>
      <c r="E834" s="113">
        <v>300</v>
      </c>
      <c r="F834" s="7"/>
      <c r="G834" s="7"/>
      <c r="H834" s="35"/>
      <c r="I834" s="7"/>
      <c r="J834" s="35"/>
      <c r="K834" s="7"/>
      <c r="L834" s="35"/>
      <c r="M834" s="7">
        <f t="shared" si="198"/>
        <v>432</v>
      </c>
      <c r="N834" s="35">
        <f t="shared" si="199"/>
        <v>432</v>
      </c>
      <c r="O834" s="7">
        <f t="shared" si="198"/>
        <v>0</v>
      </c>
      <c r="P834" s="35">
        <f t="shared" si="193"/>
        <v>432</v>
      </c>
      <c r="Q834" s="7">
        <f t="shared" si="198"/>
        <v>0</v>
      </c>
      <c r="R834" s="35">
        <f t="shared" si="194"/>
        <v>432</v>
      </c>
      <c r="S834" s="7">
        <f t="shared" si="198"/>
        <v>0</v>
      </c>
      <c r="T834" s="35">
        <f t="shared" si="196"/>
        <v>432</v>
      </c>
    </row>
    <row r="835" spans="1:20" ht="24" customHeight="1">
      <c r="A835" s="61" t="str">
        <f ca="1">IF(ISERROR(MATCH(E835,Код_КВР,0)),"",INDIRECT(ADDRESS(MATCH(E835,Код_КВР,0)+1,2,,,"КВР")))</f>
        <v>Публичные нормативные социальные выплаты гражданам</v>
      </c>
      <c r="B835" s="47" t="s">
        <v>628</v>
      </c>
      <c r="C835" s="8" t="s">
        <v>186</v>
      </c>
      <c r="D835" s="8" t="s">
        <v>213</v>
      </c>
      <c r="E835" s="113">
        <v>310</v>
      </c>
      <c r="F835" s="7"/>
      <c r="G835" s="7"/>
      <c r="H835" s="35"/>
      <c r="I835" s="7"/>
      <c r="J835" s="35"/>
      <c r="K835" s="7"/>
      <c r="L835" s="35"/>
      <c r="M835" s="7">
        <f t="shared" si="198"/>
        <v>432</v>
      </c>
      <c r="N835" s="35">
        <f t="shared" si="199"/>
        <v>432</v>
      </c>
      <c r="O835" s="7">
        <f t="shared" si="198"/>
        <v>0</v>
      </c>
      <c r="P835" s="35">
        <f t="shared" si="193"/>
        <v>432</v>
      </c>
      <c r="Q835" s="7">
        <f t="shared" si="198"/>
        <v>0</v>
      </c>
      <c r="R835" s="35">
        <f t="shared" si="194"/>
        <v>432</v>
      </c>
      <c r="S835" s="7">
        <f t="shared" si="198"/>
        <v>0</v>
      </c>
      <c r="T835" s="35">
        <f t="shared" si="196"/>
        <v>432</v>
      </c>
    </row>
    <row r="836" spans="1:20" ht="36" customHeight="1">
      <c r="A836" s="61" t="str">
        <f ca="1">IF(ISERROR(MATCH(E836,Код_КВР,0)),"",INDIRECT(ADDRESS(MATCH(E836,Код_КВР,0)+1,2,,,"КВР")))</f>
        <v>Пособия, компенсации, меры социальной поддержки по публичным нормативным обязательствам</v>
      </c>
      <c r="B836" s="47" t="s">
        <v>628</v>
      </c>
      <c r="C836" s="8" t="s">
        <v>186</v>
      </c>
      <c r="D836" s="8" t="s">
        <v>213</v>
      </c>
      <c r="E836" s="113">
        <v>313</v>
      </c>
      <c r="F836" s="7"/>
      <c r="G836" s="7"/>
      <c r="H836" s="35"/>
      <c r="I836" s="7"/>
      <c r="J836" s="35"/>
      <c r="K836" s="7"/>
      <c r="L836" s="35"/>
      <c r="M836" s="7">
        <f>прил.6!N1382</f>
        <v>432</v>
      </c>
      <c r="N836" s="35">
        <f t="shared" si="199"/>
        <v>432</v>
      </c>
      <c r="O836" s="7">
        <f>прил.6!P1382</f>
        <v>0</v>
      </c>
      <c r="P836" s="35">
        <f t="shared" si="193"/>
        <v>432</v>
      </c>
      <c r="Q836" s="7">
        <f>прил.6!R1382</f>
        <v>0</v>
      </c>
      <c r="R836" s="35">
        <f t="shared" si="194"/>
        <v>432</v>
      </c>
      <c r="S836" s="7">
        <f>прил.6!T1382</f>
        <v>0</v>
      </c>
      <c r="T836" s="35">
        <f t="shared" si="196"/>
        <v>432</v>
      </c>
    </row>
    <row r="837" spans="1:20" ht="36" customHeight="1">
      <c r="A837" s="61" t="str">
        <f ca="1">IF(ISERROR(MATCH(B837,Код_КЦСР,0)),"",INDIRECT(ADDRESS(MATCH(B837,Код_КЦСР,0)+1,2,,,"КЦСР")))</f>
        <v>Выплата единовременной социальной помощи в связи с рождением троих детей многодетным семьям</v>
      </c>
      <c r="B837" s="45" t="s">
        <v>657</v>
      </c>
      <c r="C837" s="8"/>
      <c r="D837" s="1"/>
      <c r="E837" s="113"/>
      <c r="F837" s="7"/>
      <c r="G837" s="7"/>
      <c r="H837" s="35"/>
      <c r="I837" s="7"/>
      <c r="J837" s="35"/>
      <c r="K837" s="7"/>
      <c r="L837" s="35"/>
      <c r="M837" s="7">
        <f t="shared" si="198"/>
        <v>0</v>
      </c>
      <c r="N837" s="35">
        <f t="shared" si="199"/>
        <v>0</v>
      </c>
      <c r="O837" s="7">
        <f t="shared" si="198"/>
        <v>0</v>
      </c>
      <c r="P837" s="35">
        <f t="shared" ref="P837:P843" si="200">N837+O837</f>
        <v>0</v>
      </c>
      <c r="Q837" s="7">
        <f>Q838+Q844</f>
        <v>1000</v>
      </c>
      <c r="R837" s="35">
        <f t="shared" ref="R837:R849" si="201">P837+Q837</f>
        <v>1000</v>
      </c>
      <c r="S837" s="7">
        <f>S838+S844</f>
        <v>0</v>
      </c>
      <c r="T837" s="35">
        <f t="shared" si="196"/>
        <v>1000</v>
      </c>
    </row>
    <row r="838" spans="1:20" ht="54" customHeight="1">
      <c r="A838" s="61" t="str">
        <f ca="1">IF(ISERROR(MATCH(B838,Код_КЦСР,0)),"",INDIRECT(ADDRESS(MATCH(B838,Код_КЦСР,0)+1,2,,,"КЦСР")))</f>
        <v>Выплата единовременной социальной помощи Степановой К.Н. в связи с рождением троих детей в соответствии с решением Череповецкой городской Думы от 06.10.2014 № 154</v>
      </c>
      <c r="B838" s="47" t="s">
        <v>656</v>
      </c>
      <c r="C838" s="8"/>
      <c r="D838" s="1"/>
      <c r="E838" s="113"/>
      <c r="F838" s="7"/>
      <c r="G838" s="7"/>
      <c r="H838" s="35"/>
      <c r="I838" s="7"/>
      <c r="J838" s="35"/>
      <c r="K838" s="7"/>
      <c r="L838" s="35"/>
      <c r="M838" s="7">
        <f t="shared" si="198"/>
        <v>0</v>
      </c>
      <c r="N838" s="35">
        <f t="shared" ref="N838:N843" si="202">L838+M838</f>
        <v>0</v>
      </c>
      <c r="O838" s="7">
        <f t="shared" si="198"/>
        <v>0</v>
      </c>
      <c r="P838" s="35">
        <f t="shared" si="200"/>
        <v>0</v>
      </c>
      <c r="Q838" s="7">
        <f t="shared" si="198"/>
        <v>500</v>
      </c>
      <c r="R838" s="35">
        <f t="shared" si="201"/>
        <v>500</v>
      </c>
      <c r="S838" s="7">
        <f t="shared" si="198"/>
        <v>0</v>
      </c>
      <c r="T838" s="35">
        <f t="shared" si="196"/>
        <v>500</v>
      </c>
    </row>
    <row r="839" spans="1:20" ht="21" customHeight="1">
      <c r="A839" s="61" t="str">
        <f ca="1">IF(ISERROR(MATCH(C839,Код_Раздел,0)),"",INDIRECT(ADDRESS(MATCH(C839,Код_Раздел,0)+1,2,,,"Раздел")))</f>
        <v>Социальная политика</v>
      </c>
      <c r="B839" s="47" t="s">
        <v>656</v>
      </c>
      <c r="C839" s="8" t="s">
        <v>186</v>
      </c>
      <c r="D839" s="1"/>
      <c r="E839" s="113"/>
      <c r="F839" s="7"/>
      <c r="G839" s="7"/>
      <c r="H839" s="35"/>
      <c r="I839" s="7"/>
      <c r="J839" s="35"/>
      <c r="K839" s="7"/>
      <c r="L839" s="35"/>
      <c r="M839" s="7">
        <f t="shared" si="198"/>
        <v>0</v>
      </c>
      <c r="N839" s="35">
        <f t="shared" si="202"/>
        <v>0</v>
      </c>
      <c r="O839" s="7">
        <f t="shared" si="198"/>
        <v>0</v>
      </c>
      <c r="P839" s="35">
        <f t="shared" si="200"/>
        <v>0</v>
      </c>
      <c r="Q839" s="7">
        <f t="shared" si="198"/>
        <v>500</v>
      </c>
      <c r="R839" s="35">
        <f t="shared" si="201"/>
        <v>500</v>
      </c>
      <c r="S839" s="7">
        <f t="shared" si="198"/>
        <v>0</v>
      </c>
      <c r="T839" s="35">
        <f t="shared" si="196"/>
        <v>500</v>
      </c>
    </row>
    <row r="840" spans="1:20" ht="22.5" customHeight="1">
      <c r="A840" s="12" t="s">
        <v>177</v>
      </c>
      <c r="B840" s="47" t="s">
        <v>656</v>
      </c>
      <c r="C840" s="8" t="s">
        <v>186</v>
      </c>
      <c r="D840" s="8" t="s">
        <v>213</v>
      </c>
      <c r="E840" s="113"/>
      <c r="F840" s="7"/>
      <c r="G840" s="7"/>
      <c r="H840" s="35"/>
      <c r="I840" s="7"/>
      <c r="J840" s="35"/>
      <c r="K840" s="7"/>
      <c r="L840" s="35"/>
      <c r="M840" s="7">
        <f t="shared" si="198"/>
        <v>0</v>
      </c>
      <c r="N840" s="35">
        <f t="shared" si="202"/>
        <v>0</v>
      </c>
      <c r="O840" s="7">
        <f t="shared" si="198"/>
        <v>0</v>
      </c>
      <c r="P840" s="35">
        <f t="shared" si="200"/>
        <v>0</v>
      </c>
      <c r="Q840" s="7">
        <f t="shared" si="198"/>
        <v>500</v>
      </c>
      <c r="R840" s="35">
        <f t="shared" si="201"/>
        <v>500</v>
      </c>
      <c r="S840" s="7">
        <f t="shared" si="198"/>
        <v>0</v>
      </c>
      <c r="T840" s="35">
        <f t="shared" si="196"/>
        <v>500</v>
      </c>
    </row>
    <row r="841" spans="1:20" ht="17.25" customHeight="1">
      <c r="A841" s="61" t="str">
        <f ca="1">IF(ISERROR(MATCH(E841,Код_КВР,0)),"",INDIRECT(ADDRESS(MATCH(E841,Код_КВР,0)+1,2,,,"КВР")))</f>
        <v>Социальное обеспечение и иные выплаты населению</v>
      </c>
      <c r="B841" s="47" t="s">
        <v>656</v>
      </c>
      <c r="C841" s="8" t="s">
        <v>186</v>
      </c>
      <c r="D841" s="8" t="s">
        <v>213</v>
      </c>
      <c r="E841" s="113">
        <v>300</v>
      </c>
      <c r="F841" s="7"/>
      <c r="G841" s="7"/>
      <c r="H841" s="35"/>
      <c r="I841" s="7"/>
      <c r="J841" s="35"/>
      <c r="K841" s="7"/>
      <c r="L841" s="35"/>
      <c r="M841" s="7">
        <f t="shared" si="198"/>
        <v>0</v>
      </c>
      <c r="N841" s="35">
        <f t="shared" si="202"/>
        <v>0</v>
      </c>
      <c r="O841" s="7">
        <f t="shared" si="198"/>
        <v>0</v>
      </c>
      <c r="P841" s="35">
        <f t="shared" si="200"/>
        <v>0</v>
      </c>
      <c r="Q841" s="7">
        <f t="shared" si="198"/>
        <v>500</v>
      </c>
      <c r="R841" s="35">
        <f t="shared" si="201"/>
        <v>500</v>
      </c>
      <c r="S841" s="7">
        <f t="shared" si="198"/>
        <v>0</v>
      </c>
      <c r="T841" s="35">
        <f t="shared" si="196"/>
        <v>500</v>
      </c>
    </row>
    <row r="842" spans="1:20" ht="24" customHeight="1">
      <c r="A842" s="61" t="str">
        <f ca="1">IF(ISERROR(MATCH(E842,Код_КВР,0)),"",INDIRECT(ADDRESS(MATCH(E842,Код_КВР,0)+1,2,,,"КВР")))</f>
        <v>Публичные нормативные социальные выплаты гражданам</v>
      </c>
      <c r="B842" s="47" t="s">
        <v>656</v>
      </c>
      <c r="C842" s="8" t="s">
        <v>186</v>
      </c>
      <c r="D842" s="8" t="s">
        <v>213</v>
      </c>
      <c r="E842" s="113">
        <v>310</v>
      </c>
      <c r="F842" s="7"/>
      <c r="G842" s="7"/>
      <c r="H842" s="35"/>
      <c r="I842" s="7"/>
      <c r="J842" s="35"/>
      <c r="K842" s="7"/>
      <c r="L842" s="35"/>
      <c r="M842" s="7">
        <f t="shared" si="198"/>
        <v>0</v>
      </c>
      <c r="N842" s="35">
        <f t="shared" si="202"/>
        <v>0</v>
      </c>
      <c r="O842" s="7">
        <f t="shared" si="198"/>
        <v>0</v>
      </c>
      <c r="P842" s="35">
        <f t="shared" si="200"/>
        <v>0</v>
      </c>
      <c r="Q842" s="7">
        <f t="shared" si="198"/>
        <v>500</v>
      </c>
      <c r="R842" s="35">
        <f t="shared" si="201"/>
        <v>500</v>
      </c>
      <c r="S842" s="7">
        <f t="shared" si="198"/>
        <v>0</v>
      </c>
      <c r="T842" s="35">
        <f t="shared" si="196"/>
        <v>500</v>
      </c>
    </row>
    <row r="843" spans="1:20" ht="36" customHeight="1">
      <c r="A843" s="61" t="str">
        <f ca="1">IF(ISERROR(MATCH(E843,Код_КВР,0)),"",INDIRECT(ADDRESS(MATCH(E843,Код_КВР,0)+1,2,,,"КВР")))</f>
        <v>Пособия, компенсации, меры социальной поддержки по публичным нормативным обязательствам</v>
      </c>
      <c r="B843" s="47" t="s">
        <v>656</v>
      </c>
      <c r="C843" s="8" t="s">
        <v>186</v>
      </c>
      <c r="D843" s="8" t="s">
        <v>213</v>
      </c>
      <c r="E843" s="113">
        <v>313</v>
      </c>
      <c r="F843" s="7"/>
      <c r="G843" s="7"/>
      <c r="H843" s="35"/>
      <c r="I843" s="7"/>
      <c r="J843" s="35"/>
      <c r="K843" s="7"/>
      <c r="L843" s="35"/>
      <c r="M843" s="7">
        <f>прил.6!N1389</f>
        <v>0</v>
      </c>
      <c r="N843" s="35">
        <f t="shared" si="202"/>
        <v>0</v>
      </c>
      <c r="O843" s="7">
        <f>прил.6!P1389</f>
        <v>0</v>
      </c>
      <c r="P843" s="35">
        <f t="shared" si="200"/>
        <v>0</v>
      </c>
      <c r="Q843" s="7">
        <f>прил.6!R1389</f>
        <v>500</v>
      </c>
      <c r="R843" s="35">
        <f t="shared" si="201"/>
        <v>500</v>
      </c>
      <c r="S843" s="7">
        <f>прил.6!T1389</f>
        <v>0</v>
      </c>
      <c r="T843" s="35">
        <f t="shared" si="196"/>
        <v>500</v>
      </c>
    </row>
    <row r="844" spans="1:20" ht="56.25" customHeight="1">
      <c r="A844" s="61" t="str">
        <f ca="1">IF(ISERROR(MATCH(B844,Код_КЦСР,0)),"",INDIRECT(ADDRESS(MATCH(B844,Код_КЦСР,0)+1,2,,,"КЦСР")))</f>
        <v>Выплата единовременной социальной помощи Бовыкиной Я.А. в связи с рождением троих детей в соответствии с решением Череповецкой городской Думы от 06.10.2014 № 154</v>
      </c>
      <c r="B844" s="47" t="s">
        <v>658</v>
      </c>
      <c r="C844" s="8"/>
      <c r="D844" s="1"/>
      <c r="E844" s="113"/>
      <c r="F844" s="7"/>
      <c r="G844" s="7"/>
      <c r="H844" s="35"/>
      <c r="I844" s="7"/>
      <c r="J844" s="35"/>
      <c r="K844" s="7"/>
      <c r="L844" s="35"/>
      <c r="M844" s="7"/>
      <c r="N844" s="35"/>
      <c r="O844" s="7"/>
      <c r="P844" s="35"/>
      <c r="Q844" s="7">
        <f>Q845</f>
        <v>500</v>
      </c>
      <c r="R844" s="35">
        <f t="shared" si="201"/>
        <v>500</v>
      </c>
      <c r="S844" s="7">
        <f>S845</f>
        <v>0</v>
      </c>
      <c r="T844" s="35">
        <f t="shared" si="196"/>
        <v>500</v>
      </c>
    </row>
    <row r="845" spans="1:20" ht="22.5" customHeight="1">
      <c r="A845" s="61" t="str">
        <f ca="1">IF(ISERROR(MATCH(C845,Код_Раздел,0)),"",INDIRECT(ADDRESS(MATCH(C845,Код_Раздел,0)+1,2,,,"Раздел")))</f>
        <v>Социальная политика</v>
      </c>
      <c r="B845" s="47" t="s">
        <v>658</v>
      </c>
      <c r="C845" s="8" t="s">
        <v>186</v>
      </c>
      <c r="D845" s="1"/>
      <c r="E845" s="113"/>
      <c r="F845" s="7"/>
      <c r="G845" s="7"/>
      <c r="H845" s="35"/>
      <c r="I845" s="7"/>
      <c r="J845" s="35"/>
      <c r="K845" s="7"/>
      <c r="L845" s="35"/>
      <c r="M845" s="7"/>
      <c r="N845" s="35"/>
      <c r="O845" s="7"/>
      <c r="P845" s="35"/>
      <c r="Q845" s="7">
        <f>Q846</f>
        <v>500</v>
      </c>
      <c r="R845" s="35">
        <f t="shared" si="201"/>
        <v>500</v>
      </c>
      <c r="S845" s="7">
        <f>S846</f>
        <v>0</v>
      </c>
      <c r="T845" s="35">
        <f t="shared" si="196"/>
        <v>500</v>
      </c>
    </row>
    <row r="846" spans="1:20" ht="20.25" customHeight="1">
      <c r="A846" s="12" t="s">
        <v>177</v>
      </c>
      <c r="B846" s="47" t="s">
        <v>658</v>
      </c>
      <c r="C846" s="8" t="s">
        <v>186</v>
      </c>
      <c r="D846" s="8" t="s">
        <v>213</v>
      </c>
      <c r="E846" s="113"/>
      <c r="F846" s="7"/>
      <c r="G846" s="7"/>
      <c r="H846" s="35"/>
      <c r="I846" s="7"/>
      <c r="J846" s="35"/>
      <c r="K846" s="7"/>
      <c r="L846" s="35"/>
      <c r="M846" s="7"/>
      <c r="N846" s="35"/>
      <c r="O846" s="7"/>
      <c r="P846" s="35"/>
      <c r="Q846" s="7">
        <f>Q847</f>
        <v>500</v>
      </c>
      <c r="R846" s="35">
        <f t="shared" si="201"/>
        <v>500</v>
      </c>
      <c r="S846" s="7">
        <f>S847</f>
        <v>0</v>
      </c>
      <c r="T846" s="35">
        <f t="shared" si="196"/>
        <v>500</v>
      </c>
    </row>
    <row r="847" spans="1:20" ht="24.75" customHeight="1">
      <c r="A847" s="61" t="str">
        <f ca="1">IF(ISERROR(MATCH(E847,Код_КВР,0)),"",INDIRECT(ADDRESS(MATCH(E847,Код_КВР,0)+1,2,,,"КВР")))</f>
        <v>Социальное обеспечение и иные выплаты населению</v>
      </c>
      <c r="B847" s="47" t="s">
        <v>658</v>
      </c>
      <c r="C847" s="8" t="s">
        <v>186</v>
      </c>
      <c r="D847" s="8" t="s">
        <v>213</v>
      </c>
      <c r="E847" s="113">
        <v>300</v>
      </c>
      <c r="F847" s="7"/>
      <c r="G847" s="7"/>
      <c r="H847" s="35"/>
      <c r="I847" s="7"/>
      <c r="J847" s="35"/>
      <c r="K847" s="7"/>
      <c r="L847" s="35"/>
      <c r="M847" s="7"/>
      <c r="N847" s="35"/>
      <c r="O847" s="7"/>
      <c r="P847" s="35"/>
      <c r="Q847" s="7">
        <f>Q848</f>
        <v>500</v>
      </c>
      <c r="R847" s="35">
        <f t="shared" si="201"/>
        <v>500</v>
      </c>
      <c r="S847" s="7">
        <f>S848</f>
        <v>0</v>
      </c>
      <c r="T847" s="35">
        <f t="shared" si="196"/>
        <v>500</v>
      </c>
    </row>
    <row r="848" spans="1:20" ht="27.75" customHeight="1">
      <c r="A848" s="61" t="str">
        <f ca="1">IF(ISERROR(MATCH(E848,Код_КВР,0)),"",INDIRECT(ADDRESS(MATCH(E848,Код_КВР,0)+1,2,,,"КВР")))</f>
        <v>Публичные нормативные социальные выплаты гражданам</v>
      </c>
      <c r="B848" s="47" t="s">
        <v>658</v>
      </c>
      <c r="C848" s="8" t="s">
        <v>186</v>
      </c>
      <c r="D848" s="8" t="s">
        <v>213</v>
      </c>
      <c r="E848" s="113">
        <v>310</v>
      </c>
      <c r="F848" s="7"/>
      <c r="G848" s="7"/>
      <c r="H848" s="35"/>
      <c r="I848" s="7"/>
      <c r="J848" s="35"/>
      <c r="K848" s="7"/>
      <c r="L848" s="35"/>
      <c r="M848" s="7"/>
      <c r="N848" s="35"/>
      <c r="O848" s="7"/>
      <c r="P848" s="35"/>
      <c r="Q848" s="7">
        <f>Q849</f>
        <v>500</v>
      </c>
      <c r="R848" s="35">
        <f t="shared" si="201"/>
        <v>500</v>
      </c>
      <c r="S848" s="7">
        <f>S849</f>
        <v>0</v>
      </c>
      <c r="T848" s="35">
        <f t="shared" si="196"/>
        <v>500</v>
      </c>
    </row>
    <row r="849" spans="1:20" ht="36" customHeight="1">
      <c r="A849" s="61" t="str">
        <f ca="1">IF(ISERROR(MATCH(E849,Код_КВР,0)),"",INDIRECT(ADDRESS(MATCH(E849,Код_КВР,0)+1,2,,,"КВР")))</f>
        <v>Пособия, компенсации, меры социальной поддержки по публичным нормативным обязательствам</v>
      </c>
      <c r="B849" s="47" t="s">
        <v>658</v>
      </c>
      <c r="C849" s="8" t="s">
        <v>186</v>
      </c>
      <c r="D849" s="8" t="s">
        <v>213</v>
      </c>
      <c r="E849" s="113">
        <v>313</v>
      </c>
      <c r="F849" s="7"/>
      <c r="G849" s="7"/>
      <c r="H849" s="35"/>
      <c r="I849" s="7"/>
      <c r="J849" s="35"/>
      <c r="K849" s="7"/>
      <c r="L849" s="35"/>
      <c r="M849" s="7"/>
      <c r="N849" s="35"/>
      <c r="O849" s="7"/>
      <c r="P849" s="35"/>
      <c r="Q849" s="7">
        <f>прил.6!R1391</f>
        <v>500</v>
      </c>
      <c r="R849" s="35">
        <f t="shared" si="201"/>
        <v>500</v>
      </c>
      <c r="S849" s="7">
        <f>прил.6!T1391</f>
        <v>0</v>
      </c>
      <c r="T849" s="35">
        <f t="shared" si="196"/>
        <v>500</v>
      </c>
    </row>
    <row r="850" spans="1:20" ht="33">
      <c r="A850" s="61" t="str">
        <f ca="1">IF(ISERROR(MATCH(B850,Код_КЦСР,0)),"",INDIRECT(ADDRESS(MATCH(B850,Код_КЦСР,0)+1,2,,,"КЦСР")))</f>
        <v>Социальная поддержка пенсионеров на условиях договора пожизненного содержания с иждивением</v>
      </c>
      <c r="B850" s="45" t="s">
        <v>20</v>
      </c>
      <c r="C850" s="8"/>
      <c r="D850" s="1"/>
      <c r="E850" s="113"/>
      <c r="F850" s="7">
        <f t="shared" ref="F850:S856" si="203">F851</f>
        <v>14888.699999999999</v>
      </c>
      <c r="G850" s="7">
        <f t="shared" si="203"/>
        <v>0</v>
      </c>
      <c r="H850" s="35">
        <f t="shared" si="183"/>
        <v>14888.699999999999</v>
      </c>
      <c r="I850" s="7">
        <f t="shared" si="203"/>
        <v>0</v>
      </c>
      <c r="J850" s="35">
        <f t="shared" si="181"/>
        <v>14888.699999999999</v>
      </c>
      <c r="K850" s="7">
        <f t="shared" si="203"/>
        <v>0</v>
      </c>
      <c r="L850" s="35">
        <f t="shared" ref="L850:L934" si="204">J850+K850</f>
        <v>14888.699999999999</v>
      </c>
      <c r="M850" s="7">
        <f t="shared" si="203"/>
        <v>0</v>
      </c>
      <c r="N850" s="35">
        <f t="shared" ref="N850:N934" si="205">L850+M850</f>
        <v>14888.699999999999</v>
      </c>
      <c r="O850" s="7">
        <f t="shared" si="203"/>
        <v>0</v>
      </c>
      <c r="P850" s="35">
        <f t="shared" si="193"/>
        <v>14888.699999999999</v>
      </c>
      <c r="Q850" s="7">
        <f t="shared" si="203"/>
        <v>0</v>
      </c>
      <c r="R850" s="35">
        <f t="shared" si="194"/>
        <v>14888.699999999999</v>
      </c>
      <c r="S850" s="7">
        <f t="shared" si="203"/>
        <v>0</v>
      </c>
      <c r="T850" s="35">
        <f t="shared" si="196"/>
        <v>14888.699999999999</v>
      </c>
    </row>
    <row r="851" spans="1:20">
      <c r="A851" s="61" t="str">
        <f ca="1">IF(ISERROR(MATCH(C851,Код_Раздел,0)),"",INDIRECT(ADDRESS(MATCH(C851,Код_Раздел,0)+1,2,,,"Раздел")))</f>
        <v>Социальная политика</v>
      </c>
      <c r="B851" s="45" t="s">
        <v>20</v>
      </c>
      <c r="C851" s="8" t="s">
        <v>186</v>
      </c>
      <c r="D851" s="1"/>
      <c r="E851" s="113"/>
      <c r="F851" s="7">
        <f t="shared" si="203"/>
        <v>14888.699999999999</v>
      </c>
      <c r="G851" s="7">
        <f t="shared" si="203"/>
        <v>0</v>
      </c>
      <c r="H851" s="35">
        <f t="shared" si="183"/>
        <v>14888.699999999999</v>
      </c>
      <c r="I851" s="7">
        <f t="shared" si="203"/>
        <v>0</v>
      </c>
      <c r="J851" s="35">
        <f t="shared" si="181"/>
        <v>14888.699999999999</v>
      </c>
      <c r="K851" s="7">
        <f t="shared" si="203"/>
        <v>0</v>
      </c>
      <c r="L851" s="35">
        <f t="shared" si="204"/>
        <v>14888.699999999999</v>
      </c>
      <c r="M851" s="7">
        <f t="shared" si="203"/>
        <v>0</v>
      </c>
      <c r="N851" s="35">
        <f t="shared" si="205"/>
        <v>14888.699999999999</v>
      </c>
      <c r="O851" s="7">
        <f t="shared" si="203"/>
        <v>0</v>
      </c>
      <c r="P851" s="35">
        <f t="shared" si="193"/>
        <v>14888.699999999999</v>
      </c>
      <c r="Q851" s="7">
        <f t="shared" si="203"/>
        <v>0</v>
      </c>
      <c r="R851" s="35">
        <f t="shared" si="194"/>
        <v>14888.699999999999</v>
      </c>
      <c r="S851" s="7">
        <f t="shared" si="203"/>
        <v>0</v>
      </c>
      <c r="T851" s="35">
        <f t="shared" si="196"/>
        <v>14888.699999999999</v>
      </c>
    </row>
    <row r="852" spans="1:20">
      <c r="A852" s="12" t="s">
        <v>177</v>
      </c>
      <c r="B852" s="45" t="s">
        <v>20</v>
      </c>
      <c r="C852" s="8" t="s">
        <v>186</v>
      </c>
      <c r="D852" s="8" t="s">
        <v>213</v>
      </c>
      <c r="E852" s="113"/>
      <c r="F852" s="7">
        <f>F856</f>
        <v>14888.699999999999</v>
      </c>
      <c r="G852" s="7">
        <f>G856</f>
        <v>0</v>
      </c>
      <c r="H852" s="35">
        <f t="shared" si="183"/>
        <v>14888.699999999999</v>
      </c>
      <c r="I852" s="7">
        <f>I856</f>
        <v>0</v>
      </c>
      <c r="J852" s="35">
        <f t="shared" si="181"/>
        <v>14888.699999999999</v>
      </c>
      <c r="K852" s="7">
        <f>K856</f>
        <v>0</v>
      </c>
      <c r="L852" s="35">
        <f t="shared" si="204"/>
        <v>14888.699999999999</v>
      </c>
      <c r="M852" s="7">
        <f>M856</f>
        <v>0</v>
      </c>
      <c r="N852" s="35">
        <f t="shared" si="205"/>
        <v>14888.699999999999</v>
      </c>
      <c r="O852" s="7">
        <f>O856</f>
        <v>0</v>
      </c>
      <c r="P852" s="35">
        <f t="shared" si="193"/>
        <v>14888.699999999999</v>
      </c>
      <c r="Q852" s="7">
        <f>Q856</f>
        <v>0</v>
      </c>
      <c r="R852" s="35">
        <f t="shared" si="194"/>
        <v>14888.699999999999</v>
      </c>
      <c r="S852" s="7">
        <f>S853+S856</f>
        <v>0</v>
      </c>
      <c r="T852" s="35">
        <f t="shared" si="196"/>
        <v>14888.699999999999</v>
      </c>
    </row>
    <row r="853" spans="1:20">
      <c r="A853" s="61" t="str">
        <f t="shared" ref="A853:A859" ca="1" si="206">IF(ISERROR(MATCH(E853,Код_КВР,0)),"",INDIRECT(ADDRESS(MATCH(E853,Код_КВР,0)+1,2,,,"КВР")))</f>
        <v>Закупка товаров, работ и услуг для муниципальных нужд</v>
      </c>
      <c r="B853" s="45" t="s">
        <v>20</v>
      </c>
      <c r="C853" s="8" t="s">
        <v>186</v>
      </c>
      <c r="D853" s="8" t="s">
        <v>213</v>
      </c>
      <c r="E853" s="113">
        <v>200</v>
      </c>
      <c r="F853" s="7"/>
      <c r="G853" s="7"/>
      <c r="H853" s="35"/>
      <c r="I853" s="7"/>
      <c r="J853" s="35"/>
      <c r="K853" s="7"/>
      <c r="L853" s="35"/>
      <c r="M853" s="7"/>
      <c r="N853" s="35"/>
      <c r="O853" s="7"/>
      <c r="P853" s="35"/>
      <c r="Q853" s="7"/>
      <c r="R853" s="35"/>
      <c r="S853" s="7">
        <f t="shared" si="203"/>
        <v>38.1</v>
      </c>
      <c r="T853" s="35">
        <f t="shared" si="196"/>
        <v>38.1</v>
      </c>
    </row>
    <row r="854" spans="1:20" ht="33">
      <c r="A854" s="61" t="str">
        <f t="shared" ca="1" si="206"/>
        <v>Иные закупки товаров, работ и услуг для обеспечения муниципальных нужд</v>
      </c>
      <c r="B854" s="45" t="s">
        <v>20</v>
      </c>
      <c r="C854" s="8" t="s">
        <v>186</v>
      </c>
      <c r="D854" s="8" t="s">
        <v>213</v>
      </c>
      <c r="E854" s="113">
        <v>240</v>
      </c>
      <c r="F854" s="7"/>
      <c r="G854" s="7"/>
      <c r="H854" s="35"/>
      <c r="I854" s="7"/>
      <c r="J854" s="35"/>
      <c r="K854" s="7"/>
      <c r="L854" s="35"/>
      <c r="M854" s="7"/>
      <c r="N854" s="35"/>
      <c r="O854" s="7"/>
      <c r="P854" s="35"/>
      <c r="Q854" s="7"/>
      <c r="R854" s="35"/>
      <c r="S854" s="7">
        <f>SUM(S855)</f>
        <v>38.1</v>
      </c>
      <c r="T854" s="35">
        <f t="shared" si="196"/>
        <v>38.1</v>
      </c>
    </row>
    <row r="855" spans="1:20" ht="33">
      <c r="A855" s="61" t="str">
        <f t="shared" ca="1" si="206"/>
        <v xml:space="preserve">Прочая закупка товаров, работ и услуг для обеспечения муниципальных нужд         </v>
      </c>
      <c r="B855" s="45" t="s">
        <v>20</v>
      </c>
      <c r="C855" s="8" t="s">
        <v>186</v>
      </c>
      <c r="D855" s="8" t="s">
        <v>213</v>
      </c>
      <c r="E855" s="113">
        <v>244</v>
      </c>
      <c r="F855" s="7"/>
      <c r="G855" s="7"/>
      <c r="H855" s="35"/>
      <c r="I855" s="7"/>
      <c r="J855" s="35"/>
      <c r="K855" s="7"/>
      <c r="L855" s="35"/>
      <c r="M855" s="7"/>
      <c r="N855" s="35"/>
      <c r="O855" s="7"/>
      <c r="P855" s="35"/>
      <c r="Q855" s="7"/>
      <c r="R855" s="35"/>
      <c r="S855" s="7">
        <f>прил.6!T1395</f>
        <v>38.1</v>
      </c>
      <c r="T855" s="35">
        <f t="shared" si="196"/>
        <v>38.1</v>
      </c>
    </row>
    <row r="856" spans="1:20">
      <c r="A856" s="61" t="str">
        <f t="shared" ca="1" si="206"/>
        <v>Социальное обеспечение и иные выплаты населению</v>
      </c>
      <c r="B856" s="45" t="s">
        <v>20</v>
      </c>
      <c r="C856" s="8" t="s">
        <v>186</v>
      </c>
      <c r="D856" s="8" t="s">
        <v>213</v>
      </c>
      <c r="E856" s="113">
        <v>300</v>
      </c>
      <c r="F856" s="7">
        <f t="shared" si="203"/>
        <v>14888.699999999999</v>
      </c>
      <c r="G856" s="7">
        <f t="shared" si="203"/>
        <v>0</v>
      </c>
      <c r="H856" s="35">
        <f t="shared" si="183"/>
        <v>14888.699999999999</v>
      </c>
      <c r="I856" s="7">
        <f t="shared" si="203"/>
        <v>0</v>
      </c>
      <c r="J856" s="35">
        <f t="shared" si="181"/>
        <v>14888.699999999999</v>
      </c>
      <c r="K856" s="7">
        <f t="shared" si="203"/>
        <v>0</v>
      </c>
      <c r="L856" s="35">
        <f t="shared" si="204"/>
        <v>14888.699999999999</v>
      </c>
      <c r="M856" s="7">
        <f t="shared" si="203"/>
        <v>0</v>
      </c>
      <c r="N856" s="35">
        <f t="shared" si="205"/>
        <v>14888.699999999999</v>
      </c>
      <c r="O856" s="7">
        <f t="shared" si="203"/>
        <v>0</v>
      </c>
      <c r="P856" s="35">
        <f t="shared" si="193"/>
        <v>14888.699999999999</v>
      </c>
      <c r="Q856" s="7">
        <f t="shared" si="203"/>
        <v>0</v>
      </c>
      <c r="R856" s="35">
        <f t="shared" si="194"/>
        <v>14888.699999999999</v>
      </c>
      <c r="S856" s="7">
        <f t="shared" si="203"/>
        <v>-38.100000000000023</v>
      </c>
      <c r="T856" s="35">
        <f t="shared" si="196"/>
        <v>14850.599999999999</v>
      </c>
    </row>
    <row r="857" spans="1:20" ht="35.25" customHeight="1">
      <c r="A857" s="61" t="str">
        <f t="shared" ca="1" si="206"/>
        <v>Социальные выплаты гражданам, кроме публичных нормативных социальных выплат</v>
      </c>
      <c r="B857" s="45" t="s">
        <v>20</v>
      </c>
      <c r="C857" s="8" t="s">
        <v>186</v>
      </c>
      <c r="D857" s="8" t="s">
        <v>213</v>
      </c>
      <c r="E857" s="113">
        <v>320</v>
      </c>
      <c r="F857" s="7">
        <f>SUM(F858:F859)</f>
        <v>14888.699999999999</v>
      </c>
      <c r="G857" s="7">
        <f>SUM(G858:G859)</f>
        <v>0</v>
      </c>
      <c r="H857" s="35">
        <f t="shared" si="183"/>
        <v>14888.699999999999</v>
      </c>
      <c r="I857" s="7">
        <f>SUM(I858:I859)</f>
        <v>0</v>
      </c>
      <c r="J857" s="35">
        <f t="shared" si="181"/>
        <v>14888.699999999999</v>
      </c>
      <c r="K857" s="7">
        <f>SUM(K858:K859)</f>
        <v>0</v>
      </c>
      <c r="L857" s="35">
        <f t="shared" si="204"/>
        <v>14888.699999999999</v>
      </c>
      <c r="M857" s="7">
        <f>SUM(M858:M859)</f>
        <v>0</v>
      </c>
      <c r="N857" s="35">
        <f t="shared" si="205"/>
        <v>14888.699999999999</v>
      </c>
      <c r="O857" s="7">
        <f>SUM(O858:O859)</f>
        <v>0</v>
      </c>
      <c r="P857" s="35">
        <f t="shared" si="193"/>
        <v>14888.699999999999</v>
      </c>
      <c r="Q857" s="7">
        <f>SUM(Q858:Q859)</f>
        <v>0</v>
      </c>
      <c r="R857" s="35">
        <f t="shared" si="194"/>
        <v>14888.699999999999</v>
      </c>
      <c r="S857" s="7">
        <f>SUM(S858:S859)</f>
        <v>-38.100000000000023</v>
      </c>
      <c r="T857" s="35">
        <f t="shared" si="196"/>
        <v>14850.599999999999</v>
      </c>
    </row>
    <row r="858" spans="1:20" ht="36.75" customHeight="1">
      <c r="A858" s="61" t="str">
        <f t="shared" ca="1" si="206"/>
        <v>Пособия, компенсации и иные социальные выплаты гражданам, кроме публичных нормативных обязательств</v>
      </c>
      <c r="B858" s="45" t="s">
        <v>20</v>
      </c>
      <c r="C858" s="8" t="s">
        <v>186</v>
      </c>
      <c r="D858" s="8" t="s">
        <v>213</v>
      </c>
      <c r="E858" s="113">
        <v>321</v>
      </c>
      <c r="F858" s="7">
        <f>прил.6!G1398</f>
        <v>12936.9</v>
      </c>
      <c r="G858" s="7">
        <f>прил.6!H1398</f>
        <v>0</v>
      </c>
      <c r="H858" s="35">
        <f t="shared" si="183"/>
        <v>12936.9</v>
      </c>
      <c r="I858" s="7">
        <f>прил.6!J1398</f>
        <v>0</v>
      </c>
      <c r="J858" s="35">
        <f t="shared" si="181"/>
        <v>12936.9</v>
      </c>
      <c r="K858" s="7">
        <f>прил.6!L1398</f>
        <v>0</v>
      </c>
      <c r="L858" s="35">
        <f t="shared" si="204"/>
        <v>12936.9</v>
      </c>
      <c r="M858" s="7">
        <f>прил.6!N1398</f>
        <v>0</v>
      </c>
      <c r="N858" s="35">
        <f t="shared" si="205"/>
        <v>12936.9</v>
      </c>
      <c r="O858" s="7">
        <f>прил.6!P1398</f>
        <v>0</v>
      </c>
      <c r="P858" s="35">
        <f t="shared" si="193"/>
        <v>12936.9</v>
      </c>
      <c r="Q858" s="7">
        <f>прил.6!R1398</f>
        <v>-327</v>
      </c>
      <c r="R858" s="35">
        <f t="shared" si="194"/>
        <v>12609.9</v>
      </c>
      <c r="S858" s="7">
        <f>прил.6!T1398</f>
        <v>393.2</v>
      </c>
      <c r="T858" s="35">
        <f t="shared" si="196"/>
        <v>13003.1</v>
      </c>
    </row>
    <row r="859" spans="1:20" ht="33">
      <c r="A859" s="61" t="str">
        <f t="shared" ca="1" si="206"/>
        <v>Приобретение товаров, работ, услуг в пользу граждан в целях их социального обеспечения</v>
      </c>
      <c r="B859" s="45" t="s">
        <v>20</v>
      </c>
      <c r="C859" s="8" t="s">
        <v>186</v>
      </c>
      <c r="D859" s="8" t="s">
        <v>213</v>
      </c>
      <c r="E859" s="113">
        <v>323</v>
      </c>
      <c r="F859" s="7">
        <f>прил.6!G1399</f>
        <v>1951.8</v>
      </c>
      <c r="G859" s="7">
        <f>прил.6!H1399</f>
        <v>0</v>
      </c>
      <c r="H859" s="35">
        <f t="shared" si="183"/>
        <v>1951.8</v>
      </c>
      <c r="I859" s="7">
        <f>прил.6!J1399</f>
        <v>0</v>
      </c>
      <c r="J859" s="35">
        <f t="shared" ref="J859:J954" si="207">H859+I859</f>
        <v>1951.8</v>
      </c>
      <c r="K859" s="7">
        <f>прил.6!L1399</f>
        <v>0</v>
      </c>
      <c r="L859" s="35">
        <f t="shared" si="204"/>
        <v>1951.8</v>
      </c>
      <c r="M859" s="7">
        <f>прил.6!N1399</f>
        <v>0</v>
      </c>
      <c r="N859" s="35">
        <f t="shared" si="205"/>
        <v>1951.8</v>
      </c>
      <c r="O859" s="7">
        <f>прил.6!P1399</f>
        <v>0</v>
      </c>
      <c r="P859" s="35">
        <f t="shared" si="193"/>
        <v>1951.8</v>
      </c>
      <c r="Q859" s="7">
        <f>прил.6!R1399</f>
        <v>327</v>
      </c>
      <c r="R859" s="35">
        <f t="shared" si="194"/>
        <v>2278.8000000000002</v>
      </c>
      <c r="S859" s="7">
        <f>прил.6!T1399</f>
        <v>-431.3</v>
      </c>
      <c r="T859" s="35">
        <f t="shared" si="196"/>
        <v>1847.5000000000002</v>
      </c>
    </row>
    <row r="860" spans="1:20">
      <c r="A860" s="61" t="str">
        <f ca="1">IF(ISERROR(MATCH(B860,Код_КЦСР,0)),"",INDIRECT(ADDRESS(MATCH(B860,Код_КЦСР,0)+1,2,,,"КЦСР")))</f>
        <v>Оплата услуг бани по льготным помывкам</v>
      </c>
      <c r="B860" s="45" t="s">
        <v>21</v>
      </c>
      <c r="C860" s="8"/>
      <c r="D860" s="1"/>
      <c r="E860" s="113"/>
      <c r="F860" s="7">
        <f t="shared" ref="F860:S864" si="208">F861</f>
        <v>71</v>
      </c>
      <c r="G860" s="7">
        <f t="shared" si="208"/>
        <v>0</v>
      </c>
      <c r="H860" s="35">
        <f t="shared" si="183"/>
        <v>71</v>
      </c>
      <c r="I860" s="7">
        <f t="shared" si="208"/>
        <v>0</v>
      </c>
      <c r="J860" s="35">
        <f t="shared" si="207"/>
        <v>71</v>
      </c>
      <c r="K860" s="7">
        <f t="shared" si="208"/>
        <v>0</v>
      </c>
      <c r="L860" s="35">
        <f t="shared" si="204"/>
        <v>71</v>
      </c>
      <c r="M860" s="7">
        <f t="shared" si="208"/>
        <v>0</v>
      </c>
      <c r="N860" s="35">
        <f t="shared" si="205"/>
        <v>71</v>
      </c>
      <c r="O860" s="7">
        <f t="shared" si="208"/>
        <v>0</v>
      </c>
      <c r="P860" s="35">
        <f t="shared" si="193"/>
        <v>71</v>
      </c>
      <c r="Q860" s="7">
        <f t="shared" si="208"/>
        <v>0</v>
      </c>
      <c r="R860" s="35">
        <f t="shared" si="194"/>
        <v>71</v>
      </c>
      <c r="S860" s="7">
        <f t="shared" si="208"/>
        <v>0</v>
      </c>
      <c r="T860" s="35">
        <f t="shared" si="196"/>
        <v>71</v>
      </c>
    </row>
    <row r="861" spans="1:20">
      <c r="A861" s="61" t="str">
        <f ca="1">IF(ISERROR(MATCH(C861,Код_Раздел,0)),"",INDIRECT(ADDRESS(MATCH(C861,Код_Раздел,0)+1,2,,,"Раздел")))</f>
        <v>Социальная политика</v>
      </c>
      <c r="B861" s="45" t="s">
        <v>21</v>
      </c>
      <c r="C861" s="8" t="s">
        <v>186</v>
      </c>
      <c r="D861" s="1"/>
      <c r="E861" s="113"/>
      <c r="F861" s="7">
        <f t="shared" si="208"/>
        <v>71</v>
      </c>
      <c r="G861" s="7">
        <f t="shared" si="208"/>
        <v>0</v>
      </c>
      <c r="H861" s="35">
        <f t="shared" si="183"/>
        <v>71</v>
      </c>
      <c r="I861" s="7">
        <f t="shared" si="208"/>
        <v>0</v>
      </c>
      <c r="J861" s="35">
        <f t="shared" si="207"/>
        <v>71</v>
      </c>
      <c r="K861" s="7">
        <f t="shared" si="208"/>
        <v>0</v>
      </c>
      <c r="L861" s="35">
        <f t="shared" si="204"/>
        <v>71</v>
      </c>
      <c r="M861" s="7">
        <f t="shared" si="208"/>
        <v>0</v>
      </c>
      <c r="N861" s="35">
        <f t="shared" si="205"/>
        <v>71</v>
      </c>
      <c r="O861" s="7">
        <f t="shared" si="208"/>
        <v>0</v>
      </c>
      <c r="P861" s="35">
        <f t="shared" si="193"/>
        <v>71</v>
      </c>
      <c r="Q861" s="7">
        <f t="shared" si="208"/>
        <v>0</v>
      </c>
      <c r="R861" s="35">
        <f t="shared" si="194"/>
        <v>71</v>
      </c>
      <c r="S861" s="7">
        <f t="shared" si="208"/>
        <v>0</v>
      </c>
      <c r="T861" s="35">
        <f t="shared" si="196"/>
        <v>71</v>
      </c>
    </row>
    <row r="862" spans="1:20">
      <c r="A862" s="12" t="s">
        <v>177</v>
      </c>
      <c r="B862" s="45" t="s">
        <v>21</v>
      </c>
      <c r="C862" s="8" t="s">
        <v>186</v>
      </c>
      <c r="D862" s="8" t="s">
        <v>213</v>
      </c>
      <c r="E862" s="113"/>
      <c r="F862" s="7">
        <f t="shared" si="208"/>
        <v>71</v>
      </c>
      <c r="G862" s="7">
        <f t="shared" si="208"/>
        <v>0</v>
      </c>
      <c r="H862" s="35">
        <f t="shared" si="183"/>
        <v>71</v>
      </c>
      <c r="I862" s="7">
        <f t="shared" si="208"/>
        <v>0</v>
      </c>
      <c r="J862" s="35">
        <f t="shared" si="207"/>
        <v>71</v>
      </c>
      <c r="K862" s="7">
        <f t="shared" si="208"/>
        <v>0</v>
      </c>
      <c r="L862" s="35">
        <f t="shared" si="204"/>
        <v>71</v>
      </c>
      <c r="M862" s="7">
        <f t="shared" si="208"/>
        <v>0</v>
      </c>
      <c r="N862" s="35">
        <f t="shared" si="205"/>
        <v>71</v>
      </c>
      <c r="O862" s="7">
        <f t="shared" si="208"/>
        <v>0</v>
      </c>
      <c r="P862" s="35">
        <f t="shared" si="193"/>
        <v>71</v>
      </c>
      <c r="Q862" s="7">
        <f t="shared" si="208"/>
        <v>0</v>
      </c>
      <c r="R862" s="35">
        <f t="shared" si="194"/>
        <v>71</v>
      </c>
      <c r="S862" s="7">
        <f t="shared" si="208"/>
        <v>0</v>
      </c>
      <c r="T862" s="35">
        <f t="shared" si="196"/>
        <v>71</v>
      </c>
    </row>
    <row r="863" spans="1:20">
      <c r="A863" s="61" t="str">
        <f ca="1">IF(ISERROR(MATCH(E863,Код_КВР,0)),"",INDIRECT(ADDRESS(MATCH(E863,Код_КВР,0)+1,2,,,"КВР")))</f>
        <v>Социальное обеспечение и иные выплаты населению</v>
      </c>
      <c r="B863" s="45" t="s">
        <v>21</v>
      </c>
      <c r="C863" s="8" t="s">
        <v>186</v>
      </c>
      <c r="D863" s="8" t="s">
        <v>213</v>
      </c>
      <c r="E863" s="113">
        <v>300</v>
      </c>
      <c r="F863" s="7">
        <f t="shared" si="208"/>
        <v>71</v>
      </c>
      <c r="G863" s="7">
        <f t="shared" si="208"/>
        <v>0</v>
      </c>
      <c r="H863" s="35">
        <f t="shared" si="183"/>
        <v>71</v>
      </c>
      <c r="I863" s="7">
        <f t="shared" si="208"/>
        <v>0</v>
      </c>
      <c r="J863" s="35">
        <f t="shared" si="207"/>
        <v>71</v>
      </c>
      <c r="K863" s="7">
        <f t="shared" si="208"/>
        <v>0</v>
      </c>
      <c r="L863" s="35">
        <f t="shared" si="204"/>
        <v>71</v>
      </c>
      <c r="M863" s="7">
        <f t="shared" si="208"/>
        <v>0</v>
      </c>
      <c r="N863" s="35">
        <f t="shared" si="205"/>
        <v>71</v>
      </c>
      <c r="O863" s="7">
        <f t="shared" si="208"/>
        <v>0</v>
      </c>
      <c r="P863" s="35">
        <f t="shared" si="193"/>
        <v>71</v>
      </c>
      <c r="Q863" s="7">
        <f t="shared" si="208"/>
        <v>0</v>
      </c>
      <c r="R863" s="35">
        <f t="shared" si="194"/>
        <v>71</v>
      </c>
      <c r="S863" s="7">
        <f t="shared" si="208"/>
        <v>0</v>
      </c>
      <c r="T863" s="35">
        <f t="shared" si="196"/>
        <v>71</v>
      </c>
    </row>
    <row r="864" spans="1:20" ht="33">
      <c r="A864" s="61" t="str">
        <f ca="1">IF(ISERROR(MATCH(E864,Код_КВР,0)),"",INDIRECT(ADDRESS(MATCH(E864,Код_КВР,0)+1,2,,,"КВР")))</f>
        <v>Социальные выплаты гражданам, кроме публичных нормативных социальных выплат</v>
      </c>
      <c r="B864" s="45" t="s">
        <v>21</v>
      </c>
      <c r="C864" s="8" t="s">
        <v>186</v>
      </c>
      <c r="D864" s="8" t="s">
        <v>213</v>
      </c>
      <c r="E864" s="113">
        <v>320</v>
      </c>
      <c r="F864" s="7">
        <f t="shared" si="208"/>
        <v>71</v>
      </c>
      <c r="G864" s="7">
        <f t="shared" si="208"/>
        <v>0</v>
      </c>
      <c r="H864" s="35">
        <f t="shared" si="183"/>
        <v>71</v>
      </c>
      <c r="I864" s="7">
        <f t="shared" si="208"/>
        <v>0</v>
      </c>
      <c r="J864" s="35">
        <f t="shared" si="207"/>
        <v>71</v>
      </c>
      <c r="K864" s="7">
        <f t="shared" si="208"/>
        <v>0</v>
      </c>
      <c r="L864" s="35">
        <f t="shared" si="204"/>
        <v>71</v>
      </c>
      <c r="M864" s="7">
        <f t="shared" si="208"/>
        <v>0</v>
      </c>
      <c r="N864" s="35">
        <f t="shared" si="205"/>
        <v>71</v>
      </c>
      <c r="O864" s="7">
        <f t="shared" si="208"/>
        <v>0</v>
      </c>
      <c r="P864" s="35">
        <f t="shared" si="193"/>
        <v>71</v>
      </c>
      <c r="Q864" s="7">
        <f t="shared" si="208"/>
        <v>0</v>
      </c>
      <c r="R864" s="35">
        <f t="shared" si="194"/>
        <v>71</v>
      </c>
      <c r="S864" s="7">
        <f t="shared" si="208"/>
        <v>0</v>
      </c>
      <c r="T864" s="35">
        <f t="shared" si="196"/>
        <v>71</v>
      </c>
    </row>
    <row r="865" spans="1:21" ht="33">
      <c r="A865" s="61" t="str">
        <f ca="1">IF(ISERROR(MATCH(E865,Код_КВР,0)),"",INDIRECT(ADDRESS(MATCH(E865,Код_КВР,0)+1,2,,,"КВР")))</f>
        <v>Приобретение товаров, работ, услуг в пользу граждан в целях их социального обеспечения</v>
      </c>
      <c r="B865" s="45" t="s">
        <v>21</v>
      </c>
      <c r="C865" s="8" t="s">
        <v>186</v>
      </c>
      <c r="D865" s="8" t="s">
        <v>213</v>
      </c>
      <c r="E865" s="113">
        <v>323</v>
      </c>
      <c r="F865" s="7">
        <f>прил.6!G548</f>
        <v>71</v>
      </c>
      <c r="G865" s="7">
        <f>прил.6!H548</f>
        <v>0</v>
      </c>
      <c r="H865" s="35">
        <f t="shared" si="183"/>
        <v>71</v>
      </c>
      <c r="I865" s="7">
        <f>прил.6!J548</f>
        <v>0</v>
      </c>
      <c r="J865" s="35">
        <f t="shared" si="207"/>
        <v>71</v>
      </c>
      <c r="K865" s="7">
        <f>прил.6!L548</f>
        <v>0</v>
      </c>
      <c r="L865" s="35">
        <f t="shared" si="204"/>
        <v>71</v>
      </c>
      <c r="M865" s="7">
        <f>прил.6!N548</f>
        <v>0</v>
      </c>
      <c r="N865" s="35">
        <f t="shared" si="205"/>
        <v>71</v>
      </c>
      <c r="O865" s="7">
        <f>прил.6!P548</f>
        <v>0</v>
      </c>
      <c r="P865" s="35">
        <f t="shared" si="193"/>
        <v>71</v>
      </c>
      <c r="Q865" s="7">
        <f>прил.6!R548</f>
        <v>0</v>
      </c>
      <c r="R865" s="35">
        <f t="shared" si="194"/>
        <v>71</v>
      </c>
      <c r="S865" s="7">
        <f>прил.6!T548</f>
        <v>0</v>
      </c>
      <c r="T865" s="35">
        <f t="shared" si="196"/>
        <v>71</v>
      </c>
    </row>
    <row r="866" spans="1:21" ht="69" customHeight="1">
      <c r="A866" s="61" t="str">
        <f ca="1">IF(ISERROR(MATCH(B866,Код_КЦСР,0)),"",INDIRECT(ADDRESS(MATCH(B866,Код_КЦСР,0)+1,2,,,"КЦСР")))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866" s="47" t="s">
        <v>361</v>
      </c>
      <c r="C866" s="8"/>
      <c r="D866" s="1"/>
      <c r="E866" s="113"/>
      <c r="F866" s="7">
        <f t="shared" ref="F866:S870" si="209">F867</f>
        <v>26528.400000000001</v>
      </c>
      <c r="G866" s="7">
        <f t="shared" si="209"/>
        <v>0</v>
      </c>
      <c r="H866" s="35">
        <f t="shared" si="183"/>
        <v>26528.400000000001</v>
      </c>
      <c r="I866" s="7">
        <f t="shared" si="209"/>
        <v>0</v>
      </c>
      <c r="J866" s="35">
        <f t="shared" si="207"/>
        <v>26528.400000000001</v>
      </c>
      <c r="K866" s="7">
        <f t="shared" si="209"/>
        <v>-2965.2</v>
      </c>
      <c r="L866" s="35">
        <f t="shared" si="204"/>
        <v>23563.200000000001</v>
      </c>
      <c r="M866" s="7">
        <f t="shared" si="209"/>
        <v>0</v>
      </c>
      <c r="N866" s="35">
        <f t="shared" si="205"/>
        <v>23563.200000000001</v>
      </c>
      <c r="O866" s="7">
        <f t="shared" si="209"/>
        <v>0</v>
      </c>
      <c r="P866" s="35">
        <f t="shared" si="193"/>
        <v>23563.200000000001</v>
      </c>
      <c r="Q866" s="7">
        <f t="shared" si="209"/>
        <v>0</v>
      </c>
      <c r="R866" s="35">
        <f t="shared" si="194"/>
        <v>23563.200000000001</v>
      </c>
      <c r="S866" s="7">
        <f t="shared" si="209"/>
        <v>0</v>
      </c>
      <c r="T866" s="35">
        <f t="shared" si="196"/>
        <v>23563.200000000001</v>
      </c>
    </row>
    <row r="867" spans="1:21">
      <c r="A867" s="61" t="str">
        <f ca="1">IF(ISERROR(MATCH(C867,Код_Раздел,0)),"",INDIRECT(ADDRESS(MATCH(C867,Код_Раздел,0)+1,2,,,"Раздел")))</f>
        <v>Образование</v>
      </c>
      <c r="B867" s="47" t="s">
        <v>361</v>
      </c>
      <c r="C867" s="8" t="s">
        <v>193</v>
      </c>
      <c r="D867" s="1"/>
      <c r="E867" s="113"/>
      <c r="F867" s="7">
        <f t="shared" si="209"/>
        <v>26528.400000000001</v>
      </c>
      <c r="G867" s="7">
        <f t="shared" si="209"/>
        <v>0</v>
      </c>
      <c r="H867" s="35">
        <f t="shared" ref="H867:H962" si="210">F867+G867</f>
        <v>26528.400000000001</v>
      </c>
      <c r="I867" s="7">
        <f t="shared" si="209"/>
        <v>0</v>
      </c>
      <c r="J867" s="35">
        <f t="shared" si="207"/>
        <v>26528.400000000001</v>
      </c>
      <c r="K867" s="7">
        <f t="shared" si="209"/>
        <v>-2965.2</v>
      </c>
      <c r="L867" s="35">
        <f t="shared" si="204"/>
        <v>23563.200000000001</v>
      </c>
      <c r="M867" s="7">
        <f t="shared" si="209"/>
        <v>0</v>
      </c>
      <c r="N867" s="35">
        <f t="shared" si="205"/>
        <v>23563.200000000001</v>
      </c>
      <c r="O867" s="7">
        <f t="shared" si="209"/>
        <v>0</v>
      </c>
      <c r="P867" s="35">
        <f t="shared" si="193"/>
        <v>23563.200000000001</v>
      </c>
      <c r="Q867" s="7">
        <f t="shared" si="209"/>
        <v>0</v>
      </c>
      <c r="R867" s="35">
        <f t="shared" si="194"/>
        <v>23563.200000000001</v>
      </c>
      <c r="S867" s="7">
        <f t="shared" si="209"/>
        <v>0</v>
      </c>
      <c r="T867" s="35">
        <f t="shared" si="196"/>
        <v>23563.200000000001</v>
      </c>
    </row>
    <row r="868" spans="1:21">
      <c r="A868" s="12" t="s">
        <v>197</v>
      </c>
      <c r="B868" s="47" t="s">
        <v>361</v>
      </c>
      <c r="C868" s="8" t="s">
        <v>193</v>
      </c>
      <c r="D868" s="8" t="s">
        <v>193</v>
      </c>
      <c r="E868" s="113"/>
      <c r="F868" s="7">
        <f t="shared" si="209"/>
        <v>26528.400000000001</v>
      </c>
      <c r="G868" s="7">
        <f t="shared" si="209"/>
        <v>0</v>
      </c>
      <c r="H868" s="35">
        <f t="shared" si="210"/>
        <v>26528.400000000001</v>
      </c>
      <c r="I868" s="7">
        <f>I869+I872</f>
        <v>0</v>
      </c>
      <c r="J868" s="35">
        <f t="shared" si="207"/>
        <v>26528.400000000001</v>
      </c>
      <c r="K868" s="7">
        <f>K869+K872</f>
        <v>-2965.2</v>
      </c>
      <c r="L868" s="35">
        <f t="shared" si="204"/>
        <v>23563.200000000001</v>
      </c>
      <c r="M868" s="7">
        <f>M869+M872</f>
        <v>0</v>
      </c>
      <c r="N868" s="35">
        <f t="shared" si="205"/>
        <v>23563.200000000001</v>
      </c>
      <c r="O868" s="7">
        <f>O869+O872</f>
        <v>0</v>
      </c>
      <c r="P868" s="35">
        <f t="shared" si="193"/>
        <v>23563.200000000001</v>
      </c>
      <c r="Q868" s="7">
        <f>Q869+Q872</f>
        <v>0</v>
      </c>
      <c r="R868" s="35">
        <f t="shared" si="194"/>
        <v>23563.200000000001</v>
      </c>
      <c r="S868" s="7">
        <f>S869+S872</f>
        <v>0</v>
      </c>
      <c r="T868" s="35">
        <f t="shared" si="196"/>
        <v>23563.200000000001</v>
      </c>
    </row>
    <row r="869" spans="1:21" hidden="1">
      <c r="A869" s="61" t="str">
        <f ca="1">IF(ISERROR(MATCH(E869,Код_КВР,0)),"",INDIRECT(ADDRESS(MATCH(E869,Код_КВР,0)+1,2,,,"КВР")))</f>
        <v>Социальное обеспечение и иные выплаты населению</v>
      </c>
      <c r="B869" s="47" t="s">
        <v>361</v>
      </c>
      <c r="C869" s="8" t="s">
        <v>193</v>
      </c>
      <c r="D869" s="8" t="s">
        <v>193</v>
      </c>
      <c r="E869" s="89">
        <v>300</v>
      </c>
      <c r="F869" s="7">
        <f t="shared" si="209"/>
        <v>26528.400000000001</v>
      </c>
      <c r="G869" s="7">
        <f t="shared" si="209"/>
        <v>0</v>
      </c>
      <c r="H869" s="35">
        <f t="shared" si="210"/>
        <v>26528.400000000001</v>
      </c>
      <c r="I869" s="7">
        <f t="shared" si="209"/>
        <v>-26528.400000000001</v>
      </c>
      <c r="J869" s="35">
        <f t="shared" si="207"/>
        <v>0</v>
      </c>
      <c r="K869" s="7">
        <f t="shared" si="209"/>
        <v>0</v>
      </c>
      <c r="L869" s="35">
        <f t="shared" si="204"/>
        <v>0</v>
      </c>
      <c r="M869" s="7">
        <f t="shared" si="209"/>
        <v>0</v>
      </c>
      <c r="N869" s="35">
        <f t="shared" si="205"/>
        <v>0</v>
      </c>
      <c r="O869" s="7">
        <f t="shared" si="209"/>
        <v>0</v>
      </c>
      <c r="P869" s="35">
        <f t="shared" si="193"/>
        <v>0</v>
      </c>
      <c r="Q869" s="7">
        <f t="shared" si="209"/>
        <v>0</v>
      </c>
      <c r="R869" s="35">
        <f t="shared" si="194"/>
        <v>0</v>
      </c>
      <c r="S869" s="7">
        <f t="shared" si="209"/>
        <v>0</v>
      </c>
      <c r="T869" s="35">
        <f t="shared" si="196"/>
        <v>0</v>
      </c>
      <c r="U869" s="20" t="s">
        <v>706</v>
      </c>
    </row>
    <row r="870" spans="1:21" ht="33" hidden="1">
      <c r="A870" s="61" t="str">
        <f ca="1">IF(ISERROR(MATCH(E870,Код_КВР,0)),"",INDIRECT(ADDRESS(MATCH(E870,Код_КВР,0)+1,2,,,"КВР")))</f>
        <v>Социальные выплаты гражданам, кроме публичных нормативных социальных выплат</v>
      </c>
      <c r="B870" s="47" t="s">
        <v>361</v>
      </c>
      <c r="C870" s="8" t="s">
        <v>193</v>
      </c>
      <c r="D870" s="8" t="s">
        <v>193</v>
      </c>
      <c r="E870" s="89">
        <v>320</v>
      </c>
      <c r="F870" s="7">
        <f t="shared" si="209"/>
        <v>26528.400000000001</v>
      </c>
      <c r="G870" s="7">
        <f t="shared" si="209"/>
        <v>0</v>
      </c>
      <c r="H870" s="35">
        <f t="shared" si="210"/>
        <v>26528.400000000001</v>
      </c>
      <c r="I870" s="7">
        <f t="shared" si="209"/>
        <v>-26528.400000000001</v>
      </c>
      <c r="J870" s="35">
        <f t="shared" si="207"/>
        <v>0</v>
      </c>
      <c r="K870" s="7">
        <f t="shared" si="209"/>
        <v>0</v>
      </c>
      <c r="L870" s="35">
        <f t="shared" si="204"/>
        <v>0</v>
      </c>
      <c r="M870" s="7">
        <f t="shared" si="209"/>
        <v>0</v>
      </c>
      <c r="N870" s="35">
        <f t="shared" si="205"/>
        <v>0</v>
      </c>
      <c r="O870" s="7">
        <f t="shared" si="209"/>
        <v>0</v>
      </c>
      <c r="P870" s="35">
        <f t="shared" si="193"/>
        <v>0</v>
      </c>
      <c r="Q870" s="7">
        <f t="shared" si="209"/>
        <v>0</v>
      </c>
      <c r="R870" s="35">
        <f t="shared" si="194"/>
        <v>0</v>
      </c>
      <c r="S870" s="7">
        <f t="shared" si="209"/>
        <v>0</v>
      </c>
      <c r="T870" s="35">
        <f t="shared" si="196"/>
        <v>0</v>
      </c>
      <c r="U870" s="20" t="s">
        <v>706</v>
      </c>
    </row>
    <row r="871" spans="1:21" ht="33" hidden="1">
      <c r="A871" s="61" t="str">
        <f ca="1">IF(ISERROR(MATCH(E871,Код_КВР,0)),"",INDIRECT(ADDRESS(MATCH(E871,Код_КВР,0)+1,2,,,"КВР")))</f>
        <v>Приобретение товаров, работ, услуг в пользу граждан в целях их социального обеспечения</v>
      </c>
      <c r="B871" s="47" t="s">
        <v>361</v>
      </c>
      <c r="C871" s="8" t="s">
        <v>193</v>
      </c>
      <c r="D871" s="8" t="s">
        <v>193</v>
      </c>
      <c r="E871" s="89">
        <v>323</v>
      </c>
      <c r="F871" s="7">
        <f>прил.6!G1314</f>
        <v>26528.400000000001</v>
      </c>
      <c r="G871" s="7">
        <f>прил.6!H1314</f>
        <v>0</v>
      </c>
      <c r="H871" s="35">
        <f t="shared" si="210"/>
        <v>26528.400000000001</v>
      </c>
      <c r="I871" s="7">
        <f>прил.6!J1314</f>
        <v>-26528.400000000001</v>
      </c>
      <c r="J871" s="35">
        <f t="shared" si="207"/>
        <v>0</v>
      </c>
      <c r="K871" s="7">
        <f>прил.6!L1314</f>
        <v>0</v>
      </c>
      <c r="L871" s="35">
        <f t="shared" si="204"/>
        <v>0</v>
      </c>
      <c r="M871" s="7">
        <f>прил.6!N1314</f>
        <v>0</v>
      </c>
      <c r="N871" s="35">
        <f t="shared" si="205"/>
        <v>0</v>
      </c>
      <c r="O871" s="7">
        <f>прил.6!P1314</f>
        <v>0</v>
      </c>
      <c r="P871" s="35">
        <f t="shared" si="193"/>
        <v>0</v>
      </c>
      <c r="Q871" s="7">
        <f>прил.6!R1314</f>
        <v>0</v>
      </c>
      <c r="R871" s="35">
        <f t="shared" si="194"/>
        <v>0</v>
      </c>
      <c r="S871" s="7">
        <f>прил.6!T1314</f>
        <v>0</v>
      </c>
      <c r="T871" s="35">
        <f t="shared" si="196"/>
        <v>0</v>
      </c>
      <c r="U871" s="20" t="s">
        <v>706</v>
      </c>
    </row>
    <row r="872" spans="1:21" ht="23.25" customHeight="1">
      <c r="A872" s="61" t="str">
        <f ca="1">IF(ISERROR(MATCH(E872,Код_КВР,0)),"",INDIRECT(ADDRESS(MATCH(E872,Код_КВР,0)+1,2,,,"КВР")))</f>
        <v>Иные бюджетные ассигнования</v>
      </c>
      <c r="B872" s="47" t="s">
        <v>361</v>
      </c>
      <c r="C872" s="8" t="s">
        <v>193</v>
      </c>
      <c r="D872" s="8" t="s">
        <v>193</v>
      </c>
      <c r="E872" s="113">
        <v>800</v>
      </c>
      <c r="F872" s="7"/>
      <c r="G872" s="7"/>
      <c r="H872" s="35"/>
      <c r="I872" s="7">
        <f>I873</f>
        <v>26528.400000000001</v>
      </c>
      <c r="J872" s="35">
        <f t="shared" si="207"/>
        <v>26528.400000000001</v>
      </c>
      <c r="K872" s="7">
        <f>K873</f>
        <v>-2965.2</v>
      </c>
      <c r="L872" s="35">
        <f t="shared" si="204"/>
        <v>23563.200000000001</v>
      </c>
      <c r="M872" s="7">
        <f>M873</f>
        <v>0</v>
      </c>
      <c r="N872" s="35">
        <f t="shared" si="205"/>
        <v>23563.200000000001</v>
      </c>
      <c r="O872" s="7">
        <f>O873</f>
        <v>0</v>
      </c>
      <c r="P872" s="35">
        <f t="shared" si="193"/>
        <v>23563.200000000001</v>
      </c>
      <c r="Q872" s="7">
        <f>Q873</f>
        <v>0</v>
      </c>
      <c r="R872" s="35">
        <f t="shared" si="194"/>
        <v>23563.200000000001</v>
      </c>
      <c r="S872" s="7">
        <f>S873</f>
        <v>0</v>
      </c>
      <c r="T872" s="35">
        <f t="shared" si="196"/>
        <v>23563.200000000001</v>
      </c>
    </row>
    <row r="873" spans="1:21" ht="49.5">
      <c r="A873" s="61" t="str">
        <f ca="1">IF(ISERROR(MATCH(E873,Код_КВР,0)),"",INDIRECT(ADDRESS(MATCH(E873,Код_КВР,0)+1,2,,,"КВР")))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73" s="47" t="s">
        <v>361</v>
      </c>
      <c r="C873" s="8" t="s">
        <v>193</v>
      </c>
      <c r="D873" s="8" t="s">
        <v>193</v>
      </c>
      <c r="E873" s="113">
        <v>810</v>
      </c>
      <c r="F873" s="7"/>
      <c r="G873" s="7"/>
      <c r="H873" s="35"/>
      <c r="I873" s="7">
        <f>прил.6!J1316</f>
        <v>26528.400000000001</v>
      </c>
      <c r="J873" s="35">
        <f t="shared" si="207"/>
        <v>26528.400000000001</v>
      </c>
      <c r="K873" s="7">
        <f>прил.6!L1316</f>
        <v>-2965.2</v>
      </c>
      <c r="L873" s="35">
        <f t="shared" si="204"/>
        <v>23563.200000000001</v>
      </c>
      <c r="M873" s="7">
        <f>прил.6!N1316</f>
        <v>0</v>
      </c>
      <c r="N873" s="35">
        <f t="shared" si="205"/>
        <v>23563.200000000001</v>
      </c>
      <c r="O873" s="7">
        <f>прил.6!P1316</f>
        <v>0</v>
      </c>
      <c r="P873" s="35">
        <f t="shared" si="193"/>
        <v>23563.200000000001</v>
      </c>
      <c r="Q873" s="7">
        <f>прил.6!R1316</f>
        <v>0</v>
      </c>
      <c r="R873" s="35">
        <f t="shared" si="194"/>
        <v>23563.200000000001</v>
      </c>
      <c r="S873" s="7">
        <f>прил.6!T1316</f>
        <v>0</v>
      </c>
      <c r="T873" s="35">
        <f t="shared" si="196"/>
        <v>23563.200000000001</v>
      </c>
    </row>
    <row r="874" spans="1:21" ht="59.25" customHeight="1">
      <c r="A874" s="61" t="str">
        <f ca="1">IF(ISERROR(MATCH(B874,Код_КЦСР,0)),"",INDIRECT(ADDRESS(MATCH(B874,Код_КЦСР,0)+1,2,,,"КЦСР")))</f>
        <v>Мероприятия государственной программы Российской Федерации «Доступная среда» на 2011-2015 годы за счет средств федерального бюджета</v>
      </c>
      <c r="B874" s="45" t="s">
        <v>638</v>
      </c>
      <c r="C874" s="8"/>
      <c r="D874" s="1"/>
      <c r="E874" s="113"/>
      <c r="F874" s="7"/>
      <c r="G874" s="7"/>
      <c r="H874" s="35"/>
      <c r="I874" s="7"/>
      <c r="J874" s="35"/>
      <c r="K874" s="7"/>
      <c r="L874" s="35"/>
      <c r="M874" s="7"/>
      <c r="N874" s="35"/>
      <c r="O874" s="7"/>
      <c r="P874" s="35"/>
      <c r="Q874" s="7">
        <f>Q880+Q875</f>
        <v>365</v>
      </c>
      <c r="R874" s="35">
        <f t="shared" si="194"/>
        <v>365</v>
      </c>
      <c r="S874" s="7">
        <f>S880+S875</f>
        <v>0</v>
      </c>
      <c r="T874" s="35">
        <f t="shared" si="196"/>
        <v>365</v>
      </c>
    </row>
    <row r="875" spans="1:21" ht="19.5" customHeight="1">
      <c r="A875" s="61" t="str">
        <f ca="1">IF(ISERROR(MATCH(C875,Код_Раздел,0)),"",INDIRECT(ADDRESS(MATCH(C875,Код_Раздел,0)+1,2,,,"Раздел")))</f>
        <v>Национальная экономика</v>
      </c>
      <c r="B875" s="45" t="s">
        <v>638</v>
      </c>
      <c r="C875" s="8" t="s">
        <v>214</v>
      </c>
      <c r="D875" s="1"/>
      <c r="E875" s="113"/>
      <c r="F875" s="7"/>
      <c r="G875" s="7"/>
      <c r="H875" s="35"/>
      <c r="I875" s="7"/>
      <c r="J875" s="35"/>
      <c r="K875" s="7"/>
      <c r="L875" s="35"/>
      <c r="M875" s="7"/>
      <c r="N875" s="35"/>
      <c r="O875" s="7"/>
      <c r="P875" s="35"/>
      <c r="Q875" s="7">
        <f>Q876</f>
        <v>75</v>
      </c>
      <c r="R875" s="35">
        <f t="shared" si="194"/>
        <v>75</v>
      </c>
      <c r="S875" s="7">
        <f>S876</f>
        <v>0</v>
      </c>
      <c r="T875" s="35">
        <f t="shared" si="196"/>
        <v>75</v>
      </c>
    </row>
    <row r="876" spans="1:21" ht="21" customHeight="1">
      <c r="A876" s="76" t="s">
        <v>178</v>
      </c>
      <c r="B876" s="45" t="s">
        <v>638</v>
      </c>
      <c r="C876" s="8" t="s">
        <v>214</v>
      </c>
      <c r="D876" s="8" t="s">
        <v>217</v>
      </c>
      <c r="E876" s="113"/>
      <c r="F876" s="7"/>
      <c r="G876" s="7"/>
      <c r="H876" s="35"/>
      <c r="I876" s="7"/>
      <c r="J876" s="35"/>
      <c r="K876" s="7"/>
      <c r="L876" s="35"/>
      <c r="M876" s="7"/>
      <c r="N876" s="35"/>
      <c r="O876" s="7"/>
      <c r="P876" s="35"/>
      <c r="Q876" s="7">
        <f>Q877</f>
        <v>75</v>
      </c>
      <c r="R876" s="35">
        <f t="shared" si="194"/>
        <v>75</v>
      </c>
      <c r="S876" s="7">
        <f>S877</f>
        <v>0</v>
      </c>
      <c r="T876" s="35">
        <f t="shared" si="196"/>
        <v>75</v>
      </c>
    </row>
    <row r="877" spans="1:21" ht="21.95" customHeight="1">
      <c r="A877" s="61" t="str">
        <f ca="1">IF(ISERROR(MATCH(E877,Код_КВР,0)),"",INDIRECT(ADDRESS(MATCH(E877,Код_КВР,0)+1,2,,,"КВР")))</f>
        <v>Закупка товаров, работ и услуг для муниципальных нужд</v>
      </c>
      <c r="B877" s="45" t="s">
        <v>638</v>
      </c>
      <c r="C877" s="8" t="s">
        <v>214</v>
      </c>
      <c r="D877" s="8" t="s">
        <v>217</v>
      </c>
      <c r="E877" s="113">
        <v>200</v>
      </c>
      <c r="F877" s="7"/>
      <c r="G877" s="7"/>
      <c r="H877" s="35"/>
      <c r="I877" s="7"/>
      <c r="J877" s="35"/>
      <c r="K877" s="7"/>
      <c r="L877" s="35"/>
      <c r="M877" s="7"/>
      <c r="N877" s="35"/>
      <c r="O877" s="7"/>
      <c r="P877" s="35"/>
      <c r="Q877" s="7">
        <f>Q878</f>
        <v>75</v>
      </c>
      <c r="R877" s="35">
        <f t="shared" si="194"/>
        <v>75</v>
      </c>
      <c r="S877" s="7">
        <f>S878</f>
        <v>0</v>
      </c>
      <c r="T877" s="35">
        <f t="shared" si="196"/>
        <v>75</v>
      </c>
    </row>
    <row r="878" spans="1:21" ht="40.5" customHeight="1">
      <c r="A878" s="61" t="str">
        <f ca="1">IF(ISERROR(MATCH(E878,Код_КВР,0)),"",INDIRECT(ADDRESS(MATCH(E878,Код_КВР,0)+1,2,,,"КВР")))</f>
        <v>Иные закупки товаров, работ и услуг для обеспечения муниципальных нужд</v>
      </c>
      <c r="B878" s="45" t="s">
        <v>638</v>
      </c>
      <c r="C878" s="8" t="s">
        <v>214</v>
      </c>
      <c r="D878" s="8" t="s">
        <v>217</v>
      </c>
      <c r="E878" s="113">
        <v>240</v>
      </c>
      <c r="F878" s="7"/>
      <c r="G878" s="7"/>
      <c r="H878" s="35"/>
      <c r="I878" s="7"/>
      <c r="J878" s="35"/>
      <c r="K878" s="7"/>
      <c r="L878" s="35"/>
      <c r="M878" s="7"/>
      <c r="N878" s="35"/>
      <c r="O878" s="7"/>
      <c r="P878" s="35"/>
      <c r="Q878" s="7">
        <f>Q879</f>
        <v>75</v>
      </c>
      <c r="R878" s="35">
        <f t="shared" si="194"/>
        <v>75</v>
      </c>
      <c r="S878" s="7">
        <f>S879</f>
        <v>0</v>
      </c>
      <c r="T878" s="35">
        <f t="shared" si="196"/>
        <v>75</v>
      </c>
    </row>
    <row r="879" spans="1:21" ht="39.950000000000003" customHeight="1">
      <c r="A879" s="61" t="str">
        <f ca="1">IF(ISERROR(MATCH(E879,Код_КВР,0)),"",INDIRECT(ADDRESS(MATCH(E879,Код_КВР,0)+1,2,,,"КВР")))</f>
        <v xml:space="preserve">Прочая закупка товаров, работ и услуг для обеспечения муниципальных нужд         </v>
      </c>
      <c r="B879" s="45" t="s">
        <v>638</v>
      </c>
      <c r="C879" s="8" t="s">
        <v>214</v>
      </c>
      <c r="D879" s="8" t="s">
        <v>217</v>
      </c>
      <c r="E879" s="113">
        <v>244</v>
      </c>
      <c r="F879" s="7"/>
      <c r="G879" s="7"/>
      <c r="H879" s="35"/>
      <c r="I879" s="7"/>
      <c r="J879" s="35"/>
      <c r="K879" s="7"/>
      <c r="L879" s="35"/>
      <c r="M879" s="7"/>
      <c r="N879" s="35"/>
      <c r="O879" s="7"/>
      <c r="P879" s="35"/>
      <c r="Q879" s="7">
        <f>прил.6!R441</f>
        <v>75</v>
      </c>
      <c r="R879" s="35">
        <f t="shared" si="194"/>
        <v>75</v>
      </c>
      <c r="S879" s="7">
        <f>прил.6!T441</f>
        <v>0</v>
      </c>
      <c r="T879" s="35">
        <f t="shared" si="196"/>
        <v>75</v>
      </c>
    </row>
    <row r="880" spans="1:21">
      <c r="A880" s="61" t="str">
        <f ca="1">IF(ISERROR(MATCH(C880,Код_Раздел,0)),"",INDIRECT(ADDRESS(MATCH(C880,Код_Раздел,0)+1,2,,,"Раздел")))</f>
        <v>Социальная политика</v>
      </c>
      <c r="B880" s="45" t="s">
        <v>638</v>
      </c>
      <c r="C880" s="8" t="s">
        <v>186</v>
      </c>
      <c r="D880" s="1"/>
      <c r="E880" s="113"/>
      <c r="F880" s="7"/>
      <c r="G880" s="7"/>
      <c r="H880" s="35"/>
      <c r="I880" s="7"/>
      <c r="J880" s="35"/>
      <c r="K880" s="7"/>
      <c r="L880" s="35"/>
      <c r="M880" s="7"/>
      <c r="N880" s="35"/>
      <c r="O880" s="7"/>
      <c r="P880" s="35"/>
      <c r="Q880" s="7">
        <f>Q881</f>
        <v>290</v>
      </c>
      <c r="R880" s="35">
        <f t="shared" si="194"/>
        <v>290</v>
      </c>
      <c r="S880" s="7">
        <f>S881</f>
        <v>0</v>
      </c>
      <c r="T880" s="35">
        <f t="shared" si="196"/>
        <v>290</v>
      </c>
    </row>
    <row r="881" spans="1:20">
      <c r="A881" s="12" t="s">
        <v>256</v>
      </c>
      <c r="B881" s="45" t="s">
        <v>638</v>
      </c>
      <c r="C881" s="8" t="s">
        <v>186</v>
      </c>
      <c r="D881" s="8" t="s">
        <v>212</v>
      </c>
      <c r="E881" s="113"/>
      <c r="F881" s="7"/>
      <c r="G881" s="7"/>
      <c r="H881" s="35"/>
      <c r="I881" s="7"/>
      <c r="J881" s="35"/>
      <c r="K881" s="7"/>
      <c r="L881" s="35"/>
      <c r="M881" s="7"/>
      <c r="N881" s="35"/>
      <c r="O881" s="7"/>
      <c r="P881" s="35"/>
      <c r="Q881" s="7">
        <f>Q882</f>
        <v>290</v>
      </c>
      <c r="R881" s="35">
        <f t="shared" si="194"/>
        <v>290</v>
      </c>
      <c r="S881" s="7">
        <f>S882</f>
        <v>0</v>
      </c>
      <c r="T881" s="35">
        <f t="shared" si="196"/>
        <v>290</v>
      </c>
    </row>
    <row r="882" spans="1:20" ht="39" customHeight="1">
      <c r="A882" s="61" t="str">
        <f ca="1">IF(ISERROR(MATCH(E882,Код_КВР,0)),"",INDIRECT(ADDRESS(MATCH(E882,Код_КВР,0)+1,2,,,"КВР")))</f>
        <v>Предоставление субсидий бюджетным, автономным учреждениям и иным некоммерческим организациям</v>
      </c>
      <c r="B882" s="45" t="s">
        <v>638</v>
      </c>
      <c r="C882" s="8" t="s">
        <v>186</v>
      </c>
      <c r="D882" s="8" t="s">
        <v>212</v>
      </c>
      <c r="E882" s="113">
        <v>600</v>
      </c>
      <c r="F882" s="7"/>
      <c r="G882" s="7"/>
      <c r="H882" s="35"/>
      <c r="I882" s="7"/>
      <c r="J882" s="35"/>
      <c r="K882" s="7"/>
      <c r="L882" s="35"/>
      <c r="M882" s="7"/>
      <c r="N882" s="35"/>
      <c r="O882" s="7"/>
      <c r="P882" s="35"/>
      <c r="Q882" s="7">
        <f>Q883</f>
        <v>290</v>
      </c>
      <c r="R882" s="35">
        <f t="shared" si="194"/>
        <v>290</v>
      </c>
      <c r="S882" s="7">
        <f>S883</f>
        <v>0</v>
      </c>
      <c r="T882" s="35">
        <f t="shared" si="196"/>
        <v>290</v>
      </c>
    </row>
    <row r="883" spans="1:20" ht="21" customHeight="1">
      <c r="A883" s="61" t="str">
        <f ca="1">IF(ISERROR(MATCH(E883,Код_КВР,0)),"",INDIRECT(ADDRESS(MATCH(E883,Код_КВР,0)+1,2,,,"КВР")))</f>
        <v>Субсидии бюджетным учреждениям</v>
      </c>
      <c r="B883" s="45" t="s">
        <v>638</v>
      </c>
      <c r="C883" s="8" t="s">
        <v>186</v>
      </c>
      <c r="D883" s="8" t="s">
        <v>212</v>
      </c>
      <c r="E883" s="113">
        <v>610</v>
      </c>
      <c r="F883" s="7"/>
      <c r="G883" s="7"/>
      <c r="H883" s="35"/>
      <c r="I883" s="7"/>
      <c r="J883" s="35"/>
      <c r="K883" s="7"/>
      <c r="L883" s="35"/>
      <c r="M883" s="7"/>
      <c r="N883" s="35"/>
      <c r="O883" s="7"/>
      <c r="P883" s="35"/>
      <c r="Q883" s="7">
        <f>Q884</f>
        <v>290</v>
      </c>
      <c r="R883" s="35">
        <f t="shared" si="194"/>
        <v>290</v>
      </c>
      <c r="S883" s="7">
        <f>S884</f>
        <v>0</v>
      </c>
      <c r="T883" s="35">
        <f t="shared" si="196"/>
        <v>290</v>
      </c>
    </row>
    <row r="884" spans="1:20" ht="24.75" customHeight="1">
      <c r="A884" s="61" t="str">
        <f ca="1">IF(ISERROR(MATCH(E884,Код_КВР,0)),"",INDIRECT(ADDRESS(MATCH(E884,Код_КВР,0)+1,2,,,"КВР")))</f>
        <v>Субсидии бюджетным учреждениям на иные цели</v>
      </c>
      <c r="B884" s="45" t="s">
        <v>638</v>
      </c>
      <c r="C884" s="8" t="s">
        <v>186</v>
      </c>
      <c r="D884" s="8" t="s">
        <v>212</v>
      </c>
      <c r="E884" s="113">
        <v>612</v>
      </c>
      <c r="F884" s="7"/>
      <c r="G884" s="7"/>
      <c r="H884" s="35"/>
      <c r="I884" s="7"/>
      <c r="J884" s="35"/>
      <c r="K884" s="7"/>
      <c r="L884" s="35"/>
      <c r="M884" s="7"/>
      <c r="N884" s="35"/>
      <c r="O884" s="7"/>
      <c r="P884" s="35"/>
      <c r="Q884" s="7">
        <f>прил.6!R1331</f>
        <v>290</v>
      </c>
      <c r="R884" s="35">
        <f t="shared" si="194"/>
        <v>290</v>
      </c>
      <c r="S884" s="7">
        <f>прил.6!T1331</f>
        <v>0</v>
      </c>
      <c r="T884" s="35">
        <f t="shared" si="196"/>
        <v>290</v>
      </c>
    </row>
    <row r="885" spans="1:20" ht="33">
      <c r="A885" s="61" t="str">
        <f ca="1">IF(ISERROR(MATCH(B885,Код_КЦСР,0)),"",INDIRECT(ADDRESS(MATCH(B885,Код_КЦСР,0)+1,2,,,"КЦСР")))</f>
        <v>Мероприятия по проведению оздоровительной кампании детей за счет субвенций из федерального бюджета</v>
      </c>
      <c r="B885" s="45" t="s">
        <v>419</v>
      </c>
      <c r="C885" s="8"/>
      <c r="D885" s="1"/>
      <c r="E885" s="113"/>
      <c r="F885" s="7">
        <f t="shared" ref="F885:S889" si="211">F886</f>
        <v>4806</v>
      </c>
      <c r="G885" s="7">
        <f t="shared" si="211"/>
        <v>0</v>
      </c>
      <c r="H885" s="35">
        <f t="shared" si="210"/>
        <v>4806</v>
      </c>
      <c r="I885" s="7">
        <f t="shared" si="211"/>
        <v>0</v>
      </c>
      <c r="J885" s="35">
        <f t="shared" si="207"/>
        <v>4806</v>
      </c>
      <c r="K885" s="7">
        <f t="shared" si="211"/>
        <v>0</v>
      </c>
      <c r="L885" s="35">
        <f t="shared" si="204"/>
        <v>4806</v>
      </c>
      <c r="M885" s="7">
        <f t="shared" si="211"/>
        <v>0</v>
      </c>
      <c r="N885" s="35">
        <f t="shared" si="205"/>
        <v>4806</v>
      </c>
      <c r="O885" s="7">
        <f t="shared" si="211"/>
        <v>0</v>
      </c>
      <c r="P885" s="35">
        <f t="shared" si="193"/>
        <v>4806</v>
      </c>
      <c r="Q885" s="7">
        <f t="shared" si="211"/>
        <v>0</v>
      </c>
      <c r="R885" s="35">
        <f t="shared" si="194"/>
        <v>4806</v>
      </c>
      <c r="S885" s="7">
        <f t="shared" si="211"/>
        <v>0</v>
      </c>
      <c r="T885" s="35">
        <f t="shared" si="196"/>
        <v>4806</v>
      </c>
    </row>
    <row r="886" spans="1:20">
      <c r="A886" s="61" t="str">
        <f ca="1">IF(ISERROR(MATCH(C886,Код_Раздел,0)),"",INDIRECT(ADDRESS(MATCH(C886,Код_Раздел,0)+1,2,,,"Раздел")))</f>
        <v>Образование</v>
      </c>
      <c r="B886" s="45" t="s">
        <v>419</v>
      </c>
      <c r="C886" s="8" t="s">
        <v>193</v>
      </c>
      <c r="D886" s="1"/>
      <c r="E886" s="113"/>
      <c r="F886" s="7">
        <f t="shared" si="211"/>
        <v>4806</v>
      </c>
      <c r="G886" s="7">
        <f t="shared" si="211"/>
        <v>0</v>
      </c>
      <c r="H886" s="35">
        <f t="shared" si="210"/>
        <v>4806</v>
      </c>
      <c r="I886" s="7">
        <f t="shared" si="211"/>
        <v>0</v>
      </c>
      <c r="J886" s="35">
        <f t="shared" si="207"/>
        <v>4806</v>
      </c>
      <c r="K886" s="7">
        <f t="shared" si="211"/>
        <v>0</v>
      </c>
      <c r="L886" s="35">
        <f t="shared" si="204"/>
        <v>4806</v>
      </c>
      <c r="M886" s="7">
        <f t="shared" si="211"/>
        <v>0</v>
      </c>
      <c r="N886" s="35">
        <f t="shared" si="205"/>
        <v>4806</v>
      </c>
      <c r="O886" s="7">
        <f t="shared" si="211"/>
        <v>0</v>
      </c>
      <c r="P886" s="35">
        <f t="shared" si="193"/>
        <v>4806</v>
      </c>
      <c r="Q886" s="7">
        <f t="shared" si="211"/>
        <v>0</v>
      </c>
      <c r="R886" s="35">
        <f t="shared" si="194"/>
        <v>4806</v>
      </c>
      <c r="S886" s="7">
        <f t="shared" si="211"/>
        <v>0</v>
      </c>
      <c r="T886" s="35">
        <f t="shared" si="196"/>
        <v>4806</v>
      </c>
    </row>
    <row r="887" spans="1:20">
      <c r="A887" s="12" t="s">
        <v>197</v>
      </c>
      <c r="B887" s="45" t="s">
        <v>419</v>
      </c>
      <c r="C887" s="8" t="s">
        <v>193</v>
      </c>
      <c r="D887" s="8" t="s">
        <v>193</v>
      </c>
      <c r="E887" s="113"/>
      <c r="F887" s="7">
        <f t="shared" si="211"/>
        <v>4806</v>
      </c>
      <c r="G887" s="7">
        <f t="shared" si="211"/>
        <v>0</v>
      </c>
      <c r="H887" s="35">
        <f t="shared" si="210"/>
        <v>4806</v>
      </c>
      <c r="I887" s="7">
        <f t="shared" si="211"/>
        <v>0</v>
      </c>
      <c r="J887" s="35">
        <f t="shared" si="207"/>
        <v>4806</v>
      </c>
      <c r="K887" s="7">
        <f t="shared" si="211"/>
        <v>0</v>
      </c>
      <c r="L887" s="35">
        <f t="shared" si="204"/>
        <v>4806</v>
      </c>
      <c r="M887" s="7">
        <f t="shared" si="211"/>
        <v>0</v>
      </c>
      <c r="N887" s="35">
        <f t="shared" si="205"/>
        <v>4806</v>
      </c>
      <c r="O887" s="7">
        <f t="shared" si="211"/>
        <v>0</v>
      </c>
      <c r="P887" s="35">
        <f t="shared" si="193"/>
        <v>4806</v>
      </c>
      <c r="Q887" s="7">
        <f t="shared" si="211"/>
        <v>0</v>
      </c>
      <c r="R887" s="35">
        <f t="shared" si="194"/>
        <v>4806</v>
      </c>
      <c r="S887" s="7">
        <f t="shared" si="211"/>
        <v>0</v>
      </c>
      <c r="T887" s="35">
        <f t="shared" si="196"/>
        <v>4806</v>
      </c>
    </row>
    <row r="888" spans="1:20">
      <c r="A888" s="61" t="str">
        <f ca="1">IF(ISERROR(MATCH(E888,Код_КВР,0)),"",INDIRECT(ADDRESS(MATCH(E888,Код_КВР,0)+1,2,,,"КВР")))</f>
        <v>Социальное обеспечение и иные выплаты населению</v>
      </c>
      <c r="B888" s="45" t="s">
        <v>419</v>
      </c>
      <c r="C888" s="8" t="s">
        <v>193</v>
      </c>
      <c r="D888" s="8" t="s">
        <v>193</v>
      </c>
      <c r="E888" s="113">
        <v>300</v>
      </c>
      <c r="F888" s="7">
        <f t="shared" si="211"/>
        <v>4806</v>
      </c>
      <c r="G888" s="7">
        <f t="shared" si="211"/>
        <v>0</v>
      </c>
      <c r="H888" s="35">
        <f t="shared" si="210"/>
        <v>4806</v>
      </c>
      <c r="I888" s="7">
        <f t="shared" si="211"/>
        <v>0</v>
      </c>
      <c r="J888" s="35">
        <f t="shared" si="207"/>
        <v>4806</v>
      </c>
      <c r="K888" s="7">
        <f t="shared" si="211"/>
        <v>0</v>
      </c>
      <c r="L888" s="35">
        <f t="shared" si="204"/>
        <v>4806</v>
      </c>
      <c r="M888" s="7">
        <f t="shared" si="211"/>
        <v>0</v>
      </c>
      <c r="N888" s="35">
        <f t="shared" si="205"/>
        <v>4806</v>
      </c>
      <c r="O888" s="7">
        <f t="shared" si="211"/>
        <v>0</v>
      </c>
      <c r="P888" s="35">
        <f t="shared" si="193"/>
        <v>4806</v>
      </c>
      <c r="Q888" s="7">
        <f t="shared" si="211"/>
        <v>0</v>
      </c>
      <c r="R888" s="35">
        <f t="shared" si="194"/>
        <v>4806</v>
      </c>
      <c r="S888" s="7">
        <f t="shared" si="211"/>
        <v>0</v>
      </c>
      <c r="T888" s="35">
        <f t="shared" si="196"/>
        <v>4806</v>
      </c>
    </row>
    <row r="889" spans="1:20" ht="33">
      <c r="A889" s="61" t="str">
        <f ca="1">IF(ISERROR(MATCH(E889,Код_КВР,0)),"",INDIRECT(ADDRESS(MATCH(E889,Код_КВР,0)+1,2,,,"КВР")))</f>
        <v>Социальные выплаты гражданам, кроме публичных нормативных социальных выплат</v>
      </c>
      <c r="B889" s="45" t="s">
        <v>419</v>
      </c>
      <c r="C889" s="8" t="s">
        <v>193</v>
      </c>
      <c r="D889" s="8" t="s">
        <v>193</v>
      </c>
      <c r="E889" s="113">
        <v>320</v>
      </c>
      <c r="F889" s="7">
        <f t="shared" si="211"/>
        <v>4806</v>
      </c>
      <c r="G889" s="7">
        <f t="shared" si="211"/>
        <v>0</v>
      </c>
      <c r="H889" s="35">
        <f t="shared" si="210"/>
        <v>4806</v>
      </c>
      <c r="I889" s="7">
        <f t="shared" si="211"/>
        <v>0</v>
      </c>
      <c r="J889" s="35">
        <f t="shared" si="207"/>
        <v>4806</v>
      </c>
      <c r="K889" s="7">
        <f t="shared" si="211"/>
        <v>0</v>
      </c>
      <c r="L889" s="35">
        <f t="shared" si="204"/>
        <v>4806</v>
      </c>
      <c r="M889" s="7">
        <f t="shared" si="211"/>
        <v>0</v>
      </c>
      <c r="N889" s="35">
        <f t="shared" si="205"/>
        <v>4806</v>
      </c>
      <c r="O889" s="7">
        <f t="shared" si="211"/>
        <v>0</v>
      </c>
      <c r="P889" s="35">
        <f t="shared" si="193"/>
        <v>4806</v>
      </c>
      <c r="Q889" s="7">
        <f t="shared" si="211"/>
        <v>0</v>
      </c>
      <c r="R889" s="35">
        <f t="shared" si="194"/>
        <v>4806</v>
      </c>
      <c r="S889" s="7">
        <f t="shared" si="211"/>
        <v>0</v>
      </c>
      <c r="T889" s="35">
        <f t="shared" si="196"/>
        <v>4806</v>
      </c>
    </row>
    <row r="890" spans="1:20" ht="33">
      <c r="A890" s="61" t="str">
        <f ca="1">IF(ISERROR(MATCH(E890,Код_КВР,0)),"",INDIRECT(ADDRESS(MATCH(E890,Код_КВР,0)+1,2,,,"КВР")))</f>
        <v>Приобретение товаров, работ, услуг в пользу граждан в целях их социального обеспечения</v>
      </c>
      <c r="B890" s="45" t="s">
        <v>419</v>
      </c>
      <c r="C890" s="8" t="s">
        <v>193</v>
      </c>
      <c r="D890" s="8" t="s">
        <v>193</v>
      </c>
      <c r="E890" s="113">
        <v>323</v>
      </c>
      <c r="F890" s="7">
        <f>прил.6!G1320</f>
        <v>4806</v>
      </c>
      <c r="G890" s="7">
        <f>прил.6!H1320</f>
        <v>0</v>
      </c>
      <c r="H890" s="35">
        <f t="shared" si="210"/>
        <v>4806</v>
      </c>
      <c r="I890" s="7">
        <f>прил.6!J1320</f>
        <v>0</v>
      </c>
      <c r="J890" s="35">
        <f t="shared" si="207"/>
        <v>4806</v>
      </c>
      <c r="K890" s="7">
        <f>прил.6!L1320</f>
        <v>0</v>
      </c>
      <c r="L890" s="35">
        <f t="shared" si="204"/>
        <v>4806</v>
      </c>
      <c r="M890" s="7">
        <f>прил.6!N1320</f>
        <v>0</v>
      </c>
      <c r="N890" s="35">
        <f t="shared" si="205"/>
        <v>4806</v>
      </c>
      <c r="O890" s="7">
        <f>прил.6!P1320</f>
        <v>0</v>
      </c>
      <c r="P890" s="35">
        <f t="shared" si="193"/>
        <v>4806</v>
      </c>
      <c r="Q890" s="7">
        <f>прил.6!R1320</f>
        <v>0</v>
      </c>
      <c r="R890" s="35">
        <f t="shared" si="194"/>
        <v>4806</v>
      </c>
      <c r="S890" s="7">
        <f>прил.6!T1320</f>
        <v>0</v>
      </c>
      <c r="T890" s="35">
        <f t="shared" si="196"/>
        <v>4806</v>
      </c>
    </row>
    <row r="891" spans="1:20" ht="33">
      <c r="A891" s="61" t="str">
        <f ca="1">IF(ISERROR(MATCH(B891,Код_КЦСР,0)),"",INDIRECT(ADDRESS(MATCH(B891,Код_КЦСР,0)+1,2,,,"КЦСР")))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891" s="45" t="s">
        <v>407</v>
      </c>
      <c r="C891" s="8"/>
      <c r="D891" s="1"/>
      <c r="E891" s="113"/>
      <c r="F891" s="7">
        <f t="shared" ref="F891:S898" si="212">F892</f>
        <v>277578.3</v>
      </c>
      <c r="G891" s="7">
        <f t="shared" si="212"/>
        <v>0</v>
      </c>
      <c r="H891" s="35">
        <f t="shared" si="210"/>
        <v>277578.3</v>
      </c>
      <c r="I891" s="7">
        <f t="shared" si="212"/>
        <v>0</v>
      </c>
      <c r="J891" s="35">
        <f t="shared" si="207"/>
        <v>277578.3</v>
      </c>
      <c r="K891" s="7">
        <f t="shared" si="212"/>
        <v>0</v>
      </c>
      <c r="L891" s="35">
        <f t="shared" si="204"/>
        <v>277578.3</v>
      </c>
      <c r="M891" s="7">
        <f t="shared" si="212"/>
        <v>0</v>
      </c>
      <c r="N891" s="35">
        <f t="shared" si="205"/>
        <v>277578.3</v>
      </c>
      <c r="O891" s="7">
        <f t="shared" si="212"/>
        <v>0</v>
      </c>
      <c r="P891" s="35">
        <f t="shared" si="193"/>
        <v>277578.3</v>
      </c>
      <c r="Q891" s="7">
        <f t="shared" si="212"/>
        <v>-13422.3</v>
      </c>
      <c r="R891" s="35">
        <f t="shared" si="194"/>
        <v>264156</v>
      </c>
      <c r="S891" s="7">
        <f t="shared" si="212"/>
        <v>0</v>
      </c>
      <c r="T891" s="35">
        <f t="shared" si="196"/>
        <v>264156</v>
      </c>
    </row>
    <row r="892" spans="1:20">
      <c r="A892" s="61" t="str">
        <f ca="1">IF(ISERROR(MATCH(C892,Код_Раздел,0)),"",INDIRECT(ADDRESS(MATCH(C892,Код_Раздел,0)+1,2,,,"Раздел")))</f>
        <v>Социальная политика</v>
      </c>
      <c r="B892" s="45" t="s">
        <v>407</v>
      </c>
      <c r="C892" s="8" t="s">
        <v>186</v>
      </c>
      <c r="D892" s="1"/>
      <c r="E892" s="113"/>
      <c r="F892" s="7">
        <f t="shared" si="212"/>
        <v>277578.3</v>
      </c>
      <c r="G892" s="7">
        <f t="shared" si="212"/>
        <v>0</v>
      </c>
      <c r="H892" s="35">
        <f t="shared" si="210"/>
        <v>277578.3</v>
      </c>
      <c r="I892" s="7">
        <f t="shared" si="212"/>
        <v>0</v>
      </c>
      <c r="J892" s="35">
        <f t="shared" si="207"/>
        <v>277578.3</v>
      </c>
      <c r="K892" s="7">
        <f t="shared" si="212"/>
        <v>0</v>
      </c>
      <c r="L892" s="35">
        <f t="shared" si="204"/>
        <v>277578.3</v>
      </c>
      <c r="M892" s="7">
        <f t="shared" si="212"/>
        <v>0</v>
      </c>
      <c r="N892" s="35">
        <f t="shared" si="205"/>
        <v>277578.3</v>
      </c>
      <c r="O892" s="7">
        <f t="shared" si="212"/>
        <v>0</v>
      </c>
      <c r="P892" s="35">
        <f t="shared" si="193"/>
        <v>277578.3</v>
      </c>
      <c r="Q892" s="7">
        <f t="shared" si="212"/>
        <v>-13422.3</v>
      </c>
      <c r="R892" s="35">
        <f t="shared" si="194"/>
        <v>264156</v>
      </c>
      <c r="S892" s="7">
        <f t="shared" si="212"/>
        <v>0</v>
      </c>
      <c r="T892" s="35">
        <f t="shared" ref="T892:T966" si="213">R892+S892</f>
        <v>264156</v>
      </c>
    </row>
    <row r="893" spans="1:20">
      <c r="A893" s="12" t="s">
        <v>177</v>
      </c>
      <c r="B893" s="45" t="s">
        <v>407</v>
      </c>
      <c r="C893" s="8" t="s">
        <v>186</v>
      </c>
      <c r="D893" s="8" t="s">
        <v>213</v>
      </c>
      <c r="E893" s="113"/>
      <c r="F893" s="7">
        <f>F897</f>
        <v>277578.3</v>
      </c>
      <c r="G893" s="7">
        <f>G897</f>
        <v>0</v>
      </c>
      <c r="H893" s="35">
        <f t="shared" si="210"/>
        <v>277578.3</v>
      </c>
      <c r="I893" s="7">
        <f>I897</f>
        <v>0</v>
      </c>
      <c r="J893" s="35">
        <f t="shared" si="207"/>
        <v>277578.3</v>
      </c>
      <c r="K893" s="7">
        <f>K897</f>
        <v>0</v>
      </c>
      <c r="L893" s="35">
        <f t="shared" si="204"/>
        <v>277578.3</v>
      </c>
      <c r="M893" s="7">
        <f>M897</f>
        <v>0</v>
      </c>
      <c r="N893" s="35">
        <f t="shared" si="205"/>
        <v>277578.3</v>
      </c>
      <c r="O893" s="7">
        <f>O897</f>
        <v>0</v>
      </c>
      <c r="P893" s="35">
        <f t="shared" si="193"/>
        <v>277578.3</v>
      </c>
      <c r="Q893" s="7">
        <f>Q897</f>
        <v>-13422.3</v>
      </c>
      <c r="R893" s="35">
        <f t="shared" si="194"/>
        <v>264156</v>
      </c>
      <c r="S893" s="7">
        <f>S894+S897</f>
        <v>0</v>
      </c>
      <c r="T893" s="35">
        <f t="shared" si="213"/>
        <v>264156</v>
      </c>
    </row>
    <row r="894" spans="1:20">
      <c r="A894" s="61" t="str">
        <f t="shared" ref="A894:A899" ca="1" si="214">IF(ISERROR(MATCH(E894,Код_КВР,0)),"",INDIRECT(ADDRESS(MATCH(E894,Код_КВР,0)+1,2,,,"КВР")))</f>
        <v>Закупка товаров, работ и услуг для муниципальных нужд</v>
      </c>
      <c r="B894" s="45" t="s">
        <v>407</v>
      </c>
      <c r="C894" s="8" t="s">
        <v>186</v>
      </c>
      <c r="D894" s="8" t="s">
        <v>213</v>
      </c>
      <c r="E894" s="113">
        <v>200</v>
      </c>
      <c r="F894" s="7"/>
      <c r="G894" s="7"/>
      <c r="H894" s="35"/>
      <c r="I894" s="7"/>
      <c r="J894" s="35"/>
      <c r="K894" s="7"/>
      <c r="L894" s="35"/>
      <c r="M894" s="7"/>
      <c r="N894" s="35"/>
      <c r="O894" s="7"/>
      <c r="P894" s="35"/>
      <c r="Q894" s="7"/>
      <c r="R894" s="35"/>
      <c r="S894" s="7">
        <f>S895</f>
        <v>2732.7</v>
      </c>
      <c r="T894" s="35">
        <f t="shared" si="213"/>
        <v>2732.7</v>
      </c>
    </row>
    <row r="895" spans="1:20" ht="42.75" customHeight="1">
      <c r="A895" s="61" t="str">
        <f t="shared" ca="1" si="214"/>
        <v>Иные закупки товаров, работ и услуг для обеспечения муниципальных нужд</v>
      </c>
      <c r="B895" s="45" t="s">
        <v>407</v>
      </c>
      <c r="C895" s="8" t="s">
        <v>186</v>
      </c>
      <c r="D895" s="8" t="s">
        <v>213</v>
      </c>
      <c r="E895" s="113">
        <v>240</v>
      </c>
      <c r="F895" s="7"/>
      <c r="G895" s="7"/>
      <c r="H895" s="35"/>
      <c r="I895" s="7"/>
      <c r="J895" s="35"/>
      <c r="K895" s="7"/>
      <c r="L895" s="35"/>
      <c r="M895" s="7"/>
      <c r="N895" s="35"/>
      <c r="O895" s="7"/>
      <c r="P895" s="35"/>
      <c r="Q895" s="7"/>
      <c r="R895" s="35"/>
      <c r="S895" s="7">
        <f t="shared" si="212"/>
        <v>2732.7</v>
      </c>
      <c r="T895" s="35">
        <f t="shared" si="213"/>
        <v>2732.7</v>
      </c>
    </row>
    <row r="896" spans="1:20" ht="35.25" customHeight="1">
      <c r="A896" s="61" t="str">
        <f t="shared" ca="1" si="214"/>
        <v xml:space="preserve">Прочая закупка товаров, работ и услуг для обеспечения муниципальных нужд         </v>
      </c>
      <c r="B896" s="45" t="s">
        <v>407</v>
      </c>
      <c r="C896" s="8" t="s">
        <v>186</v>
      </c>
      <c r="D896" s="8" t="s">
        <v>213</v>
      </c>
      <c r="E896" s="113">
        <v>244</v>
      </c>
      <c r="F896" s="7"/>
      <c r="G896" s="7"/>
      <c r="H896" s="35"/>
      <c r="I896" s="7"/>
      <c r="J896" s="35"/>
      <c r="K896" s="7"/>
      <c r="L896" s="35"/>
      <c r="M896" s="7"/>
      <c r="N896" s="35"/>
      <c r="O896" s="7"/>
      <c r="P896" s="35"/>
      <c r="Q896" s="7"/>
      <c r="R896" s="35"/>
      <c r="S896" s="7">
        <f>прил.6!T1403</f>
        <v>2732.7</v>
      </c>
      <c r="T896" s="35">
        <f t="shared" si="213"/>
        <v>2732.7</v>
      </c>
    </row>
    <row r="897" spans="1:21">
      <c r="A897" s="61" t="str">
        <f t="shared" ca="1" si="214"/>
        <v>Социальное обеспечение и иные выплаты населению</v>
      </c>
      <c r="B897" s="45" t="s">
        <v>407</v>
      </c>
      <c r="C897" s="8" t="s">
        <v>186</v>
      </c>
      <c r="D897" s="8" t="s">
        <v>213</v>
      </c>
      <c r="E897" s="113">
        <v>300</v>
      </c>
      <c r="F897" s="7">
        <f t="shared" si="212"/>
        <v>277578.3</v>
      </c>
      <c r="G897" s="7">
        <f t="shared" si="212"/>
        <v>0</v>
      </c>
      <c r="H897" s="35">
        <f t="shared" si="210"/>
        <v>277578.3</v>
      </c>
      <c r="I897" s="7">
        <f t="shared" si="212"/>
        <v>0</v>
      </c>
      <c r="J897" s="35">
        <f t="shared" si="207"/>
        <v>277578.3</v>
      </c>
      <c r="K897" s="7">
        <f t="shared" si="212"/>
        <v>0</v>
      </c>
      <c r="L897" s="35">
        <f t="shared" si="204"/>
        <v>277578.3</v>
      </c>
      <c r="M897" s="7">
        <f t="shared" si="212"/>
        <v>0</v>
      </c>
      <c r="N897" s="35">
        <f t="shared" si="205"/>
        <v>277578.3</v>
      </c>
      <c r="O897" s="7">
        <f t="shared" si="212"/>
        <v>0</v>
      </c>
      <c r="P897" s="35">
        <f t="shared" si="193"/>
        <v>277578.3</v>
      </c>
      <c r="Q897" s="7">
        <f t="shared" si="212"/>
        <v>-13422.3</v>
      </c>
      <c r="R897" s="35">
        <f t="shared" si="194"/>
        <v>264156</v>
      </c>
      <c r="S897" s="7">
        <f t="shared" si="212"/>
        <v>-2732.7</v>
      </c>
      <c r="T897" s="35">
        <f t="shared" si="213"/>
        <v>261423.3</v>
      </c>
    </row>
    <row r="898" spans="1:21" ht="33">
      <c r="A898" s="61" t="str">
        <f t="shared" ca="1" si="214"/>
        <v>Социальные выплаты гражданам, кроме публичных нормативных социальных выплат</v>
      </c>
      <c r="B898" s="45" t="s">
        <v>407</v>
      </c>
      <c r="C898" s="8" t="s">
        <v>186</v>
      </c>
      <c r="D898" s="8" t="s">
        <v>213</v>
      </c>
      <c r="E898" s="113">
        <v>320</v>
      </c>
      <c r="F898" s="7">
        <f t="shared" si="212"/>
        <v>277578.3</v>
      </c>
      <c r="G898" s="7">
        <f t="shared" si="212"/>
        <v>0</v>
      </c>
      <c r="H898" s="35">
        <f t="shared" si="210"/>
        <v>277578.3</v>
      </c>
      <c r="I898" s="7">
        <f t="shared" si="212"/>
        <v>0</v>
      </c>
      <c r="J898" s="35">
        <f t="shared" si="207"/>
        <v>277578.3</v>
      </c>
      <c r="K898" s="7">
        <f t="shared" si="212"/>
        <v>0</v>
      </c>
      <c r="L898" s="35">
        <f t="shared" si="204"/>
        <v>277578.3</v>
      </c>
      <c r="M898" s="7">
        <f t="shared" si="212"/>
        <v>0</v>
      </c>
      <c r="N898" s="35">
        <f t="shared" si="205"/>
        <v>277578.3</v>
      </c>
      <c r="O898" s="7">
        <f t="shared" si="212"/>
        <v>0</v>
      </c>
      <c r="P898" s="35">
        <f t="shared" si="193"/>
        <v>277578.3</v>
      </c>
      <c r="Q898" s="7">
        <f t="shared" si="212"/>
        <v>-13422.3</v>
      </c>
      <c r="R898" s="35">
        <f t="shared" si="194"/>
        <v>264156</v>
      </c>
      <c r="S898" s="7">
        <f t="shared" si="212"/>
        <v>-2732.7</v>
      </c>
      <c r="T898" s="35">
        <f t="shared" si="213"/>
        <v>261423.3</v>
      </c>
    </row>
    <row r="899" spans="1:21" ht="33">
      <c r="A899" s="61" t="str">
        <f t="shared" ca="1" si="214"/>
        <v>Пособия, компенсации и иные социальные выплаты гражданам, кроме публичных нормативных обязательств</v>
      </c>
      <c r="B899" s="45" t="s">
        <v>407</v>
      </c>
      <c r="C899" s="8" t="s">
        <v>186</v>
      </c>
      <c r="D899" s="8" t="s">
        <v>213</v>
      </c>
      <c r="E899" s="113">
        <v>321</v>
      </c>
      <c r="F899" s="7">
        <f>прил.6!G1406</f>
        <v>277578.3</v>
      </c>
      <c r="G899" s="7">
        <f>прил.6!H1406</f>
        <v>0</v>
      </c>
      <c r="H899" s="35">
        <f t="shared" si="210"/>
        <v>277578.3</v>
      </c>
      <c r="I899" s="7">
        <f>прил.6!J1406</f>
        <v>0</v>
      </c>
      <c r="J899" s="35">
        <f t="shared" si="207"/>
        <v>277578.3</v>
      </c>
      <c r="K899" s="7">
        <f>прил.6!L1406</f>
        <v>0</v>
      </c>
      <c r="L899" s="35">
        <f t="shared" si="204"/>
        <v>277578.3</v>
      </c>
      <c r="M899" s="7">
        <f>прил.6!N1406</f>
        <v>0</v>
      </c>
      <c r="N899" s="35">
        <f t="shared" si="205"/>
        <v>277578.3</v>
      </c>
      <c r="O899" s="7">
        <f>прил.6!P1406</f>
        <v>0</v>
      </c>
      <c r="P899" s="35">
        <f t="shared" si="193"/>
        <v>277578.3</v>
      </c>
      <c r="Q899" s="7">
        <f>прил.6!R1406</f>
        <v>-13422.3</v>
      </c>
      <c r="R899" s="35">
        <f t="shared" si="194"/>
        <v>264156</v>
      </c>
      <c r="S899" s="7">
        <f>прил.6!T1406</f>
        <v>-2732.7</v>
      </c>
      <c r="T899" s="35">
        <f t="shared" si="213"/>
        <v>261423.3</v>
      </c>
    </row>
    <row r="900" spans="1:21" ht="87" customHeight="1">
      <c r="A900" s="61" t="str">
        <f ca="1">IF(ISERROR(MATCH(B900,Код_КЦСР,0)),"",INDIRECT(ADDRESS(MATCH(B900,Код_КЦСР,0)+1,2,,,"КЦСР")))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900" s="113" t="s">
        <v>405</v>
      </c>
      <c r="C900" s="8"/>
      <c r="D900" s="1"/>
      <c r="E900" s="113"/>
      <c r="F900" s="7">
        <f>F901</f>
        <v>5542.6</v>
      </c>
      <c r="G900" s="7">
        <f>G901</f>
        <v>0</v>
      </c>
      <c r="H900" s="35">
        <f t="shared" si="210"/>
        <v>5542.6</v>
      </c>
      <c r="I900" s="7">
        <f>I901</f>
        <v>0</v>
      </c>
      <c r="J900" s="35">
        <f t="shared" si="207"/>
        <v>5542.6</v>
      </c>
      <c r="K900" s="7">
        <f>K901</f>
        <v>0</v>
      </c>
      <c r="L900" s="35">
        <f t="shared" si="204"/>
        <v>5542.6</v>
      </c>
      <c r="M900" s="7">
        <f>M901</f>
        <v>0</v>
      </c>
      <c r="N900" s="35">
        <f t="shared" si="205"/>
        <v>5542.6</v>
      </c>
      <c r="O900" s="7">
        <f>O901</f>
        <v>0</v>
      </c>
      <c r="P900" s="35">
        <f t="shared" si="193"/>
        <v>5542.6</v>
      </c>
      <c r="Q900" s="7">
        <f>Q901</f>
        <v>0</v>
      </c>
      <c r="R900" s="35">
        <f t="shared" si="194"/>
        <v>5542.6</v>
      </c>
      <c r="S900" s="7">
        <f>S901</f>
        <v>0</v>
      </c>
      <c r="T900" s="35">
        <f t="shared" si="213"/>
        <v>5542.6</v>
      </c>
    </row>
    <row r="901" spans="1:21">
      <c r="A901" s="61" t="str">
        <f ca="1">IF(ISERROR(MATCH(C901,Код_Раздел,0)),"",INDIRECT(ADDRESS(MATCH(C901,Код_Раздел,0)+1,2,,,"Раздел")))</f>
        <v>Образование</v>
      </c>
      <c r="B901" s="113" t="s">
        <v>405</v>
      </c>
      <c r="C901" s="8" t="s">
        <v>193</v>
      </c>
      <c r="D901" s="1"/>
      <c r="E901" s="113"/>
      <c r="F901" s="7">
        <f>F902</f>
        <v>5542.6</v>
      </c>
      <c r="G901" s="7">
        <f>G902</f>
        <v>0</v>
      </c>
      <c r="H901" s="35">
        <f t="shared" si="210"/>
        <v>5542.6</v>
      </c>
      <c r="I901" s="7">
        <f>I902</f>
        <v>0</v>
      </c>
      <c r="J901" s="35">
        <f t="shared" si="207"/>
        <v>5542.6</v>
      </c>
      <c r="K901" s="7">
        <f>K902</f>
        <v>0</v>
      </c>
      <c r="L901" s="35">
        <f t="shared" si="204"/>
        <v>5542.6</v>
      </c>
      <c r="M901" s="7">
        <f>M902</f>
        <v>0</v>
      </c>
      <c r="N901" s="35">
        <f t="shared" si="205"/>
        <v>5542.6</v>
      </c>
      <c r="O901" s="7">
        <f>O902</f>
        <v>0</v>
      </c>
      <c r="P901" s="35">
        <f t="shared" si="193"/>
        <v>5542.6</v>
      </c>
      <c r="Q901" s="7">
        <f>Q902</f>
        <v>0</v>
      </c>
      <c r="R901" s="35">
        <f t="shared" si="194"/>
        <v>5542.6</v>
      </c>
      <c r="S901" s="7">
        <f>S902</f>
        <v>0</v>
      </c>
      <c r="T901" s="35">
        <f t="shared" si="213"/>
        <v>5542.6</v>
      </c>
    </row>
    <row r="902" spans="1:21">
      <c r="A902" s="12" t="s">
        <v>197</v>
      </c>
      <c r="B902" s="113" t="s">
        <v>405</v>
      </c>
      <c r="C902" s="8" t="s">
        <v>193</v>
      </c>
      <c r="D902" s="8" t="s">
        <v>193</v>
      </c>
      <c r="E902" s="113"/>
      <c r="F902" s="7">
        <f>F903+F907</f>
        <v>5542.6</v>
      </c>
      <c r="G902" s="7">
        <f>G903+G907</f>
        <v>0</v>
      </c>
      <c r="H902" s="35">
        <f t="shared" si="210"/>
        <v>5542.6</v>
      </c>
      <c r="I902" s="7">
        <f>I903+I907</f>
        <v>0</v>
      </c>
      <c r="J902" s="35">
        <f t="shared" si="207"/>
        <v>5542.6</v>
      </c>
      <c r="K902" s="7">
        <f>K903+K907</f>
        <v>0</v>
      </c>
      <c r="L902" s="35">
        <f t="shared" si="204"/>
        <v>5542.6</v>
      </c>
      <c r="M902" s="7">
        <f>M903+M907</f>
        <v>0</v>
      </c>
      <c r="N902" s="35">
        <f t="shared" si="205"/>
        <v>5542.6</v>
      </c>
      <c r="O902" s="7">
        <f>O903+O907</f>
        <v>0</v>
      </c>
      <c r="P902" s="35">
        <f t="shared" si="193"/>
        <v>5542.6</v>
      </c>
      <c r="Q902" s="7">
        <f>Q903+Q907</f>
        <v>0</v>
      </c>
      <c r="R902" s="35">
        <f t="shared" si="194"/>
        <v>5542.6</v>
      </c>
      <c r="S902" s="7">
        <f>S903+S907</f>
        <v>0</v>
      </c>
      <c r="T902" s="35">
        <f t="shared" si="213"/>
        <v>5542.6</v>
      </c>
    </row>
    <row r="903" spans="1:21">
      <c r="A903" s="61" t="str">
        <f t="shared" ref="A903:A909" ca="1" si="215">IF(ISERROR(MATCH(E903,Код_КВР,0)),"",INDIRECT(ADDRESS(MATCH(E903,Код_КВР,0)+1,2,,,"КВР")))</f>
        <v>Закупка товаров, работ и услуг для муниципальных нужд</v>
      </c>
      <c r="B903" s="113" t="s">
        <v>405</v>
      </c>
      <c r="C903" s="8" t="s">
        <v>193</v>
      </c>
      <c r="D903" s="8" t="s">
        <v>193</v>
      </c>
      <c r="E903" s="113">
        <v>200</v>
      </c>
      <c r="F903" s="7">
        <f>F904</f>
        <v>800</v>
      </c>
      <c r="G903" s="7">
        <f>G904</f>
        <v>0</v>
      </c>
      <c r="H903" s="35">
        <f t="shared" si="210"/>
        <v>800</v>
      </c>
      <c r="I903" s="7">
        <f>I904</f>
        <v>0</v>
      </c>
      <c r="J903" s="35">
        <f t="shared" si="207"/>
        <v>800</v>
      </c>
      <c r="K903" s="7">
        <f>K904</f>
        <v>0</v>
      </c>
      <c r="L903" s="35">
        <f t="shared" si="204"/>
        <v>800</v>
      </c>
      <c r="M903" s="7">
        <f>M904</f>
        <v>0</v>
      </c>
      <c r="N903" s="35">
        <f t="shared" si="205"/>
        <v>800</v>
      </c>
      <c r="O903" s="7">
        <f>O904</f>
        <v>0</v>
      </c>
      <c r="P903" s="35">
        <f t="shared" si="193"/>
        <v>800</v>
      </c>
      <c r="Q903" s="7">
        <f>Q904</f>
        <v>0</v>
      </c>
      <c r="R903" s="35">
        <f t="shared" si="194"/>
        <v>800</v>
      </c>
      <c r="S903" s="7">
        <f>S904</f>
        <v>0</v>
      </c>
      <c r="T903" s="35">
        <f t="shared" si="213"/>
        <v>800</v>
      </c>
    </row>
    <row r="904" spans="1:21" ht="33">
      <c r="A904" s="61" t="str">
        <f t="shared" ca="1" si="215"/>
        <v>Иные закупки товаров, работ и услуг для обеспечения муниципальных нужд</v>
      </c>
      <c r="B904" s="113" t="s">
        <v>405</v>
      </c>
      <c r="C904" s="8" t="s">
        <v>193</v>
      </c>
      <c r="D904" s="8" t="s">
        <v>193</v>
      </c>
      <c r="E904" s="113">
        <v>240</v>
      </c>
      <c r="F904" s="7">
        <f>F905</f>
        <v>800</v>
      </c>
      <c r="G904" s="7">
        <f>G905</f>
        <v>0</v>
      </c>
      <c r="H904" s="35">
        <f t="shared" si="210"/>
        <v>800</v>
      </c>
      <c r="I904" s="7">
        <f>I905</f>
        <v>0</v>
      </c>
      <c r="J904" s="35">
        <f t="shared" si="207"/>
        <v>800</v>
      </c>
      <c r="K904" s="7">
        <f>K905</f>
        <v>0</v>
      </c>
      <c r="L904" s="35">
        <f t="shared" si="204"/>
        <v>800</v>
      </c>
      <c r="M904" s="7">
        <f>M905</f>
        <v>0</v>
      </c>
      <c r="N904" s="35">
        <f t="shared" si="205"/>
        <v>800</v>
      </c>
      <c r="O904" s="7">
        <f>O905</f>
        <v>0</v>
      </c>
      <c r="P904" s="35">
        <f t="shared" si="193"/>
        <v>800</v>
      </c>
      <c r="Q904" s="7">
        <f>Q905</f>
        <v>0</v>
      </c>
      <c r="R904" s="35">
        <f t="shared" si="194"/>
        <v>800</v>
      </c>
      <c r="S904" s="7">
        <f>S905+S906</f>
        <v>0</v>
      </c>
      <c r="T904" s="35">
        <f t="shared" si="213"/>
        <v>800</v>
      </c>
    </row>
    <row r="905" spans="1:21" ht="33">
      <c r="A905" s="61" t="str">
        <f t="shared" ca="1" si="215"/>
        <v>Закупка товаров, работ, услуг в целях капитального ремонта муниципального имущества</v>
      </c>
      <c r="B905" s="113" t="s">
        <v>405</v>
      </c>
      <c r="C905" s="8" t="s">
        <v>193</v>
      </c>
      <c r="D905" s="8" t="s">
        <v>193</v>
      </c>
      <c r="E905" s="113">
        <v>243</v>
      </c>
      <c r="F905" s="7">
        <f>прил.6!G1645</f>
        <v>800</v>
      </c>
      <c r="G905" s="7">
        <f>прил.6!H1645</f>
        <v>0</v>
      </c>
      <c r="H905" s="35">
        <f t="shared" si="210"/>
        <v>800</v>
      </c>
      <c r="I905" s="7">
        <f>прил.6!J1645</f>
        <v>0</v>
      </c>
      <c r="J905" s="35">
        <f t="shared" si="207"/>
        <v>800</v>
      </c>
      <c r="K905" s="7">
        <f>прил.6!L1645</f>
        <v>0</v>
      </c>
      <c r="L905" s="35">
        <f t="shared" si="204"/>
        <v>800</v>
      </c>
      <c r="M905" s="7">
        <f>прил.6!N1645</f>
        <v>0</v>
      </c>
      <c r="N905" s="35">
        <f t="shared" si="205"/>
        <v>800</v>
      </c>
      <c r="O905" s="7">
        <f>прил.6!P1645</f>
        <v>0</v>
      </c>
      <c r="P905" s="35">
        <f t="shared" si="193"/>
        <v>800</v>
      </c>
      <c r="Q905" s="7">
        <f>прил.6!R1645</f>
        <v>0</v>
      </c>
      <c r="R905" s="35">
        <f t="shared" si="194"/>
        <v>800</v>
      </c>
      <c r="S905" s="7">
        <f>прил.6!T1645</f>
        <v>0</v>
      </c>
      <c r="T905" s="35">
        <f t="shared" si="213"/>
        <v>800</v>
      </c>
    </row>
    <row r="906" spans="1:21" ht="33" hidden="1">
      <c r="A906" s="61" t="str">
        <f t="shared" ca="1" si="215"/>
        <v xml:space="preserve">Прочая закупка товаров, работ и услуг для обеспечения муниципальных нужд         </v>
      </c>
      <c r="B906" s="113" t="s">
        <v>405</v>
      </c>
      <c r="C906" s="8" t="s">
        <v>193</v>
      </c>
      <c r="D906" s="8" t="s">
        <v>193</v>
      </c>
      <c r="E906" s="113">
        <v>244</v>
      </c>
      <c r="F906" s="7"/>
      <c r="G906" s="7"/>
      <c r="H906" s="35"/>
      <c r="I906" s="7"/>
      <c r="J906" s="35"/>
      <c r="K906" s="7"/>
      <c r="L906" s="35"/>
      <c r="M906" s="7"/>
      <c r="N906" s="35"/>
      <c r="O906" s="7"/>
      <c r="P906" s="35"/>
      <c r="Q906" s="7"/>
      <c r="R906" s="35"/>
      <c r="S906" s="7"/>
      <c r="T906" s="35">
        <f t="shared" si="213"/>
        <v>0</v>
      </c>
      <c r="U906" s="20" t="s">
        <v>706</v>
      </c>
    </row>
    <row r="907" spans="1:21" ht="33">
      <c r="A907" s="61" t="str">
        <f t="shared" ca="1" si="215"/>
        <v>Капитальные вложения в объекты недвижимого имущества муниципальной собственности</v>
      </c>
      <c r="B907" s="113" t="s">
        <v>405</v>
      </c>
      <c r="C907" s="8" t="s">
        <v>193</v>
      </c>
      <c r="D907" s="8" t="s">
        <v>193</v>
      </c>
      <c r="E907" s="113">
        <v>400</v>
      </c>
      <c r="F907" s="7">
        <f>F908</f>
        <v>4742.6000000000004</v>
      </c>
      <c r="G907" s="7">
        <f>G908</f>
        <v>0</v>
      </c>
      <c r="H907" s="35">
        <f t="shared" si="210"/>
        <v>4742.6000000000004</v>
      </c>
      <c r="I907" s="7">
        <f>I908</f>
        <v>0</v>
      </c>
      <c r="J907" s="35">
        <f t="shared" si="207"/>
        <v>4742.6000000000004</v>
      </c>
      <c r="K907" s="7">
        <f>K908</f>
        <v>0</v>
      </c>
      <c r="L907" s="35">
        <f t="shared" si="204"/>
        <v>4742.6000000000004</v>
      </c>
      <c r="M907" s="7">
        <f>M908</f>
        <v>0</v>
      </c>
      <c r="N907" s="35">
        <f t="shared" si="205"/>
        <v>4742.6000000000004</v>
      </c>
      <c r="O907" s="7">
        <f>O908</f>
        <v>0</v>
      </c>
      <c r="P907" s="35">
        <f t="shared" si="193"/>
        <v>4742.6000000000004</v>
      </c>
      <c r="Q907" s="7">
        <f>Q908</f>
        <v>0</v>
      </c>
      <c r="R907" s="35">
        <f t="shared" si="194"/>
        <v>4742.6000000000004</v>
      </c>
      <c r="S907" s="7">
        <f>S908</f>
        <v>0</v>
      </c>
      <c r="T907" s="35">
        <f t="shared" si="213"/>
        <v>4742.6000000000004</v>
      </c>
    </row>
    <row r="908" spans="1:21" ht="17.25" customHeight="1">
      <c r="A908" s="61" t="str">
        <f t="shared" ca="1" si="215"/>
        <v>Бюджетные инвестиции</v>
      </c>
      <c r="B908" s="113" t="s">
        <v>405</v>
      </c>
      <c r="C908" s="8" t="s">
        <v>193</v>
      </c>
      <c r="D908" s="8" t="s">
        <v>193</v>
      </c>
      <c r="E908" s="113">
        <v>410</v>
      </c>
      <c r="F908" s="7">
        <f>F909</f>
        <v>4742.6000000000004</v>
      </c>
      <c r="G908" s="7">
        <f>G909</f>
        <v>0</v>
      </c>
      <c r="H908" s="35">
        <f t="shared" si="210"/>
        <v>4742.6000000000004</v>
      </c>
      <c r="I908" s="7">
        <f>I909</f>
        <v>0</v>
      </c>
      <c r="J908" s="35">
        <f t="shared" si="207"/>
        <v>4742.6000000000004</v>
      </c>
      <c r="K908" s="7">
        <f>K909</f>
        <v>0</v>
      </c>
      <c r="L908" s="35">
        <f t="shared" si="204"/>
        <v>4742.6000000000004</v>
      </c>
      <c r="M908" s="7">
        <f>M909</f>
        <v>0</v>
      </c>
      <c r="N908" s="35">
        <f t="shared" si="205"/>
        <v>4742.6000000000004</v>
      </c>
      <c r="O908" s="7">
        <f>O909</f>
        <v>0</v>
      </c>
      <c r="P908" s="35">
        <f t="shared" si="193"/>
        <v>4742.6000000000004</v>
      </c>
      <c r="Q908" s="7">
        <f>Q909</f>
        <v>0</v>
      </c>
      <c r="R908" s="35">
        <f t="shared" si="194"/>
        <v>4742.6000000000004</v>
      </c>
      <c r="S908" s="7">
        <f>S909</f>
        <v>0</v>
      </c>
      <c r="T908" s="35">
        <f t="shared" si="213"/>
        <v>4742.6000000000004</v>
      </c>
    </row>
    <row r="909" spans="1:21" ht="33.75" customHeight="1">
      <c r="A909" s="61" t="str">
        <f t="shared" ca="1" si="215"/>
        <v>Бюджетные инвестиции в объекты капитального строительства муниципальной собственности</v>
      </c>
      <c r="B909" s="113" t="s">
        <v>405</v>
      </c>
      <c r="C909" s="8" t="s">
        <v>193</v>
      </c>
      <c r="D909" s="8" t="s">
        <v>193</v>
      </c>
      <c r="E909" s="113">
        <v>414</v>
      </c>
      <c r="F909" s="7">
        <f>прил.6!G1648</f>
        <v>4742.6000000000004</v>
      </c>
      <c r="G909" s="7">
        <f>прил.6!H1648</f>
        <v>0</v>
      </c>
      <c r="H909" s="35">
        <f t="shared" si="210"/>
        <v>4742.6000000000004</v>
      </c>
      <c r="I909" s="7">
        <f>прил.6!J1648</f>
        <v>0</v>
      </c>
      <c r="J909" s="35">
        <f t="shared" si="207"/>
        <v>4742.6000000000004</v>
      </c>
      <c r="K909" s="7">
        <f>прил.6!L1648</f>
        <v>0</v>
      </c>
      <c r="L909" s="35">
        <f t="shared" si="204"/>
        <v>4742.6000000000004</v>
      </c>
      <c r="M909" s="7">
        <f>прил.6!N1648</f>
        <v>0</v>
      </c>
      <c r="N909" s="35">
        <f t="shared" si="205"/>
        <v>4742.6000000000004</v>
      </c>
      <c r="O909" s="7">
        <f>прил.6!P1648</f>
        <v>0</v>
      </c>
      <c r="P909" s="35">
        <f t="shared" si="193"/>
        <v>4742.6000000000004</v>
      </c>
      <c r="Q909" s="7">
        <f>прил.6!R1648</f>
        <v>0</v>
      </c>
      <c r="R909" s="35">
        <f t="shared" si="194"/>
        <v>4742.6000000000004</v>
      </c>
      <c r="S909" s="7">
        <f>прил.6!T1648</f>
        <v>0</v>
      </c>
      <c r="T909" s="35">
        <f t="shared" si="213"/>
        <v>4742.6000000000004</v>
      </c>
    </row>
    <row r="910" spans="1:21" ht="90.75" customHeight="1">
      <c r="A910" s="61" t="str">
        <f ca="1">IF(ISERROR(MATCH(B910,Код_КЦСР,0)),"",INDIRECT(ADDRESS(MATCH(B910,Код_КЦСР,0)+1,2,,,"КЦСР")))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10" s="113" t="s">
        <v>402</v>
      </c>
      <c r="C910" s="8"/>
      <c r="D910" s="1"/>
      <c r="E910" s="113"/>
      <c r="F910" s="7">
        <f>F911+F921</f>
        <v>491829.69999999995</v>
      </c>
      <c r="G910" s="7">
        <f>G911+G921</f>
        <v>0</v>
      </c>
      <c r="H910" s="35">
        <f t="shared" si="210"/>
        <v>491829.69999999995</v>
      </c>
      <c r="I910" s="7">
        <f>I911+I921</f>
        <v>0</v>
      </c>
      <c r="J910" s="35">
        <f t="shared" si="207"/>
        <v>491829.69999999995</v>
      </c>
      <c r="K910" s="7">
        <f>K911+K921</f>
        <v>0</v>
      </c>
      <c r="L910" s="35">
        <f t="shared" si="204"/>
        <v>491829.69999999995</v>
      </c>
      <c r="M910" s="7">
        <f>M911+M921</f>
        <v>0</v>
      </c>
      <c r="N910" s="35">
        <f t="shared" si="205"/>
        <v>491829.69999999995</v>
      </c>
      <c r="O910" s="7">
        <f>O911+O921</f>
        <v>0</v>
      </c>
      <c r="P910" s="35">
        <f t="shared" si="193"/>
        <v>491829.69999999995</v>
      </c>
      <c r="Q910" s="7">
        <f>Q911+Q921</f>
        <v>74512.7</v>
      </c>
      <c r="R910" s="35">
        <f t="shared" si="194"/>
        <v>566342.39999999991</v>
      </c>
      <c r="S910" s="7">
        <f>S911+S921</f>
        <v>47006.100000000006</v>
      </c>
      <c r="T910" s="35">
        <f t="shared" si="213"/>
        <v>613348.49999999988</v>
      </c>
    </row>
    <row r="911" spans="1:21">
      <c r="A911" s="61" t="str">
        <f ca="1">IF(ISERROR(MATCH(C911,Код_Раздел,0)),"",INDIRECT(ADDRESS(MATCH(C911,Код_Раздел,0)+1,2,,,"Раздел")))</f>
        <v>Образование</v>
      </c>
      <c r="B911" s="113" t="s">
        <v>402</v>
      </c>
      <c r="C911" s="8" t="s">
        <v>193</v>
      </c>
      <c r="D911" s="1"/>
      <c r="E911" s="113"/>
      <c r="F911" s="7">
        <f t="shared" ref="F911:S914" si="216">F912</f>
        <v>34239.200000000004</v>
      </c>
      <c r="G911" s="7">
        <f t="shared" si="216"/>
        <v>0</v>
      </c>
      <c r="H911" s="35">
        <f t="shared" si="210"/>
        <v>34239.200000000004</v>
      </c>
      <c r="I911" s="7">
        <f>I912</f>
        <v>0</v>
      </c>
      <c r="J911" s="35">
        <f t="shared" si="207"/>
        <v>34239.200000000004</v>
      </c>
      <c r="K911" s="7">
        <f>K912</f>
        <v>0</v>
      </c>
      <c r="L911" s="35">
        <f t="shared" si="204"/>
        <v>34239.200000000004</v>
      </c>
      <c r="M911" s="7">
        <f>M912</f>
        <v>0</v>
      </c>
      <c r="N911" s="35">
        <f t="shared" si="205"/>
        <v>34239.200000000004</v>
      </c>
      <c r="O911" s="7">
        <f>O912</f>
        <v>0</v>
      </c>
      <c r="P911" s="35">
        <f t="shared" si="193"/>
        <v>34239.200000000004</v>
      </c>
      <c r="Q911" s="7">
        <f>Q912</f>
        <v>0</v>
      </c>
      <c r="R911" s="35">
        <f t="shared" si="194"/>
        <v>34239.200000000004</v>
      </c>
      <c r="S911" s="7">
        <f>S912</f>
        <v>0</v>
      </c>
      <c r="T911" s="35">
        <f t="shared" si="213"/>
        <v>34239.200000000004</v>
      </c>
    </row>
    <row r="912" spans="1:21">
      <c r="A912" s="12" t="s">
        <v>197</v>
      </c>
      <c r="B912" s="113" t="s">
        <v>402</v>
      </c>
      <c r="C912" s="8" t="s">
        <v>193</v>
      </c>
      <c r="D912" s="8" t="s">
        <v>193</v>
      </c>
      <c r="E912" s="113"/>
      <c r="F912" s="7">
        <f t="shared" si="216"/>
        <v>34239.200000000004</v>
      </c>
      <c r="G912" s="7">
        <f t="shared" si="216"/>
        <v>0</v>
      </c>
      <c r="H912" s="35">
        <f t="shared" si="210"/>
        <v>34239.200000000004</v>
      </c>
      <c r="I912" s="7">
        <f>I913+I916</f>
        <v>0</v>
      </c>
      <c r="J912" s="35">
        <f t="shared" si="207"/>
        <v>34239.200000000004</v>
      </c>
      <c r="K912" s="7">
        <f>K913+K916</f>
        <v>0</v>
      </c>
      <c r="L912" s="35">
        <f t="shared" si="204"/>
        <v>34239.200000000004</v>
      </c>
      <c r="M912" s="7">
        <f>M913+M916</f>
        <v>0</v>
      </c>
      <c r="N912" s="35">
        <f t="shared" si="205"/>
        <v>34239.200000000004</v>
      </c>
      <c r="O912" s="7">
        <f>O913+O916</f>
        <v>0</v>
      </c>
      <c r="P912" s="35">
        <f t="shared" si="193"/>
        <v>34239.200000000004</v>
      </c>
      <c r="Q912" s="7">
        <f>Q913+Q916</f>
        <v>0</v>
      </c>
      <c r="R912" s="35">
        <f t="shared" si="194"/>
        <v>34239.200000000004</v>
      </c>
      <c r="S912" s="7">
        <f>S913+S916</f>
        <v>0</v>
      </c>
      <c r="T912" s="35">
        <f t="shared" si="213"/>
        <v>34239.200000000004</v>
      </c>
    </row>
    <row r="913" spans="1:20">
      <c r="A913" s="61" t="str">
        <f t="shared" ref="A913:A920" ca="1" si="217">IF(ISERROR(MATCH(E913,Код_КВР,0)),"",INDIRECT(ADDRESS(MATCH(E913,Код_КВР,0)+1,2,,,"КВР")))</f>
        <v>Социальное обеспечение и иные выплаты населению</v>
      </c>
      <c r="B913" s="113" t="s">
        <v>402</v>
      </c>
      <c r="C913" s="8" t="s">
        <v>193</v>
      </c>
      <c r="D913" s="8" t="s">
        <v>193</v>
      </c>
      <c r="E913" s="113">
        <v>300</v>
      </c>
      <c r="F913" s="7">
        <f t="shared" si="216"/>
        <v>34239.200000000004</v>
      </c>
      <c r="G913" s="7">
        <f t="shared" si="216"/>
        <v>0</v>
      </c>
      <c r="H913" s="35">
        <f t="shared" si="210"/>
        <v>34239.200000000004</v>
      </c>
      <c r="I913" s="7">
        <f t="shared" si="216"/>
        <v>-3297.1</v>
      </c>
      <c r="J913" s="35">
        <f t="shared" si="207"/>
        <v>30942.100000000006</v>
      </c>
      <c r="K913" s="7">
        <f t="shared" si="216"/>
        <v>0</v>
      </c>
      <c r="L913" s="35">
        <f t="shared" si="204"/>
        <v>30942.100000000006</v>
      </c>
      <c r="M913" s="7">
        <f t="shared" si="216"/>
        <v>0</v>
      </c>
      <c r="N913" s="35">
        <f t="shared" si="205"/>
        <v>30942.100000000006</v>
      </c>
      <c r="O913" s="7">
        <f t="shared" si="216"/>
        <v>0</v>
      </c>
      <c r="P913" s="35">
        <f t="shared" si="193"/>
        <v>30942.100000000006</v>
      </c>
      <c r="Q913" s="7">
        <f t="shared" si="216"/>
        <v>0</v>
      </c>
      <c r="R913" s="35">
        <f t="shared" si="194"/>
        <v>30942.100000000006</v>
      </c>
      <c r="S913" s="7">
        <f t="shared" si="216"/>
        <v>0</v>
      </c>
      <c r="T913" s="35">
        <f t="shared" si="213"/>
        <v>30942.100000000006</v>
      </c>
    </row>
    <row r="914" spans="1:20" ht="36.75" customHeight="1">
      <c r="A914" s="61" t="str">
        <f t="shared" ca="1" si="217"/>
        <v>Социальные выплаты гражданам, кроме публичных нормативных социальных выплат</v>
      </c>
      <c r="B914" s="113" t="s">
        <v>402</v>
      </c>
      <c r="C914" s="8" t="s">
        <v>193</v>
      </c>
      <c r="D914" s="8" t="s">
        <v>193</v>
      </c>
      <c r="E914" s="113">
        <v>320</v>
      </c>
      <c r="F914" s="7">
        <f t="shared" si="216"/>
        <v>34239.200000000004</v>
      </c>
      <c r="G914" s="7">
        <f t="shared" si="216"/>
        <v>0</v>
      </c>
      <c r="H914" s="35">
        <f t="shared" si="210"/>
        <v>34239.200000000004</v>
      </c>
      <c r="I914" s="7">
        <f t="shared" si="216"/>
        <v>-3297.1</v>
      </c>
      <c r="J914" s="35">
        <f t="shared" si="207"/>
        <v>30942.100000000006</v>
      </c>
      <c r="K914" s="7">
        <f t="shared" si="216"/>
        <v>0</v>
      </c>
      <c r="L914" s="35">
        <f t="shared" si="204"/>
        <v>30942.100000000006</v>
      </c>
      <c r="M914" s="7">
        <f t="shared" si="216"/>
        <v>0</v>
      </c>
      <c r="N914" s="35">
        <f t="shared" si="205"/>
        <v>30942.100000000006</v>
      </c>
      <c r="O914" s="7">
        <f t="shared" si="216"/>
        <v>0</v>
      </c>
      <c r="P914" s="35">
        <f t="shared" si="193"/>
        <v>30942.100000000006</v>
      </c>
      <c r="Q914" s="7">
        <f t="shared" si="216"/>
        <v>0</v>
      </c>
      <c r="R914" s="35">
        <f t="shared" si="194"/>
        <v>30942.100000000006</v>
      </c>
      <c r="S914" s="7">
        <f t="shared" si="216"/>
        <v>0</v>
      </c>
      <c r="T914" s="35">
        <f t="shared" si="213"/>
        <v>30942.100000000006</v>
      </c>
    </row>
    <row r="915" spans="1:20" ht="36" customHeight="1">
      <c r="A915" s="61" t="str">
        <f t="shared" ca="1" si="217"/>
        <v>Приобретение товаров, работ, услуг в пользу граждан в целях их социального обеспечения</v>
      </c>
      <c r="B915" s="113" t="s">
        <v>402</v>
      </c>
      <c r="C915" s="8" t="s">
        <v>193</v>
      </c>
      <c r="D915" s="8" t="s">
        <v>193</v>
      </c>
      <c r="E915" s="113">
        <v>323</v>
      </c>
      <c r="F915" s="7">
        <f>прил.6!G1324</f>
        <v>34239.200000000004</v>
      </c>
      <c r="G915" s="7">
        <f>прил.6!H1324</f>
        <v>0</v>
      </c>
      <c r="H915" s="35">
        <f t="shared" si="210"/>
        <v>34239.200000000004</v>
      </c>
      <c r="I915" s="7">
        <f>прил.6!J1324</f>
        <v>-3297.1</v>
      </c>
      <c r="J915" s="35">
        <f t="shared" si="207"/>
        <v>30942.100000000006</v>
      </c>
      <c r="K915" s="7">
        <f>прил.6!L1324</f>
        <v>0</v>
      </c>
      <c r="L915" s="35">
        <f t="shared" si="204"/>
        <v>30942.100000000006</v>
      </c>
      <c r="M915" s="7">
        <f>прил.6!N1324</f>
        <v>0</v>
      </c>
      <c r="N915" s="35">
        <f t="shared" si="205"/>
        <v>30942.100000000006</v>
      </c>
      <c r="O915" s="7">
        <f>прил.6!P1324</f>
        <v>0</v>
      </c>
      <c r="P915" s="35">
        <f t="shared" si="193"/>
        <v>30942.100000000006</v>
      </c>
      <c r="Q915" s="7">
        <f>прил.6!R1324</f>
        <v>0</v>
      </c>
      <c r="R915" s="35">
        <f t="shared" si="194"/>
        <v>30942.100000000006</v>
      </c>
      <c r="S915" s="7">
        <f>прил.6!T1324</f>
        <v>0</v>
      </c>
      <c r="T915" s="35">
        <f t="shared" si="213"/>
        <v>30942.100000000006</v>
      </c>
    </row>
    <row r="916" spans="1:20" ht="35.25" customHeight="1">
      <c r="A916" s="61" t="str">
        <f t="shared" ca="1" si="217"/>
        <v>Предоставление субсидий бюджетным, автономным учреждениям и иным некоммерческим организациям</v>
      </c>
      <c r="B916" s="113" t="s">
        <v>402</v>
      </c>
      <c r="C916" s="8" t="s">
        <v>193</v>
      </c>
      <c r="D916" s="8" t="s">
        <v>193</v>
      </c>
      <c r="E916" s="113">
        <v>600</v>
      </c>
      <c r="F916" s="7"/>
      <c r="G916" s="7"/>
      <c r="H916" s="35"/>
      <c r="I916" s="7">
        <f>I917+I919</f>
        <v>3297.1000000000004</v>
      </c>
      <c r="J916" s="35">
        <f t="shared" si="207"/>
        <v>3297.1000000000004</v>
      </c>
      <c r="K916" s="7">
        <f>K917+K919</f>
        <v>0</v>
      </c>
      <c r="L916" s="35">
        <f t="shared" si="204"/>
        <v>3297.1000000000004</v>
      </c>
      <c r="M916" s="7">
        <f>M917+M919</f>
        <v>0</v>
      </c>
      <c r="N916" s="35">
        <f t="shared" si="205"/>
        <v>3297.1000000000004</v>
      </c>
      <c r="O916" s="7">
        <f>O917+O919</f>
        <v>0</v>
      </c>
      <c r="P916" s="35">
        <f t="shared" si="193"/>
        <v>3297.1000000000004</v>
      </c>
      <c r="Q916" s="7">
        <f>Q917+Q919</f>
        <v>0</v>
      </c>
      <c r="R916" s="35">
        <f t="shared" si="194"/>
        <v>3297.1000000000004</v>
      </c>
      <c r="S916" s="7">
        <f>S917+S919</f>
        <v>0</v>
      </c>
      <c r="T916" s="35">
        <f t="shared" si="213"/>
        <v>3297.1000000000004</v>
      </c>
    </row>
    <row r="917" spans="1:20">
      <c r="A917" s="61" t="str">
        <f t="shared" ca="1" si="217"/>
        <v>Субсидии бюджетным учреждениям</v>
      </c>
      <c r="B917" s="113" t="s">
        <v>402</v>
      </c>
      <c r="C917" s="8" t="s">
        <v>193</v>
      </c>
      <c r="D917" s="8" t="s">
        <v>193</v>
      </c>
      <c r="E917" s="113">
        <v>610</v>
      </c>
      <c r="F917" s="7"/>
      <c r="G917" s="7"/>
      <c r="H917" s="35"/>
      <c r="I917" s="7">
        <f>I918</f>
        <v>454.29999999999995</v>
      </c>
      <c r="J917" s="35">
        <f t="shared" si="207"/>
        <v>454.29999999999995</v>
      </c>
      <c r="K917" s="7">
        <f>K918</f>
        <v>0</v>
      </c>
      <c r="L917" s="35">
        <f t="shared" si="204"/>
        <v>454.29999999999995</v>
      </c>
      <c r="M917" s="7">
        <f>M918</f>
        <v>0</v>
      </c>
      <c r="N917" s="35">
        <f t="shared" si="205"/>
        <v>454.29999999999995</v>
      </c>
      <c r="O917" s="7">
        <f>O918</f>
        <v>0</v>
      </c>
      <c r="P917" s="35">
        <f t="shared" ref="P917:P996" si="218">N917+O917</f>
        <v>454.29999999999995</v>
      </c>
      <c r="Q917" s="7">
        <f>Q918</f>
        <v>0</v>
      </c>
      <c r="R917" s="35">
        <f t="shared" ref="R917:R993" si="219">P917+Q917</f>
        <v>454.29999999999995</v>
      </c>
      <c r="S917" s="7">
        <f>S918</f>
        <v>0</v>
      </c>
      <c r="T917" s="35">
        <f t="shared" si="213"/>
        <v>454.29999999999995</v>
      </c>
    </row>
    <row r="918" spans="1:20" ht="21.95" customHeight="1">
      <c r="A918" s="61" t="str">
        <f t="shared" ca="1" si="217"/>
        <v>Субсидии бюджетным учреждениям на иные цели</v>
      </c>
      <c r="B918" s="113" t="s">
        <v>402</v>
      </c>
      <c r="C918" s="8" t="s">
        <v>193</v>
      </c>
      <c r="D918" s="8" t="s">
        <v>193</v>
      </c>
      <c r="E918" s="113">
        <v>612</v>
      </c>
      <c r="F918" s="7"/>
      <c r="G918" s="7"/>
      <c r="H918" s="35"/>
      <c r="I918" s="7">
        <f>прил.6!J945+прил.6!J1215</f>
        <v>454.29999999999995</v>
      </c>
      <c r="J918" s="35">
        <f t="shared" si="207"/>
        <v>454.29999999999995</v>
      </c>
      <c r="K918" s="7">
        <f>прил.6!L945+прил.6!L1215</f>
        <v>0</v>
      </c>
      <c r="L918" s="35">
        <f t="shared" si="204"/>
        <v>454.29999999999995</v>
      </c>
      <c r="M918" s="7">
        <f>прил.6!N945+прил.6!N1215</f>
        <v>0</v>
      </c>
      <c r="N918" s="35">
        <f t="shared" si="205"/>
        <v>454.29999999999995</v>
      </c>
      <c r="O918" s="7">
        <f>прил.6!P945+прил.6!P1215</f>
        <v>0</v>
      </c>
      <c r="P918" s="35">
        <f t="shared" si="218"/>
        <v>454.29999999999995</v>
      </c>
      <c r="Q918" s="7">
        <f>прил.6!R945+прил.6!R1215</f>
        <v>0</v>
      </c>
      <c r="R918" s="35">
        <f t="shared" si="219"/>
        <v>454.29999999999995</v>
      </c>
      <c r="S918" s="7">
        <f>прил.6!T945+прил.6!T1215</f>
        <v>0</v>
      </c>
      <c r="T918" s="35">
        <f t="shared" si="213"/>
        <v>454.29999999999995</v>
      </c>
    </row>
    <row r="919" spans="1:20">
      <c r="A919" s="61" t="str">
        <f t="shared" ca="1" si="217"/>
        <v>Субсидии автономным учреждениям</v>
      </c>
      <c r="B919" s="113" t="s">
        <v>402</v>
      </c>
      <c r="C919" s="8" t="s">
        <v>193</v>
      </c>
      <c r="D919" s="8" t="s">
        <v>193</v>
      </c>
      <c r="E919" s="113">
        <v>620</v>
      </c>
      <c r="F919" s="7"/>
      <c r="G919" s="7"/>
      <c r="H919" s="35"/>
      <c r="I919" s="7">
        <f>I920</f>
        <v>2842.8</v>
      </c>
      <c r="J919" s="35">
        <f t="shared" si="207"/>
        <v>2842.8</v>
      </c>
      <c r="K919" s="7">
        <f>K920</f>
        <v>0</v>
      </c>
      <c r="L919" s="35">
        <f t="shared" si="204"/>
        <v>2842.8</v>
      </c>
      <c r="M919" s="7">
        <f>M920</f>
        <v>0</v>
      </c>
      <c r="N919" s="35">
        <f t="shared" si="205"/>
        <v>2842.8</v>
      </c>
      <c r="O919" s="7">
        <f>O920</f>
        <v>0</v>
      </c>
      <c r="P919" s="35">
        <f t="shared" si="218"/>
        <v>2842.8</v>
      </c>
      <c r="Q919" s="7">
        <f>Q920</f>
        <v>0</v>
      </c>
      <c r="R919" s="35">
        <f t="shared" si="219"/>
        <v>2842.8</v>
      </c>
      <c r="S919" s="7">
        <f>S920</f>
        <v>0</v>
      </c>
      <c r="T919" s="35">
        <f t="shared" si="213"/>
        <v>2842.8</v>
      </c>
    </row>
    <row r="920" spans="1:20">
      <c r="A920" s="61" t="str">
        <f t="shared" ca="1" si="217"/>
        <v>Субсидии автономным учреждениям на иные цели</v>
      </c>
      <c r="B920" s="113" t="s">
        <v>402</v>
      </c>
      <c r="C920" s="8" t="s">
        <v>193</v>
      </c>
      <c r="D920" s="8" t="s">
        <v>193</v>
      </c>
      <c r="E920" s="113">
        <v>622</v>
      </c>
      <c r="F920" s="7"/>
      <c r="G920" s="7"/>
      <c r="H920" s="35"/>
      <c r="I920" s="7">
        <f>прил.6!J712</f>
        <v>2842.8</v>
      </c>
      <c r="J920" s="35">
        <f t="shared" si="207"/>
        <v>2842.8</v>
      </c>
      <c r="K920" s="7">
        <f>прил.6!L712</f>
        <v>0</v>
      </c>
      <c r="L920" s="35">
        <f t="shared" si="204"/>
        <v>2842.8</v>
      </c>
      <c r="M920" s="7">
        <f>прил.6!N712</f>
        <v>0</v>
      </c>
      <c r="N920" s="35">
        <f t="shared" si="205"/>
        <v>2842.8</v>
      </c>
      <c r="O920" s="7">
        <f>прил.6!P712</f>
        <v>0</v>
      </c>
      <c r="P920" s="35">
        <f t="shared" si="218"/>
        <v>2842.8</v>
      </c>
      <c r="Q920" s="7">
        <f>прил.6!R712</f>
        <v>0</v>
      </c>
      <c r="R920" s="35">
        <f t="shared" si="219"/>
        <v>2842.8</v>
      </c>
      <c r="S920" s="7">
        <f>прил.6!T712</f>
        <v>0</v>
      </c>
      <c r="T920" s="35">
        <f t="shared" si="213"/>
        <v>2842.8</v>
      </c>
    </row>
    <row r="921" spans="1:20">
      <c r="A921" s="61" t="str">
        <f ca="1">IF(ISERROR(MATCH(C921,Код_Раздел,0)),"",INDIRECT(ADDRESS(MATCH(C921,Код_Раздел,0)+1,2,,,"Раздел")))</f>
        <v>Социальная политика</v>
      </c>
      <c r="B921" s="113" t="s">
        <v>402</v>
      </c>
      <c r="C921" s="8" t="s">
        <v>186</v>
      </c>
      <c r="D921" s="1"/>
      <c r="E921" s="113"/>
      <c r="F921" s="7">
        <f>F922+F927+F935</f>
        <v>457590.49999999994</v>
      </c>
      <c r="G921" s="7">
        <f>G922+G927+G935</f>
        <v>0</v>
      </c>
      <c r="H921" s="35">
        <f t="shared" si="210"/>
        <v>457590.49999999994</v>
      </c>
      <c r="I921" s="7">
        <f>I922+I927+I935</f>
        <v>0</v>
      </c>
      <c r="J921" s="35">
        <f t="shared" si="207"/>
        <v>457590.49999999994</v>
      </c>
      <c r="K921" s="7">
        <f>K922+K927+K935</f>
        <v>0</v>
      </c>
      <c r="L921" s="35">
        <f t="shared" si="204"/>
        <v>457590.49999999994</v>
      </c>
      <c r="M921" s="7">
        <f>M922+M927+M935</f>
        <v>0</v>
      </c>
      <c r="N921" s="35">
        <f t="shared" si="205"/>
        <v>457590.49999999994</v>
      </c>
      <c r="O921" s="7">
        <f>O922+O927+O935</f>
        <v>0</v>
      </c>
      <c r="P921" s="35">
        <f t="shared" si="218"/>
        <v>457590.49999999994</v>
      </c>
      <c r="Q921" s="7">
        <f>Q922+Q927+Q935</f>
        <v>74512.7</v>
      </c>
      <c r="R921" s="35">
        <f t="shared" si="219"/>
        <v>532103.19999999995</v>
      </c>
      <c r="S921" s="7">
        <f>S922+S927+S935</f>
        <v>47006.100000000006</v>
      </c>
      <c r="T921" s="35">
        <f t="shared" si="213"/>
        <v>579109.29999999993</v>
      </c>
    </row>
    <row r="922" spans="1:20">
      <c r="A922" s="12" t="s">
        <v>256</v>
      </c>
      <c r="B922" s="113" t="s">
        <v>402</v>
      </c>
      <c r="C922" s="8" t="s">
        <v>186</v>
      </c>
      <c r="D922" s="8" t="s">
        <v>212</v>
      </c>
      <c r="E922" s="113"/>
      <c r="F922" s="7">
        <f>F923</f>
        <v>114241.1</v>
      </c>
      <c r="G922" s="7">
        <f>G923</f>
        <v>0</v>
      </c>
      <c r="H922" s="35">
        <f t="shared" si="210"/>
        <v>114241.1</v>
      </c>
      <c r="I922" s="7">
        <f>I923</f>
        <v>0</v>
      </c>
      <c r="J922" s="35">
        <f t="shared" si="207"/>
        <v>114241.1</v>
      </c>
      <c r="K922" s="7">
        <f>K923</f>
        <v>0</v>
      </c>
      <c r="L922" s="35">
        <f t="shared" si="204"/>
        <v>114241.1</v>
      </c>
      <c r="M922" s="7">
        <f>M923</f>
        <v>0</v>
      </c>
      <c r="N922" s="35">
        <f t="shared" si="205"/>
        <v>114241.1</v>
      </c>
      <c r="O922" s="7">
        <f>O923</f>
        <v>365.3</v>
      </c>
      <c r="P922" s="35">
        <f t="shared" si="218"/>
        <v>114606.40000000001</v>
      </c>
      <c r="Q922" s="7">
        <f>Q923</f>
        <v>-22548.799999999999</v>
      </c>
      <c r="R922" s="35">
        <f t="shared" si="219"/>
        <v>92057.600000000006</v>
      </c>
      <c r="S922" s="7">
        <f>S923</f>
        <v>1426.2</v>
      </c>
      <c r="T922" s="35">
        <f t="shared" si="213"/>
        <v>93483.8</v>
      </c>
    </row>
    <row r="923" spans="1:20" ht="33">
      <c r="A923" s="61" t="str">
        <f ca="1">IF(ISERROR(MATCH(E923,Код_КВР,0)),"",INDIRECT(ADDRESS(MATCH(E923,Код_КВР,0)+1,2,,,"КВР")))</f>
        <v>Предоставление субсидий бюджетным, автономным учреждениям и иным некоммерческим организациям</v>
      </c>
      <c r="B923" s="113" t="s">
        <v>402</v>
      </c>
      <c r="C923" s="8" t="s">
        <v>186</v>
      </c>
      <c r="D923" s="8" t="s">
        <v>212</v>
      </c>
      <c r="E923" s="113">
        <v>600</v>
      </c>
      <c r="F923" s="7">
        <f>F924</f>
        <v>114241.1</v>
      </c>
      <c r="G923" s="7">
        <f>G924</f>
        <v>0</v>
      </c>
      <c r="H923" s="35">
        <f t="shared" si="210"/>
        <v>114241.1</v>
      </c>
      <c r="I923" s="7">
        <f>I924</f>
        <v>0</v>
      </c>
      <c r="J923" s="35">
        <f t="shared" si="207"/>
        <v>114241.1</v>
      </c>
      <c r="K923" s="7">
        <f>K924</f>
        <v>0</v>
      </c>
      <c r="L923" s="35">
        <f t="shared" si="204"/>
        <v>114241.1</v>
      </c>
      <c r="M923" s="7">
        <f>M924</f>
        <v>0</v>
      </c>
      <c r="N923" s="35">
        <f t="shared" si="205"/>
        <v>114241.1</v>
      </c>
      <c r="O923" s="7">
        <f>O924</f>
        <v>365.3</v>
      </c>
      <c r="P923" s="35">
        <f t="shared" si="218"/>
        <v>114606.40000000001</v>
      </c>
      <c r="Q923" s="7">
        <f>Q924</f>
        <v>-22548.799999999999</v>
      </c>
      <c r="R923" s="35">
        <f t="shared" si="219"/>
        <v>92057.600000000006</v>
      </c>
      <c r="S923" s="7">
        <f>S924</f>
        <v>1426.2</v>
      </c>
      <c r="T923" s="35">
        <f t="shared" si="213"/>
        <v>93483.8</v>
      </c>
    </row>
    <row r="924" spans="1:20">
      <c r="A924" s="61" t="str">
        <f ca="1">IF(ISERROR(MATCH(E924,Код_КВР,0)),"",INDIRECT(ADDRESS(MATCH(E924,Код_КВР,0)+1,2,,,"КВР")))</f>
        <v>Субсидии бюджетным учреждениям</v>
      </c>
      <c r="B924" s="113" t="s">
        <v>402</v>
      </c>
      <c r="C924" s="8" t="s">
        <v>186</v>
      </c>
      <c r="D924" s="8" t="s">
        <v>212</v>
      </c>
      <c r="E924" s="113">
        <v>610</v>
      </c>
      <c r="F924" s="7">
        <f>SUM(F925:F926)</f>
        <v>114241.1</v>
      </c>
      <c r="G924" s="7">
        <f>SUM(G925:G926)</f>
        <v>0</v>
      </c>
      <c r="H924" s="35">
        <f t="shared" si="210"/>
        <v>114241.1</v>
      </c>
      <c r="I924" s="7">
        <f>SUM(I925:I926)</f>
        <v>0</v>
      </c>
      <c r="J924" s="35">
        <f t="shared" si="207"/>
        <v>114241.1</v>
      </c>
      <c r="K924" s="7">
        <f>SUM(K925:K926)</f>
        <v>0</v>
      </c>
      <c r="L924" s="35">
        <f t="shared" si="204"/>
        <v>114241.1</v>
      </c>
      <c r="M924" s="7">
        <f>SUM(M925:M926)</f>
        <v>0</v>
      </c>
      <c r="N924" s="35">
        <f t="shared" si="205"/>
        <v>114241.1</v>
      </c>
      <c r="O924" s="7">
        <f>SUM(O925:O926)</f>
        <v>365.3</v>
      </c>
      <c r="P924" s="35">
        <f t="shared" si="218"/>
        <v>114606.40000000001</v>
      </c>
      <c r="Q924" s="7">
        <f>SUM(Q925:Q926)</f>
        <v>-22548.799999999999</v>
      </c>
      <c r="R924" s="35">
        <f t="shared" si="219"/>
        <v>92057.600000000006</v>
      </c>
      <c r="S924" s="7">
        <f>SUM(S925:S926)</f>
        <v>1426.2</v>
      </c>
      <c r="T924" s="35">
        <f t="shared" si="213"/>
        <v>93483.8</v>
      </c>
    </row>
    <row r="925" spans="1:20" ht="51.75" customHeight="1">
      <c r="A925" s="61" t="str">
        <f ca="1">IF(ISERROR(MATCH(E925,Код_КВР,0)),"",INDIRECT(ADDRESS(MATCH(E925,Код_КВР,0)+1,2,,,"КВР")))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5" s="113" t="s">
        <v>402</v>
      </c>
      <c r="C925" s="8" t="s">
        <v>186</v>
      </c>
      <c r="D925" s="8" t="s">
        <v>212</v>
      </c>
      <c r="E925" s="113">
        <v>611</v>
      </c>
      <c r="F925" s="7">
        <f>прил.6!G1335</f>
        <v>110548.1</v>
      </c>
      <c r="G925" s="7">
        <f>прил.6!H1335</f>
        <v>0</v>
      </c>
      <c r="H925" s="35">
        <f t="shared" si="210"/>
        <v>110548.1</v>
      </c>
      <c r="I925" s="7">
        <f>прил.6!J1335</f>
        <v>0</v>
      </c>
      <c r="J925" s="35">
        <f t="shared" si="207"/>
        <v>110548.1</v>
      </c>
      <c r="K925" s="7">
        <f>прил.6!L1335</f>
        <v>0</v>
      </c>
      <c r="L925" s="35">
        <f t="shared" si="204"/>
        <v>110548.1</v>
      </c>
      <c r="M925" s="7">
        <f>прил.6!N1335</f>
        <v>0</v>
      </c>
      <c r="N925" s="35">
        <f t="shared" si="205"/>
        <v>110548.1</v>
      </c>
      <c r="O925" s="7">
        <f>прил.6!P1335</f>
        <v>0</v>
      </c>
      <c r="P925" s="35">
        <f t="shared" si="218"/>
        <v>110548.1</v>
      </c>
      <c r="Q925" s="7">
        <f>прил.6!R1335</f>
        <v>-21912.7</v>
      </c>
      <c r="R925" s="35">
        <f t="shared" si="219"/>
        <v>88635.400000000009</v>
      </c>
      <c r="S925" s="7">
        <f>прил.6!T1335</f>
        <v>1481</v>
      </c>
      <c r="T925" s="35">
        <f t="shared" si="213"/>
        <v>90116.400000000009</v>
      </c>
    </row>
    <row r="926" spans="1:20">
      <c r="A926" s="61" t="str">
        <f ca="1">IF(ISERROR(MATCH(E926,Код_КВР,0)),"",INDIRECT(ADDRESS(MATCH(E926,Код_КВР,0)+1,2,,,"КВР")))</f>
        <v>Субсидии бюджетным учреждениям на иные цели</v>
      </c>
      <c r="B926" s="113" t="s">
        <v>402</v>
      </c>
      <c r="C926" s="8" t="s">
        <v>186</v>
      </c>
      <c r="D926" s="8" t="s">
        <v>212</v>
      </c>
      <c r="E926" s="113">
        <v>612</v>
      </c>
      <c r="F926" s="7">
        <f>прил.6!G1336</f>
        <v>3693</v>
      </c>
      <c r="G926" s="7">
        <f>прил.6!H1336</f>
        <v>0</v>
      </c>
      <c r="H926" s="35">
        <f t="shared" si="210"/>
        <v>3693</v>
      </c>
      <c r="I926" s="7">
        <f>прил.6!J1336</f>
        <v>0</v>
      </c>
      <c r="J926" s="35">
        <f t="shared" si="207"/>
        <v>3693</v>
      </c>
      <c r="K926" s="7">
        <f>прил.6!L1336</f>
        <v>0</v>
      </c>
      <c r="L926" s="35">
        <f t="shared" si="204"/>
        <v>3693</v>
      </c>
      <c r="M926" s="7">
        <f>прил.6!N1336</f>
        <v>0</v>
      </c>
      <c r="N926" s="35">
        <f t="shared" si="205"/>
        <v>3693</v>
      </c>
      <c r="O926" s="7">
        <f>прил.6!P1336</f>
        <v>365.3</v>
      </c>
      <c r="P926" s="35">
        <f t="shared" si="218"/>
        <v>4058.3</v>
      </c>
      <c r="Q926" s="7">
        <f>прил.6!R1336</f>
        <v>-636.1</v>
      </c>
      <c r="R926" s="35">
        <f t="shared" si="219"/>
        <v>3422.2000000000003</v>
      </c>
      <c r="S926" s="7">
        <f>прил.6!T1336</f>
        <v>-54.8</v>
      </c>
      <c r="T926" s="35">
        <f t="shared" si="213"/>
        <v>3367.4</v>
      </c>
    </row>
    <row r="927" spans="1:20">
      <c r="A927" s="12" t="s">
        <v>177</v>
      </c>
      <c r="B927" s="113" t="s">
        <v>402</v>
      </c>
      <c r="C927" s="8" t="s">
        <v>186</v>
      </c>
      <c r="D927" s="8" t="s">
        <v>213</v>
      </c>
      <c r="E927" s="113"/>
      <c r="F927" s="7">
        <f>F931</f>
        <v>336360.6</v>
      </c>
      <c r="G927" s="7">
        <f>G931</f>
        <v>0</v>
      </c>
      <c r="H927" s="35">
        <f t="shared" si="210"/>
        <v>336360.6</v>
      </c>
      <c r="I927" s="7">
        <f>I931</f>
        <v>0</v>
      </c>
      <c r="J927" s="35">
        <f t="shared" si="207"/>
        <v>336360.6</v>
      </c>
      <c r="K927" s="7">
        <f>K931</f>
        <v>0</v>
      </c>
      <c r="L927" s="35">
        <f t="shared" si="204"/>
        <v>336360.6</v>
      </c>
      <c r="M927" s="7">
        <f>M931</f>
        <v>0</v>
      </c>
      <c r="N927" s="35">
        <f t="shared" si="205"/>
        <v>336360.6</v>
      </c>
      <c r="O927" s="7">
        <f>O931</f>
        <v>-365.3</v>
      </c>
      <c r="P927" s="35">
        <f t="shared" si="218"/>
        <v>335995.3</v>
      </c>
      <c r="Q927" s="7">
        <f>Q931</f>
        <v>98596.2</v>
      </c>
      <c r="R927" s="35">
        <f t="shared" si="219"/>
        <v>434591.5</v>
      </c>
      <c r="S927" s="7">
        <f>S931+S928</f>
        <v>45579.900000000009</v>
      </c>
      <c r="T927" s="35">
        <f t="shared" si="213"/>
        <v>480171.4</v>
      </c>
    </row>
    <row r="928" spans="1:20" ht="17.25" customHeight="1">
      <c r="A928" s="61" t="str">
        <f t="shared" ref="A928:A934" ca="1" si="220">IF(ISERROR(MATCH(E928,Код_КВР,0)),"",INDIRECT(ADDRESS(MATCH(E928,Код_КВР,0)+1,2,,,"КВР")))</f>
        <v>Закупка товаров, работ и услуг для муниципальных нужд</v>
      </c>
      <c r="B928" s="113" t="s">
        <v>402</v>
      </c>
      <c r="C928" s="8" t="s">
        <v>186</v>
      </c>
      <c r="D928" s="8" t="s">
        <v>213</v>
      </c>
      <c r="E928" s="113">
        <v>200</v>
      </c>
      <c r="F928" s="7"/>
      <c r="G928" s="7"/>
      <c r="H928" s="35"/>
      <c r="I928" s="7"/>
      <c r="J928" s="35"/>
      <c r="K928" s="7"/>
      <c r="L928" s="35"/>
      <c r="M928" s="7"/>
      <c r="N928" s="35"/>
      <c r="O928" s="7"/>
      <c r="P928" s="35"/>
      <c r="Q928" s="7"/>
      <c r="R928" s="35"/>
      <c r="S928" s="7">
        <f>S929</f>
        <v>2585.3000000000002</v>
      </c>
      <c r="T928" s="35">
        <f t="shared" si="213"/>
        <v>2585.3000000000002</v>
      </c>
    </row>
    <row r="929" spans="1:20" ht="33">
      <c r="A929" s="61" t="str">
        <f t="shared" ca="1" si="220"/>
        <v>Иные закупки товаров, работ и услуг для обеспечения муниципальных нужд</v>
      </c>
      <c r="B929" s="113" t="s">
        <v>402</v>
      </c>
      <c r="C929" s="8" t="s">
        <v>186</v>
      </c>
      <c r="D929" s="8" t="s">
        <v>213</v>
      </c>
      <c r="E929" s="113">
        <v>240</v>
      </c>
      <c r="F929" s="7"/>
      <c r="G929" s="7"/>
      <c r="H929" s="35"/>
      <c r="I929" s="7"/>
      <c r="J929" s="35"/>
      <c r="K929" s="7"/>
      <c r="L929" s="35"/>
      <c r="M929" s="7"/>
      <c r="N929" s="35"/>
      <c r="O929" s="7"/>
      <c r="P929" s="35"/>
      <c r="Q929" s="7"/>
      <c r="R929" s="35"/>
      <c r="S929" s="7">
        <f>S930</f>
        <v>2585.3000000000002</v>
      </c>
      <c r="T929" s="35">
        <f t="shared" si="213"/>
        <v>2585.3000000000002</v>
      </c>
    </row>
    <row r="930" spans="1:20" ht="36.75" customHeight="1">
      <c r="A930" s="61" t="str">
        <f t="shared" ca="1" si="220"/>
        <v xml:space="preserve">Прочая закупка товаров, работ и услуг для обеспечения муниципальных нужд         </v>
      </c>
      <c r="B930" s="113" t="s">
        <v>402</v>
      </c>
      <c r="C930" s="8" t="s">
        <v>186</v>
      </c>
      <c r="D930" s="8" t="s">
        <v>213</v>
      </c>
      <c r="E930" s="113">
        <v>244</v>
      </c>
      <c r="F930" s="7"/>
      <c r="G930" s="7"/>
      <c r="H930" s="35"/>
      <c r="I930" s="7"/>
      <c r="J930" s="35"/>
      <c r="K930" s="7"/>
      <c r="L930" s="35"/>
      <c r="M930" s="7"/>
      <c r="N930" s="35"/>
      <c r="O930" s="7"/>
      <c r="P930" s="35"/>
      <c r="Q930" s="7"/>
      <c r="R930" s="35"/>
      <c r="S930" s="7">
        <f>прил.6!T1410</f>
        <v>2585.3000000000002</v>
      </c>
      <c r="T930" s="35">
        <f t="shared" si="213"/>
        <v>2585.3000000000002</v>
      </c>
    </row>
    <row r="931" spans="1:20">
      <c r="A931" s="61" t="str">
        <f t="shared" ca="1" si="220"/>
        <v>Социальное обеспечение и иные выплаты населению</v>
      </c>
      <c r="B931" s="113" t="s">
        <v>402</v>
      </c>
      <c r="C931" s="8" t="s">
        <v>186</v>
      </c>
      <c r="D931" s="8" t="s">
        <v>213</v>
      </c>
      <c r="E931" s="113">
        <v>300</v>
      </c>
      <c r="F931" s="7">
        <f>F932</f>
        <v>336360.6</v>
      </c>
      <c r="G931" s="7">
        <f>G932</f>
        <v>0</v>
      </c>
      <c r="H931" s="35">
        <f t="shared" si="210"/>
        <v>336360.6</v>
      </c>
      <c r="I931" s="7">
        <f>I932</f>
        <v>0</v>
      </c>
      <c r="J931" s="35">
        <f t="shared" si="207"/>
        <v>336360.6</v>
      </c>
      <c r="K931" s="7">
        <f>K932</f>
        <v>0</v>
      </c>
      <c r="L931" s="35">
        <f t="shared" si="204"/>
        <v>336360.6</v>
      </c>
      <c r="M931" s="7">
        <f>M932</f>
        <v>0</v>
      </c>
      <c r="N931" s="35">
        <f t="shared" si="205"/>
        <v>336360.6</v>
      </c>
      <c r="O931" s="7">
        <f>O932</f>
        <v>-365.3</v>
      </c>
      <c r="P931" s="35">
        <f t="shared" si="218"/>
        <v>335995.3</v>
      </c>
      <c r="Q931" s="7">
        <f>Q932</f>
        <v>98596.2</v>
      </c>
      <c r="R931" s="35">
        <f t="shared" si="219"/>
        <v>434591.5</v>
      </c>
      <c r="S931" s="7">
        <f>S932</f>
        <v>42994.600000000006</v>
      </c>
      <c r="T931" s="35">
        <f t="shared" si="213"/>
        <v>477586.1</v>
      </c>
    </row>
    <row r="932" spans="1:20" ht="36.75" customHeight="1">
      <c r="A932" s="61" t="str">
        <f t="shared" ca="1" si="220"/>
        <v>Социальные выплаты гражданам, кроме публичных нормативных социальных выплат</v>
      </c>
      <c r="B932" s="113" t="s">
        <v>402</v>
      </c>
      <c r="C932" s="8" t="s">
        <v>186</v>
      </c>
      <c r="D932" s="8" t="s">
        <v>213</v>
      </c>
      <c r="E932" s="113">
        <v>320</v>
      </c>
      <c r="F932" s="7">
        <f>SUM(F933:F934)</f>
        <v>336360.6</v>
      </c>
      <c r="G932" s="7">
        <f>SUM(G933:G934)</f>
        <v>0</v>
      </c>
      <c r="H932" s="35">
        <f t="shared" si="210"/>
        <v>336360.6</v>
      </c>
      <c r="I932" s="7">
        <f>SUM(I933:I934)</f>
        <v>0</v>
      </c>
      <c r="J932" s="35">
        <f t="shared" si="207"/>
        <v>336360.6</v>
      </c>
      <c r="K932" s="7">
        <f>SUM(K933:K934)</f>
        <v>0</v>
      </c>
      <c r="L932" s="35">
        <f t="shared" si="204"/>
        <v>336360.6</v>
      </c>
      <c r="M932" s="7">
        <f>SUM(M933:M934)</f>
        <v>0</v>
      </c>
      <c r="N932" s="35">
        <f t="shared" si="205"/>
        <v>336360.6</v>
      </c>
      <c r="O932" s="7">
        <f>SUM(O933:O934)</f>
        <v>-365.3</v>
      </c>
      <c r="P932" s="35">
        <f t="shared" si="218"/>
        <v>335995.3</v>
      </c>
      <c r="Q932" s="7">
        <f>SUM(Q933:Q934)</f>
        <v>98596.2</v>
      </c>
      <c r="R932" s="35">
        <f t="shared" si="219"/>
        <v>434591.5</v>
      </c>
      <c r="S932" s="7">
        <f>SUM(S933:S934)</f>
        <v>42994.600000000006</v>
      </c>
      <c r="T932" s="35">
        <f t="shared" si="213"/>
        <v>477586.1</v>
      </c>
    </row>
    <row r="933" spans="1:20" ht="33">
      <c r="A933" s="61" t="str">
        <f t="shared" ca="1" si="220"/>
        <v>Пособия, компенсации и иные социальные выплаты гражданам, кроме публичных нормативных обязательств</v>
      </c>
      <c r="B933" s="113" t="s">
        <v>402</v>
      </c>
      <c r="C933" s="8" t="s">
        <v>186</v>
      </c>
      <c r="D933" s="8" t="s">
        <v>213</v>
      </c>
      <c r="E933" s="113">
        <v>321</v>
      </c>
      <c r="F933" s="7">
        <f>прил.6!G1413</f>
        <v>334837</v>
      </c>
      <c r="G933" s="7">
        <f>прил.6!H1413</f>
        <v>0</v>
      </c>
      <c r="H933" s="35">
        <f t="shared" si="210"/>
        <v>334837</v>
      </c>
      <c r="I933" s="7">
        <f>прил.6!J1413</f>
        <v>0</v>
      </c>
      <c r="J933" s="35">
        <f t="shared" si="207"/>
        <v>334837</v>
      </c>
      <c r="K933" s="7">
        <f>прил.6!L1413</f>
        <v>0</v>
      </c>
      <c r="L933" s="35">
        <f t="shared" si="204"/>
        <v>334837</v>
      </c>
      <c r="M933" s="7">
        <f>прил.6!N1413</f>
        <v>0</v>
      </c>
      <c r="N933" s="35">
        <f t="shared" si="205"/>
        <v>334837</v>
      </c>
      <c r="O933" s="7">
        <f>прил.6!P1413</f>
        <v>-365.3</v>
      </c>
      <c r="P933" s="35">
        <f t="shared" si="218"/>
        <v>334471.7</v>
      </c>
      <c r="Q933" s="7">
        <f>прил.6!R1413</f>
        <v>98596.2</v>
      </c>
      <c r="R933" s="35">
        <f t="shared" si="219"/>
        <v>433067.9</v>
      </c>
      <c r="S933" s="7">
        <f>прил.6!T1413</f>
        <v>43266.3</v>
      </c>
      <c r="T933" s="35">
        <f t="shared" si="213"/>
        <v>476334.2</v>
      </c>
    </row>
    <row r="934" spans="1:20" ht="33">
      <c r="A934" s="61" t="str">
        <f t="shared" ca="1" si="220"/>
        <v>Приобретение товаров, работ, услуг в пользу граждан в целях их социального обеспечения</v>
      </c>
      <c r="B934" s="113" t="s">
        <v>402</v>
      </c>
      <c r="C934" s="8" t="s">
        <v>186</v>
      </c>
      <c r="D934" s="8" t="s">
        <v>213</v>
      </c>
      <c r="E934" s="113">
        <v>323</v>
      </c>
      <c r="F934" s="7">
        <f>прил.6!G1414</f>
        <v>1523.6</v>
      </c>
      <c r="G934" s="7">
        <f>прил.6!H1414</f>
        <v>0</v>
      </c>
      <c r="H934" s="35">
        <f t="shared" si="210"/>
        <v>1523.6</v>
      </c>
      <c r="I934" s="7">
        <f>прил.6!J1414</f>
        <v>0</v>
      </c>
      <c r="J934" s="35">
        <f t="shared" si="207"/>
        <v>1523.6</v>
      </c>
      <c r="K934" s="7">
        <f>прил.6!L1414</f>
        <v>0</v>
      </c>
      <c r="L934" s="35">
        <f t="shared" si="204"/>
        <v>1523.6</v>
      </c>
      <c r="M934" s="7">
        <f>прил.6!N1414</f>
        <v>0</v>
      </c>
      <c r="N934" s="35">
        <f t="shared" si="205"/>
        <v>1523.6</v>
      </c>
      <c r="O934" s="7">
        <f>прил.6!P1414</f>
        <v>0</v>
      </c>
      <c r="P934" s="35">
        <f t="shared" si="218"/>
        <v>1523.6</v>
      </c>
      <c r="Q934" s="7">
        <f>прил.6!R1414</f>
        <v>0</v>
      </c>
      <c r="R934" s="35">
        <f t="shared" si="219"/>
        <v>1523.6</v>
      </c>
      <c r="S934" s="7">
        <f>прил.6!T1414</f>
        <v>-271.7</v>
      </c>
      <c r="T934" s="35">
        <f t="shared" si="213"/>
        <v>1251.8999999999999</v>
      </c>
    </row>
    <row r="935" spans="1:20">
      <c r="A935" s="12" t="s">
        <v>187</v>
      </c>
      <c r="B935" s="113" t="s">
        <v>402</v>
      </c>
      <c r="C935" s="8" t="s">
        <v>186</v>
      </c>
      <c r="D935" s="8" t="s">
        <v>215</v>
      </c>
      <c r="E935" s="113"/>
      <c r="F935" s="7">
        <f>F936+F938</f>
        <v>6988.8</v>
      </c>
      <c r="G935" s="7">
        <f>G936+G938</f>
        <v>0</v>
      </c>
      <c r="H935" s="35">
        <f t="shared" si="210"/>
        <v>6988.8</v>
      </c>
      <c r="I935" s="7">
        <f>I936+I938</f>
        <v>0</v>
      </c>
      <c r="J935" s="35">
        <f t="shared" si="207"/>
        <v>6988.8</v>
      </c>
      <c r="K935" s="7">
        <f>K936+K938</f>
        <v>0</v>
      </c>
      <c r="L935" s="35">
        <f t="shared" ref="L935:L1016" si="221">J935+K935</f>
        <v>6988.8</v>
      </c>
      <c r="M935" s="7">
        <f>M936+M938</f>
        <v>0</v>
      </c>
      <c r="N935" s="35">
        <f t="shared" ref="N935:N1016" si="222">L935+M935</f>
        <v>6988.8</v>
      </c>
      <c r="O935" s="7">
        <f>O936+O938+O941</f>
        <v>0</v>
      </c>
      <c r="P935" s="35">
        <f t="shared" si="218"/>
        <v>6988.8</v>
      </c>
      <c r="Q935" s="7">
        <f>Q936+Q938+Q941</f>
        <v>-1534.7000000000003</v>
      </c>
      <c r="R935" s="35">
        <f t="shared" si="219"/>
        <v>5454.1</v>
      </c>
      <c r="S935" s="7">
        <f>S936+S938+S941</f>
        <v>0</v>
      </c>
      <c r="T935" s="35">
        <f t="shared" si="213"/>
        <v>5454.1</v>
      </c>
    </row>
    <row r="936" spans="1:20" ht="36.75" customHeight="1">
      <c r="A936" s="61" t="str">
        <f t="shared" ref="A936:A943" ca="1" si="223">IF(ISERROR(MATCH(E936,Код_КВР,0)),"",INDIRECT(ADDRESS(MATCH(E936,Код_КВР,0)+1,2,,,"КВР")))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36" s="113" t="s">
        <v>402</v>
      </c>
      <c r="C936" s="8" t="s">
        <v>186</v>
      </c>
      <c r="D936" s="8" t="s">
        <v>215</v>
      </c>
      <c r="E936" s="113">
        <v>100</v>
      </c>
      <c r="F936" s="7">
        <f>F937</f>
        <v>5101</v>
      </c>
      <c r="G936" s="7">
        <f>G937</f>
        <v>0</v>
      </c>
      <c r="H936" s="35">
        <f t="shared" si="210"/>
        <v>5101</v>
      </c>
      <c r="I936" s="7">
        <f>I937</f>
        <v>-439.2</v>
      </c>
      <c r="J936" s="35">
        <f t="shared" si="207"/>
        <v>4661.8</v>
      </c>
      <c r="K936" s="7">
        <f>K937</f>
        <v>0</v>
      </c>
      <c r="L936" s="35">
        <f t="shared" si="221"/>
        <v>4661.8</v>
      </c>
      <c r="M936" s="7">
        <f>M937</f>
        <v>0</v>
      </c>
      <c r="N936" s="35">
        <f t="shared" si="222"/>
        <v>4661.8</v>
      </c>
      <c r="O936" s="7">
        <f>O937</f>
        <v>0</v>
      </c>
      <c r="P936" s="35">
        <f t="shared" si="218"/>
        <v>4661.8</v>
      </c>
      <c r="Q936" s="7">
        <f>Q937</f>
        <v>-1241.1000000000001</v>
      </c>
      <c r="R936" s="35">
        <f t="shared" si="219"/>
        <v>3420.7</v>
      </c>
      <c r="S936" s="7">
        <f>S937</f>
        <v>0</v>
      </c>
      <c r="T936" s="35">
        <f t="shared" si="213"/>
        <v>3420.7</v>
      </c>
    </row>
    <row r="937" spans="1:20">
      <c r="A937" s="61" t="str">
        <f t="shared" ca="1" si="223"/>
        <v>Расходы на выплаты персоналу казенных учреждений</v>
      </c>
      <c r="B937" s="113" t="s">
        <v>402</v>
      </c>
      <c r="C937" s="8" t="s">
        <v>186</v>
      </c>
      <c r="D937" s="8" t="s">
        <v>215</v>
      </c>
      <c r="E937" s="113">
        <v>110</v>
      </c>
      <c r="F937" s="7">
        <f>прил.6!G1432</f>
        <v>5101</v>
      </c>
      <c r="G937" s="7">
        <f>прил.6!H1432</f>
        <v>0</v>
      </c>
      <c r="H937" s="35">
        <f t="shared" si="210"/>
        <v>5101</v>
      </c>
      <c r="I937" s="7">
        <f>прил.6!J1432</f>
        <v>-439.2</v>
      </c>
      <c r="J937" s="35">
        <f t="shared" si="207"/>
        <v>4661.8</v>
      </c>
      <c r="K937" s="7">
        <f>прил.6!L1432</f>
        <v>0</v>
      </c>
      <c r="L937" s="35">
        <f t="shared" si="221"/>
        <v>4661.8</v>
      </c>
      <c r="M937" s="7">
        <f>прил.6!N1432</f>
        <v>0</v>
      </c>
      <c r="N937" s="35">
        <f t="shared" si="222"/>
        <v>4661.8</v>
      </c>
      <c r="O937" s="7">
        <f>прил.6!P1432</f>
        <v>0</v>
      </c>
      <c r="P937" s="35">
        <f t="shared" si="218"/>
        <v>4661.8</v>
      </c>
      <c r="Q937" s="7">
        <f>прил.6!R1432</f>
        <v>-1241.1000000000001</v>
      </c>
      <c r="R937" s="35">
        <f t="shared" si="219"/>
        <v>3420.7</v>
      </c>
      <c r="S937" s="7">
        <f>прил.6!T1432</f>
        <v>0</v>
      </c>
      <c r="T937" s="35">
        <f t="shared" si="213"/>
        <v>3420.7</v>
      </c>
    </row>
    <row r="938" spans="1:20">
      <c r="A938" s="61" t="str">
        <f t="shared" ca="1" si="223"/>
        <v>Закупка товаров, работ и услуг для муниципальных нужд</v>
      </c>
      <c r="B938" s="113" t="s">
        <v>402</v>
      </c>
      <c r="C938" s="8" t="s">
        <v>186</v>
      </c>
      <c r="D938" s="8" t="s">
        <v>215</v>
      </c>
      <c r="E938" s="113">
        <v>200</v>
      </c>
      <c r="F938" s="7">
        <f>F939</f>
        <v>1887.8</v>
      </c>
      <c r="G938" s="7">
        <f>G939</f>
        <v>0</v>
      </c>
      <c r="H938" s="35">
        <f t="shared" si="210"/>
        <v>1887.8</v>
      </c>
      <c r="I938" s="7">
        <f>I939</f>
        <v>439.2</v>
      </c>
      <c r="J938" s="35">
        <f t="shared" si="207"/>
        <v>2327</v>
      </c>
      <c r="K938" s="7">
        <f>K939</f>
        <v>0</v>
      </c>
      <c r="L938" s="35">
        <f t="shared" si="221"/>
        <v>2327</v>
      </c>
      <c r="M938" s="7">
        <f>M939</f>
        <v>0</v>
      </c>
      <c r="N938" s="35">
        <f t="shared" si="222"/>
        <v>2327</v>
      </c>
      <c r="O938" s="7">
        <f>O939</f>
        <v>-0.8</v>
      </c>
      <c r="P938" s="35">
        <f t="shared" si="218"/>
        <v>2326.1999999999998</v>
      </c>
      <c r="Q938" s="7">
        <f>Q939</f>
        <v>-293.60000000000002</v>
      </c>
      <c r="R938" s="35">
        <f t="shared" si="219"/>
        <v>2032.6</v>
      </c>
      <c r="S938" s="7">
        <f>S939</f>
        <v>0</v>
      </c>
      <c r="T938" s="35">
        <f t="shared" si="213"/>
        <v>2032.6</v>
      </c>
    </row>
    <row r="939" spans="1:20" ht="33">
      <c r="A939" s="61" t="str">
        <f t="shared" ca="1" si="223"/>
        <v>Иные закупки товаров, работ и услуг для обеспечения муниципальных нужд</v>
      </c>
      <c r="B939" s="113" t="s">
        <v>402</v>
      </c>
      <c r="C939" s="8" t="s">
        <v>186</v>
      </c>
      <c r="D939" s="8" t="s">
        <v>215</v>
      </c>
      <c r="E939" s="113">
        <v>240</v>
      </c>
      <c r="F939" s="7">
        <f>F940</f>
        <v>1887.8</v>
      </c>
      <c r="G939" s="7">
        <f>G940</f>
        <v>0</v>
      </c>
      <c r="H939" s="35">
        <f t="shared" si="210"/>
        <v>1887.8</v>
      </c>
      <c r="I939" s="7">
        <f>I940</f>
        <v>439.2</v>
      </c>
      <c r="J939" s="35">
        <f t="shared" si="207"/>
        <v>2327</v>
      </c>
      <c r="K939" s="7">
        <f>K940</f>
        <v>0</v>
      </c>
      <c r="L939" s="35">
        <f t="shared" si="221"/>
        <v>2327</v>
      </c>
      <c r="M939" s="7">
        <f>M940</f>
        <v>0</v>
      </c>
      <c r="N939" s="35">
        <f t="shared" si="222"/>
        <v>2327</v>
      </c>
      <c r="O939" s="7">
        <f>O940</f>
        <v>-0.8</v>
      </c>
      <c r="P939" s="35">
        <f t="shared" si="218"/>
        <v>2326.1999999999998</v>
      </c>
      <c r="Q939" s="7">
        <f>Q940</f>
        <v>-293.60000000000002</v>
      </c>
      <c r="R939" s="35">
        <f t="shared" si="219"/>
        <v>2032.6</v>
      </c>
      <c r="S939" s="7">
        <f>S940</f>
        <v>0</v>
      </c>
      <c r="T939" s="35">
        <f t="shared" si="213"/>
        <v>2032.6</v>
      </c>
    </row>
    <row r="940" spans="1:20" ht="33">
      <c r="A940" s="61" t="str">
        <f t="shared" ca="1" si="223"/>
        <v xml:space="preserve">Прочая закупка товаров, работ и услуг для обеспечения муниципальных нужд         </v>
      </c>
      <c r="B940" s="113" t="s">
        <v>402</v>
      </c>
      <c r="C940" s="8" t="s">
        <v>186</v>
      </c>
      <c r="D940" s="8" t="s">
        <v>215</v>
      </c>
      <c r="E940" s="113">
        <v>244</v>
      </c>
      <c r="F940" s="7">
        <f>прил.6!G1435</f>
        <v>1887.8</v>
      </c>
      <c r="G940" s="7">
        <f>прил.6!H1435</f>
        <v>0</v>
      </c>
      <c r="H940" s="35">
        <f t="shared" si="210"/>
        <v>1887.8</v>
      </c>
      <c r="I940" s="7">
        <f>прил.6!J1435</f>
        <v>439.2</v>
      </c>
      <c r="J940" s="35">
        <f t="shared" si="207"/>
        <v>2327</v>
      </c>
      <c r="K940" s="7">
        <f>прил.6!L1435</f>
        <v>0</v>
      </c>
      <c r="L940" s="35">
        <f t="shared" si="221"/>
        <v>2327</v>
      </c>
      <c r="M940" s="7">
        <f>прил.6!N1435</f>
        <v>0</v>
      </c>
      <c r="N940" s="35">
        <f t="shared" si="222"/>
        <v>2327</v>
      </c>
      <c r="O940" s="7">
        <f>прил.6!P1435</f>
        <v>-0.8</v>
      </c>
      <c r="P940" s="35">
        <f t="shared" si="218"/>
        <v>2326.1999999999998</v>
      </c>
      <c r="Q940" s="7">
        <f>прил.6!R1435</f>
        <v>-293.60000000000002</v>
      </c>
      <c r="R940" s="35">
        <f t="shared" si="219"/>
        <v>2032.6</v>
      </c>
      <c r="S940" s="7">
        <f>прил.6!T1435</f>
        <v>0</v>
      </c>
      <c r="T940" s="35">
        <f t="shared" si="213"/>
        <v>2032.6</v>
      </c>
    </row>
    <row r="941" spans="1:20">
      <c r="A941" s="61" t="str">
        <f t="shared" ca="1" si="223"/>
        <v>Иные бюджетные ассигнования</v>
      </c>
      <c r="B941" s="113" t="s">
        <v>402</v>
      </c>
      <c r="C941" s="8" t="s">
        <v>186</v>
      </c>
      <c r="D941" s="8" t="s">
        <v>215</v>
      </c>
      <c r="E941" s="113">
        <v>800</v>
      </c>
      <c r="F941" s="7"/>
      <c r="G941" s="7"/>
      <c r="H941" s="35"/>
      <c r="I941" s="7"/>
      <c r="J941" s="35"/>
      <c r="K941" s="7"/>
      <c r="L941" s="35"/>
      <c r="M941" s="7"/>
      <c r="N941" s="35"/>
      <c r="O941" s="7">
        <f>O942</f>
        <v>0.8</v>
      </c>
      <c r="P941" s="35">
        <f t="shared" si="218"/>
        <v>0.8</v>
      </c>
      <c r="Q941" s="7">
        <f>Q942</f>
        <v>0</v>
      </c>
      <c r="R941" s="35">
        <f t="shared" si="219"/>
        <v>0.8</v>
      </c>
      <c r="S941" s="7">
        <f>S942</f>
        <v>0</v>
      </c>
      <c r="T941" s="35">
        <f t="shared" si="213"/>
        <v>0.8</v>
      </c>
    </row>
    <row r="942" spans="1:20">
      <c r="A942" s="61" t="str">
        <f t="shared" ca="1" si="223"/>
        <v>Уплата налогов, сборов и иных платежей</v>
      </c>
      <c r="B942" s="113" t="s">
        <v>402</v>
      </c>
      <c r="C942" s="8" t="s">
        <v>186</v>
      </c>
      <c r="D942" s="8" t="s">
        <v>215</v>
      </c>
      <c r="E942" s="113">
        <v>850</v>
      </c>
      <c r="F942" s="7"/>
      <c r="G942" s="7"/>
      <c r="H942" s="35"/>
      <c r="I942" s="7"/>
      <c r="J942" s="35"/>
      <c r="K942" s="7"/>
      <c r="L942" s="35"/>
      <c r="M942" s="7"/>
      <c r="N942" s="35"/>
      <c r="O942" s="7">
        <f>O943</f>
        <v>0.8</v>
      </c>
      <c r="P942" s="35">
        <f t="shared" si="218"/>
        <v>0.8</v>
      </c>
      <c r="Q942" s="7">
        <f>Q943</f>
        <v>0</v>
      </c>
      <c r="R942" s="35">
        <f t="shared" si="219"/>
        <v>0.8</v>
      </c>
      <c r="S942" s="7">
        <f>S943</f>
        <v>0</v>
      </c>
      <c r="T942" s="35">
        <f t="shared" si="213"/>
        <v>0.8</v>
      </c>
    </row>
    <row r="943" spans="1:20">
      <c r="A943" s="61" t="str">
        <f t="shared" ca="1" si="223"/>
        <v>Уплата прочих налогов, сборов и иных платежей</v>
      </c>
      <c r="B943" s="113" t="s">
        <v>402</v>
      </c>
      <c r="C943" s="8" t="s">
        <v>186</v>
      </c>
      <c r="D943" s="8" t="s">
        <v>215</v>
      </c>
      <c r="E943" s="113">
        <v>852</v>
      </c>
      <c r="F943" s="7"/>
      <c r="G943" s="7"/>
      <c r="H943" s="35"/>
      <c r="I943" s="7"/>
      <c r="J943" s="35"/>
      <c r="K943" s="7"/>
      <c r="L943" s="35"/>
      <c r="M943" s="7"/>
      <c r="N943" s="35"/>
      <c r="O943" s="7">
        <f>прил.6!P1438</f>
        <v>0.8</v>
      </c>
      <c r="P943" s="35">
        <f t="shared" si="218"/>
        <v>0.8</v>
      </c>
      <c r="Q943" s="7">
        <f>прил.6!R1438</f>
        <v>0</v>
      </c>
      <c r="R943" s="35">
        <f t="shared" si="219"/>
        <v>0.8</v>
      </c>
      <c r="S943" s="7">
        <f>прил.6!T1438</f>
        <v>0</v>
      </c>
      <c r="T943" s="35">
        <f t="shared" si="213"/>
        <v>0.8</v>
      </c>
    </row>
    <row r="944" spans="1:20" ht="156" customHeight="1">
      <c r="A944" s="61" t="str">
        <f ca="1">IF(ISERROR(MATCH(B944,Код_КЦСР,0)),"",INDIRECT(ADDRESS(MATCH(B944,Код_КЦСР,0)+1,2,,,"КЦСР")))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944" s="113" t="s">
        <v>401</v>
      </c>
      <c r="C944" s="8"/>
      <c r="D944" s="1"/>
      <c r="E944" s="113"/>
      <c r="F944" s="7">
        <f t="shared" ref="F944:S951" si="224">F945</f>
        <v>5186.5</v>
      </c>
      <c r="G944" s="7">
        <f t="shared" si="224"/>
        <v>0</v>
      </c>
      <c r="H944" s="35">
        <f t="shared" si="210"/>
        <v>5186.5</v>
      </c>
      <c r="I944" s="7">
        <f t="shared" si="224"/>
        <v>0</v>
      </c>
      <c r="J944" s="35">
        <f t="shared" si="207"/>
        <v>5186.5</v>
      </c>
      <c r="K944" s="7">
        <f t="shared" si="224"/>
        <v>0</v>
      </c>
      <c r="L944" s="35">
        <f t="shared" si="221"/>
        <v>5186.5</v>
      </c>
      <c r="M944" s="7">
        <f t="shared" si="224"/>
        <v>0</v>
      </c>
      <c r="N944" s="35">
        <f t="shared" si="222"/>
        <v>5186.5</v>
      </c>
      <c r="O944" s="7">
        <f t="shared" si="224"/>
        <v>0</v>
      </c>
      <c r="P944" s="35">
        <f t="shared" si="218"/>
        <v>5186.5</v>
      </c>
      <c r="Q944" s="7">
        <f t="shared" si="224"/>
        <v>2070</v>
      </c>
      <c r="R944" s="35">
        <f t="shared" si="219"/>
        <v>7256.5</v>
      </c>
      <c r="S944" s="7">
        <f>S945</f>
        <v>-435.20000000000016</v>
      </c>
      <c r="T944" s="35">
        <f t="shared" si="213"/>
        <v>6821.3</v>
      </c>
    </row>
    <row r="945" spans="1:21">
      <c r="A945" s="61" t="str">
        <f ca="1">IF(ISERROR(MATCH(C945,Код_Раздел,0)),"",INDIRECT(ADDRESS(MATCH(C945,Код_Раздел,0)+1,2,,,"Раздел")))</f>
        <v>Социальная политика</v>
      </c>
      <c r="B945" s="113" t="s">
        <v>401</v>
      </c>
      <c r="C945" s="8" t="s">
        <v>186</v>
      </c>
      <c r="D945" s="1"/>
      <c r="E945" s="113"/>
      <c r="F945" s="7">
        <f t="shared" si="224"/>
        <v>5186.5</v>
      </c>
      <c r="G945" s="7">
        <f t="shared" si="224"/>
        <v>0</v>
      </c>
      <c r="H945" s="35">
        <f t="shared" si="210"/>
        <v>5186.5</v>
      </c>
      <c r="I945" s="7">
        <f t="shared" si="224"/>
        <v>0</v>
      </c>
      <c r="J945" s="35">
        <f t="shared" si="207"/>
        <v>5186.5</v>
      </c>
      <c r="K945" s="7">
        <f t="shared" si="224"/>
        <v>0</v>
      </c>
      <c r="L945" s="35">
        <f t="shared" si="221"/>
        <v>5186.5</v>
      </c>
      <c r="M945" s="7">
        <f t="shared" si="224"/>
        <v>0</v>
      </c>
      <c r="N945" s="35">
        <f t="shared" si="222"/>
        <v>5186.5</v>
      </c>
      <c r="O945" s="7">
        <f t="shared" si="224"/>
        <v>0</v>
      </c>
      <c r="P945" s="35">
        <f t="shared" si="218"/>
        <v>5186.5</v>
      </c>
      <c r="Q945" s="7">
        <f t="shared" si="224"/>
        <v>2070</v>
      </c>
      <c r="R945" s="35">
        <f t="shared" si="219"/>
        <v>7256.5</v>
      </c>
      <c r="S945" s="7">
        <f t="shared" si="224"/>
        <v>-435.20000000000016</v>
      </c>
      <c r="T945" s="35">
        <f t="shared" si="213"/>
        <v>6821.3</v>
      </c>
    </row>
    <row r="946" spans="1:21">
      <c r="A946" s="12" t="s">
        <v>187</v>
      </c>
      <c r="B946" s="113" t="s">
        <v>401</v>
      </c>
      <c r="C946" s="8" t="s">
        <v>186</v>
      </c>
      <c r="D946" s="8" t="s">
        <v>215</v>
      </c>
      <c r="E946" s="113"/>
      <c r="F946" s="7">
        <f>F950</f>
        <v>5186.5</v>
      </c>
      <c r="G946" s="7">
        <f>G950</f>
        <v>0</v>
      </c>
      <c r="H946" s="35">
        <f t="shared" si="210"/>
        <v>5186.5</v>
      </c>
      <c r="I946" s="7">
        <f>I950</f>
        <v>0</v>
      </c>
      <c r="J946" s="35">
        <f t="shared" si="207"/>
        <v>5186.5</v>
      </c>
      <c r="K946" s="7">
        <f>K950</f>
        <v>0</v>
      </c>
      <c r="L946" s="35">
        <f t="shared" si="221"/>
        <v>5186.5</v>
      </c>
      <c r="M946" s="7">
        <f>M950</f>
        <v>0</v>
      </c>
      <c r="N946" s="35">
        <f t="shared" si="222"/>
        <v>5186.5</v>
      </c>
      <c r="O946" s="7">
        <f>O950</f>
        <v>0</v>
      </c>
      <c r="P946" s="35">
        <f t="shared" si="218"/>
        <v>5186.5</v>
      </c>
      <c r="Q946" s="7">
        <f>Q950</f>
        <v>2070</v>
      </c>
      <c r="R946" s="35">
        <f t="shared" si="219"/>
        <v>7256.5</v>
      </c>
      <c r="S946" s="7">
        <f>S947+S950</f>
        <v>-435.20000000000016</v>
      </c>
      <c r="T946" s="35">
        <f t="shared" si="213"/>
        <v>6821.3</v>
      </c>
    </row>
    <row r="947" spans="1:21">
      <c r="A947" s="61" t="str">
        <f t="shared" ref="A947:A953" ca="1" si="225">IF(ISERROR(MATCH(E947,Код_КВР,0)),"",INDIRECT(ADDRESS(MATCH(E947,Код_КВР,0)+1,2,,,"КВР")))</f>
        <v>Закупка товаров, работ и услуг для муниципальных нужд</v>
      </c>
      <c r="B947" s="113" t="s">
        <v>401</v>
      </c>
      <c r="C947" s="8" t="s">
        <v>186</v>
      </c>
      <c r="D947" s="8" t="s">
        <v>215</v>
      </c>
      <c r="E947" s="113">
        <v>200</v>
      </c>
      <c r="F947" s="7"/>
      <c r="G947" s="7"/>
      <c r="H947" s="35"/>
      <c r="I947" s="7"/>
      <c r="J947" s="35"/>
      <c r="K947" s="7"/>
      <c r="L947" s="35"/>
      <c r="M947" s="7"/>
      <c r="N947" s="35"/>
      <c r="O947" s="7"/>
      <c r="P947" s="35"/>
      <c r="Q947" s="7"/>
      <c r="R947" s="35"/>
      <c r="S947" s="7">
        <f>S948</f>
        <v>12.6</v>
      </c>
      <c r="T947" s="35">
        <f t="shared" si="213"/>
        <v>12.6</v>
      </c>
    </row>
    <row r="948" spans="1:21" ht="33">
      <c r="A948" s="61" t="str">
        <f t="shared" ca="1" si="225"/>
        <v>Иные закупки товаров, работ и услуг для обеспечения муниципальных нужд</v>
      </c>
      <c r="B948" s="113" t="s">
        <v>401</v>
      </c>
      <c r="C948" s="8" t="s">
        <v>186</v>
      </c>
      <c r="D948" s="8" t="s">
        <v>215</v>
      </c>
      <c r="E948" s="113">
        <v>240</v>
      </c>
      <c r="F948" s="7"/>
      <c r="G948" s="7"/>
      <c r="H948" s="35"/>
      <c r="I948" s="7"/>
      <c r="J948" s="35"/>
      <c r="K948" s="7"/>
      <c r="L948" s="35"/>
      <c r="M948" s="7"/>
      <c r="N948" s="35"/>
      <c r="O948" s="7"/>
      <c r="P948" s="35"/>
      <c r="Q948" s="7"/>
      <c r="R948" s="35"/>
      <c r="S948" s="7">
        <f>S949</f>
        <v>12.6</v>
      </c>
      <c r="T948" s="35">
        <f t="shared" si="213"/>
        <v>12.6</v>
      </c>
    </row>
    <row r="949" spans="1:21" ht="33">
      <c r="A949" s="61" t="str">
        <f t="shared" ca="1" si="225"/>
        <v xml:space="preserve">Прочая закупка товаров, работ и услуг для обеспечения муниципальных нужд         </v>
      </c>
      <c r="B949" s="113" t="s">
        <v>401</v>
      </c>
      <c r="C949" s="8" t="s">
        <v>186</v>
      </c>
      <c r="D949" s="8" t="s">
        <v>215</v>
      </c>
      <c r="E949" s="113">
        <v>244</v>
      </c>
      <c r="F949" s="7"/>
      <c r="G949" s="7"/>
      <c r="H949" s="35"/>
      <c r="I949" s="7"/>
      <c r="J949" s="35"/>
      <c r="K949" s="7"/>
      <c r="L949" s="35"/>
      <c r="M949" s="7"/>
      <c r="N949" s="35"/>
      <c r="O949" s="7"/>
      <c r="P949" s="35"/>
      <c r="Q949" s="7"/>
      <c r="R949" s="35"/>
      <c r="S949" s="7">
        <f>прил.6!T1442</f>
        <v>12.6</v>
      </c>
      <c r="T949" s="35">
        <f t="shared" si="213"/>
        <v>12.6</v>
      </c>
    </row>
    <row r="950" spans="1:21">
      <c r="A950" s="61" t="str">
        <f t="shared" ca="1" si="225"/>
        <v>Социальное обеспечение и иные выплаты населению</v>
      </c>
      <c r="B950" s="113" t="s">
        <v>401</v>
      </c>
      <c r="C950" s="8" t="s">
        <v>186</v>
      </c>
      <c r="D950" s="8" t="s">
        <v>215</v>
      </c>
      <c r="E950" s="113">
        <v>300</v>
      </c>
      <c r="F950" s="7">
        <f t="shared" si="224"/>
        <v>5186.5</v>
      </c>
      <c r="G950" s="7">
        <f t="shared" si="224"/>
        <v>0</v>
      </c>
      <c r="H950" s="35">
        <f t="shared" si="210"/>
        <v>5186.5</v>
      </c>
      <c r="I950" s="7">
        <f t="shared" si="224"/>
        <v>0</v>
      </c>
      <c r="J950" s="35">
        <f t="shared" si="207"/>
        <v>5186.5</v>
      </c>
      <c r="K950" s="7">
        <f t="shared" si="224"/>
        <v>0</v>
      </c>
      <c r="L950" s="35">
        <f t="shared" si="221"/>
        <v>5186.5</v>
      </c>
      <c r="M950" s="7">
        <f t="shared" si="224"/>
        <v>0</v>
      </c>
      <c r="N950" s="35">
        <f t="shared" si="222"/>
        <v>5186.5</v>
      </c>
      <c r="O950" s="7">
        <f t="shared" si="224"/>
        <v>0</v>
      </c>
      <c r="P950" s="35">
        <f t="shared" si="218"/>
        <v>5186.5</v>
      </c>
      <c r="Q950" s="7">
        <f t="shared" si="224"/>
        <v>2070</v>
      </c>
      <c r="R950" s="35">
        <f t="shared" si="219"/>
        <v>7256.5</v>
      </c>
      <c r="S950" s="7">
        <f t="shared" si="224"/>
        <v>-447.80000000000018</v>
      </c>
      <c r="T950" s="35">
        <f t="shared" si="213"/>
        <v>6808.7</v>
      </c>
    </row>
    <row r="951" spans="1:21" ht="35.25" customHeight="1">
      <c r="A951" s="61" t="str">
        <f t="shared" ca="1" si="225"/>
        <v>Социальные выплаты гражданам, кроме публичных нормативных социальных выплат</v>
      </c>
      <c r="B951" s="113" t="s">
        <v>401</v>
      </c>
      <c r="C951" s="8" t="s">
        <v>186</v>
      </c>
      <c r="D951" s="8" t="s">
        <v>215</v>
      </c>
      <c r="E951" s="113">
        <v>320</v>
      </c>
      <c r="F951" s="7">
        <f t="shared" si="224"/>
        <v>5186.5</v>
      </c>
      <c r="G951" s="7">
        <f t="shared" si="224"/>
        <v>0</v>
      </c>
      <c r="H951" s="35">
        <f t="shared" si="210"/>
        <v>5186.5</v>
      </c>
      <c r="I951" s="7">
        <f t="shared" si="224"/>
        <v>0</v>
      </c>
      <c r="J951" s="35">
        <f t="shared" si="207"/>
        <v>5186.5</v>
      </c>
      <c r="K951" s="7">
        <f t="shared" si="224"/>
        <v>0</v>
      </c>
      <c r="L951" s="35">
        <f t="shared" si="221"/>
        <v>5186.5</v>
      </c>
      <c r="M951" s="7">
        <f t="shared" si="224"/>
        <v>0</v>
      </c>
      <c r="N951" s="35">
        <f t="shared" si="222"/>
        <v>5186.5</v>
      </c>
      <c r="O951" s="7">
        <f t="shared" si="224"/>
        <v>0</v>
      </c>
      <c r="P951" s="35">
        <f t="shared" si="218"/>
        <v>5186.5</v>
      </c>
      <c r="Q951" s="7">
        <f t="shared" si="224"/>
        <v>2070</v>
      </c>
      <c r="R951" s="35">
        <f t="shared" si="219"/>
        <v>7256.5</v>
      </c>
      <c r="S951" s="7">
        <f>S952+S953</f>
        <v>-447.80000000000018</v>
      </c>
      <c r="T951" s="35">
        <f t="shared" si="213"/>
        <v>6808.7</v>
      </c>
    </row>
    <row r="952" spans="1:21" ht="36" hidden="1" customHeight="1">
      <c r="A952" s="61" t="str">
        <f t="shared" ca="1" si="225"/>
        <v>Пособия, компенсации и иные социальные выплаты гражданам, кроме публичных нормативных обязательств</v>
      </c>
      <c r="B952" s="113" t="s">
        <v>401</v>
      </c>
      <c r="C952" s="8" t="s">
        <v>186</v>
      </c>
      <c r="D952" s="8" t="s">
        <v>215</v>
      </c>
      <c r="E952" s="113">
        <v>321</v>
      </c>
      <c r="F952" s="7">
        <f>прил.6!G1445</f>
        <v>5186.5</v>
      </c>
      <c r="G952" s="7">
        <f>прил.6!H1445</f>
        <v>0</v>
      </c>
      <c r="H952" s="35">
        <f t="shared" si="210"/>
        <v>5186.5</v>
      </c>
      <c r="I952" s="7">
        <f>прил.6!J1445</f>
        <v>0</v>
      </c>
      <c r="J952" s="35">
        <f t="shared" si="207"/>
        <v>5186.5</v>
      </c>
      <c r="K952" s="7">
        <f>прил.6!L1445</f>
        <v>0</v>
      </c>
      <c r="L952" s="35">
        <f t="shared" si="221"/>
        <v>5186.5</v>
      </c>
      <c r="M952" s="7">
        <f>прил.6!N1445</f>
        <v>0</v>
      </c>
      <c r="N952" s="35">
        <f t="shared" si="222"/>
        <v>5186.5</v>
      </c>
      <c r="O952" s="7">
        <f>прил.6!P1445</f>
        <v>0</v>
      </c>
      <c r="P952" s="35">
        <f t="shared" si="218"/>
        <v>5186.5</v>
      </c>
      <c r="Q952" s="7">
        <f>прил.6!R1445</f>
        <v>2070</v>
      </c>
      <c r="R952" s="35">
        <f t="shared" si="219"/>
        <v>7256.5</v>
      </c>
      <c r="S952" s="7">
        <f>прил.6!T1445</f>
        <v>-7256.5</v>
      </c>
      <c r="T952" s="35">
        <f t="shared" si="213"/>
        <v>0</v>
      </c>
      <c r="U952" s="20" t="s">
        <v>706</v>
      </c>
    </row>
    <row r="953" spans="1:21" ht="36" customHeight="1">
      <c r="A953" s="61" t="str">
        <f t="shared" ca="1" si="225"/>
        <v>Приобретение товаров, работ, услуг в пользу граждан в целях их социального обеспечения</v>
      </c>
      <c r="B953" s="113" t="s">
        <v>401</v>
      </c>
      <c r="C953" s="8" t="s">
        <v>186</v>
      </c>
      <c r="D953" s="8" t="s">
        <v>215</v>
      </c>
      <c r="E953" s="113">
        <v>323</v>
      </c>
      <c r="F953" s="7"/>
      <c r="G953" s="7"/>
      <c r="H953" s="35"/>
      <c r="I953" s="7"/>
      <c r="J953" s="35"/>
      <c r="K953" s="7"/>
      <c r="L953" s="35"/>
      <c r="M953" s="7"/>
      <c r="N953" s="35"/>
      <c r="O953" s="7"/>
      <c r="P953" s="35"/>
      <c r="Q953" s="7"/>
      <c r="R953" s="35"/>
      <c r="S953" s="7">
        <f>прил.6!T1446</f>
        <v>6808.7</v>
      </c>
      <c r="T953" s="35">
        <f t="shared" si="213"/>
        <v>6808.7</v>
      </c>
    </row>
    <row r="954" spans="1:21" ht="36" customHeight="1">
      <c r="A954" s="61" t="str">
        <f ca="1">IF(ISERROR(MATCH(B954,Код_КЦСР,0)),"",INDIRECT(ADDRESS(MATCH(B954,Код_КЦСР,0)+1,2,,,"КЦСР")))</f>
        <v>Муниципальная программа «Обеспечение жильем отдельных категорий граждан» на 2014-2020 годы</v>
      </c>
      <c r="B954" s="45" t="s">
        <v>23</v>
      </c>
      <c r="C954" s="8"/>
      <c r="D954" s="1"/>
      <c r="E954" s="113"/>
      <c r="F954" s="7">
        <f>F955+F961+F980</f>
        <v>21306.799999999999</v>
      </c>
      <c r="G954" s="7">
        <f>G955+G961+G980</f>
        <v>0</v>
      </c>
      <c r="H954" s="35">
        <f t="shared" si="210"/>
        <v>21306.799999999999</v>
      </c>
      <c r="I954" s="7">
        <f>I955+I961+I980</f>
        <v>0</v>
      </c>
      <c r="J954" s="35">
        <f t="shared" si="207"/>
        <v>21306.799999999999</v>
      </c>
      <c r="K954" s="7">
        <f>K955+K961+K980</f>
        <v>0</v>
      </c>
      <c r="L954" s="35">
        <f t="shared" si="221"/>
        <v>21306.799999999999</v>
      </c>
      <c r="M954" s="7">
        <f>M955+M961+M980</f>
        <v>0</v>
      </c>
      <c r="N954" s="35">
        <f t="shared" si="222"/>
        <v>21306.799999999999</v>
      </c>
      <c r="O954" s="7">
        <f>O955+O961+O980</f>
        <v>0</v>
      </c>
      <c r="P954" s="35">
        <f t="shared" si="218"/>
        <v>21306.799999999999</v>
      </c>
      <c r="Q954" s="7">
        <f>Q955+Q961+Q980</f>
        <v>-3318.1000000000004</v>
      </c>
      <c r="R954" s="35">
        <f t="shared" si="219"/>
        <v>17988.699999999997</v>
      </c>
      <c r="S954" s="7">
        <f>S955+S961+S980</f>
        <v>1</v>
      </c>
      <c r="T954" s="35">
        <f t="shared" si="213"/>
        <v>17989.699999999997</v>
      </c>
    </row>
    <row r="955" spans="1:21" ht="85.5" customHeight="1">
      <c r="A955" s="61" t="str">
        <f ca="1">IF(ISERROR(MATCH(B955,Код_КЦСР,0)),"",INDIRECT(ADDRESS(MATCH(B955,Код_КЦСР,0)+1,2,,,"КЦСР")))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955" s="47" t="s">
        <v>437</v>
      </c>
      <c r="C955" s="8"/>
      <c r="D955" s="1"/>
      <c r="E955" s="113"/>
      <c r="F955" s="7">
        <f t="shared" ref="F955:S959" si="226">F956</f>
        <v>9250.7000000000007</v>
      </c>
      <c r="G955" s="7">
        <f t="shared" si="226"/>
        <v>0</v>
      </c>
      <c r="H955" s="35">
        <f t="shared" si="210"/>
        <v>9250.7000000000007</v>
      </c>
      <c r="I955" s="7">
        <f t="shared" si="226"/>
        <v>0</v>
      </c>
      <c r="J955" s="35">
        <f t="shared" ref="J955:J1029" si="227">H955+I955</f>
        <v>9250.7000000000007</v>
      </c>
      <c r="K955" s="7">
        <f t="shared" si="226"/>
        <v>0</v>
      </c>
      <c r="L955" s="35">
        <f t="shared" si="221"/>
        <v>9250.7000000000007</v>
      </c>
      <c r="M955" s="7">
        <f t="shared" si="226"/>
        <v>0</v>
      </c>
      <c r="N955" s="35">
        <f t="shared" si="222"/>
        <v>9250.7000000000007</v>
      </c>
      <c r="O955" s="7">
        <f t="shared" si="226"/>
        <v>0</v>
      </c>
      <c r="P955" s="35">
        <f t="shared" si="218"/>
        <v>9250.7000000000007</v>
      </c>
      <c r="Q955" s="7">
        <f t="shared" si="226"/>
        <v>2812.5</v>
      </c>
      <c r="R955" s="35">
        <f t="shared" si="219"/>
        <v>12063.2</v>
      </c>
      <c r="S955" s="7">
        <f t="shared" si="226"/>
        <v>1</v>
      </c>
      <c r="T955" s="35">
        <f t="shared" si="213"/>
        <v>12064.2</v>
      </c>
    </row>
    <row r="956" spans="1:21">
      <c r="A956" s="61" t="str">
        <f ca="1">IF(ISERROR(MATCH(C956,Код_Раздел,0)),"",INDIRECT(ADDRESS(MATCH(C956,Код_Раздел,0)+1,2,,,"Раздел")))</f>
        <v>Социальная политика</v>
      </c>
      <c r="B956" s="47" t="s">
        <v>437</v>
      </c>
      <c r="C956" s="8" t="s">
        <v>186</v>
      </c>
      <c r="D956" s="1"/>
      <c r="E956" s="113"/>
      <c r="F956" s="7">
        <f t="shared" si="226"/>
        <v>9250.7000000000007</v>
      </c>
      <c r="G956" s="7">
        <f t="shared" si="226"/>
        <v>0</v>
      </c>
      <c r="H956" s="35">
        <f t="shared" si="210"/>
        <v>9250.7000000000007</v>
      </c>
      <c r="I956" s="7">
        <f t="shared" si="226"/>
        <v>0</v>
      </c>
      <c r="J956" s="35">
        <f t="shared" si="227"/>
        <v>9250.7000000000007</v>
      </c>
      <c r="K956" s="7">
        <f t="shared" si="226"/>
        <v>0</v>
      </c>
      <c r="L956" s="35">
        <f t="shared" si="221"/>
        <v>9250.7000000000007</v>
      </c>
      <c r="M956" s="7">
        <f t="shared" si="226"/>
        <v>0</v>
      </c>
      <c r="N956" s="35">
        <f t="shared" si="222"/>
        <v>9250.7000000000007</v>
      </c>
      <c r="O956" s="7">
        <f t="shared" si="226"/>
        <v>0</v>
      </c>
      <c r="P956" s="35">
        <f t="shared" si="218"/>
        <v>9250.7000000000007</v>
      </c>
      <c r="Q956" s="7">
        <f t="shared" si="226"/>
        <v>2812.5</v>
      </c>
      <c r="R956" s="35">
        <f t="shared" si="219"/>
        <v>12063.2</v>
      </c>
      <c r="S956" s="7">
        <f t="shared" si="226"/>
        <v>1</v>
      </c>
      <c r="T956" s="35">
        <f t="shared" si="213"/>
        <v>12064.2</v>
      </c>
    </row>
    <row r="957" spans="1:21">
      <c r="A957" s="12" t="s">
        <v>177</v>
      </c>
      <c r="B957" s="47" t="s">
        <v>437</v>
      </c>
      <c r="C957" s="8" t="s">
        <v>186</v>
      </c>
      <c r="D957" s="8" t="s">
        <v>213</v>
      </c>
      <c r="E957" s="113"/>
      <c r="F957" s="7">
        <f t="shared" si="226"/>
        <v>9250.7000000000007</v>
      </c>
      <c r="G957" s="7">
        <f t="shared" si="226"/>
        <v>0</v>
      </c>
      <c r="H957" s="35">
        <f t="shared" si="210"/>
        <v>9250.7000000000007</v>
      </c>
      <c r="I957" s="7">
        <f t="shared" si="226"/>
        <v>0</v>
      </c>
      <c r="J957" s="35">
        <f t="shared" si="227"/>
        <v>9250.7000000000007</v>
      </c>
      <c r="K957" s="7">
        <f t="shared" si="226"/>
        <v>0</v>
      </c>
      <c r="L957" s="35">
        <f t="shared" si="221"/>
        <v>9250.7000000000007</v>
      </c>
      <c r="M957" s="7">
        <f t="shared" si="226"/>
        <v>0</v>
      </c>
      <c r="N957" s="35">
        <f t="shared" si="222"/>
        <v>9250.7000000000007</v>
      </c>
      <c r="O957" s="7">
        <f t="shared" si="226"/>
        <v>0</v>
      </c>
      <c r="P957" s="35">
        <f t="shared" si="218"/>
        <v>9250.7000000000007</v>
      </c>
      <c r="Q957" s="7">
        <f t="shared" si="226"/>
        <v>2812.5</v>
      </c>
      <c r="R957" s="35">
        <f t="shared" si="219"/>
        <v>12063.2</v>
      </c>
      <c r="S957" s="7">
        <f t="shared" si="226"/>
        <v>1</v>
      </c>
      <c r="T957" s="35">
        <f t="shared" si="213"/>
        <v>12064.2</v>
      </c>
    </row>
    <row r="958" spans="1:21">
      <c r="A958" s="61" t="str">
        <f ca="1">IF(ISERROR(MATCH(E958,Код_КВР,0)),"",INDIRECT(ADDRESS(MATCH(E958,Код_КВР,0)+1,2,,,"КВР")))</f>
        <v>Социальное обеспечение и иные выплаты населению</v>
      </c>
      <c r="B958" s="47" t="s">
        <v>437</v>
      </c>
      <c r="C958" s="8" t="s">
        <v>186</v>
      </c>
      <c r="D958" s="8" t="s">
        <v>213</v>
      </c>
      <c r="E958" s="113">
        <v>300</v>
      </c>
      <c r="F958" s="7">
        <f t="shared" si="226"/>
        <v>9250.7000000000007</v>
      </c>
      <c r="G958" s="7">
        <f t="shared" si="226"/>
        <v>0</v>
      </c>
      <c r="H958" s="35">
        <f t="shared" si="210"/>
        <v>9250.7000000000007</v>
      </c>
      <c r="I958" s="7">
        <f t="shared" si="226"/>
        <v>0</v>
      </c>
      <c r="J958" s="35">
        <f t="shared" si="227"/>
        <v>9250.7000000000007</v>
      </c>
      <c r="K958" s="7">
        <f t="shared" si="226"/>
        <v>0</v>
      </c>
      <c r="L958" s="35">
        <f t="shared" si="221"/>
        <v>9250.7000000000007</v>
      </c>
      <c r="M958" s="7">
        <f t="shared" si="226"/>
        <v>0</v>
      </c>
      <c r="N958" s="35">
        <f t="shared" si="222"/>
        <v>9250.7000000000007</v>
      </c>
      <c r="O958" s="7">
        <f t="shared" si="226"/>
        <v>0</v>
      </c>
      <c r="P958" s="35">
        <f t="shared" si="218"/>
        <v>9250.7000000000007</v>
      </c>
      <c r="Q958" s="7">
        <f t="shared" si="226"/>
        <v>2812.5</v>
      </c>
      <c r="R958" s="35">
        <f t="shared" si="219"/>
        <v>12063.2</v>
      </c>
      <c r="S958" s="7">
        <f t="shared" si="226"/>
        <v>1</v>
      </c>
      <c r="T958" s="35">
        <f t="shared" si="213"/>
        <v>12064.2</v>
      </c>
    </row>
    <row r="959" spans="1:21" ht="33">
      <c r="A959" s="61" t="str">
        <f ca="1">IF(ISERROR(MATCH(E959,Код_КВР,0)),"",INDIRECT(ADDRESS(MATCH(E959,Код_КВР,0)+1,2,,,"КВР")))</f>
        <v>Социальные выплаты гражданам, кроме публичных нормативных социальных выплат</v>
      </c>
      <c r="B959" s="47" t="s">
        <v>437</v>
      </c>
      <c r="C959" s="8" t="s">
        <v>186</v>
      </c>
      <c r="D959" s="8" t="s">
        <v>213</v>
      </c>
      <c r="E959" s="113">
        <v>320</v>
      </c>
      <c r="F959" s="7">
        <f t="shared" si="226"/>
        <v>9250.7000000000007</v>
      </c>
      <c r="G959" s="7">
        <f t="shared" si="226"/>
        <v>0</v>
      </c>
      <c r="H959" s="35">
        <f t="shared" si="210"/>
        <v>9250.7000000000007</v>
      </c>
      <c r="I959" s="7">
        <f t="shared" si="226"/>
        <v>0</v>
      </c>
      <c r="J959" s="35">
        <f t="shared" si="227"/>
        <v>9250.7000000000007</v>
      </c>
      <c r="K959" s="7">
        <f t="shared" si="226"/>
        <v>0</v>
      </c>
      <c r="L959" s="35">
        <f t="shared" si="221"/>
        <v>9250.7000000000007</v>
      </c>
      <c r="M959" s="7">
        <f t="shared" si="226"/>
        <v>0</v>
      </c>
      <c r="N959" s="35">
        <f t="shared" si="222"/>
        <v>9250.7000000000007</v>
      </c>
      <c r="O959" s="7">
        <f t="shared" si="226"/>
        <v>0</v>
      </c>
      <c r="P959" s="35">
        <f t="shared" si="218"/>
        <v>9250.7000000000007</v>
      </c>
      <c r="Q959" s="7">
        <f t="shared" si="226"/>
        <v>2812.5</v>
      </c>
      <c r="R959" s="35">
        <f t="shared" si="219"/>
        <v>12063.2</v>
      </c>
      <c r="S959" s="7">
        <f t="shared" si="226"/>
        <v>1</v>
      </c>
      <c r="T959" s="35">
        <f t="shared" si="213"/>
        <v>12064.2</v>
      </c>
    </row>
    <row r="960" spans="1:21">
      <c r="A960" s="61" t="str">
        <f ca="1">IF(ISERROR(MATCH(E960,Код_КВР,0)),"",INDIRECT(ADDRESS(MATCH(E960,Код_КВР,0)+1,2,,,"КВР")))</f>
        <v>Субсидии гражданам на приобретение жилья</v>
      </c>
      <c r="B960" s="47" t="s">
        <v>437</v>
      </c>
      <c r="C960" s="8" t="s">
        <v>186</v>
      </c>
      <c r="D960" s="8" t="s">
        <v>213</v>
      </c>
      <c r="E960" s="113">
        <v>322</v>
      </c>
      <c r="F960" s="7">
        <f>прил.6!G347</f>
        <v>9250.7000000000007</v>
      </c>
      <c r="G960" s="7">
        <f>прил.6!H347</f>
        <v>0</v>
      </c>
      <c r="H960" s="35">
        <f t="shared" si="210"/>
        <v>9250.7000000000007</v>
      </c>
      <c r="I960" s="7">
        <f>прил.6!J347</f>
        <v>0</v>
      </c>
      <c r="J960" s="35">
        <f t="shared" si="227"/>
        <v>9250.7000000000007</v>
      </c>
      <c r="K960" s="7">
        <f>прил.6!L347</f>
        <v>0</v>
      </c>
      <c r="L960" s="35">
        <f t="shared" si="221"/>
        <v>9250.7000000000007</v>
      </c>
      <c r="M960" s="7">
        <f>прил.6!N347</f>
        <v>0</v>
      </c>
      <c r="N960" s="35">
        <f t="shared" si="222"/>
        <v>9250.7000000000007</v>
      </c>
      <c r="O960" s="7">
        <f>прил.6!P347</f>
        <v>0</v>
      </c>
      <c r="P960" s="35">
        <f t="shared" si="218"/>
        <v>9250.7000000000007</v>
      </c>
      <c r="Q960" s="7">
        <f>прил.6!R347</f>
        <v>2812.5</v>
      </c>
      <c r="R960" s="35">
        <f t="shared" si="219"/>
        <v>12063.2</v>
      </c>
      <c r="S960" s="7">
        <f>прил.6!T347</f>
        <v>1</v>
      </c>
      <c r="T960" s="35">
        <f t="shared" si="213"/>
        <v>12064.2</v>
      </c>
    </row>
    <row r="961" spans="1:20">
      <c r="A961" s="61" t="str">
        <f ca="1">IF(ISERROR(MATCH(B961,Код_КЦСР,0)),"",INDIRECT(ADDRESS(MATCH(B961,Код_КЦСР,0)+1,2,,,"КЦСР")))</f>
        <v>Обеспечение жильем молодых семей</v>
      </c>
      <c r="B961" s="45" t="s">
        <v>25</v>
      </c>
      <c r="C961" s="8"/>
      <c r="D961" s="1"/>
      <c r="E961" s="113"/>
      <c r="F961" s="7">
        <f>F962+F974</f>
        <v>2886.3</v>
      </c>
      <c r="G961" s="7">
        <f>G962+G974</f>
        <v>0</v>
      </c>
      <c r="H961" s="35">
        <f t="shared" si="210"/>
        <v>2886.3</v>
      </c>
      <c r="I961" s="7">
        <f>I962+I974</f>
        <v>0</v>
      </c>
      <c r="J961" s="35">
        <f t="shared" si="227"/>
        <v>2886.3</v>
      </c>
      <c r="K961" s="7">
        <f>K962+K974</f>
        <v>0</v>
      </c>
      <c r="L961" s="35">
        <f t="shared" si="221"/>
        <v>2886.3</v>
      </c>
      <c r="M961" s="7">
        <f>M962+M974</f>
        <v>0</v>
      </c>
      <c r="N961" s="35">
        <f t="shared" si="222"/>
        <v>2886.3</v>
      </c>
      <c r="O961" s="7">
        <f>O962+O974</f>
        <v>0</v>
      </c>
      <c r="P961" s="35">
        <f t="shared" si="218"/>
        <v>2886.3</v>
      </c>
      <c r="Q961" s="7">
        <f>Q962+Q974+Q968</f>
        <v>504</v>
      </c>
      <c r="R961" s="35">
        <f t="shared" si="219"/>
        <v>3390.3</v>
      </c>
      <c r="S961" s="7">
        <f>S962+S974+S968</f>
        <v>0</v>
      </c>
      <c r="T961" s="35">
        <f t="shared" si="213"/>
        <v>3390.3</v>
      </c>
    </row>
    <row r="962" spans="1:20" ht="33">
      <c r="A962" s="61" t="str">
        <f ca="1">IF(ISERROR(MATCH(B962,Код_КЦСР,0)),"",INDIRECT(ADDRESS(MATCH(B962,Код_КЦСР,0)+1,2,,,"КЦСР")))</f>
        <v>Предоставление социальных выплат на приобретение (строительство) жилья молодыми семьями</v>
      </c>
      <c r="B962" s="45" t="s">
        <v>27</v>
      </c>
      <c r="C962" s="8"/>
      <c r="D962" s="1"/>
      <c r="E962" s="113"/>
      <c r="F962" s="7">
        <f t="shared" ref="F962:S978" si="228">F963</f>
        <v>2886.3</v>
      </c>
      <c r="G962" s="7">
        <f t="shared" si="228"/>
        <v>0</v>
      </c>
      <c r="H962" s="35">
        <f t="shared" si="210"/>
        <v>2886.3</v>
      </c>
      <c r="I962" s="7">
        <f t="shared" si="228"/>
        <v>0</v>
      </c>
      <c r="J962" s="35">
        <f t="shared" si="227"/>
        <v>2886.3</v>
      </c>
      <c r="K962" s="7">
        <f t="shared" si="228"/>
        <v>0</v>
      </c>
      <c r="L962" s="35">
        <f t="shared" si="221"/>
        <v>2886.3</v>
      </c>
      <c r="M962" s="7">
        <f t="shared" si="228"/>
        <v>0</v>
      </c>
      <c r="N962" s="35">
        <f t="shared" si="222"/>
        <v>2886.3</v>
      </c>
      <c r="O962" s="7">
        <f t="shared" si="228"/>
        <v>0</v>
      </c>
      <c r="P962" s="35">
        <f t="shared" si="218"/>
        <v>2886.3</v>
      </c>
      <c r="Q962" s="7">
        <f t="shared" si="228"/>
        <v>-1220.2</v>
      </c>
      <c r="R962" s="35">
        <f t="shared" si="219"/>
        <v>1666.1000000000001</v>
      </c>
      <c r="S962" s="7">
        <f t="shared" si="228"/>
        <v>0</v>
      </c>
      <c r="T962" s="35">
        <f t="shared" si="213"/>
        <v>1666.1000000000001</v>
      </c>
    </row>
    <row r="963" spans="1:20">
      <c r="A963" s="61" t="str">
        <f ca="1">IF(ISERROR(MATCH(C963,Код_Раздел,0)),"",INDIRECT(ADDRESS(MATCH(C963,Код_Раздел,0)+1,2,,,"Раздел")))</f>
        <v>Социальная политика</v>
      </c>
      <c r="B963" s="45" t="s">
        <v>27</v>
      </c>
      <c r="C963" s="8" t="s">
        <v>186</v>
      </c>
      <c r="D963" s="1"/>
      <c r="E963" s="113"/>
      <c r="F963" s="7">
        <f t="shared" si="228"/>
        <v>2886.3</v>
      </c>
      <c r="G963" s="7">
        <f t="shared" si="228"/>
        <v>0</v>
      </c>
      <c r="H963" s="35">
        <f t="shared" ref="H963:H1037" si="229">F963+G963</f>
        <v>2886.3</v>
      </c>
      <c r="I963" s="7">
        <f t="shared" si="228"/>
        <v>0</v>
      </c>
      <c r="J963" s="35">
        <f t="shared" si="227"/>
        <v>2886.3</v>
      </c>
      <c r="K963" s="7">
        <f t="shared" si="228"/>
        <v>0</v>
      </c>
      <c r="L963" s="35">
        <f t="shared" si="221"/>
        <v>2886.3</v>
      </c>
      <c r="M963" s="7">
        <f t="shared" si="228"/>
        <v>0</v>
      </c>
      <c r="N963" s="35">
        <f t="shared" si="222"/>
        <v>2886.3</v>
      </c>
      <c r="O963" s="7">
        <f t="shared" si="228"/>
        <v>0</v>
      </c>
      <c r="P963" s="35">
        <f t="shared" si="218"/>
        <v>2886.3</v>
      </c>
      <c r="Q963" s="7">
        <f t="shared" si="228"/>
        <v>-1220.2</v>
      </c>
      <c r="R963" s="35">
        <f t="shared" si="219"/>
        <v>1666.1000000000001</v>
      </c>
      <c r="S963" s="7">
        <f t="shared" si="228"/>
        <v>0</v>
      </c>
      <c r="T963" s="35">
        <f t="shared" si="213"/>
        <v>1666.1000000000001</v>
      </c>
    </row>
    <row r="964" spans="1:20">
      <c r="A964" s="12" t="s">
        <v>177</v>
      </c>
      <c r="B964" s="45" t="s">
        <v>27</v>
      </c>
      <c r="C964" s="8" t="s">
        <v>186</v>
      </c>
      <c r="D964" s="8" t="s">
        <v>213</v>
      </c>
      <c r="E964" s="113"/>
      <c r="F964" s="7">
        <f t="shared" si="228"/>
        <v>2886.3</v>
      </c>
      <c r="G964" s="7">
        <f t="shared" si="228"/>
        <v>0</v>
      </c>
      <c r="H964" s="35">
        <f t="shared" si="229"/>
        <v>2886.3</v>
      </c>
      <c r="I964" s="7">
        <f t="shared" si="228"/>
        <v>0</v>
      </c>
      <c r="J964" s="35">
        <f t="shared" si="227"/>
        <v>2886.3</v>
      </c>
      <c r="K964" s="7">
        <f t="shared" si="228"/>
        <v>0</v>
      </c>
      <c r="L964" s="35">
        <f t="shared" si="221"/>
        <v>2886.3</v>
      </c>
      <c r="M964" s="7">
        <f t="shared" si="228"/>
        <v>0</v>
      </c>
      <c r="N964" s="35">
        <f t="shared" si="222"/>
        <v>2886.3</v>
      </c>
      <c r="O964" s="7">
        <f t="shared" si="228"/>
        <v>0</v>
      </c>
      <c r="P964" s="35">
        <f t="shared" si="218"/>
        <v>2886.3</v>
      </c>
      <c r="Q964" s="7">
        <f t="shared" si="228"/>
        <v>-1220.2</v>
      </c>
      <c r="R964" s="35">
        <f t="shared" si="219"/>
        <v>1666.1000000000001</v>
      </c>
      <c r="S964" s="7">
        <f t="shared" si="228"/>
        <v>0</v>
      </c>
      <c r="T964" s="35">
        <f t="shared" si="213"/>
        <v>1666.1000000000001</v>
      </c>
    </row>
    <row r="965" spans="1:20">
      <c r="A965" s="61" t="str">
        <f ca="1">IF(ISERROR(MATCH(E965,Код_КВР,0)),"",INDIRECT(ADDRESS(MATCH(E965,Код_КВР,0)+1,2,,,"КВР")))</f>
        <v>Социальное обеспечение и иные выплаты населению</v>
      </c>
      <c r="B965" s="45" t="s">
        <v>27</v>
      </c>
      <c r="C965" s="8" t="s">
        <v>186</v>
      </c>
      <c r="D965" s="8" t="s">
        <v>213</v>
      </c>
      <c r="E965" s="113">
        <v>300</v>
      </c>
      <c r="F965" s="7">
        <f t="shared" si="228"/>
        <v>2886.3</v>
      </c>
      <c r="G965" s="7">
        <f t="shared" si="228"/>
        <v>0</v>
      </c>
      <c r="H965" s="35">
        <f t="shared" si="229"/>
        <v>2886.3</v>
      </c>
      <c r="I965" s="7">
        <f t="shared" si="228"/>
        <v>0</v>
      </c>
      <c r="J965" s="35">
        <f t="shared" si="227"/>
        <v>2886.3</v>
      </c>
      <c r="K965" s="7">
        <f t="shared" si="228"/>
        <v>0</v>
      </c>
      <c r="L965" s="35">
        <f t="shared" si="221"/>
        <v>2886.3</v>
      </c>
      <c r="M965" s="7">
        <f t="shared" si="228"/>
        <v>0</v>
      </c>
      <c r="N965" s="35">
        <f t="shared" si="222"/>
        <v>2886.3</v>
      </c>
      <c r="O965" s="7">
        <f t="shared" si="228"/>
        <v>0</v>
      </c>
      <c r="P965" s="35">
        <f t="shared" si="218"/>
        <v>2886.3</v>
      </c>
      <c r="Q965" s="7">
        <f t="shared" si="228"/>
        <v>-1220.2</v>
      </c>
      <c r="R965" s="35">
        <f t="shared" si="219"/>
        <v>1666.1000000000001</v>
      </c>
      <c r="S965" s="7">
        <f t="shared" si="228"/>
        <v>0</v>
      </c>
      <c r="T965" s="35">
        <f t="shared" si="213"/>
        <v>1666.1000000000001</v>
      </c>
    </row>
    <row r="966" spans="1:20" ht="33">
      <c r="A966" s="61" t="str">
        <f ca="1">IF(ISERROR(MATCH(E966,Код_КВР,0)),"",INDIRECT(ADDRESS(MATCH(E966,Код_КВР,0)+1,2,,,"КВР")))</f>
        <v>Социальные выплаты гражданам, кроме публичных нормативных социальных выплат</v>
      </c>
      <c r="B966" s="45" t="s">
        <v>27</v>
      </c>
      <c r="C966" s="8" t="s">
        <v>186</v>
      </c>
      <c r="D966" s="8" t="s">
        <v>213</v>
      </c>
      <c r="E966" s="113">
        <v>320</v>
      </c>
      <c r="F966" s="7">
        <f t="shared" si="228"/>
        <v>2886.3</v>
      </c>
      <c r="G966" s="7">
        <f t="shared" si="228"/>
        <v>0</v>
      </c>
      <c r="H966" s="35">
        <f t="shared" si="229"/>
        <v>2886.3</v>
      </c>
      <c r="I966" s="7">
        <f t="shared" si="228"/>
        <v>0</v>
      </c>
      <c r="J966" s="35">
        <f t="shared" si="227"/>
        <v>2886.3</v>
      </c>
      <c r="K966" s="7">
        <f t="shared" si="228"/>
        <v>0</v>
      </c>
      <c r="L966" s="35">
        <f t="shared" si="221"/>
        <v>2886.3</v>
      </c>
      <c r="M966" s="7">
        <f t="shared" si="228"/>
        <v>0</v>
      </c>
      <c r="N966" s="35">
        <f t="shared" si="222"/>
        <v>2886.3</v>
      </c>
      <c r="O966" s="7">
        <f t="shared" si="228"/>
        <v>0</v>
      </c>
      <c r="P966" s="35">
        <f t="shared" si="218"/>
        <v>2886.3</v>
      </c>
      <c r="Q966" s="7">
        <f t="shared" si="228"/>
        <v>-1220.2</v>
      </c>
      <c r="R966" s="35">
        <f t="shared" si="219"/>
        <v>1666.1000000000001</v>
      </c>
      <c r="S966" s="7">
        <f t="shared" si="228"/>
        <v>0</v>
      </c>
      <c r="T966" s="35">
        <f t="shared" si="213"/>
        <v>1666.1000000000001</v>
      </c>
    </row>
    <row r="967" spans="1:20">
      <c r="A967" s="61" t="str">
        <f ca="1">IF(ISERROR(MATCH(E967,Код_КВР,0)),"",INDIRECT(ADDRESS(MATCH(E967,Код_КВР,0)+1,2,,,"КВР")))</f>
        <v>Субсидии гражданам на приобретение жилья</v>
      </c>
      <c r="B967" s="45" t="s">
        <v>27</v>
      </c>
      <c r="C967" s="8" t="s">
        <v>186</v>
      </c>
      <c r="D967" s="8" t="s">
        <v>213</v>
      </c>
      <c r="E967" s="113">
        <v>322</v>
      </c>
      <c r="F967" s="7">
        <f>прил.6!G352</f>
        <v>2886.3</v>
      </c>
      <c r="G967" s="7">
        <f>прил.6!H352</f>
        <v>0</v>
      </c>
      <c r="H967" s="35">
        <f t="shared" si="229"/>
        <v>2886.3</v>
      </c>
      <c r="I967" s="7">
        <f>прил.6!J352</f>
        <v>0</v>
      </c>
      <c r="J967" s="35">
        <f t="shared" si="227"/>
        <v>2886.3</v>
      </c>
      <c r="K967" s="7">
        <f>прил.6!L352</f>
        <v>0</v>
      </c>
      <c r="L967" s="35">
        <f t="shared" si="221"/>
        <v>2886.3</v>
      </c>
      <c r="M967" s="7">
        <f>прил.6!N352</f>
        <v>0</v>
      </c>
      <c r="N967" s="35">
        <f t="shared" si="222"/>
        <v>2886.3</v>
      </c>
      <c r="O967" s="7">
        <f>прил.6!P352</f>
        <v>0</v>
      </c>
      <c r="P967" s="35">
        <f t="shared" si="218"/>
        <v>2886.3</v>
      </c>
      <c r="Q967" s="7">
        <f>прил.6!R352</f>
        <v>-1220.2</v>
      </c>
      <c r="R967" s="35">
        <f t="shared" si="219"/>
        <v>1666.1000000000001</v>
      </c>
      <c r="S967" s="7">
        <f>прил.6!T352</f>
        <v>0</v>
      </c>
      <c r="T967" s="35">
        <f t="shared" ref="T967:T1031" si="230">R967+S967</f>
        <v>1666.1000000000001</v>
      </c>
    </row>
    <row r="968" spans="1:20" ht="56.25" customHeight="1">
      <c r="A968" s="61" t="str">
        <f ca="1">IF(ISERROR(MATCH(B968,Код_КЦСР,0)),"",INDIRECT(ADDRESS(MATCH(B968,Код_КЦСР,0)+1,2,,,"КЦСР")))</f>
        <v>Мероприятия подпрограммы «Обеспечение жильем молодых семей» федеральной целевой программы «Жилище» на 2011-2015 годы за счет субсидий из федерального бюджета</v>
      </c>
      <c r="B968" s="45" t="s">
        <v>635</v>
      </c>
      <c r="C968" s="8"/>
      <c r="D968" s="1"/>
      <c r="E968" s="113"/>
      <c r="F968" s="7"/>
      <c r="G968" s="7"/>
      <c r="H968" s="35"/>
      <c r="I968" s="7"/>
      <c r="J968" s="35"/>
      <c r="K968" s="7"/>
      <c r="L968" s="35"/>
      <c r="M968" s="7"/>
      <c r="N968" s="35"/>
      <c r="O968" s="7"/>
      <c r="P968" s="35"/>
      <c r="Q968" s="7">
        <f>Q971</f>
        <v>804</v>
      </c>
      <c r="R968" s="35">
        <f t="shared" si="219"/>
        <v>804</v>
      </c>
      <c r="S968" s="7">
        <f>S971</f>
        <v>0</v>
      </c>
      <c r="T968" s="35">
        <f t="shared" si="230"/>
        <v>804</v>
      </c>
    </row>
    <row r="969" spans="1:20" ht="22.9" customHeight="1">
      <c r="A969" s="61" t="str">
        <f ca="1">IF(ISERROR(MATCH(C969,Код_Раздел,0)),"",INDIRECT(ADDRESS(MATCH(C969,Код_Раздел,0)+1,2,,,"Раздел")))</f>
        <v>Социальная политика</v>
      </c>
      <c r="B969" s="45" t="s">
        <v>635</v>
      </c>
      <c r="C969" s="8" t="s">
        <v>186</v>
      </c>
      <c r="D969" s="1"/>
      <c r="E969" s="113"/>
      <c r="F969" s="7"/>
      <c r="G969" s="7"/>
      <c r="H969" s="35"/>
      <c r="I969" s="7"/>
      <c r="J969" s="35"/>
      <c r="K969" s="7"/>
      <c r="L969" s="35"/>
      <c r="M969" s="7"/>
      <c r="N969" s="35"/>
      <c r="O969" s="7"/>
      <c r="P969" s="35"/>
      <c r="Q969" s="7">
        <f>Q971</f>
        <v>804</v>
      </c>
      <c r="R969" s="35">
        <f t="shared" si="219"/>
        <v>804</v>
      </c>
      <c r="S969" s="7">
        <f>S971</f>
        <v>0</v>
      </c>
      <c r="T969" s="35">
        <f t="shared" si="230"/>
        <v>804</v>
      </c>
    </row>
    <row r="970" spans="1:20" ht="22.9" customHeight="1">
      <c r="A970" s="12" t="s">
        <v>177</v>
      </c>
      <c r="B970" s="45" t="s">
        <v>635</v>
      </c>
      <c r="C970" s="8" t="s">
        <v>186</v>
      </c>
      <c r="D970" s="1" t="s">
        <v>213</v>
      </c>
      <c r="E970" s="113"/>
      <c r="F970" s="7"/>
      <c r="G970" s="7"/>
      <c r="H970" s="35"/>
      <c r="I970" s="7"/>
      <c r="J970" s="35"/>
      <c r="K970" s="7"/>
      <c r="L970" s="35"/>
      <c r="M970" s="7"/>
      <c r="N970" s="35"/>
      <c r="O970" s="7"/>
      <c r="P970" s="35"/>
      <c r="Q970" s="7"/>
      <c r="R970" s="35">
        <f>R971</f>
        <v>804</v>
      </c>
      <c r="S970" s="7"/>
      <c r="T970" s="35">
        <f t="shared" si="230"/>
        <v>804</v>
      </c>
    </row>
    <row r="971" spans="1:20" ht="18.75" customHeight="1">
      <c r="A971" s="61" t="str">
        <f ca="1">IF(ISERROR(MATCH(E971,Код_КВР,0)),"",INDIRECT(ADDRESS(MATCH(E971,Код_КВР,0)+1,2,,,"КВР")))</f>
        <v>Социальное обеспечение и иные выплаты населению</v>
      </c>
      <c r="B971" s="45" t="s">
        <v>635</v>
      </c>
      <c r="C971" s="8" t="s">
        <v>186</v>
      </c>
      <c r="D971" s="8" t="s">
        <v>213</v>
      </c>
      <c r="E971" s="113">
        <v>300</v>
      </c>
      <c r="F971" s="7"/>
      <c r="G971" s="7"/>
      <c r="H971" s="35"/>
      <c r="I971" s="7"/>
      <c r="J971" s="35"/>
      <c r="K971" s="7"/>
      <c r="L971" s="35"/>
      <c r="M971" s="7"/>
      <c r="N971" s="35"/>
      <c r="O971" s="7"/>
      <c r="P971" s="35"/>
      <c r="Q971" s="7">
        <f>Q972</f>
        <v>804</v>
      </c>
      <c r="R971" s="35">
        <f t="shared" si="219"/>
        <v>804</v>
      </c>
      <c r="S971" s="7">
        <f>S972</f>
        <v>0</v>
      </c>
      <c r="T971" s="35">
        <f t="shared" si="230"/>
        <v>804</v>
      </c>
    </row>
    <row r="972" spans="1:20" ht="33">
      <c r="A972" s="61" t="str">
        <f ca="1">IF(ISERROR(MATCH(E972,Код_КВР,0)),"",INDIRECT(ADDRESS(MATCH(E972,Код_КВР,0)+1,2,,,"КВР")))</f>
        <v>Социальные выплаты гражданам, кроме публичных нормативных социальных выплат</v>
      </c>
      <c r="B972" s="45" t="s">
        <v>635</v>
      </c>
      <c r="C972" s="8" t="s">
        <v>186</v>
      </c>
      <c r="D972" s="8" t="s">
        <v>213</v>
      </c>
      <c r="E972" s="113">
        <v>320</v>
      </c>
      <c r="F972" s="7"/>
      <c r="G972" s="7"/>
      <c r="H972" s="35"/>
      <c r="I972" s="7"/>
      <c r="J972" s="35"/>
      <c r="K972" s="7"/>
      <c r="L972" s="35"/>
      <c r="M972" s="7"/>
      <c r="N972" s="35"/>
      <c r="O972" s="7"/>
      <c r="P972" s="35"/>
      <c r="Q972" s="7">
        <f>Q973</f>
        <v>804</v>
      </c>
      <c r="R972" s="35">
        <f t="shared" si="219"/>
        <v>804</v>
      </c>
      <c r="S972" s="7">
        <f>S973</f>
        <v>0</v>
      </c>
      <c r="T972" s="35">
        <f t="shared" si="230"/>
        <v>804</v>
      </c>
    </row>
    <row r="973" spans="1:20" ht="26.25" customHeight="1">
      <c r="A973" s="61" t="str">
        <f ca="1">IF(ISERROR(MATCH(E973,Код_КВР,0)),"",INDIRECT(ADDRESS(MATCH(E973,Код_КВР,0)+1,2,,,"КВР")))</f>
        <v>Субсидии гражданам на приобретение жилья</v>
      </c>
      <c r="B973" s="45" t="s">
        <v>635</v>
      </c>
      <c r="C973" s="8" t="s">
        <v>186</v>
      </c>
      <c r="D973" s="8" t="s">
        <v>213</v>
      </c>
      <c r="E973" s="113">
        <v>322</v>
      </c>
      <c r="F973" s="7"/>
      <c r="G973" s="7"/>
      <c r="H973" s="35"/>
      <c r="I973" s="7"/>
      <c r="J973" s="35"/>
      <c r="K973" s="7"/>
      <c r="L973" s="35"/>
      <c r="M973" s="7"/>
      <c r="N973" s="35"/>
      <c r="O973" s="7"/>
      <c r="P973" s="35"/>
      <c r="Q973" s="7">
        <f>прил.6!R356</f>
        <v>804</v>
      </c>
      <c r="R973" s="35">
        <f t="shared" si="219"/>
        <v>804</v>
      </c>
      <c r="S973" s="7">
        <f>прил.6!T356</f>
        <v>0</v>
      </c>
      <c r="T973" s="35">
        <f t="shared" si="230"/>
        <v>804</v>
      </c>
    </row>
    <row r="974" spans="1:20" ht="141.75" customHeight="1">
      <c r="A974" s="61" t="str">
        <f ca="1">IF(ISERROR(MATCH(B974,Код_КЦСР,0)),"",INDIRECT(ADDRESS(MATCH(B974,Код_КЦСР,0)+1,2,,,"КЦСР")))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974" s="45" t="s">
        <v>415</v>
      </c>
      <c r="C974" s="8"/>
      <c r="D974" s="1"/>
      <c r="E974" s="113"/>
      <c r="F974" s="7">
        <f t="shared" si="228"/>
        <v>0</v>
      </c>
      <c r="G974" s="7">
        <f t="shared" si="228"/>
        <v>0</v>
      </c>
      <c r="H974" s="35">
        <f t="shared" si="229"/>
        <v>0</v>
      </c>
      <c r="I974" s="7">
        <f t="shared" si="228"/>
        <v>0</v>
      </c>
      <c r="J974" s="35">
        <f t="shared" si="227"/>
        <v>0</v>
      </c>
      <c r="K974" s="7">
        <f t="shared" si="228"/>
        <v>0</v>
      </c>
      <c r="L974" s="35">
        <f t="shared" si="221"/>
        <v>0</v>
      </c>
      <c r="M974" s="7">
        <f t="shared" si="228"/>
        <v>0</v>
      </c>
      <c r="N974" s="35">
        <f t="shared" si="222"/>
        <v>0</v>
      </c>
      <c r="O974" s="7">
        <f t="shared" si="228"/>
        <v>0</v>
      </c>
      <c r="P974" s="35">
        <f t="shared" si="218"/>
        <v>0</v>
      </c>
      <c r="Q974" s="7">
        <f t="shared" si="228"/>
        <v>920.2</v>
      </c>
      <c r="R974" s="35">
        <f t="shared" si="219"/>
        <v>920.2</v>
      </c>
      <c r="S974" s="7">
        <f t="shared" si="228"/>
        <v>0</v>
      </c>
      <c r="T974" s="35">
        <f t="shared" si="230"/>
        <v>920.2</v>
      </c>
    </row>
    <row r="975" spans="1:20">
      <c r="A975" s="61" t="str">
        <f ca="1">IF(ISERROR(MATCH(C975,Код_Раздел,0)),"",INDIRECT(ADDRESS(MATCH(C975,Код_Раздел,0)+1,2,,,"Раздел")))</f>
        <v>Социальная политика</v>
      </c>
      <c r="B975" s="45" t="s">
        <v>415</v>
      </c>
      <c r="C975" s="8" t="s">
        <v>186</v>
      </c>
      <c r="D975" s="1"/>
      <c r="E975" s="113"/>
      <c r="F975" s="7">
        <f t="shared" si="228"/>
        <v>0</v>
      </c>
      <c r="G975" s="7">
        <f t="shared" si="228"/>
        <v>0</v>
      </c>
      <c r="H975" s="35">
        <f t="shared" si="229"/>
        <v>0</v>
      </c>
      <c r="I975" s="7">
        <f t="shared" si="228"/>
        <v>0</v>
      </c>
      <c r="J975" s="35">
        <f t="shared" si="227"/>
        <v>0</v>
      </c>
      <c r="K975" s="7">
        <f t="shared" si="228"/>
        <v>0</v>
      </c>
      <c r="L975" s="35">
        <f t="shared" si="221"/>
        <v>0</v>
      </c>
      <c r="M975" s="7">
        <f t="shared" si="228"/>
        <v>0</v>
      </c>
      <c r="N975" s="35">
        <f t="shared" si="222"/>
        <v>0</v>
      </c>
      <c r="O975" s="7">
        <f t="shared" si="228"/>
        <v>0</v>
      </c>
      <c r="P975" s="35">
        <f t="shared" si="218"/>
        <v>0</v>
      </c>
      <c r="Q975" s="7">
        <f t="shared" si="228"/>
        <v>920.2</v>
      </c>
      <c r="R975" s="35">
        <f t="shared" si="219"/>
        <v>920.2</v>
      </c>
      <c r="S975" s="7">
        <f t="shared" si="228"/>
        <v>0</v>
      </c>
      <c r="T975" s="35">
        <f t="shared" si="230"/>
        <v>920.2</v>
      </c>
    </row>
    <row r="976" spans="1:20">
      <c r="A976" s="12" t="s">
        <v>177</v>
      </c>
      <c r="B976" s="45" t="s">
        <v>415</v>
      </c>
      <c r="C976" s="8" t="s">
        <v>186</v>
      </c>
      <c r="D976" s="8" t="s">
        <v>213</v>
      </c>
      <c r="E976" s="113"/>
      <c r="F976" s="7">
        <f t="shared" si="228"/>
        <v>0</v>
      </c>
      <c r="G976" s="7">
        <f t="shared" si="228"/>
        <v>0</v>
      </c>
      <c r="H976" s="35">
        <f t="shared" si="229"/>
        <v>0</v>
      </c>
      <c r="I976" s="7">
        <f t="shared" si="228"/>
        <v>0</v>
      </c>
      <c r="J976" s="35">
        <f t="shared" si="227"/>
        <v>0</v>
      </c>
      <c r="K976" s="7">
        <f t="shared" si="228"/>
        <v>0</v>
      </c>
      <c r="L976" s="35">
        <f t="shared" si="221"/>
        <v>0</v>
      </c>
      <c r="M976" s="7">
        <f t="shared" si="228"/>
        <v>0</v>
      </c>
      <c r="N976" s="35">
        <f t="shared" si="222"/>
        <v>0</v>
      </c>
      <c r="O976" s="7">
        <f t="shared" si="228"/>
        <v>0</v>
      </c>
      <c r="P976" s="35">
        <f t="shared" si="218"/>
        <v>0</v>
      </c>
      <c r="Q976" s="7">
        <f t="shared" si="228"/>
        <v>920.2</v>
      </c>
      <c r="R976" s="35">
        <f t="shared" si="219"/>
        <v>920.2</v>
      </c>
      <c r="S976" s="7">
        <f t="shared" si="228"/>
        <v>0</v>
      </c>
      <c r="T976" s="35">
        <f t="shared" si="230"/>
        <v>920.2</v>
      </c>
    </row>
    <row r="977" spans="1:20">
      <c r="A977" s="61" t="str">
        <f ca="1">IF(ISERROR(MATCH(E977,Код_КВР,0)),"",INDIRECT(ADDRESS(MATCH(E977,Код_КВР,0)+1,2,,,"КВР")))</f>
        <v>Социальное обеспечение и иные выплаты населению</v>
      </c>
      <c r="B977" s="45" t="s">
        <v>415</v>
      </c>
      <c r="C977" s="8" t="s">
        <v>186</v>
      </c>
      <c r="D977" s="8" t="s">
        <v>213</v>
      </c>
      <c r="E977" s="113">
        <v>300</v>
      </c>
      <c r="F977" s="7">
        <f t="shared" si="228"/>
        <v>0</v>
      </c>
      <c r="G977" s="7">
        <f t="shared" si="228"/>
        <v>0</v>
      </c>
      <c r="H977" s="35">
        <f t="shared" si="229"/>
        <v>0</v>
      </c>
      <c r="I977" s="7">
        <f t="shared" si="228"/>
        <v>0</v>
      </c>
      <c r="J977" s="35">
        <f t="shared" si="227"/>
        <v>0</v>
      </c>
      <c r="K977" s="7">
        <f t="shared" si="228"/>
        <v>0</v>
      </c>
      <c r="L977" s="35">
        <f t="shared" si="221"/>
        <v>0</v>
      </c>
      <c r="M977" s="7">
        <f t="shared" si="228"/>
        <v>0</v>
      </c>
      <c r="N977" s="35">
        <f t="shared" si="222"/>
        <v>0</v>
      </c>
      <c r="O977" s="7">
        <f t="shared" si="228"/>
        <v>0</v>
      </c>
      <c r="P977" s="35">
        <f t="shared" si="218"/>
        <v>0</v>
      </c>
      <c r="Q977" s="7">
        <f t="shared" si="228"/>
        <v>920.2</v>
      </c>
      <c r="R977" s="35">
        <f t="shared" si="219"/>
        <v>920.2</v>
      </c>
      <c r="S977" s="7">
        <f t="shared" si="228"/>
        <v>0</v>
      </c>
      <c r="T977" s="35">
        <f t="shared" si="230"/>
        <v>920.2</v>
      </c>
    </row>
    <row r="978" spans="1:20" ht="33">
      <c r="A978" s="61" t="str">
        <f ca="1">IF(ISERROR(MATCH(E978,Код_КВР,0)),"",INDIRECT(ADDRESS(MATCH(E978,Код_КВР,0)+1,2,,,"КВР")))</f>
        <v>Социальные выплаты гражданам, кроме публичных нормативных социальных выплат</v>
      </c>
      <c r="B978" s="45" t="s">
        <v>415</v>
      </c>
      <c r="C978" s="8" t="s">
        <v>186</v>
      </c>
      <c r="D978" s="8" t="s">
        <v>213</v>
      </c>
      <c r="E978" s="113">
        <v>320</v>
      </c>
      <c r="F978" s="7">
        <f t="shared" si="228"/>
        <v>0</v>
      </c>
      <c r="G978" s="7">
        <f t="shared" si="228"/>
        <v>0</v>
      </c>
      <c r="H978" s="35">
        <f t="shared" si="229"/>
        <v>0</v>
      </c>
      <c r="I978" s="7">
        <f t="shared" si="228"/>
        <v>0</v>
      </c>
      <c r="J978" s="35">
        <f t="shared" si="227"/>
        <v>0</v>
      </c>
      <c r="K978" s="7">
        <f t="shared" si="228"/>
        <v>0</v>
      </c>
      <c r="L978" s="35">
        <f t="shared" si="221"/>
        <v>0</v>
      </c>
      <c r="M978" s="7">
        <f t="shared" si="228"/>
        <v>0</v>
      </c>
      <c r="N978" s="35">
        <f t="shared" si="222"/>
        <v>0</v>
      </c>
      <c r="O978" s="7">
        <f t="shared" si="228"/>
        <v>0</v>
      </c>
      <c r="P978" s="35">
        <f t="shared" si="218"/>
        <v>0</v>
      </c>
      <c r="Q978" s="7">
        <f t="shared" si="228"/>
        <v>920.2</v>
      </c>
      <c r="R978" s="35">
        <f t="shared" si="219"/>
        <v>920.2</v>
      </c>
      <c r="S978" s="7">
        <f t="shared" si="228"/>
        <v>0</v>
      </c>
      <c r="T978" s="35">
        <f t="shared" si="230"/>
        <v>920.2</v>
      </c>
    </row>
    <row r="979" spans="1:20">
      <c r="A979" s="61" t="str">
        <f ca="1">IF(ISERROR(MATCH(E979,Код_КВР,0)),"",INDIRECT(ADDRESS(MATCH(E979,Код_КВР,0)+1,2,,,"КВР")))</f>
        <v>Субсидии гражданам на приобретение жилья</v>
      </c>
      <c r="B979" s="45" t="s">
        <v>415</v>
      </c>
      <c r="C979" s="8" t="s">
        <v>186</v>
      </c>
      <c r="D979" s="8" t="s">
        <v>213</v>
      </c>
      <c r="E979" s="113">
        <v>322</v>
      </c>
      <c r="F979" s="7">
        <f>прил.6!G360</f>
        <v>0</v>
      </c>
      <c r="G979" s="7">
        <f>прил.6!H360</f>
        <v>0</v>
      </c>
      <c r="H979" s="35">
        <f t="shared" si="229"/>
        <v>0</v>
      </c>
      <c r="I979" s="7">
        <f>прил.6!J360</f>
        <v>0</v>
      </c>
      <c r="J979" s="35">
        <f t="shared" si="227"/>
        <v>0</v>
      </c>
      <c r="K979" s="7">
        <f>прил.6!L360</f>
        <v>0</v>
      </c>
      <c r="L979" s="35">
        <f t="shared" si="221"/>
        <v>0</v>
      </c>
      <c r="M979" s="7">
        <f>прил.6!N360</f>
        <v>0</v>
      </c>
      <c r="N979" s="35">
        <f t="shared" si="222"/>
        <v>0</v>
      </c>
      <c r="O979" s="7">
        <f>прил.6!P360</f>
        <v>0</v>
      </c>
      <c r="P979" s="35">
        <f t="shared" si="218"/>
        <v>0</v>
      </c>
      <c r="Q979" s="7">
        <f>прил.6!R360</f>
        <v>920.2</v>
      </c>
      <c r="R979" s="35">
        <f t="shared" si="219"/>
        <v>920.2</v>
      </c>
      <c r="S979" s="7">
        <f>прил.6!T360</f>
        <v>0</v>
      </c>
      <c r="T979" s="35">
        <f t="shared" si="230"/>
        <v>920.2</v>
      </c>
    </row>
    <row r="980" spans="1:20" ht="33">
      <c r="A980" s="61" t="str">
        <f ca="1">IF(ISERROR(MATCH(B980,Код_КЦСР,0)),"",INDIRECT(ADDRESS(MATCH(B980,Код_КЦСР,0)+1,2,,,"КЦСР")))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980" s="45" t="s">
        <v>29</v>
      </c>
      <c r="C980" s="8"/>
      <c r="D980" s="1"/>
      <c r="E980" s="113"/>
      <c r="F980" s="7">
        <f t="shared" ref="F980:S985" si="231">F981</f>
        <v>9169.7999999999993</v>
      </c>
      <c r="G980" s="7">
        <f t="shared" si="231"/>
        <v>0</v>
      </c>
      <c r="H980" s="35">
        <f t="shared" si="229"/>
        <v>9169.7999999999993</v>
      </c>
      <c r="I980" s="7">
        <f t="shared" si="231"/>
        <v>0</v>
      </c>
      <c r="J980" s="35">
        <f t="shared" si="227"/>
        <v>9169.7999999999993</v>
      </c>
      <c r="K980" s="7">
        <f t="shared" si="231"/>
        <v>0</v>
      </c>
      <c r="L980" s="35">
        <f t="shared" si="221"/>
        <v>9169.7999999999993</v>
      </c>
      <c r="M980" s="7">
        <f t="shared" si="231"/>
        <v>0</v>
      </c>
      <c r="N980" s="35">
        <f t="shared" si="222"/>
        <v>9169.7999999999993</v>
      </c>
      <c r="O980" s="7">
        <f t="shared" si="231"/>
        <v>0</v>
      </c>
      <c r="P980" s="35">
        <f t="shared" si="218"/>
        <v>9169.7999999999993</v>
      </c>
      <c r="Q980" s="7">
        <f t="shared" si="231"/>
        <v>-6634.6</v>
      </c>
      <c r="R980" s="35">
        <f t="shared" si="219"/>
        <v>2535.1999999999989</v>
      </c>
      <c r="S980" s="7">
        <f t="shared" si="231"/>
        <v>0</v>
      </c>
      <c r="T980" s="35">
        <f t="shared" si="230"/>
        <v>2535.1999999999989</v>
      </c>
    </row>
    <row r="981" spans="1:20" ht="33">
      <c r="A981" s="61" t="str">
        <f ca="1">IF(ISERROR(MATCH(B981,Код_КЦСР,0)),"",INDIRECT(ADDRESS(MATCH(B981,Код_КЦСР,0)+1,2,,,"КЦСР")))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981" s="45" t="s">
        <v>31</v>
      </c>
      <c r="C981" s="8"/>
      <c r="D981" s="1"/>
      <c r="E981" s="113"/>
      <c r="F981" s="7">
        <f t="shared" si="231"/>
        <v>9169.7999999999993</v>
      </c>
      <c r="G981" s="7">
        <f t="shared" si="231"/>
        <v>0</v>
      </c>
      <c r="H981" s="35">
        <f t="shared" si="229"/>
        <v>9169.7999999999993</v>
      </c>
      <c r="I981" s="7">
        <f t="shared" si="231"/>
        <v>0</v>
      </c>
      <c r="J981" s="35">
        <f t="shared" si="227"/>
        <v>9169.7999999999993</v>
      </c>
      <c r="K981" s="7">
        <f t="shared" si="231"/>
        <v>0</v>
      </c>
      <c r="L981" s="35">
        <f t="shared" si="221"/>
        <v>9169.7999999999993</v>
      </c>
      <c r="M981" s="7">
        <f t="shared" si="231"/>
        <v>0</v>
      </c>
      <c r="N981" s="35">
        <f t="shared" si="222"/>
        <v>9169.7999999999993</v>
      </c>
      <c r="O981" s="7">
        <f t="shared" si="231"/>
        <v>0</v>
      </c>
      <c r="P981" s="35">
        <f t="shared" si="218"/>
        <v>9169.7999999999993</v>
      </c>
      <c r="Q981" s="7">
        <f t="shared" si="231"/>
        <v>-6634.6</v>
      </c>
      <c r="R981" s="35">
        <f t="shared" si="219"/>
        <v>2535.1999999999989</v>
      </c>
      <c r="S981" s="7">
        <f t="shared" si="231"/>
        <v>0</v>
      </c>
      <c r="T981" s="35">
        <f t="shared" si="230"/>
        <v>2535.1999999999989</v>
      </c>
    </row>
    <row r="982" spans="1:20">
      <c r="A982" s="61" t="str">
        <f ca="1">IF(ISERROR(MATCH(C982,Код_Раздел,0)),"",INDIRECT(ADDRESS(MATCH(C982,Код_Раздел,0)+1,2,,,"Раздел")))</f>
        <v>Социальная политика</v>
      </c>
      <c r="B982" s="45" t="s">
        <v>31</v>
      </c>
      <c r="C982" s="8" t="s">
        <v>186</v>
      </c>
      <c r="D982" s="1"/>
      <c r="E982" s="113"/>
      <c r="F982" s="7">
        <f t="shared" si="231"/>
        <v>9169.7999999999993</v>
      </c>
      <c r="G982" s="7">
        <f t="shared" si="231"/>
        <v>0</v>
      </c>
      <c r="H982" s="35">
        <f t="shared" si="229"/>
        <v>9169.7999999999993</v>
      </c>
      <c r="I982" s="7">
        <f t="shared" si="231"/>
        <v>0</v>
      </c>
      <c r="J982" s="35">
        <f t="shared" si="227"/>
        <v>9169.7999999999993</v>
      </c>
      <c r="K982" s="7">
        <f t="shared" si="231"/>
        <v>0</v>
      </c>
      <c r="L982" s="35">
        <f t="shared" si="221"/>
        <v>9169.7999999999993</v>
      </c>
      <c r="M982" s="7">
        <f t="shared" si="231"/>
        <v>0</v>
      </c>
      <c r="N982" s="35">
        <f t="shared" si="222"/>
        <v>9169.7999999999993</v>
      </c>
      <c r="O982" s="7">
        <f t="shared" si="231"/>
        <v>0</v>
      </c>
      <c r="P982" s="35">
        <f t="shared" si="218"/>
        <v>9169.7999999999993</v>
      </c>
      <c r="Q982" s="7">
        <f t="shared" si="231"/>
        <v>-6634.6</v>
      </c>
      <c r="R982" s="35">
        <f t="shared" si="219"/>
        <v>2535.1999999999989</v>
      </c>
      <c r="S982" s="7">
        <f t="shared" si="231"/>
        <v>0</v>
      </c>
      <c r="T982" s="35">
        <f t="shared" si="230"/>
        <v>2535.1999999999989</v>
      </c>
    </row>
    <row r="983" spans="1:20">
      <c r="A983" s="12" t="s">
        <v>177</v>
      </c>
      <c r="B983" s="45" t="s">
        <v>31</v>
      </c>
      <c r="C983" s="8" t="s">
        <v>186</v>
      </c>
      <c r="D983" s="8" t="s">
        <v>213</v>
      </c>
      <c r="E983" s="113"/>
      <c r="F983" s="7">
        <f t="shared" si="231"/>
        <v>9169.7999999999993</v>
      </c>
      <c r="G983" s="7">
        <f t="shared" si="231"/>
        <v>0</v>
      </c>
      <c r="H983" s="35">
        <f t="shared" si="229"/>
        <v>9169.7999999999993</v>
      </c>
      <c r="I983" s="7">
        <f t="shared" si="231"/>
        <v>0</v>
      </c>
      <c r="J983" s="35">
        <f t="shared" si="227"/>
        <v>9169.7999999999993</v>
      </c>
      <c r="K983" s="7">
        <f t="shared" si="231"/>
        <v>0</v>
      </c>
      <c r="L983" s="35">
        <f t="shared" si="221"/>
        <v>9169.7999999999993</v>
      </c>
      <c r="M983" s="7">
        <f t="shared" si="231"/>
        <v>0</v>
      </c>
      <c r="N983" s="35">
        <f t="shared" si="222"/>
        <v>9169.7999999999993</v>
      </c>
      <c r="O983" s="7">
        <f t="shared" si="231"/>
        <v>0</v>
      </c>
      <c r="P983" s="35">
        <f t="shared" si="218"/>
        <v>9169.7999999999993</v>
      </c>
      <c r="Q983" s="7">
        <f t="shared" si="231"/>
        <v>-6634.6</v>
      </c>
      <c r="R983" s="35">
        <f t="shared" si="219"/>
        <v>2535.1999999999989</v>
      </c>
      <c r="S983" s="7">
        <f t="shared" si="231"/>
        <v>0</v>
      </c>
      <c r="T983" s="35">
        <f t="shared" si="230"/>
        <v>2535.1999999999989</v>
      </c>
    </row>
    <row r="984" spans="1:20">
      <c r="A984" s="61" t="str">
        <f ca="1">IF(ISERROR(MATCH(E984,Код_КВР,0)),"",INDIRECT(ADDRESS(MATCH(E984,Код_КВР,0)+1,2,,,"КВР")))</f>
        <v>Социальное обеспечение и иные выплаты населению</v>
      </c>
      <c r="B984" s="45" t="s">
        <v>31</v>
      </c>
      <c r="C984" s="8" t="s">
        <v>186</v>
      </c>
      <c r="D984" s="8" t="s">
        <v>213</v>
      </c>
      <c r="E984" s="113">
        <v>300</v>
      </c>
      <c r="F984" s="7">
        <f t="shared" si="231"/>
        <v>9169.7999999999993</v>
      </c>
      <c r="G984" s="7">
        <f t="shared" si="231"/>
        <v>0</v>
      </c>
      <c r="H984" s="35">
        <f t="shared" si="229"/>
        <v>9169.7999999999993</v>
      </c>
      <c r="I984" s="7">
        <f t="shared" si="231"/>
        <v>0</v>
      </c>
      <c r="J984" s="35">
        <f t="shared" si="227"/>
        <v>9169.7999999999993</v>
      </c>
      <c r="K984" s="7">
        <f t="shared" si="231"/>
        <v>0</v>
      </c>
      <c r="L984" s="35">
        <f t="shared" si="221"/>
        <v>9169.7999999999993</v>
      </c>
      <c r="M984" s="7">
        <f t="shared" si="231"/>
        <v>0</v>
      </c>
      <c r="N984" s="35">
        <f t="shared" si="222"/>
        <v>9169.7999999999993</v>
      </c>
      <c r="O984" s="7">
        <f t="shared" si="231"/>
        <v>0</v>
      </c>
      <c r="P984" s="35">
        <f t="shared" si="218"/>
        <v>9169.7999999999993</v>
      </c>
      <c r="Q984" s="7">
        <f t="shared" si="231"/>
        <v>-6634.6</v>
      </c>
      <c r="R984" s="35">
        <f t="shared" si="219"/>
        <v>2535.1999999999989</v>
      </c>
      <c r="S984" s="7">
        <f t="shared" si="231"/>
        <v>0</v>
      </c>
      <c r="T984" s="35">
        <f t="shared" si="230"/>
        <v>2535.1999999999989</v>
      </c>
    </row>
    <row r="985" spans="1:20" ht="33">
      <c r="A985" s="61" t="str">
        <f ca="1">IF(ISERROR(MATCH(E985,Код_КВР,0)),"",INDIRECT(ADDRESS(MATCH(E985,Код_КВР,0)+1,2,,,"КВР")))</f>
        <v>Социальные выплаты гражданам, кроме публичных нормативных социальных выплат</v>
      </c>
      <c r="B985" s="45" t="s">
        <v>31</v>
      </c>
      <c r="C985" s="8" t="s">
        <v>186</v>
      </c>
      <c r="D985" s="8" t="s">
        <v>213</v>
      </c>
      <c r="E985" s="113">
        <v>320</v>
      </c>
      <c r="F985" s="7">
        <f t="shared" si="231"/>
        <v>9169.7999999999993</v>
      </c>
      <c r="G985" s="7">
        <f t="shared" si="231"/>
        <v>0</v>
      </c>
      <c r="H985" s="35">
        <f t="shared" si="229"/>
        <v>9169.7999999999993</v>
      </c>
      <c r="I985" s="7">
        <f t="shared" si="231"/>
        <v>0</v>
      </c>
      <c r="J985" s="35">
        <f t="shared" si="227"/>
        <v>9169.7999999999993</v>
      </c>
      <c r="K985" s="7">
        <f t="shared" si="231"/>
        <v>0</v>
      </c>
      <c r="L985" s="35">
        <f t="shared" si="221"/>
        <v>9169.7999999999993</v>
      </c>
      <c r="M985" s="7">
        <f t="shared" si="231"/>
        <v>0</v>
      </c>
      <c r="N985" s="35">
        <f t="shared" si="222"/>
        <v>9169.7999999999993</v>
      </c>
      <c r="O985" s="7">
        <f t="shared" si="231"/>
        <v>0</v>
      </c>
      <c r="P985" s="35">
        <f t="shared" si="218"/>
        <v>9169.7999999999993</v>
      </c>
      <c r="Q985" s="7">
        <f t="shared" si="231"/>
        <v>-6634.6</v>
      </c>
      <c r="R985" s="35">
        <f t="shared" si="219"/>
        <v>2535.1999999999989</v>
      </c>
      <c r="S985" s="7">
        <f t="shared" si="231"/>
        <v>0</v>
      </c>
      <c r="T985" s="35">
        <f t="shared" si="230"/>
        <v>2535.1999999999989</v>
      </c>
    </row>
    <row r="986" spans="1:20" ht="33">
      <c r="A986" s="61" t="str">
        <f ca="1">IF(ISERROR(MATCH(E986,Код_КВР,0)),"",INDIRECT(ADDRESS(MATCH(E986,Код_КВР,0)+1,2,,,"КВР")))</f>
        <v>Пособия, компенсации и иные социальные выплаты гражданам, кроме публичных нормативных обязательств</v>
      </c>
      <c r="B986" s="45" t="s">
        <v>31</v>
      </c>
      <c r="C986" s="8" t="s">
        <v>186</v>
      </c>
      <c r="D986" s="8" t="s">
        <v>213</v>
      </c>
      <c r="E986" s="113">
        <v>321</v>
      </c>
      <c r="F986" s="7">
        <f>прил.6!G365</f>
        <v>9169.7999999999993</v>
      </c>
      <c r="G986" s="7">
        <f>прил.6!H365</f>
        <v>0</v>
      </c>
      <c r="H986" s="35">
        <f t="shared" si="229"/>
        <v>9169.7999999999993</v>
      </c>
      <c r="I986" s="7">
        <f>прил.6!J365</f>
        <v>0</v>
      </c>
      <c r="J986" s="35">
        <f t="shared" si="227"/>
        <v>9169.7999999999993</v>
      </c>
      <c r="K986" s="7">
        <f>прил.6!L365</f>
        <v>0</v>
      </c>
      <c r="L986" s="35">
        <f t="shared" si="221"/>
        <v>9169.7999999999993</v>
      </c>
      <c r="M986" s="7">
        <f>прил.6!N365</f>
        <v>0</v>
      </c>
      <c r="N986" s="35">
        <f t="shared" si="222"/>
        <v>9169.7999999999993</v>
      </c>
      <c r="O986" s="7">
        <f>прил.6!P365</f>
        <v>0</v>
      </c>
      <c r="P986" s="35">
        <f t="shared" si="218"/>
        <v>9169.7999999999993</v>
      </c>
      <c r="Q986" s="7">
        <f>прил.6!R365</f>
        <v>-6634.6</v>
      </c>
      <c r="R986" s="35">
        <f t="shared" si="219"/>
        <v>2535.1999999999989</v>
      </c>
      <c r="S986" s="7">
        <f>прил.6!T365</f>
        <v>0</v>
      </c>
      <c r="T986" s="35">
        <f t="shared" si="230"/>
        <v>2535.1999999999989</v>
      </c>
    </row>
    <row r="987" spans="1:20" ht="52.7" customHeight="1">
      <c r="A987" s="61" t="str">
        <f ca="1">IF(ISERROR(MATCH(B987,Код_КЦСР,0)),"",INDIRECT(ADDRESS(MATCH(B987,Код_КЦСР,0)+1,2,,,"КЦСР")))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987" s="45" t="s">
        <v>33</v>
      </c>
      <c r="C987" s="8"/>
      <c r="D987" s="1"/>
      <c r="E987" s="113"/>
      <c r="F987" s="7">
        <f t="shared" ref="F987:S993" si="232">F988</f>
        <v>1500</v>
      </c>
      <c r="G987" s="7">
        <f t="shared" si="232"/>
        <v>0</v>
      </c>
      <c r="H987" s="35">
        <f t="shared" si="229"/>
        <v>1500</v>
      </c>
      <c r="I987" s="7">
        <f t="shared" si="232"/>
        <v>0</v>
      </c>
      <c r="J987" s="35">
        <f t="shared" si="227"/>
        <v>1500</v>
      </c>
      <c r="K987" s="7">
        <f t="shared" si="232"/>
        <v>-270.39999999999998</v>
      </c>
      <c r="L987" s="35">
        <f t="shared" si="221"/>
        <v>1229.5999999999999</v>
      </c>
      <c r="M987" s="7">
        <f t="shared" si="232"/>
        <v>0</v>
      </c>
      <c r="N987" s="35">
        <f t="shared" si="222"/>
        <v>1229.5999999999999</v>
      </c>
      <c r="O987" s="7">
        <f t="shared" si="232"/>
        <v>0</v>
      </c>
      <c r="P987" s="35">
        <f t="shared" si="218"/>
        <v>1229.5999999999999</v>
      </c>
      <c r="Q987" s="7">
        <f t="shared" si="232"/>
        <v>-336.9</v>
      </c>
      <c r="R987" s="35">
        <f t="shared" si="219"/>
        <v>892.69999999999993</v>
      </c>
      <c r="S987" s="7">
        <f t="shared" si="232"/>
        <v>0</v>
      </c>
      <c r="T987" s="35">
        <f t="shared" si="230"/>
        <v>892.69999999999993</v>
      </c>
    </row>
    <row r="988" spans="1:20" ht="33">
      <c r="A988" s="61" t="str">
        <f ca="1">IF(ISERROR(MATCH(B988,Код_КЦСР,0)),"",INDIRECT(ADDRESS(MATCH(B988,Код_КЦСР,0)+1,2,,,"КЦСР")))</f>
        <v>Энергосбережение и повышение энергетической эффективности в жилищном фонде</v>
      </c>
      <c r="B988" s="45" t="s">
        <v>34</v>
      </c>
      <c r="C988" s="8"/>
      <c r="D988" s="1"/>
      <c r="E988" s="113"/>
      <c r="F988" s="7">
        <f t="shared" si="232"/>
        <v>1500</v>
      </c>
      <c r="G988" s="7">
        <f t="shared" si="232"/>
        <v>0</v>
      </c>
      <c r="H988" s="35">
        <f t="shared" si="229"/>
        <v>1500</v>
      </c>
      <c r="I988" s="7">
        <f t="shared" si="232"/>
        <v>0</v>
      </c>
      <c r="J988" s="35">
        <f t="shared" si="227"/>
        <v>1500</v>
      </c>
      <c r="K988" s="7">
        <f t="shared" si="232"/>
        <v>-270.39999999999998</v>
      </c>
      <c r="L988" s="35">
        <f t="shared" si="221"/>
        <v>1229.5999999999999</v>
      </c>
      <c r="M988" s="7">
        <f t="shared" si="232"/>
        <v>0</v>
      </c>
      <c r="N988" s="35">
        <f t="shared" si="222"/>
        <v>1229.5999999999999</v>
      </c>
      <c r="O988" s="7">
        <f t="shared" si="232"/>
        <v>0</v>
      </c>
      <c r="P988" s="35">
        <f t="shared" si="218"/>
        <v>1229.5999999999999</v>
      </c>
      <c r="Q988" s="7">
        <f t="shared" si="232"/>
        <v>-336.9</v>
      </c>
      <c r="R988" s="35">
        <f t="shared" si="219"/>
        <v>892.69999999999993</v>
      </c>
      <c r="S988" s="7">
        <f t="shared" si="232"/>
        <v>0</v>
      </c>
      <c r="T988" s="35">
        <f t="shared" si="230"/>
        <v>892.69999999999993</v>
      </c>
    </row>
    <row r="989" spans="1:20" ht="49.5">
      <c r="A989" s="61" t="str">
        <f ca="1">IF(ISERROR(MATCH(B989,Код_КЦСР,0)),"",INDIRECT(ADDRESS(MATCH(B989,Код_КЦСР,0)+1,2,,,"КЦСР")))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989" s="45" t="s">
        <v>36</v>
      </c>
      <c r="C989" s="8"/>
      <c r="D989" s="1"/>
      <c r="E989" s="113"/>
      <c r="F989" s="7">
        <f t="shared" si="232"/>
        <v>1500</v>
      </c>
      <c r="G989" s="7">
        <f t="shared" si="232"/>
        <v>0</v>
      </c>
      <c r="H989" s="35">
        <f t="shared" si="229"/>
        <v>1500</v>
      </c>
      <c r="I989" s="7">
        <f t="shared" si="232"/>
        <v>0</v>
      </c>
      <c r="J989" s="35">
        <f t="shared" si="227"/>
        <v>1500</v>
      </c>
      <c r="K989" s="7">
        <f t="shared" si="232"/>
        <v>-270.39999999999998</v>
      </c>
      <c r="L989" s="35">
        <f t="shared" si="221"/>
        <v>1229.5999999999999</v>
      </c>
      <c r="M989" s="7">
        <f t="shared" si="232"/>
        <v>0</v>
      </c>
      <c r="N989" s="35">
        <f t="shared" si="222"/>
        <v>1229.5999999999999</v>
      </c>
      <c r="O989" s="7">
        <f t="shared" si="232"/>
        <v>0</v>
      </c>
      <c r="P989" s="35">
        <f t="shared" si="218"/>
        <v>1229.5999999999999</v>
      </c>
      <c r="Q989" s="7">
        <f t="shared" si="232"/>
        <v>-336.9</v>
      </c>
      <c r="R989" s="35">
        <f t="shared" si="219"/>
        <v>892.69999999999993</v>
      </c>
      <c r="S989" s="7">
        <f t="shared" si="232"/>
        <v>0</v>
      </c>
      <c r="T989" s="35">
        <f t="shared" si="230"/>
        <v>892.69999999999993</v>
      </c>
    </row>
    <row r="990" spans="1:20">
      <c r="A990" s="61" t="str">
        <f ca="1">IF(ISERROR(MATCH(C990,Код_Раздел,0)),"",INDIRECT(ADDRESS(MATCH(C990,Код_Раздел,0)+1,2,,,"Раздел")))</f>
        <v>Жилищно-коммунальное хозяйство</v>
      </c>
      <c r="B990" s="45" t="s">
        <v>36</v>
      </c>
      <c r="C990" s="8" t="s">
        <v>219</v>
      </c>
      <c r="D990" s="1"/>
      <c r="E990" s="113"/>
      <c r="F990" s="7">
        <f t="shared" si="232"/>
        <v>1500</v>
      </c>
      <c r="G990" s="7">
        <f t="shared" si="232"/>
        <v>0</v>
      </c>
      <c r="H990" s="35">
        <f t="shared" si="229"/>
        <v>1500</v>
      </c>
      <c r="I990" s="7">
        <f t="shared" si="232"/>
        <v>0</v>
      </c>
      <c r="J990" s="35">
        <f t="shared" si="227"/>
        <v>1500</v>
      </c>
      <c r="K990" s="7">
        <f t="shared" si="232"/>
        <v>-270.39999999999998</v>
      </c>
      <c r="L990" s="35">
        <f t="shared" si="221"/>
        <v>1229.5999999999999</v>
      </c>
      <c r="M990" s="7">
        <f t="shared" si="232"/>
        <v>0</v>
      </c>
      <c r="N990" s="35">
        <f t="shared" si="222"/>
        <v>1229.5999999999999</v>
      </c>
      <c r="O990" s="7">
        <f t="shared" si="232"/>
        <v>0</v>
      </c>
      <c r="P990" s="35">
        <f t="shared" si="218"/>
        <v>1229.5999999999999</v>
      </c>
      <c r="Q990" s="7">
        <f t="shared" si="232"/>
        <v>-336.9</v>
      </c>
      <c r="R990" s="35">
        <f t="shared" si="219"/>
        <v>892.69999999999993</v>
      </c>
      <c r="S990" s="7">
        <f t="shared" si="232"/>
        <v>0</v>
      </c>
      <c r="T990" s="35">
        <f t="shared" si="230"/>
        <v>892.69999999999993</v>
      </c>
    </row>
    <row r="991" spans="1:20">
      <c r="A991" s="12" t="s">
        <v>224</v>
      </c>
      <c r="B991" s="45" t="s">
        <v>36</v>
      </c>
      <c r="C991" s="8" t="s">
        <v>219</v>
      </c>
      <c r="D991" s="8" t="s">
        <v>211</v>
      </c>
      <c r="E991" s="113"/>
      <c r="F991" s="7">
        <f t="shared" si="232"/>
        <v>1500</v>
      </c>
      <c r="G991" s="7">
        <f t="shared" si="232"/>
        <v>0</v>
      </c>
      <c r="H991" s="35">
        <f t="shared" si="229"/>
        <v>1500</v>
      </c>
      <c r="I991" s="7">
        <f t="shared" si="232"/>
        <v>0</v>
      </c>
      <c r="J991" s="35">
        <f t="shared" si="227"/>
        <v>1500</v>
      </c>
      <c r="K991" s="7">
        <f t="shared" si="232"/>
        <v>-270.39999999999998</v>
      </c>
      <c r="L991" s="35">
        <f t="shared" si="221"/>
        <v>1229.5999999999999</v>
      </c>
      <c r="M991" s="7">
        <f t="shared" si="232"/>
        <v>0</v>
      </c>
      <c r="N991" s="35">
        <f t="shared" si="222"/>
        <v>1229.5999999999999</v>
      </c>
      <c r="O991" s="7">
        <f t="shared" si="232"/>
        <v>0</v>
      </c>
      <c r="P991" s="35">
        <f t="shared" si="218"/>
        <v>1229.5999999999999</v>
      </c>
      <c r="Q991" s="7">
        <f t="shared" si="232"/>
        <v>-336.9</v>
      </c>
      <c r="R991" s="35">
        <f t="shared" si="219"/>
        <v>892.69999999999993</v>
      </c>
      <c r="S991" s="7">
        <f t="shared" si="232"/>
        <v>0</v>
      </c>
      <c r="T991" s="35">
        <f t="shared" si="230"/>
        <v>892.69999999999993</v>
      </c>
    </row>
    <row r="992" spans="1:20">
      <c r="A992" s="61" t="str">
        <f ca="1">IF(ISERROR(MATCH(E992,Код_КВР,0)),"",INDIRECT(ADDRESS(MATCH(E992,Код_КВР,0)+1,2,,,"КВР")))</f>
        <v>Закупка товаров, работ и услуг для муниципальных нужд</v>
      </c>
      <c r="B992" s="45" t="s">
        <v>36</v>
      </c>
      <c r="C992" s="8" t="s">
        <v>219</v>
      </c>
      <c r="D992" s="8" t="s">
        <v>211</v>
      </c>
      <c r="E992" s="113">
        <v>200</v>
      </c>
      <c r="F992" s="7">
        <f t="shared" si="232"/>
        <v>1500</v>
      </c>
      <c r="G992" s="7">
        <f t="shared" si="232"/>
        <v>0</v>
      </c>
      <c r="H992" s="35">
        <f t="shared" si="229"/>
        <v>1500</v>
      </c>
      <c r="I992" s="7">
        <f t="shared" si="232"/>
        <v>0</v>
      </c>
      <c r="J992" s="35">
        <f t="shared" si="227"/>
        <v>1500</v>
      </c>
      <c r="K992" s="7">
        <f t="shared" si="232"/>
        <v>-270.39999999999998</v>
      </c>
      <c r="L992" s="35">
        <f t="shared" si="221"/>
        <v>1229.5999999999999</v>
      </c>
      <c r="M992" s="7">
        <f t="shared" si="232"/>
        <v>0</v>
      </c>
      <c r="N992" s="35">
        <f t="shared" si="222"/>
        <v>1229.5999999999999</v>
      </c>
      <c r="O992" s="7">
        <f t="shared" si="232"/>
        <v>0</v>
      </c>
      <c r="P992" s="35">
        <f t="shared" si="218"/>
        <v>1229.5999999999999</v>
      </c>
      <c r="Q992" s="7">
        <f t="shared" si="232"/>
        <v>-336.9</v>
      </c>
      <c r="R992" s="35">
        <f t="shared" si="219"/>
        <v>892.69999999999993</v>
      </c>
      <c r="S992" s="7">
        <f t="shared" si="232"/>
        <v>0</v>
      </c>
      <c r="T992" s="35">
        <f t="shared" si="230"/>
        <v>892.69999999999993</v>
      </c>
    </row>
    <row r="993" spans="1:20" ht="33">
      <c r="A993" s="61" t="str">
        <f ca="1">IF(ISERROR(MATCH(E993,Код_КВР,0)),"",INDIRECT(ADDRESS(MATCH(E993,Код_КВР,0)+1,2,,,"КВР")))</f>
        <v>Иные закупки товаров, работ и услуг для обеспечения муниципальных нужд</v>
      </c>
      <c r="B993" s="45" t="s">
        <v>36</v>
      </c>
      <c r="C993" s="8" t="s">
        <v>219</v>
      </c>
      <c r="D993" s="8" t="s">
        <v>211</v>
      </c>
      <c r="E993" s="113">
        <v>240</v>
      </c>
      <c r="F993" s="7">
        <f t="shared" si="232"/>
        <v>1500</v>
      </c>
      <c r="G993" s="7">
        <f t="shared" si="232"/>
        <v>0</v>
      </c>
      <c r="H993" s="35">
        <f t="shared" si="229"/>
        <v>1500</v>
      </c>
      <c r="I993" s="7">
        <f t="shared" si="232"/>
        <v>0</v>
      </c>
      <c r="J993" s="35">
        <f t="shared" si="227"/>
        <v>1500</v>
      </c>
      <c r="K993" s="7">
        <f t="shared" si="232"/>
        <v>-270.39999999999998</v>
      </c>
      <c r="L993" s="35">
        <f t="shared" si="221"/>
        <v>1229.5999999999999</v>
      </c>
      <c r="M993" s="7">
        <f t="shared" si="232"/>
        <v>0</v>
      </c>
      <c r="N993" s="35">
        <f t="shared" si="222"/>
        <v>1229.5999999999999</v>
      </c>
      <c r="O993" s="7">
        <f t="shared" si="232"/>
        <v>0</v>
      </c>
      <c r="P993" s="35">
        <f t="shared" si="218"/>
        <v>1229.5999999999999</v>
      </c>
      <c r="Q993" s="7">
        <f t="shared" si="232"/>
        <v>-336.9</v>
      </c>
      <c r="R993" s="35">
        <f t="shared" si="219"/>
        <v>892.69999999999993</v>
      </c>
      <c r="S993" s="7">
        <f t="shared" si="232"/>
        <v>0</v>
      </c>
      <c r="T993" s="35">
        <f t="shared" si="230"/>
        <v>892.69999999999993</v>
      </c>
    </row>
    <row r="994" spans="1:20" ht="33">
      <c r="A994" s="61" t="str">
        <f ca="1">IF(ISERROR(MATCH(E994,Код_КВР,0)),"",INDIRECT(ADDRESS(MATCH(E994,Код_КВР,0)+1,2,,,"КВР")))</f>
        <v xml:space="preserve">Прочая закупка товаров, работ и услуг для обеспечения муниципальных нужд         </v>
      </c>
      <c r="B994" s="45" t="s">
        <v>36</v>
      </c>
      <c r="C994" s="8" t="s">
        <v>219</v>
      </c>
      <c r="D994" s="8" t="s">
        <v>211</v>
      </c>
      <c r="E994" s="113">
        <v>244</v>
      </c>
      <c r="F994" s="7">
        <f>прил.6!G486</f>
        <v>1500</v>
      </c>
      <c r="G994" s="7">
        <f>прил.6!H486</f>
        <v>0</v>
      </c>
      <c r="H994" s="35">
        <f t="shared" si="229"/>
        <v>1500</v>
      </c>
      <c r="I994" s="7">
        <f>прил.6!J486</f>
        <v>0</v>
      </c>
      <c r="J994" s="35">
        <f t="shared" si="227"/>
        <v>1500</v>
      </c>
      <c r="K994" s="7">
        <f>прил.6!L486</f>
        <v>-270.39999999999998</v>
      </c>
      <c r="L994" s="35">
        <f t="shared" si="221"/>
        <v>1229.5999999999999</v>
      </c>
      <c r="M994" s="7">
        <f>прил.6!N486</f>
        <v>0</v>
      </c>
      <c r="N994" s="35">
        <f t="shared" si="222"/>
        <v>1229.5999999999999</v>
      </c>
      <c r="O994" s="7">
        <f>прил.6!P486</f>
        <v>0</v>
      </c>
      <c r="P994" s="35">
        <f t="shared" si="218"/>
        <v>1229.5999999999999</v>
      </c>
      <c r="Q994" s="7">
        <f>прил.6!R486</f>
        <v>-336.9</v>
      </c>
      <c r="R994" s="35">
        <f t="shared" ref="R994:R1057" si="233">P994+Q994</f>
        <v>892.69999999999993</v>
      </c>
      <c r="S994" s="7">
        <f>прил.6!T486</f>
        <v>0</v>
      </c>
      <c r="T994" s="35">
        <f t="shared" si="230"/>
        <v>892.69999999999993</v>
      </c>
    </row>
    <row r="995" spans="1:20" ht="35.25" customHeight="1">
      <c r="A995" s="61" t="str">
        <f ca="1">IF(ISERROR(MATCH(B995,Код_КЦСР,0)),"",INDIRECT(ADDRESS(MATCH(B995,Код_КЦСР,0)+1,2,,,"КЦСР")))</f>
        <v>Муниципальная программа «Развитие городского общественного транспорта» на 2014-2017 годы</v>
      </c>
      <c r="B995" s="45" t="s">
        <v>38</v>
      </c>
      <c r="C995" s="8"/>
      <c r="D995" s="1"/>
      <c r="E995" s="113"/>
      <c r="F995" s="7">
        <f t="shared" ref="F995:S1000" si="234">F996</f>
        <v>18724.900000000001</v>
      </c>
      <c r="G995" s="7">
        <f t="shared" si="234"/>
        <v>0</v>
      </c>
      <c r="H995" s="35">
        <f t="shared" si="229"/>
        <v>18724.900000000001</v>
      </c>
      <c r="I995" s="7">
        <f t="shared" si="234"/>
        <v>0</v>
      </c>
      <c r="J995" s="35">
        <f t="shared" si="227"/>
        <v>18724.900000000001</v>
      </c>
      <c r="K995" s="7">
        <f t="shared" si="234"/>
        <v>0</v>
      </c>
      <c r="L995" s="35">
        <f t="shared" si="221"/>
        <v>18724.900000000001</v>
      </c>
      <c r="M995" s="7">
        <f t="shared" si="234"/>
        <v>0</v>
      </c>
      <c r="N995" s="35">
        <f t="shared" si="222"/>
        <v>18724.900000000001</v>
      </c>
      <c r="O995" s="7">
        <f>O996+O1002</f>
        <v>12800</v>
      </c>
      <c r="P995" s="35">
        <f t="shared" si="218"/>
        <v>31524.9</v>
      </c>
      <c r="Q995" s="7">
        <f>Q996+Q1002</f>
        <v>0</v>
      </c>
      <c r="R995" s="35">
        <f t="shared" si="233"/>
        <v>31524.9</v>
      </c>
      <c r="S995" s="7">
        <f>S996+S1002</f>
        <v>0</v>
      </c>
      <c r="T995" s="35">
        <f t="shared" si="230"/>
        <v>31524.9</v>
      </c>
    </row>
    <row r="996" spans="1:20">
      <c r="A996" s="61" t="str">
        <f ca="1">IF(ISERROR(MATCH(B996,Код_КЦСР,0)),"",INDIRECT(ADDRESS(MATCH(B996,Код_КЦСР,0)+1,2,,,"КЦСР")))</f>
        <v>Приобретение автобусов в муниципальную собственность</v>
      </c>
      <c r="B996" s="45" t="s">
        <v>39</v>
      </c>
      <c r="C996" s="8"/>
      <c r="D996" s="1"/>
      <c r="E996" s="113"/>
      <c r="F996" s="7">
        <f t="shared" si="234"/>
        <v>18724.900000000001</v>
      </c>
      <c r="G996" s="7">
        <f t="shared" si="234"/>
        <v>0</v>
      </c>
      <c r="H996" s="35">
        <f t="shared" si="229"/>
        <v>18724.900000000001</v>
      </c>
      <c r="I996" s="7">
        <f t="shared" si="234"/>
        <v>0</v>
      </c>
      <c r="J996" s="35">
        <f t="shared" si="227"/>
        <v>18724.900000000001</v>
      </c>
      <c r="K996" s="7">
        <f t="shared" si="234"/>
        <v>0</v>
      </c>
      <c r="L996" s="35">
        <f t="shared" si="221"/>
        <v>18724.900000000001</v>
      </c>
      <c r="M996" s="7">
        <f t="shared" si="234"/>
        <v>0</v>
      </c>
      <c r="N996" s="35">
        <f t="shared" si="222"/>
        <v>18724.900000000001</v>
      </c>
      <c r="O996" s="7">
        <f t="shared" si="234"/>
        <v>0</v>
      </c>
      <c r="P996" s="35">
        <f t="shared" si="218"/>
        <v>18724.900000000001</v>
      </c>
      <c r="Q996" s="7">
        <f t="shared" si="234"/>
        <v>0</v>
      </c>
      <c r="R996" s="35">
        <f t="shared" si="233"/>
        <v>18724.900000000001</v>
      </c>
      <c r="S996" s="7">
        <f t="shared" si="234"/>
        <v>0</v>
      </c>
      <c r="T996" s="35">
        <f t="shared" si="230"/>
        <v>18724.900000000001</v>
      </c>
    </row>
    <row r="997" spans="1:20">
      <c r="A997" s="61" t="str">
        <f ca="1">IF(ISERROR(MATCH(C997,Код_Раздел,0)),"",INDIRECT(ADDRESS(MATCH(C997,Код_Раздел,0)+1,2,,,"Раздел")))</f>
        <v>Национальная экономика</v>
      </c>
      <c r="B997" s="45" t="s">
        <v>39</v>
      </c>
      <c r="C997" s="8" t="s">
        <v>214</v>
      </c>
      <c r="D997" s="1"/>
      <c r="E997" s="113"/>
      <c r="F997" s="7">
        <f t="shared" si="234"/>
        <v>18724.900000000001</v>
      </c>
      <c r="G997" s="7">
        <f t="shared" si="234"/>
        <v>0</v>
      </c>
      <c r="H997" s="35">
        <f t="shared" si="229"/>
        <v>18724.900000000001</v>
      </c>
      <c r="I997" s="7">
        <f t="shared" si="234"/>
        <v>0</v>
      </c>
      <c r="J997" s="35">
        <f t="shared" si="227"/>
        <v>18724.900000000001</v>
      </c>
      <c r="K997" s="7">
        <f t="shared" si="234"/>
        <v>0</v>
      </c>
      <c r="L997" s="35">
        <f t="shared" si="221"/>
        <v>18724.900000000001</v>
      </c>
      <c r="M997" s="7">
        <f t="shared" si="234"/>
        <v>0</v>
      </c>
      <c r="N997" s="35">
        <f t="shared" si="222"/>
        <v>18724.900000000001</v>
      </c>
      <c r="O997" s="7">
        <f t="shared" si="234"/>
        <v>0</v>
      </c>
      <c r="P997" s="35">
        <f t="shared" ref="P997:P1065" si="235">N997+O997</f>
        <v>18724.900000000001</v>
      </c>
      <c r="Q997" s="7">
        <f t="shared" si="234"/>
        <v>0</v>
      </c>
      <c r="R997" s="35">
        <f t="shared" si="233"/>
        <v>18724.900000000001</v>
      </c>
      <c r="S997" s="7">
        <f t="shared" si="234"/>
        <v>0</v>
      </c>
      <c r="T997" s="35">
        <f t="shared" si="230"/>
        <v>18724.900000000001</v>
      </c>
    </row>
    <row r="998" spans="1:20">
      <c r="A998" s="76" t="s">
        <v>357</v>
      </c>
      <c r="B998" s="45" t="s">
        <v>39</v>
      </c>
      <c r="C998" s="8" t="s">
        <v>214</v>
      </c>
      <c r="D998" s="8" t="s">
        <v>220</v>
      </c>
      <c r="E998" s="113"/>
      <c r="F998" s="7">
        <f t="shared" si="234"/>
        <v>18724.900000000001</v>
      </c>
      <c r="G998" s="7">
        <f t="shared" si="234"/>
        <v>0</v>
      </c>
      <c r="H998" s="35">
        <f t="shared" si="229"/>
        <v>18724.900000000001</v>
      </c>
      <c r="I998" s="7">
        <f t="shared" si="234"/>
        <v>0</v>
      </c>
      <c r="J998" s="35">
        <f t="shared" si="227"/>
        <v>18724.900000000001</v>
      </c>
      <c r="K998" s="7">
        <f t="shared" si="234"/>
        <v>0</v>
      </c>
      <c r="L998" s="35">
        <f t="shared" si="221"/>
        <v>18724.900000000001</v>
      </c>
      <c r="M998" s="7">
        <f t="shared" si="234"/>
        <v>0</v>
      </c>
      <c r="N998" s="35">
        <f t="shared" si="222"/>
        <v>18724.900000000001</v>
      </c>
      <c r="O998" s="7">
        <f t="shared" si="234"/>
        <v>0</v>
      </c>
      <c r="P998" s="35">
        <f t="shared" si="235"/>
        <v>18724.900000000001</v>
      </c>
      <c r="Q998" s="7">
        <f t="shared" si="234"/>
        <v>0</v>
      </c>
      <c r="R998" s="35">
        <f t="shared" si="233"/>
        <v>18724.900000000001</v>
      </c>
      <c r="S998" s="7">
        <f t="shared" si="234"/>
        <v>0</v>
      </c>
      <c r="T998" s="35">
        <f t="shared" si="230"/>
        <v>18724.900000000001</v>
      </c>
    </row>
    <row r="999" spans="1:20">
      <c r="A999" s="61" t="str">
        <f ca="1">IF(ISERROR(MATCH(E999,Код_КВР,0)),"",INDIRECT(ADDRESS(MATCH(E999,Код_КВР,0)+1,2,,,"КВР")))</f>
        <v>Закупка товаров, работ и услуг для муниципальных нужд</v>
      </c>
      <c r="B999" s="45" t="s">
        <v>39</v>
      </c>
      <c r="C999" s="8" t="s">
        <v>214</v>
      </c>
      <c r="D999" s="8" t="s">
        <v>220</v>
      </c>
      <c r="E999" s="113">
        <v>200</v>
      </c>
      <c r="F999" s="7">
        <f t="shared" si="234"/>
        <v>18724.900000000001</v>
      </c>
      <c r="G999" s="7">
        <f t="shared" si="234"/>
        <v>0</v>
      </c>
      <c r="H999" s="35">
        <f t="shared" si="229"/>
        <v>18724.900000000001</v>
      </c>
      <c r="I999" s="7">
        <f t="shared" si="234"/>
        <v>0</v>
      </c>
      <c r="J999" s="35">
        <f t="shared" si="227"/>
        <v>18724.900000000001</v>
      </c>
      <c r="K999" s="7">
        <f t="shared" si="234"/>
        <v>0</v>
      </c>
      <c r="L999" s="35">
        <f t="shared" si="221"/>
        <v>18724.900000000001</v>
      </c>
      <c r="M999" s="7">
        <f t="shared" si="234"/>
        <v>0</v>
      </c>
      <c r="N999" s="35">
        <f t="shared" si="222"/>
        <v>18724.900000000001</v>
      </c>
      <c r="O999" s="7">
        <f t="shared" si="234"/>
        <v>0</v>
      </c>
      <c r="P999" s="35">
        <f t="shared" si="235"/>
        <v>18724.900000000001</v>
      </c>
      <c r="Q999" s="7">
        <f t="shared" si="234"/>
        <v>0</v>
      </c>
      <c r="R999" s="35">
        <f t="shared" si="233"/>
        <v>18724.900000000001</v>
      </c>
      <c r="S999" s="7">
        <f t="shared" si="234"/>
        <v>0</v>
      </c>
      <c r="T999" s="35">
        <f t="shared" si="230"/>
        <v>18724.900000000001</v>
      </c>
    </row>
    <row r="1000" spans="1:20" ht="33">
      <c r="A1000" s="61" t="str">
        <f ca="1">IF(ISERROR(MATCH(E1000,Код_КВР,0)),"",INDIRECT(ADDRESS(MATCH(E1000,Код_КВР,0)+1,2,,,"КВР")))</f>
        <v>Иные закупки товаров, работ и услуг для обеспечения муниципальных нужд</v>
      </c>
      <c r="B1000" s="45" t="s">
        <v>39</v>
      </c>
      <c r="C1000" s="8" t="s">
        <v>214</v>
      </c>
      <c r="D1000" s="8" t="s">
        <v>220</v>
      </c>
      <c r="E1000" s="113">
        <v>240</v>
      </c>
      <c r="F1000" s="7">
        <f t="shared" si="234"/>
        <v>18724.900000000001</v>
      </c>
      <c r="G1000" s="7">
        <f t="shared" si="234"/>
        <v>0</v>
      </c>
      <c r="H1000" s="35">
        <f t="shared" si="229"/>
        <v>18724.900000000001</v>
      </c>
      <c r="I1000" s="7">
        <f t="shared" si="234"/>
        <v>0</v>
      </c>
      <c r="J1000" s="35">
        <f t="shared" si="227"/>
        <v>18724.900000000001</v>
      </c>
      <c r="K1000" s="7">
        <f t="shared" si="234"/>
        <v>0</v>
      </c>
      <c r="L1000" s="35">
        <f t="shared" si="221"/>
        <v>18724.900000000001</v>
      </c>
      <c r="M1000" s="7">
        <f t="shared" si="234"/>
        <v>0</v>
      </c>
      <c r="N1000" s="35">
        <f t="shared" si="222"/>
        <v>18724.900000000001</v>
      </c>
      <c r="O1000" s="7">
        <f t="shared" si="234"/>
        <v>0</v>
      </c>
      <c r="P1000" s="35">
        <f t="shared" si="235"/>
        <v>18724.900000000001</v>
      </c>
      <c r="Q1000" s="7">
        <f t="shared" si="234"/>
        <v>0</v>
      </c>
      <c r="R1000" s="35">
        <f t="shared" si="233"/>
        <v>18724.900000000001</v>
      </c>
      <c r="S1000" s="7">
        <f t="shared" si="234"/>
        <v>0</v>
      </c>
      <c r="T1000" s="35">
        <f t="shared" si="230"/>
        <v>18724.900000000001</v>
      </c>
    </row>
    <row r="1001" spans="1:20" ht="33">
      <c r="A1001" s="61" t="str">
        <f ca="1">IF(ISERROR(MATCH(E1001,Код_КВР,0)),"",INDIRECT(ADDRESS(MATCH(E1001,Код_КВР,0)+1,2,,,"КВР")))</f>
        <v xml:space="preserve">Прочая закупка товаров, работ и услуг для обеспечения муниципальных нужд         </v>
      </c>
      <c r="B1001" s="45" t="s">
        <v>39</v>
      </c>
      <c r="C1001" s="8" t="s">
        <v>214</v>
      </c>
      <c r="D1001" s="8" t="s">
        <v>220</v>
      </c>
      <c r="E1001" s="113">
        <v>244</v>
      </c>
      <c r="F1001" s="7">
        <f>прил.6!G1518</f>
        <v>18724.900000000001</v>
      </c>
      <c r="G1001" s="7">
        <f>прил.6!H1518</f>
        <v>0</v>
      </c>
      <c r="H1001" s="35">
        <f t="shared" si="229"/>
        <v>18724.900000000001</v>
      </c>
      <c r="I1001" s="7">
        <f>прил.6!J1518</f>
        <v>0</v>
      </c>
      <c r="J1001" s="35">
        <f t="shared" si="227"/>
        <v>18724.900000000001</v>
      </c>
      <c r="K1001" s="7">
        <f>прил.6!L1518</f>
        <v>0</v>
      </c>
      <c r="L1001" s="35">
        <f t="shared" si="221"/>
        <v>18724.900000000001</v>
      </c>
      <c r="M1001" s="7">
        <f>прил.6!N1518</f>
        <v>0</v>
      </c>
      <c r="N1001" s="35">
        <f t="shared" si="222"/>
        <v>18724.900000000001</v>
      </c>
      <c r="O1001" s="7">
        <f>прил.6!P1518</f>
        <v>0</v>
      </c>
      <c r="P1001" s="35">
        <f t="shared" si="235"/>
        <v>18724.900000000001</v>
      </c>
      <c r="Q1001" s="7">
        <f>прил.6!R1518</f>
        <v>0</v>
      </c>
      <c r="R1001" s="35">
        <f t="shared" si="233"/>
        <v>18724.900000000001</v>
      </c>
      <c r="S1001" s="7">
        <f>прил.6!T1518</f>
        <v>0</v>
      </c>
      <c r="T1001" s="35">
        <f t="shared" si="230"/>
        <v>18724.900000000001</v>
      </c>
    </row>
    <row r="1002" spans="1:20" ht="42" customHeight="1">
      <c r="A1002" s="61" t="str">
        <f ca="1">IF(ISERROR(MATCH(B1002,Код_КЦСР,0)),"",INDIRECT(ADDRESS(MATCH(B1002,Код_КЦСР,0)+1,2,,,"КЦСР")))</f>
        <v>Обеспечение равной доступности услуг общественного транспорта по перевозке пассажиров по социально-значимым маршрутам</v>
      </c>
      <c r="B1002" s="45" t="s">
        <v>632</v>
      </c>
      <c r="C1002" s="8"/>
      <c r="D1002" s="1"/>
      <c r="E1002" s="113"/>
      <c r="F1002" s="7"/>
      <c r="G1002" s="7"/>
      <c r="H1002" s="35"/>
      <c r="I1002" s="7"/>
      <c r="J1002" s="35"/>
      <c r="K1002" s="7"/>
      <c r="L1002" s="35"/>
      <c r="M1002" s="7"/>
      <c r="N1002" s="35"/>
      <c r="O1002" s="7">
        <f>O1003</f>
        <v>12800</v>
      </c>
      <c r="P1002" s="35">
        <f t="shared" si="235"/>
        <v>12800</v>
      </c>
      <c r="Q1002" s="7">
        <f>Q1003</f>
        <v>0</v>
      </c>
      <c r="R1002" s="35">
        <f t="shared" si="233"/>
        <v>12800</v>
      </c>
      <c r="S1002" s="7">
        <f>S1003</f>
        <v>0</v>
      </c>
      <c r="T1002" s="35">
        <f t="shared" si="230"/>
        <v>12800</v>
      </c>
    </row>
    <row r="1003" spans="1:20">
      <c r="A1003" s="61" t="str">
        <f ca="1">IF(ISERROR(MATCH(C1003,Код_Раздел,0)),"",INDIRECT(ADDRESS(MATCH(C1003,Код_Раздел,0)+1,2,,,"Раздел")))</f>
        <v>Национальная экономика</v>
      </c>
      <c r="B1003" s="45" t="s">
        <v>632</v>
      </c>
      <c r="C1003" s="8" t="s">
        <v>214</v>
      </c>
      <c r="D1003" s="1"/>
      <c r="E1003" s="113"/>
      <c r="F1003" s="7"/>
      <c r="G1003" s="7"/>
      <c r="H1003" s="35"/>
      <c r="I1003" s="7"/>
      <c r="J1003" s="35"/>
      <c r="K1003" s="7"/>
      <c r="L1003" s="35"/>
      <c r="M1003" s="7"/>
      <c r="N1003" s="35"/>
      <c r="O1003" s="7">
        <f>O1004</f>
        <v>12800</v>
      </c>
      <c r="P1003" s="35">
        <f t="shared" si="235"/>
        <v>12800</v>
      </c>
      <c r="Q1003" s="7">
        <f>Q1004</f>
        <v>0</v>
      </c>
      <c r="R1003" s="35">
        <f t="shared" si="233"/>
        <v>12800</v>
      </c>
      <c r="S1003" s="7">
        <f>S1004</f>
        <v>0</v>
      </c>
      <c r="T1003" s="35">
        <f t="shared" si="230"/>
        <v>12800</v>
      </c>
    </row>
    <row r="1004" spans="1:20">
      <c r="A1004" s="76" t="s">
        <v>357</v>
      </c>
      <c r="B1004" s="45" t="s">
        <v>632</v>
      </c>
      <c r="C1004" s="8" t="s">
        <v>214</v>
      </c>
      <c r="D1004" s="8" t="s">
        <v>220</v>
      </c>
      <c r="E1004" s="113"/>
      <c r="F1004" s="7"/>
      <c r="G1004" s="7"/>
      <c r="H1004" s="35"/>
      <c r="I1004" s="7"/>
      <c r="J1004" s="35"/>
      <c r="K1004" s="7"/>
      <c r="L1004" s="35"/>
      <c r="M1004" s="7"/>
      <c r="N1004" s="35"/>
      <c r="O1004" s="7">
        <f>O1005</f>
        <v>12800</v>
      </c>
      <c r="P1004" s="35">
        <f t="shared" si="235"/>
        <v>12800</v>
      </c>
      <c r="Q1004" s="7">
        <f>Q1005</f>
        <v>0</v>
      </c>
      <c r="R1004" s="35">
        <f t="shared" si="233"/>
        <v>12800</v>
      </c>
      <c r="S1004" s="7">
        <f>S1005</f>
        <v>0</v>
      </c>
      <c r="T1004" s="35">
        <f t="shared" si="230"/>
        <v>12800</v>
      </c>
    </row>
    <row r="1005" spans="1:20">
      <c r="A1005" s="61" t="str">
        <f ca="1">IF(ISERROR(MATCH(E1005,Код_КВР,0)),"",INDIRECT(ADDRESS(MATCH(E1005,Код_КВР,0)+1,2,,,"КВР")))</f>
        <v>Иные бюджетные ассигнования</v>
      </c>
      <c r="B1005" s="45" t="s">
        <v>632</v>
      </c>
      <c r="C1005" s="8" t="s">
        <v>214</v>
      </c>
      <c r="D1005" s="8" t="s">
        <v>220</v>
      </c>
      <c r="E1005" s="113">
        <v>800</v>
      </c>
      <c r="F1005" s="7"/>
      <c r="G1005" s="7"/>
      <c r="H1005" s="35"/>
      <c r="I1005" s="7"/>
      <c r="J1005" s="35"/>
      <c r="K1005" s="7"/>
      <c r="L1005" s="35"/>
      <c r="M1005" s="7"/>
      <c r="N1005" s="35"/>
      <c r="O1005" s="7">
        <f>O1006</f>
        <v>12800</v>
      </c>
      <c r="P1005" s="35">
        <f t="shared" si="235"/>
        <v>12800</v>
      </c>
      <c r="Q1005" s="7">
        <f>Q1006</f>
        <v>0</v>
      </c>
      <c r="R1005" s="35">
        <f t="shared" si="233"/>
        <v>12800</v>
      </c>
      <c r="S1005" s="7">
        <f>S1006</f>
        <v>0</v>
      </c>
      <c r="T1005" s="35">
        <f t="shared" si="230"/>
        <v>12800</v>
      </c>
    </row>
    <row r="1006" spans="1:20" ht="49.5">
      <c r="A1006" s="61" t="str">
        <f ca="1">IF(ISERROR(MATCH(E1006,Код_КВР,0)),"",INDIRECT(ADDRESS(MATCH(E1006,Код_КВР,0)+1,2,,,"КВР")))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006" s="45" t="s">
        <v>632</v>
      </c>
      <c r="C1006" s="8" t="s">
        <v>214</v>
      </c>
      <c r="D1006" s="8" t="s">
        <v>220</v>
      </c>
      <c r="E1006" s="113">
        <v>810</v>
      </c>
      <c r="F1006" s="7"/>
      <c r="G1006" s="7"/>
      <c r="H1006" s="35"/>
      <c r="I1006" s="7"/>
      <c r="J1006" s="35"/>
      <c r="K1006" s="7"/>
      <c r="L1006" s="35"/>
      <c r="M1006" s="7"/>
      <c r="N1006" s="35"/>
      <c r="O1006" s="7">
        <f>прил.6!P244</f>
        <v>12800</v>
      </c>
      <c r="P1006" s="35">
        <f t="shared" si="235"/>
        <v>12800</v>
      </c>
      <c r="Q1006" s="7">
        <f>прил.6!R244</f>
        <v>0</v>
      </c>
      <c r="R1006" s="35">
        <f t="shared" si="233"/>
        <v>12800</v>
      </c>
      <c r="S1006" s="7">
        <f>прил.6!T244</f>
        <v>0</v>
      </c>
      <c r="T1006" s="35">
        <f t="shared" si="230"/>
        <v>12800</v>
      </c>
    </row>
    <row r="1007" spans="1:20" ht="36.75" customHeight="1">
      <c r="A1007" s="61" t="str">
        <f ca="1">IF(ISERROR(MATCH(B1007,Код_КЦСР,0)),"",INDIRECT(ADDRESS(MATCH(B1007,Код_КЦСР,0)+1,2,,,"КЦСР")))</f>
        <v>Муниципальная программа «Реализация градостроительной политики города Череповца» на 2014-2022 годы</v>
      </c>
      <c r="B1007" s="45" t="s">
        <v>41</v>
      </c>
      <c r="C1007" s="8"/>
      <c r="D1007" s="1"/>
      <c r="E1007" s="113"/>
      <c r="F1007" s="7">
        <f>F1008+F1014</f>
        <v>8645.7999999999993</v>
      </c>
      <c r="G1007" s="7">
        <f>G1008+G1014</f>
        <v>0</v>
      </c>
      <c r="H1007" s="35">
        <f t="shared" si="229"/>
        <v>8645.7999999999993</v>
      </c>
      <c r="I1007" s="7">
        <f>I1008+I1014</f>
        <v>0</v>
      </c>
      <c r="J1007" s="35">
        <f t="shared" si="227"/>
        <v>8645.7999999999993</v>
      </c>
      <c r="K1007" s="7">
        <f>K1008+K1014</f>
        <v>-4085.5</v>
      </c>
      <c r="L1007" s="35">
        <f t="shared" si="221"/>
        <v>4560.2999999999993</v>
      </c>
      <c r="M1007" s="7">
        <f>M1008+M1014</f>
        <v>0</v>
      </c>
      <c r="N1007" s="35">
        <f t="shared" si="222"/>
        <v>4560.2999999999993</v>
      </c>
      <c r="O1007" s="7">
        <f>O1008+O1014</f>
        <v>0</v>
      </c>
      <c r="P1007" s="35">
        <f t="shared" si="235"/>
        <v>4560.2999999999993</v>
      </c>
      <c r="Q1007" s="7">
        <f>Q1008+Q1014</f>
        <v>-537.5</v>
      </c>
      <c r="R1007" s="35">
        <f t="shared" si="233"/>
        <v>4022.7999999999993</v>
      </c>
      <c r="S1007" s="7">
        <f>S1008+S1014</f>
        <v>-1245.8</v>
      </c>
      <c r="T1007" s="35">
        <f t="shared" si="230"/>
        <v>2776.9999999999991</v>
      </c>
    </row>
    <row r="1008" spans="1:20" ht="33">
      <c r="A1008" s="61" t="str">
        <f ca="1">IF(ISERROR(MATCH(B1008,Код_КЦСР,0)),"",INDIRECT(ADDRESS(MATCH(B1008,Код_КЦСР,0)+1,2,,,"КЦСР")))</f>
        <v>Обеспечение подготовки градостроительной документации и нормативно-правовых актов</v>
      </c>
      <c r="B1008" s="45" t="s">
        <v>42</v>
      </c>
      <c r="C1008" s="8"/>
      <c r="D1008" s="1"/>
      <c r="E1008" s="113"/>
      <c r="F1008" s="7">
        <f t="shared" ref="F1008:S1012" si="236">F1009</f>
        <v>7401</v>
      </c>
      <c r="G1008" s="7">
        <f t="shared" si="236"/>
        <v>0</v>
      </c>
      <c r="H1008" s="35">
        <f t="shared" si="229"/>
        <v>7401</v>
      </c>
      <c r="I1008" s="7">
        <f t="shared" si="236"/>
        <v>0</v>
      </c>
      <c r="J1008" s="35">
        <f t="shared" si="227"/>
        <v>7401</v>
      </c>
      <c r="K1008" s="7">
        <f t="shared" si="236"/>
        <v>-4085.5</v>
      </c>
      <c r="L1008" s="35">
        <f t="shared" si="221"/>
        <v>3315.5</v>
      </c>
      <c r="M1008" s="7">
        <f t="shared" si="236"/>
        <v>0</v>
      </c>
      <c r="N1008" s="35">
        <f t="shared" si="222"/>
        <v>3315.5</v>
      </c>
      <c r="O1008" s="7">
        <f t="shared" si="236"/>
        <v>0</v>
      </c>
      <c r="P1008" s="35">
        <f t="shared" si="235"/>
        <v>3315.5</v>
      </c>
      <c r="Q1008" s="7">
        <f t="shared" si="236"/>
        <v>-447.5</v>
      </c>
      <c r="R1008" s="35">
        <f t="shared" si="233"/>
        <v>2868</v>
      </c>
      <c r="S1008" s="7">
        <f t="shared" si="236"/>
        <v>-1101</v>
      </c>
      <c r="T1008" s="35">
        <f t="shared" si="230"/>
        <v>1767</v>
      </c>
    </row>
    <row r="1009" spans="1:20">
      <c r="A1009" s="61" t="str">
        <f ca="1">IF(ISERROR(MATCH(C1009,Код_Раздел,0)),"",INDIRECT(ADDRESS(MATCH(C1009,Код_Раздел,0)+1,2,,,"Раздел")))</f>
        <v>Национальная экономика</v>
      </c>
      <c r="B1009" s="45" t="s">
        <v>42</v>
      </c>
      <c r="C1009" s="8" t="s">
        <v>214</v>
      </c>
      <c r="D1009" s="1"/>
      <c r="E1009" s="113"/>
      <c r="F1009" s="7">
        <f t="shared" si="236"/>
        <v>7401</v>
      </c>
      <c r="G1009" s="7">
        <f t="shared" si="236"/>
        <v>0</v>
      </c>
      <c r="H1009" s="35">
        <f t="shared" si="229"/>
        <v>7401</v>
      </c>
      <c r="I1009" s="7">
        <f t="shared" si="236"/>
        <v>0</v>
      </c>
      <c r="J1009" s="35">
        <f t="shared" si="227"/>
        <v>7401</v>
      </c>
      <c r="K1009" s="7">
        <f t="shared" si="236"/>
        <v>-4085.5</v>
      </c>
      <c r="L1009" s="35">
        <f t="shared" si="221"/>
        <v>3315.5</v>
      </c>
      <c r="M1009" s="7">
        <f t="shared" si="236"/>
        <v>0</v>
      </c>
      <c r="N1009" s="35">
        <f t="shared" si="222"/>
        <v>3315.5</v>
      </c>
      <c r="O1009" s="7">
        <f t="shared" si="236"/>
        <v>0</v>
      </c>
      <c r="P1009" s="35">
        <f t="shared" si="235"/>
        <v>3315.5</v>
      </c>
      <c r="Q1009" s="7">
        <f t="shared" si="236"/>
        <v>-447.5</v>
      </c>
      <c r="R1009" s="35">
        <f t="shared" si="233"/>
        <v>2868</v>
      </c>
      <c r="S1009" s="7">
        <f t="shared" si="236"/>
        <v>-1101</v>
      </c>
      <c r="T1009" s="35">
        <f t="shared" si="230"/>
        <v>1767</v>
      </c>
    </row>
    <row r="1010" spans="1:20">
      <c r="A1010" s="12" t="s">
        <v>221</v>
      </c>
      <c r="B1010" s="45" t="s">
        <v>42</v>
      </c>
      <c r="C1010" s="8" t="s">
        <v>214</v>
      </c>
      <c r="D1010" s="8" t="s">
        <v>194</v>
      </c>
      <c r="E1010" s="113"/>
      <c r="F1010" s="7">
        <f t="shared" si="236"/>
        <v>7401</v>
      </c>
      <c r="G1010" s="7">
        <f t="shared" si="236"/>
        <v>0</v>
      </c>
      <c r="H1010" s="35">
        <f t="shared" si="229"/>
        <v>7401</v>
      </c>
      <c r="I1010" s="7">
        <f t="shared" si="236"/>
        <v>0</v>
      </c>
      <c r="J1010" s="35">
        <f t="shared" si="227"/>
        <v>7401</v>
      </c>
      <c r="K1010" s="7">
        <f t="shared" si="236"/>
        <v>-4085.5</v>
      </c>
      <c r="L1010" s="35">
        <f t="shared" si="221"/>
        <v>3315.5</v>
      </c>
      <c r="M1010" s="7">
        <f t="shared" si="236"/>
        <v>0</v>
      </c>
      <c r="N1010" s="35">
        <f t="shared" si="222"/>
        <v>3315.5</v>
      </c>
      <c r="O1010" s="7">
        <f t="shared" si="236"/>
        <v>0</v>
      </c>
      <c r="P1010" s="35">
        <f t="shared" si="235"/>
        <v>3315.5</v>
      </c>
      <c r="Q1010" s="7">
        <f t="shared" si="236"/>
        <v>-447.5</v>
      </c>
      <c r="R1010" s="35">
        <f t="shared" si="233"/>
        <v>2868</v>
      </c>
      <c r="S1010" s="7">
        <f t="shared" si="236"/>
        <v>-1101</v>
      </c>
      <c r="T1010" s="35">
        <f t="shared" si="230"/>
        <v>1767</v>
      </c>
    </row>
    <row r="1011" spans="1:20">
      <c r="A1011" s="61" t="str">
        <f ca="1">IF(ISERROR(MATCH(E1011,Код_КВР,0)),"",INDIRECT(ADDRESS(MATCH(E1011,Код_КВР,0)+1,2,,,"КВР")))</f>
        <v>Закупка товаров, работ и услуг для муниципальных нужд</v>
      </c>
      <c r="B1011" s="45" t="s">
        <v>42</v>
      </c>
      <c r="C1011" s="8" t="s">
        <v>214</v>
      </c>
      <c r="D1011" s="8" t="s">
        <v>194</v>
      </c>
      <c r="E1011" s="113">
        <v>200</v>
      </c>
      <c r="F1011" s="7">
        <f t="shared" si="236"/>
        <v>7401</v>
      </c>
      <c r="G1011" s="7">
        <f t="shared" si="236"/>
        <v>0</v>
      </c>
      <c r="H1011" s="35">
        <f t="shared" si="229"/>
        <v>7401</v>
      </c>
      <c r="I1011" s="7">
        <f t="shared" si="236"/>
        <v>0</v>
      </c>
      <c r="J1011" s="35">
        <f t="shared" si="227"/>
        <v>7401</v>
      </c>
      <c r="K1011" s="7">
        <f t="shared" si="236"/>
        <v>-4085.5</v>
      </c>
      <c r="L1011" s="35">
        <f t="shared" si="221"/>
        <v>3315.5</v>
      </c>
      <c r="M1011" s="7">
        <f t="shared" si="236"/>
        <v>0</v>
      </c>
      <c r="N1011" s="35">
        <f t="shared" si="222"/>
        <v>3315.5</v>
      </c>
      <c r="O1011" s="7">
        <f t="shared" si="236"/>
        <v>0</v>
      </c>
      <c r="P1011" s="35">
        <f t="shared" si="235"/>
        <v>3315.5</v>
      </c>
      <c r="Q1011" s="7">
        <f t="shared" si="236"/>
        <v>-447.5</v>
      </c>
      <c r="R1011" s="35">
        <f t="shared" si="233"/>
        <v>2868</v>
      </c>
      <c r="S1011" s="7">
        <f t="shared" si="236"/>
        <v>-1101</v>
      </c>
      <c r="T1011" s="35">
        <f t="shared" si="230"/>
        <v>1767</v>
      </c>
    </row>
    <row r="1012" spans="1:20" ht="33">
      <c r="A1012" s="61" t="str">
        <f ca="1">IF(ISERROR(MATCH(E1012,Код_КВР,0)),"",INDIRECT(ADDRESS(MATCH(E1012,Код_КВР,0)+1,2,,,"КВР")))</f>
        <v>Иные закупки товаров, работ и услуг для обеспечения муниципальных нужд</v>
      </c>
      <c r="B1012" s="45" t="s">
        <v>42</v>
      </c>
      <c r="C1012" s="8" t="s">
        <v>214</v>
      </c>
      <c r="D1012" s="8" t="s">
        <v>194</v>
      </c>
      <c r="E1012" s="113">
        <v>240</v>
      </c>
      <c r="F1012" s="7">
        <f t="shared" si="236"/>
        <v>7401</v>
      </c>
      <c r="G1012" s="7">
        <f t="shared" si="236"/>
        <v>0</v>
      </c>
      <c r="H1012" s="35">
        <f t="shared" si="229"/>
        <v>7401</v>
      </c>
      <c r="I1012" s="7">
        <f t="shared" si="236"/>
        <v>0</v>
      </c>
      <c r="J1012" s="35">
        <f t="shared" si="227"/>
        <v>7401</v>
      </c>
      <c r="K1012" s="7">
        <f t="shared" si="236"/>
        <v>-4085.5</v>
      </c>
      <c r="L1012" s="35">
        <f t="shared" si="221"/>
        <v>3315.5</v>
      </c>
      <c r="M1012" s="7">
        <f t="shared" si="236"/>
        <v>0</v>
      </c>
      <c r="N1012" s="35">
        <f t="shared" si="222"/>
        <v>3315.5</v>
      </c>
      <c r="O1012" s="7">
        <f t="shared" si="236"/>
        <v>0</v>
      </c>
      <c r="P1012" s="35">
        <f t="shared" si="235"/>
        <v>3315.5</v>
      </c>
      <c r="Q1012" s="7">
        <f t="shared" si="236"/>
        <v>-447.5</v>
      </c>
      <c r="R1012" s="35">
        <f t="shared" si="233"/>
        <v>2868</v>
      </c>
      <c r="S1012" s="7">
        <f t="shared" si="236"/>
        <v>-1101</v>
      </c>
      <c r="T1012" s="35">
        <f t="shared" si="230"/>
        <v>1767</v>
      </c>
    </row>
    <row r="1013" spans="1:20" ht="33">
      <c r="A1013" s="61" t="str">
        <f ca="1">IF(ISERROR(MATCH(E1013,Код_КВР,0)),"",INDIRECT(ADDRESS(MATCH(E1013,Код_КВР,0)+1,2,,,"КВР")))</f>
        <v xml:space="preserve">Прочая закупка товаров, работ и услуг для обеспечения муниципальных нужд         </v>
      </c>
      <c r="B1013" s="45" t="s">
        <v>42</v>
      </c>
      <c r="C1013" s="8" t="s">
        <v>214</v>
      </c>
      <c r="D1013" s="8" t="s">
        <v>194</v>
      </c>
      <c r="E1013" s="113">
        <v>244</v>
      </c>
      <c r="F1013" s="7">
        <f>прил.6!G556</f>
        <v>7401</v>
      </c>
      <c r="G1013" s="7">
        <f>прил.6!H556</f>
        <v>0</v>
      </c>
      <c r="H1013" s="35">
        <f t="shared" si="229"/>
        <v>7401</v>
      </c>
      <c r="I1013" s="7">
        <f>прил.6!J556</f>
        <v>0</v>
      </c>
      <c r="J1013" s="35">
        <f t="shared" si="227"/>
        <v>7401</v>
      </c>
      <c r="K1013" s="7">
        <f>прил.6!L556</f>
        <v>-4085.5</v>
      </c>
      <c r="L1013" s="35">
        <f t="shared" si="221"/>
        <v>3315.5</v>
      </c>
      <c r="M1013" s="7">
        <f>прил.6!N556</f>
        <v>0</v>
      </c>
      <c r="N1013" s="35">
        <f t="shared" si="222"/>
        <v>3315.5</v>
      </c>
      <c r="O1013" s="7">
        <f>прил.6!P556</f>
        <v>0</v>
      </c>
      <c r="P1013" s="35">
        <f t="shared" si="235"/>
        <v>3315.5</v>
      </c>
      <c r="Q1013" s="7">
        <f>прил.6!R556</f>
        <v>-447.5</v>
      </c>
      <c r="R1013" s="35">
        <f t="shared" si="233"/>
        <v>2868</v>
      </c>
      <c r="S1013" s="7">
        <f>прил.6!T556</f>
        <v>-1101</v>
      </c>
      <c r="T1013" s="35">
        <f t="shared" si="230"/>
        <v>1767</v>
      </c>
    </row>
    <row r="1014" spans="1:20" ht="33">
      <c r="A1014" s="61" t="str">
        <f ca="1">IF(ISERROR(MATCH(B1014,Код_КЦСР,0)),"",INDIRECT(ADDRESS(MATCH(B1014,Код_КЦСР,0)+1,2,,,"КЦСР")))</f>
        <v>Создание условий для формирования комфортной городской среды</v>
      </c>
      <c r="B1014" s="45" t="s">
        <v>44</v>
      </c>
      <c r="C1014" s="8"/>
      <c r="D1014" s="1"/>
      <c r="E1014" s="113"/>
      <c r="F1014" s="7">
        <f t="shared" ref="F1014:S1018" si="237">F1015</f>
        <v>1244.8</v>
      </c>
      <c r="G1014" s="7">
        <f t="shared" si="237"/>
        <v>0</v>
      </c>
      <c r="H1014" s="35">
        <f t="shared" si="229"/>
        <v>1244.8</v>
      </c>
      <c r="I1014" s="7">
        <f t="shared" si="237"/>
        <v>0</v>
      </c>
      <c r="J1014" s="35">
        <f t="shared" si="227"/>
        <v>1244.8</v>
      </c>
      <c r="K1014" s="7">
        <f t="shared" si="237"/>
        <v>0</v>
      </c>
      <c r="L1014" s="35">
        <f t="shared" si="221"/>
        <v>1244.8</v>
      </c>
      <c r="M1014" s="7">
        <f t="shared" si="237"/>
        <v>0</v>
      </c>
      <c r="N1014" s="35">
        <f t="shared" si="222"/>
        <v>1244.8</v>
      </c>
      <c r="O1014" s="7">
        <f t="shared" si="237"/>
        <v>0</v>
      </c>
      <c r="P1014" s="35">
        <f t="shared" si="235"/>
        <v>1244.8</v>
      </c>
      <c r="Q1014" s="7">
        <f t="shared" si="237"/>
        <v>-90</v>
      </c>
      <c r="R1014" s="35">
        <f t="shared" si="233"/>
        <v>1154.8</v>
      </c>
      <c r="S1014" s="7">
        <f t="shared" si="237"/>
        <v>-144.80000000000001</v>
      </c>
      <c r="T1014" s="35">
        <f t="shared" si="230"/>
        <v>1010</v>
      </c>
    </row>
    <row r="1015" spans="1:20">
      <c r="A1015" s="61" t="str">
        <f ca="1">IF(ISERROR(MATCH(C1015,Код_Раздел,0)),"",INDIRECT(ADDRESS(MATCH(C1015,Код_Раздел,0)+1,2,,,"Раздел")))</f>
        <v>Национальная экономика</v>
      </c>
      <c r="B1015" s="45" t="s">
        <v>44</v>
      </c>
      <c r="C1015" s="8" t="s">
        <v>214</v>
      </c>
      <c r="D1015" s="1"/>
      <c r="E1015" s="113"/>
      <c r="F1015" s="7">
        <f t="shared" si="237"/>
        <v>1244.8</v>
      </c>
      <c r="G1015" s="7">
        <f t="shared" si="237"/>
        <v>0</v>
      </c>
      <c r="H1015" s="35">
        <f t="shared" si="229"/>
        <v>1244.8</v>
      </c>
      <c r="I1015" s="7">
        <f t="shared" si="237"/>
        <v>0</v>
      </c>
      <c r="J1015" s="35">
        <f t="shared" si="227"/>
        <v>1244.8</v>
      </c>
      <c r="K1015" s="7">
        <f t="shared" si="237"/>
        <v>0</v>
      </c>
      <c r="L1015" s="35">
        <f t="shared" si="221"/>
        <v>1244.8</v>
      </c>
      <c r="M1015" s="7">
        <f t="shared" si="237"/>
        <v>0</v>
      </c>
      <c r="N1015" s="35">
        <f t="shared" si="222"/>
        <v>1244.8</v>
      </c>
      <c r="O1015" s="7">
        <f t="shared" si="237"/>
        <v>0</v>
      </c>
      <c r="P1015" s="35">
        <f t="shared" si="235"/>
        <v>1244.8</v>
      </c>
      <c r="Q1015" s="7">
        <f t="shared" si="237"/>
        <v>-90</v>
      </c>
      <c r="R1015" s="35">
        <f t="shared" si="233"/>
        <v>1154.8</v>
      </c>
      <c r="S1015" s="7">
        <f t="shared" si="237"/>
        <v>-144.80000000000001</v>
      </c>
      <c r="T1015" s="35">
        <f t="shared" si="230"/>
        <v>1010</v>
      </c>
    </row>
    <row r="1016" spans="1:20">
      <c r="A1016" s="12" t="s">
        <v>221</v>
      </c>
      <c r="B1016" s="45" t="s">
        <v>44</v>
      </c>
      <c r="C1016" s="8" t="s">
        <v>214</v>
      </c>
      <c r="D1016" s="8" t="s">
        <v>194</v>
      </c>
      <c r="E1016" s="113"/>
      <c r="F1016" s="7">
        <f t="shared" si="237"/>
        <v>1244.8</v>
      </c>
      <c r="G1016" s="7">
        <f t="shared" si="237"/>
        <v>0</v>
      </c>
      <c r="H1016" s="35">
        <f t="shared" si="229"/>
        <v>1244.8</v>
      </c>
      <c r="I1016" s="7">
        <f t="shared" si="237"/>
        <v>0</v>
      </c>
      <c r="J1016" s="35">
        <f t="shared" si="227"/>
        <v>1244.8</v>
      </c>
      <c r="K1016" s="7">
        <f t="shared" si="237"/>
        <v>0</v>
      </c>
      <c r="L1016" s="35">
        <f t="shared" si="221"/>
        <v>1244.8</v>
      </c>
      <c r="M1016" s="7">
        <f t="shared" si="237"/>
        <v>0</v>
      </c>
      <c r="N1016" s="35">
        <f t="shared" si="222"/>
        <v>1244.8</v>
      </c>
      <c r="O1016" s="7">
        <f t="shared" si="237"/>
        <v>0</v>
      </c>
      <c r="P1016" s="35">
        <f t="shared" si="235"/>
        <v>1244.8</v>
      </c>
      <c r="Q1016" s="7">
        <f t="shared" si="237"/>
        <v>-90</v>
      </c>
      <c r="R1016" s="35">
        <f t="shared" si="233"/>
        <v>1154.8</v>
      </c>
      <c r="S1016" s="7">
        <f t="shared" si="237"/>
        <v>-144.80000000000001</v>
      </c>
      <c r="T1016" s="35">
        <f t="shared" si="230"/>
        <v>1010</v>
      </c>
    </row>
    <row r="1017" spans="1:20">
      <c r="A1017" s="61" t="str">
        <f ca="1">IF(ISERROR(MATCH(E1017,Код_КВР,0)),"",INDIRECT(ADDRESS(MATCH(E1017,Код_КВР,0)+1,2,,,"КВР")))</f>
        <v>Закупка товаров, работ и услуг для муниципальных нужд</v>
      </c>
      <c r="B1017" s="45" t="s">
        <v>44</v>
      </c>
      <c r="C1017" s="8" t="s">
        <v>214</v>
      </c>
      <c r="D1017" s="8" t="s">
        <v>194</v>
      </c>
      <c r="E1017" s="113">
        <v>200</v>
      </c>
      <c r="F1017" s="7">
        <f t="shared" si="237"/>
        <v>1244.8</v>
      </c>
      <c r="G1017" s="7">
        <f t="shared" si="237"/>
        <v>0</v>
      </c>
      <c r="H1017" s="35">
        <f t="shared" si="229"/>
        <v>1244.8</v>
      </c>
      <c r="I1017" s="7">
        <f t="shared" si="237"/>
        <v>0</v>
      </c>
      <c r="J1017" s="35">
        <f t="shared" si="227"/>
        <v>1244.8</v>
      </c>
      <c r="K1017" s="7">
        <f t="shared" si="237"/>
        <v>0</v>
      </c>
      <c r="L1017" s="35">
        <f t="shared" ref="L1017:L1086" si="238">J1017+K1017</f>
        <v>1244.8</v>
      </c>
      <c r="M1017" s="7">
        <f t="shared" si="237"/>
        <v>0</v>
      </c>
      <c r="N1017" s="35">
        <f t="shared" ref="N1017:N1086" si="239">L1017+M1017</f>
        <v>1244.8</v>
      </c>
      <c r="O1017" s="7">
        <f t="shared" si="237"/>
        <v>0</v>
      </c>
      <c r="P1017" s="35">
        <f t="shared" si="235"/>
        <v>1244.8</v>
      </c>
      <c r="Q1017" s="7">
        <f t="shared" si="237"/>
        <v>-90</v>
      </c>
      <c r="R1017" s="35">
        <f t="shared" si="233"/>
        <v>1154.8</v>
      </c>
      <c r="S1017" s="7">
        <f t="shared" si="237"/>
        <v>-144.80000000000001</v>
      </c>
      <c r="T1017" s="35">
        <f t="shared" si="230"/>
        <v>1010</v>
      </c>
    </row>
    <row r="1018" spans="1:20" ht="33">
      <c r="A1018" s="61" t="str">
        <f ca="1">IF(ISERROR(MATCH(E1018,Код_КВР,0)),"",INDIRECT(ADDRESS(MATCH(E1018,Код_КВР,0)+1,2,,,"КВР")))</f>
        <v>Иные закупки товаров, работ и услуг для обеспечения муниципальных нужд</v>
      </c>
      <c r="B1018" s="45" t="s">
        <v>44</v>
      </c>
      <c r="C1018" s="8" t="s">
        <v>214</v>
      </c>
      <c r="D1018" s="8" t="s">
        <v>194</v>
      </c>
      <c r="E1018" s="113">
        <v>240</v>
      </c>
      <c r="F1018" s="7">
        <f t="shared" si="237"/>
        <v>1244.8</v>
      </c>
      <c r="G1018" s="7">
        <f t="shared" si="237"/>
        <v>0</v>
      </c>
      <c r="H1018" s="35">
        <f t="shared" si="229"/>
        <v>1244.8</v>
      </c>
      <c r="I1018" s="7">
        <f t="shared" si="237"/>
        <v>0</v>
      </c>
      <c r="J1018" s="35">
        <f t="shared" si="227"/>
        <v>1244.8</v>
      </c>
      <c r="K1018" s="7">
        <f t="shared" si="237"/>
        <v>0</v>
      </c>
      <c r="L1018" s="35">
        <f t="shared" si="238"/>
        <v>1244.8</v>
      </c>
      <c r="M1018" s="7">
        <f t="shared" si="237"/>
        <v>0</v>
      </c>
      <c r="N1018" s="35">
        <f t="shared" si="239"/>
        <v>1244.8</v>
      </c>
      <c r="O1018" s="7">
        <f t="shared" si="237"/>
        <v>0</v>
      </c>
      <c r="P1018" s="35">
        <f t="shared" si="235"/>
        <v>1244.8</v>
      </c>
      <c r="Q1018" s="7">
        <f t="shared" si="237"/>
        <v>-90</v>
      </c>
      <c r="R1018" s="35">
        <f t="shared" si="233"/>
        <v>1154.8</v>
      </c>
      <c r="S1018" s="7">
        <f t="shared" si="237"/>
        <v>-144.80000000000001</v>
      </c>
      <c r="T1018" s="35">
        <f t="shared" si="230"/>
        <v>1010</v>
      </c>
    </row>
    <row r="1019" spans="1:20" ht="33">
      <c r="A1019" s="61" t="str">
        <f ca="1">IF(ISERROR(MATCH(E1019,Код_КВР,0)),"",INDIRECT(ADDRESS(MATCH(E1019,Код_КВР,0)+1,2,,,"КВР")))</f>
        <v xml:space="preserve">Прочая закупка товаров, работ и услуг для обеспечения муниципальных нужд         </v>
      </c>
      <c r="B1019" s="45" t="s">
        <v>44</v>
      </c>
      <c r="C1019" s="8" t="s">
        <v>214</v>
      </c>
      <c r="D1019" s="8" t="s">
        <v>194</v>
      </c>
      <c r="E1019" s="113">
        <v>244</v>
      </c>
      <c r="F1019" s="7">
        <f>прил.6!G560</f>
        <v>1244.8</v>
      </c>
      <c r="G1019" s="7">
        <f>прил.6!H560</f>
        <v>0</v>
      </c>
      <c r="H1019" s="35">
        <f t="shared" si="229"/>
        <v>1244.8</v>
      </c>
      <c r="I1019" s="7">
        <f>прил.6!J560</f>
        <v>0</v>
      </c>
      <c r="J1019" s="35">
        <f t="shared" si="227"/>
        <v>1244.8</v>
      </c>
      <c r="K1019" s="7">
        <f>прил.6!L560</f>
        <v>0</v>
      </c>
      <c r="L1019" s="35">
        <f t="shared" si="238"/>
        <v>1244.8</v>
      </c>
      <c r="M1019" s="7">
        <f>прил.6!N560</f>
        <v>0</v>
      </c>
      <c r="N1019" s="35">
        <f t="shared" si="239"/>
        <v>1244.8</v>
      </c>
      <c r="O1019" s="7">
        <f>прил.6!P560</f>
        <v>0</v>
      </c>
      <c r="P1019" s="35">
        <f t="shared" si="235"/>
        <v>1244.8</v>
      </c>
      <c r="Q1019" s="7">
        <f>прил.6!R560</f>
        <v>-90</v>
      </c>
      <c r="R1019" s="35">
        <f t="shared" si="233"/>
        <v>1154.8</v>
      </c>
      <c r="S1019" s="7">
        <f>прил.6!T560</f>
        <v>-144.80000000000001</v>
      </c>
      <c r="T1019" s="35">
        <f t="shared" si="230"/>
        <v>1010</v>
      </c>
    </row>
    <row r="1020" spans="1:20" ht="33">
      <c r="A1020" s="61" t="str">
        <f ca="1">IF(ISERROR(MATCH(B1020,Код_КЦСР,0)),"",INDIRECT(ADDRESS(MATCH(B1020,Код_КЦСР,0)+1,2,,,"КЦСР")))</f>
        <v>Муниципальная программа «Развитие жилищно-коммунального хозяйства города Череповца» на 2014-2018 годы</v>
      </c>
      <c r="B1020" s="45" t="s">
        <v>45</v>
      </c>
      <c r="C1020" s="8"/>
      <c r="D1020" s="1"/>
      <c r="E1020" s="113"/>
      <c r="F1020" s="7">
        <f>F1021+F1065</f>
        <v>726507.20000000007</v>
      </c>
      <c r="G1020" s="7">
        <f>G1021+G1065</f>
        <v>51383.6</v>
      </c>
      <c r="H1020" s="35">
        <f t="shared" si="229"/>
        <v>777890.8</v>
      </c>
      <c r="I1020" s="7">
        <f>I1021+I1065</f>
        <v>-898.90000000000009</v>
      </c>
      <c r="J1020" s="35">
        <f t="shared" si="227"/>
        <v>776991.9</v>
      </c>
      <c r="K1020" s="7">
        <f>K1021+K1065</f>
        <v>-6324.4000000000005</v>
      </c>
      <c r="L1020" s="35">
        <f t="shared" si="238"/>
        <v>770667.5</v>
      </c>
      <c r="M1020" s="7">
        <f>M1021+M1065</f>
        <v>-676.69999999999993</v>
      </c>
      <c r="N1020" s="35">
        <f t="shared" si="239"/>
        <v>769990.8</v>
      </c>
      <c r="O1020" s="7">
        <f>O1021+O1065</f>
        <v>-140.19999999999999</v>
      </c>
      <c r="P1020" s="35">
        <f t="shared" si="235"/>
        <v>769850.60000000009</v>
      </c>
      <c r="Q1020" s="7">
        <f>Q1021+Q1065</f>
        <v>549.30000000000109</v>
      </c>
      <c r="R1020" s="35">
        <f t="shared" si="233"/>
        <v>770399.90000000014</v>
      </c>
      <c r="S1020" s="7">
        <f>S1021+S1065</f>
        <v>0</v>
      </c>
      <c r="T1020" s="35">
        <f t="shared" si="230"/>
        <v>770399.90000000014</v>
      </c>
    </row>
    <row r="1021" spans="1:20">
      <c r="A1021" s="61" t="str">
        <f ca="1">IF(ISERROR(MATCH(B1021,Код_КЦСР,0)),"",INDIRECT(ADDRESS(MATCH(B1021,Код_КЦСР,0)+1,2,,,"КЦСР")))</f>
        <v>Развитие благоустройства города</v>
      </c>
      <c r="B1021" s="45" t="s">
        <v>46</v>
      </c>
      <c r="C1021" s="8"/>
      <c r="D1021" s="1"/>
      <c r="E1021" s="113"/>
      <c r="F1021" s="7">
        <f>F1022+F1030+F1042+F1053+F1059</f>
        <v>718826.4</v>
      </c>
      <c r="G1021" s="7">
        <f>G1022+G1030+G1042+G1053+G1059</f>
        <v>51383.6</v>
      </c>
      <c r="H1021" s="35">
        <f t="shared" si="229"/>
        <v>770210</v>
      </c>
      <c r="I1021" s="7">
        <f>I1022+I1030+I1042+I1053+I1059</f>
        <v>-898.90000000000009</v>
      </c>
      <c r="J1021" s="35">
        <f t="shared" si="227"/>
        <v>769311.1</v>
      </c>
      <c r="K1021" s="7">
        <f>K1022+K1030+K1042+K1053+K1059</f>
        <v>-6086.3</v>
      </c>
      <c r="L1021" s="35">
        <f t="shared" si="238"/>
        <v>763224.79999999993</v>
      </c>
      <c r="M1021" s="7">
        <f>M1022+M1030+M1042+M1053+M1059</f>
        <v>-676.69999999999993</v>
      </c>
      <c r="N1021" s="35">
        <f t="shared" si="239"/>
        <v>762548.1</v>
      </c>
      <c r="O1021" s="7">
        <f>O1022+O1030+O1042+O1053+O1059</f>
        <v>-140.19999999999999</v>
      </c>
      <c r="P1021" s="35">
        <f t="shared" si="235"/>
        <v>762407.9</v>
      </c>
      <c r="Q1021" s="7">
        <f>Q1022+Q1030+Q1042+Q1053+Q1059</f>
        <v>-7789.6999999999989</v>
      </c>
      <c r="R1021" s="35">
        <f t="shared" si="233"/>
        <v>754618.20000000007</v>
      </c>
      <c r="S1021" s="7">
        <f>S1022+S1030+S1042+S1053+S1059</f>
        <v>0</v>
      </c>
      <c r="T1021" s="35">
        <f t="shared" si="230"/>
        <v>754618.20000000007</v>
      </c>
    </row>
    <row r="1022" spans="1:20" ht="33">
      <c r="A1022" s="61" t="str">
        <f ca="1">IF(ISERROR(MATCH(B1022,Код_КЦСР,0)),"",INDIRECT(ADDRESS(MATCH(B1022,Код_КЦСР,0)+1,2,,,"КЦСР")))</f>
        <v>Мероприятия по благоустройству и повышению внешней привлекательности города</v>
      </c>
      <c r="B1022" s="45" t="s">
        <v>48</v>
      </c>
      <c r="C1022" s="8"/>
      <c r="D1022" s="1"/>
      <c r="E1022" s="113"/>
      <c r="F1022" s="7">
        <f>F1023</f>
        <v>136626.20000000001</v>
      </c>
      <c r="G1022" s="7">
        <f>G1023</f>
        <v>0</v>
      </c>
      <c r="H1022" s="35">
        <f t="shared" si="229"/>
        <v>136626.20000000001</v>
      </c>
      <c r="I1022" s="7">
        <f>I1023</f>
        <v>-898.90000000000009</v>
      </c>
      <c r="J1022" s="35">
        <f t="shared" si="227"/>
        <v>135727.30000000002</v>
      </c>
      <c r="K1022" s="7">
        <f>K1023</f>
        <v>-2173.1999999999998</v>
      </c>
      <c r="L1022" s="35">
        <f t="shared" si="238"/>
        <v>133554.1</v>
      </c>
      <c r="M1022" s="7">
        <f>M1023</f>
        <v>0</v>
      </c>
      <c r="N1022" s="35">
        <f t="shared" si="239"/>
        <v>133554.1</v>
      </c>
      <c r="O1022" s="7">
        <f>O1023</f>
        <v>-140.19999999999999</v>
      </c>
      <c r="P1022" s="35">
        <f t="shared" si="235"/>
        <v>133413.9</v>
      </c>
      <c r="Q1022" s="7">
        <f>Q1023</f>
        <v>-1759.9</v>
      </c>
      <c r="R1022" s="35">
        <f t="shared" si="233"/>
        <v>131654</v>
      </c>
      <c r="S1022" s="7">
        <f>S1023</f>
        <v>5813.4</v>
      </c>
      <c r="T1022" s="35">
        <f t="shared" si="230"/>
        <v>137467.4</v>
      </c>
    </row>
    <row r="1023" spans="1:20">
      <c r="A1023" s="61" t="str">
        <f ca="1">IF(ISERROR(MATCH(C1023,Код_Раздел,0)),"",INDIRECT(ADDRESS(MATCH(C1023,Код_Раздел,0)+1,2,,,"Раздел")))</f>
        <v>Жилищно-коммунальное хозяйство</v>
      </c>
      <c r="B1023" s="45" t="s">
        <v>48</v>
      </c>
      <c r="C1023" s="8" t="s">
        <v>219</v>
      </c>
      <c r="D1023" s="1"/>
      <c r="E1023" s="113"/>
      <c r="F1023" s="7">
        <f>F1024</f>
        <v>136626.20000000001</v>
      </c>
      <c r="G1023" s="7">
        <f>G1024</f>
        <v>0</v>
      </c>
      <c r="H1023" s="35">
        <f t="shared" si="229"/>
        <v>136626.20000000001</v>
      </c>
      <c r="I1023" s="7">
        <f>I1024</f>
        <v>-898.90000000000009</v>
      </c>
      <c r="J1023" s="35">
        <f t="shared" si="227"/>
        <v>135727.30000000002</v>
      </c>
      <c r="K1023" s="7">
        <f>K1024</f>
        <v>-2173.1999999999998</v>
      </c>
      <c r="L1023" s="35">
        <f t="shared" si="238"/>
        <v>133554.1</v>
      </c>
      <c r="M1023" s="7">
        <f>M1024</f>
        <v>0</v>
      </c>
      <c r="N1023" s="35">
        <f t="shared" si="239"/>
        <v>133554.1</v>
      </c>
      <c r="O1023" s="7">
        <f>O1024</f>
        <v>-140.19999999999999</v>
      </c>
      <c r="P1023" s="35">
        <f t="shared" si="235"/>
        <v>133413.9</v>
      </c>
      <c r="Q1023" s="7">
        <f>Q1024</f>
        <v>-1759.9</v>
      </c>
      <c r="R1023" s="35">
        <f t="shared" si="233"/>
        <v>131654</v>
      </c>
      <c r="S1023" s="7">
        <f>S1024</f>
        <v>5813.4</v>
      </c>
      <c r="T1023" s="35">
        <f t="shared" si="230"/>
        <v>137467.4</v>
      </c>
    </row>
    <row r="1024" spans="1:20">
      <c r="A1024" s="61" t="s">
        <v>250</v>
      </c>
      <c r="B1024" s="45" t="s">
        <v>48</v>
      </c>
      <c r="C1024" s="8" t="s">
        <v>219</v>
      </c>
      <c r="D1024" s="8" t="s">
        <v>213</v>
      </c>
      <c r="E1024" s="113"/>
      <c r="F1024" s="7">
        <f>F1025+F1028</f>
        <v>136626.20000000001</v>
      </c>
      <c r="G1024" s="7">
        <f>G1025+G1028</f>
        <v>0</v>
      </c>
      <c r="H1024" s="35">
        <f t="shared" si="229"/>
        <v>136626.20000000001</v>
      </c>
      <c r="I1024" s="7">
        <f>I1025+I1028</f>
        <v>-898.90000000000009</v>
      </c>
      <c r="J1024" s="35">
        <f t="shared" si="227"/>
        <v>135727.30000000002</v>
      </c>
      <c r="K1024" s="7">
        <f>K1025+K1028</f>
        <v>-2173.1999999999998</v>
      </c>
      <c r="L1024" s="35">
        <f t="shared" si="238"/>
        <v>133554.1</v>
      </c>
      <c r="M1024" s="7">
        <f>M1025+M1028</f>
        <v>0</v>
      </c>
      <c r="N1024" s="35">
        <f t="shared" si="239"/>
        <v>133554.1</v>
      </c>
      <c r="O1024" s="7">
        <f>O1025+O1028</f>
        <v>-140.19999999999999</v>
      </c>
      <c r="P1024" s="35">
        <f t="shared" si="235"/>
        <v>133413.9</v>
      </c>
      <c r="Q1024" s="7">
        <f>Q1025+Q1028</f>
        <v>-1759.9</v>
      </c>
      <c r="R1024" s="35">
        <f t="shared" si="233"/>
        <v>131654</v>
      </c>
      <c r="S1024" s="7">
        <f>S1025+S1028</f>
        <v>5813.4</v>
      </c>
      <c r="T1024" s="35">
        <f t="shared" si="230"/>
        <v>137467.4</v>
      </c>
    </row>
    <row r="1025" spans="1:21">
      <c r="A1025" s="61" t="str">
        <f ca="1">IF(ISERROR(MATCH(E1025,Код_КВР,0)),"",INDIRECT(ADDRESS(MATCH(E1025,Код_КВР,0)+1,2,,,"КВР")))</f>
        <v>Закупка товаров, работ и услуг для муниципальных нужд</v>
      </c>
      <c r="B1025" s="45" t="s">
        <v>48</v>
      </c>
      <c r="C1025" s="8" t="s">
        <v>219</v>
      </c>
      <c r="D1025" s="8" t="s">
        <v>213</v>
      </c>
      <c r="E1025" s="113">
        <v>200</v>
      </c>
      <c r="F1025" s="7">
        <f>F1026</f>
        <v>104444.7</v>
      </c>
      <c r="G1025" s="7">
        <f>G1026</f>
        <v>0</v>
      </c>
      <c r="H1025" s="35">
        <f t="shared" si="229"/>
        <v>104444.7</v>
      </c>
      <c r="I1025" s="7">
        <f>I1026</f>
        <v>286.2</v>
      </c>
      <c r="J1025" s="35">
        <f t="shared" si="227"/>
        <v>104730.9</v>
      </c>
      <c r="K1025" s="7">
        <f>K1026</f>
        <v>-2173.1999999999998</v>
      </c>
      <c r="L1025" s="35">
        <f t="shared" si="238"/>
        <v>102557.7</v>
      </c>
      <c r="M1025" s="7">
        <f>M1026</f>
        <v>0</v>
      </c>
      <c r="N1025" s="35">
        <f t="shared" si="239"/>
        <v>102557.7</v>
      </c>
      <c r="O1025" s="7">
        <f>O1026</f>
        <v>-140.19999999999999</v>
      </c>
      <c r="P1025" s="35">
        <f t="shared" si="235"/>
        <v>102417.5</v>
      </c>
      <c r="Q1025" s="7">
        <f>Q1026</f>
        <v>-1759.9</v>
      </c>
      <c r="R1025" s="35">
        <f t="shared" si="233"/>
        <v>100657.60000000001</v>
      </c>
      <c r="S1025" s="7">
        <f>S1026</f>
        <v>5813.4</v>
      </c>
      <c r="T1025" s="35">
        <f t="shared" si="230"/>
        <v>106471</v>
      </c>
    </row>
    <row r="1026" spans="1:21" ht="33">
      <c r="A1026" s="61" t="str">
        <f ca="1">IF(ISERROR(MATCH(E1026,Код_КВР,0)),"",INDIRECT(ADDRESS(MATCH(E1026,Код_КВР,0)+1,2,,,"КВР")))</f>
        <v>Иные закупки товаров, работ и услуг для обеспечения муниципальных нужд</v>
      </c>
      <c r="B1026" s="45" t="s">
        <v>48</v>
      </c>
      <c r="C1026" s="8" t="s">
        <v>219</v>
      </c>
      <c r="D1026" s="8" t="s">
        <v>213</v>
      </c>
      <c r="E1026" s="113">
        <v>240</v>
      </c>
      <c r="F1026" s="7">
        <f>F1027</f>
        <v>104444.7</v>
      </c>
      <c r="G1026" s="7">
        <f>G1027</f>
        <v>0</v>
      </c>
      <c r="H1026" s="35">
        <f t="shared" si="229"/>
        <v>104444.7</v>
      </c>
      <c r="I1026" s="7">
        <f>I1027</f>
        <v>286.2</v>
      </c>
      <c r="J1026" s="35">
        <f t="shared" si="227"/>
        <v>104730.9</v>
      </c>
      <c r="K1026" s="7">
        <f>K1027</f>
        <v>-2173.1999999999998</v>
      </c>
      <c r="L1026" s="35">
        <f t="shared" si="238"/>
        <v>102557.7</v>
      </c>
      <c r="M1026" s="7">
        <f>M1027</f>
        <v>0</v>
      </c>
      <c r="N1026" s="35">
        <f t="shared" si="239"/>
        <v>102557.7</v>
      </c>
      <c r="O1026" s="7">
        <f>O1027</f>
        <v>-140.19999999999999</v>
      </c>
      <c r="P1026" s="35">
        <f t="shared" si="235"/>
        <v>102417.5</v>
      </c>
      <c r="Q1026" s="7">
        <f>Q1027</f>
        <v>-1759.9</v>
      </c>
      <c r="R1026" s="35">
        <f t="shared" si="233"/>
        <v>100657.60000000001</v>
      </c>
      <c r="S1026" s="7">
        <f>S1027</f>
        <v>5813.4</v>
      </c>
      <c r="T1026" s="35">
        <f t="shared" si="230"/>
        <v>106471</v>
      </c>
    </row>
    <row r="1027" spans="1:21" ht="33">
      <c r="A1027" s="61" t="str">
        <f ca="1">IF(ISERROR(MATCH(E1027,Код_КВР,0)),"",INDIRECT(ADDRESS(MATCH(E1027,Код_КВР,0)+1,2,,,"КВР")))</f>
        <v xml:space="preserve">Прочая закупка товаров, работ и услуг для обеспечения муниципальных нужд         </v>
      </c>
      <c r="B1027" s="45" t="s">
        <v>48</v>
      </c>
      <c r="C1027" s="8" t="s">
        <v>219</v>
      </c>
      <c r="D1027" s="8" t="s">
        <v>213</v>
      </c>
      <c r="E1027" s="113">
        <v>244</v>
      </c>
      <c r="F1027" s="7">
        <f>прил.6!G507</f>
        <v>104444.7</v>
      </c>
      <c r="G1027" s="7">
        <f>прил.6!H507</f>
        <v>0</v>
      </c>
      <c r="H1027" s="35">
        <f t="shared" si="229"/>
        <v>104444.7</v>
      </c>
      <c r="I1027" s="7">
        <f>прил.6!J507</f>
        <v>286.2</v>
      </c>
      <c r="J1027" s="35">
        <f t="shared" si="227"/>
        <v>104730.9</v>
      </c>
      <c r="K1027" s="7">
        <f>прил.6!L507</f>
        <v>-2173.1999999999998</v>
      </c>
      <c r="L1027" s="35">
        <f t="shared" si="238"/>
        <v>102557.7</v>
      </c>
      <c r="M1027" s="7">
        <f>прил.6!N507</f>
        <v>0</v>
      </c>
      <c r="N1027" s="35">
        <f t="shared" si="239"/>
        <v>102557.7</v>
      </c>
      <c r="O1027" s="7">
        <f>прил.6!P507</f>
        <v>-140.19999999999999</v>
      </c>
      <c r="P1027" s="35">
        <f t="shared" si="235"/>
        <v>102417.5</v>
      </c>
      <c r="Q1027" s="7">
        <f>прил.6!R507</f>
        <v>-1759.9</v>
      </c>
      <c r="R1027" s="35">
        <f t="shared" si="233"/>
        <v>100657.60000000001</v>
      </c>
      <c r="S1027" s="7">
        <f>прил.6!T507</f>
        <v>5813.4</v>
      </c>
      <c r="T1027" s="35">
        <f t="shared" si="230"/>
        <v>106471</v>
      </c>
    </row>
    <row r="1028" spans="1:21">
      <c r="A1028" s="61" t="str">
        <f ca="1">IF(ISERROR(MATCH(E1028,Код_КВР,0)),"",INDIRECT(ADDRESS(MATCH(E1028,Код_КВР,0)+1,2,,,"КВР")))</f>
        <v>Иные бюджетные ассигнования</v>
      </c>
      <c r="B1028" s="45" t="s">
        <v>48</v>
      </c>
      <c r="C1028" s="8" t="s">
        <v>219</v>
      </c>
      <c r="D1028" s="8" t="s">
        <v>213</v>
      </c>
      <c r="E1028" s="113">
        <v>800</v>
      </c>
      <c r="F1028" s="7">
        <f>F1029</f>
        <v>32181.5</v>
      </c>
      <c r="G1028" s="7">
        <f>G1029</f>
        <v>0</v>
      </c>
      <c r="H1028" s="35">
        <f t="shared" si="229"/>
        <v>32181.5</v>
      </c>
      <c r="I1028" s="7">
        <f>I1029</f>
        <v>-1185.1000000000001</v>
      </c>
      <c r="J1028" s="35">
        <f t="shared" si="227"/>
        <v>30996.400000000001</v>
      </c>
      <c r="K1028" s="7">
        <f>K1029</f>
        <v>0</v>
      </c>
      <c r="L1028" s="35">
        <f t="shared" si="238"/>
        <v>30996.400000000001</v>
      </c>
      <c r="M1028" s="7">
        <f>M1029</f>
        <v>0</v>
      </c>
      <c r="N1028" s="35">
        <f t="shared" si="239"/>
        <v>30996.400000000001</v>
      </c>
      <c r="O1028" s="7">
        <f>O1029</f>
        <v>0</v>
      </c>
      <c r="P1028" s="35">
        <f t="shared" si="235"/>
        <v>30996.400000000001</v>
      </c>
      <c r="Q1028" s="7">
        <f>Q1029</f>
        <v>0</v>
      </c>
      <c r="R1028" s="35">
        <f t="shared" si="233"/>
        <v>30996.400000000001</v>
      </c>
      <c r="S1028" s="7">
        <f>S1029</f>
        <v>0</v>
      </c>
      <c r="T1028" s="35">
        <f t="shared" si="230"/>
        <v>30996.400000000001</v>
      </c>
    </row>
    <row r="1029" spans="1:21" ht="49.5">
      <c r="A1029" s="61" t="str">
        <f ca="1">IF(ISERROR(MATCH(E1029,Код_КВР,0)),"",INDIRECT(ADDRESS(MATCH(E1029,Код_КВР,0)+1,2,,,"КВР")))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029" s="45" t="s">
        <v>48</v>
      </c>
      <c r="C1029" s="8" t="s">
        <v>219</v>
      </c>
      <c r="D1029" s="8" t="s">
        <v>213</v>
      </c>
      <c r="E1029" s="113">
        <v>810</v>
      </c>
      <c r="F1029" s="7">
        <f>прил.6!G509</f>
        <v>32181.5</v>
      </c>
      <c r="G1029" s="7">
        <f>прил.6!H509</f>
        <v>0</v>
      </c>
      <c r="H1029" s="35">
        <f t="shared" si="229"/>
        <v>32181.5</v>
      </c>
      <c r="I1029" s="7">
        <f>прил.6!J509</f>
        <v>-1185.1000000000001</v>
      </c>
      <c r="J1029" s="35">
        <f t="shared" si="227"/>
        <v>30996.400000000001</v>
      </c>
      <c r="K1029" s="7">
        <f>прил.6!L509</f>
        <v>0</v>
      </c>
      <c r="L1029" s="35">
        <f t="shared" si="238"/>
        <v>30996.400000000001</v>
      </c>
      <c r="M1029" s="7">
        <f>прил.6!N509</f>
        <v>0</v>
      </c>
      <c r="N1029" s="35">
        <f t="shared" si="239"/>
        <v>30996.400000000001</v>
      </c>
      <c r="O1029" s="7">
        <f>прил.6!P509</f>
        <v>0</v>
      </c>
      <c r="P1029" s="35">
        <f t="shared" si="235"/>
        <v>30996.400000000001</v>
      </c>
      <c r="Q1029" s="7">
        <f>прил.6!R509</f>
        <v>0</v>
      </c>
      <c r="R1029" s="35">
        <f t="shared" si="233"/>
        <v>30996.400000000001</v>
      </c>
      <c r="S1029" s="7">
        <f>прил.6!T509</f>
        <v>0</v>
      </c>
      <c r="T1029" s="35">
        <f t="shared" si="230"/>
        <v>30996.400000000001</v>
      </c>
    </row>
    <row r="1030" spans="1:21" ht="33">
      <c r="A1030" s="61" t="str">
        <f ca="1">IF(ISERROR(MATCH(B1030,Код_КЦСР,0)),"",INDIRECT(ADDRESS(MATCH(B1030,Код_КЦСР,0)+1,2,,,"КЦСР")))</f>
        <v>Мероприятия по содержанию и ремонту улично-дорожной  сети города</v>
      </c>
      <c r="B1030" s="45" t="s">
        <v>50</v>
      </c>
      <c r="C1030" s="8"/>
      <c r="D1030" s="1"/>
      <c r="E1030" s="113"/>
      <c r="F1030" s="7">
        <f>F1031</f>
        <v>352239.7</v>
      </c>
      <c r="G1030" s="7">
        <f>G1031</f>
        <v>51383.6</v>
      </c>
      <c r="H1030" s="35">
        <f t="shared" si="229"/>
        <v>403623.3</v>
      </c>
      <c r="I1030" s="7">
        <f>I1031</f>
        <v>0</v>
      </c>
      <c r="J1030" s="35">
        <f t="shared" ref="J1030:J1099" si="240">H1030+I1030</f>
        <v>403623.3</v>
      </c>
      <c r="K1030" s="7">
        <f>K1031</f>
        <v>-3913.1000000000004</v>
      </c>
      <c r="L1030" s="35">
        <f t="shared" si="238"/>
        <v>399710.2</v>
      </c>
      <c r="M1030" s="7">
        <f>M1031</f>
        <v>-676.69999999999993</v>
      </c>
      <c r="N1030" s="35">
        <f t="shared" si="239"/>
        <v>399033.5</v>
      </c>
      <c r="O1030" s="7">
        <f>O1031</f>
        <v>0</v>
      </c>
      <c r="P1030" s="35">
        <f t="shared" si="235"/>
        <v>399033.5</v>
      </c>
      <c r="Q1030" s="7">
        <f>Q1031</f>
        <v>-6029.7999999999993</v>
      </c>
      <c r="R1030" s="35">
        <f t="shared" si="233"/>
        <v>393003.7</v>
      </c>
      <c r="S1030" s="7">
        <f>S1031</f>
        <v>-5813.4</v>
      </c>
      <c r="T1030" s="35">
        <f t="shared" si="230"/>
        <v>387190.3</v>
      </c>
    </row>
    <row r="1031" spans="1:21">
      <c r="A1031" s="61" t="str">
        <f ca="1">IF(ISERROR(MATCH(C1031,Код_Раздел,0)),"",INDIRECT(ADDRESS(MATCH(C1031,Код_Раздел,0)+1,2,,,"Раздел")))</f>
        <v>Национальная экономика</v>
      </c>
      <c r="B1031" s="45" t="s">
        <v>50</v>
      </c>
      <c r="C1031" s="8" t="s">
        <v>214</v>
      </c>
      <c r="D1031" s="1"/>
      <c r="E1031" s="113"/>
      <c r="F1031" s="7">
        <f>F1032</f>
        <v>352239.7</v>
      </c>
      <c r="G1031" s="7">
        <f>G1032</f>
        <v>51383.6</v>
      </c>
      <c r="H1031" s="35">
        <f t="shared" si="229"/>
        <v>403623.3</v>
      </c>
      <c r="I1031" s="7">
        <f>I1032</f>
        <v>0</v>
      </c>
      <c r="J1031" s="35">
        <f t="shared" si="240"/>
        <v>403623.3</v>
      </c>
      <c r="K1031" s="7">
        <f>K1032</f>
        <v>-3913.1000000000004</v>
      </c>
      <c r="L1031" s="35">
        <f t="shared" si="238"/>
        <v>399710.2</v>
      </c>
      <c r="M1031" s="7">
        <f>M1032</f>
        <v>-676.69999999999993</v>
      </c>
      <c r="N1031" s="35">
        <f t="shared" si="239"/>
        <v>399033.5</v>
      </c>
      <c r="O1031" s="7">
        <f>O1032</f>
        <v>0</v>
      </c>
      <c r="P1031" s="35">
        <f t="shared" si="235"/>
        <v>399033.5</v>
      </c>
      <c r="Q1031" s="7">
        <f>Q1032</f>
        <v>-6029.7999999999993</v>
      </c>
      <c r="R1031" s="35">
        <f t="shared" si="233"/>
        <v>393003.7</v>
      </c>
      <c r="S1031" s="7">
        <f>S1032</f>
        <v>-5813.4</v>
      </c>
      <c r="T1031" s="35">
        <f t="shared" si="230"/>
        <v>387190.3</v>
      </c>
    </row>
    <row r="1032" spans="1:21">
      <c r="A1032" s="76" t="s">
        <v>178</v>
      </c>
      <c r="B1032" s="45" t="s">
        <v>50</v>
      </c>
      <c r="C1032" s="8" t="s">
        <v>214</v>
      </c>
      <c r="D1032" s="8" t="s">
        <v>217</v>
      </c>
      <c r="E1032" s="113"/>
      <c r="F1032" s="7">
        <f>F1033+F1035+F1039</f>
        <v>352239.7</v>
      </c>
      <c r="G1032" s="7">
        <f>G1033+G1035+G1039</f>
        <v>51383.6</v>
      </c>
      <c r="H1032" s="35">
        <f t="shared" si="229"/>
        <v>403623.3</v>
      </c>
      <c r="I1032" s="7">
        <f>I1033+I1035+I1039</f>
        <v>0</v>
      </c>
      <c r="J1032" s="35">
        <f t="shared" si="240"/>
        <v>403623.3</v>
      </c>
      <c r="K1032" s="7">
        <f>K1033+K1035+K1039</f>
        <v>-3913.1000000000004</v>
      </c>
      <c r="L1032" s="35">
        <f t="shared" si="238"/>
        <v>399710.2</v>
      </c>
      <c r="M1032" s="7">
        <f>M1033+M1035+M1039</f>
        <v>-676.69999999999993</v>
      </c>
      <c r="N1032" s="35">
        <f t="shared" si="239"/>
        <v>399033.5</v>
      </c>
      <c r="O1032" s="7">
        <f>O1033+O1035+O1039</f>
        <v>0</v>
      </c>
      <c r="P1032" s="35">
        <f t="shared" si="235"/>
        <v>399033.5</v>
      </c>
      <c r="Q1032" s="7">
        <f>Q1033+Q1035+Q1039</f>
        <v>-6029.7999999999993</v>
      </c>
      <c r="R1032" s="35">
        <f t="shared" si="233"/>
        <v>393003.7</v>
      </c>
      <c r="S1032" s="7">
        <f>S1033+S1035+S1039</f>
        <v>-5813.4</v>
      </c>
      <c r="T1032" s="35">
        <f t="shared" ref="T1032:T1095" si="241">R1032+S1032</f>
        <v>387190.3</v>
      </c>
    </row>
    <row r="1033" spans="1:21" ht="37.5" customHeight="1">
      <c r="A1033" s="61" t="str">
        <f t="shared" ref="A1033:A1041" ca="1" si="242">IF(ISERROR(MATCH(E1033,Код_КВР,0)),"",INDIRECT(ADDRESS(MATCH(E1033,Код_КВР,0)+1,2,,,"КВР")))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33" s="45" t="s">
        <v>50</v>
      </c>
      <c r="C1033" s="8" t="s">
        <v>214</v>
      </c>
      <c r="D1033" s="8" t="s">
        <v>217</v>
      </c>
      <c r="E1033" s="113">
        <v>100</v>
      </c>
      <c r="F1033" s="7">
        <f>F1034</f>
        <v>10425.9</v>
      </c>
      <c r="G1033" s="7">
        <f>G1034</f>
        <v>0</v>
      </c>
      <c r="H1033" s="35">
        <f t="shared" si="229"/>
        <v>10425.9</v>
      </c>
      <c r="I1033" s="7">
        <f>I1034</f>
        <v>0</v>
      </c>
      <c r="J1033" s="35">
        <f t="shared" si="240"/>
        <v>10425.9</v>
      </c>
      <c r="K1033" s="7">
        <f>K1034</f>
        <v>0</v>
      </c>
      <c r="L1033" s="35">
        <f t="shared" si="238"/>
        <v>10425.9</v>
      </c>
      <c r="M1033" s="7">
        <f>M1034</f>
        <v>0</v>
      </c>
      <c r="N1033" s="35">
        <f t="shared" si="239"/>
        <v>10425.9</v>
      </c>
      <c r="O1033" s="7">
        <f>O1034</f>
        <v>0</v>
      </c>
      <c r="P1033" s="35">
        <f t="shared" si="235"/>
        <v>10425.9</v>
      </c>
      <c r="Q1033" s="7">
        <f>Q1034</f>
        <v>0</v>
      </c>
      <c r="R1033" s="35">
        <f t="shared" si="233"/>
        <v>10425.9</v>
      </c>
      <c r="S1033" s="7">
        <f>S1034</f>
        <v>0</v>
      </c>
      <c r="T1033" s="35">
        <f t="shared" si="241"/>
        <v>10425.9</v>
      </c>
    </row>
    <row r="1034" spans="1:21">
      <c r="A1034" s="61" t="str">
        <f t="shared" ca="1" si="242"/>
        <v>Расходы на выплаты персоналу казенных учреждений</v>
      </c>
      <c r="B1034" s="45" t="s">
        <v>50</v>
      </c>
      <c r="C1034" s="8" t="s">
        <v>214</v>
      </c>
      <c r="D1034" s="8" t="s">
        <v>217</v>
      </c>
      <c r="E1034" s="113">
        <v>110</v>
      </c>
      <c r="F1034" s="7">
        <f>прил.6!G446</f>
        <v>10425.9</v>
      </c>
      <c r="G1034" s="7">
        <f>прил.6!H446</f>
        <v>0</v>
      </c>
      <c r="H1034" s="35">
        <f t="shared" si="229"/>
        <v>10425.9</v>
      </c>
      <c r="I1034" s="7">
        <f>прил.6!J446</f>
        <v>0</v>
      </c>
      <c r="J1034" s="35">
        <f t="shared" si="240"/>
        <v>10425.9</v>
      </c>
      <c r="K1034" s="7">
        <f>прил.6!L446</f>
        <v>0</v>
      </c>
      <c r="L1034" s="35">
        <f t="shared" si="238"/>
        <v>10425.9</v>
      </c>
      <c r="M1034" s="7">
        <f>прил.6!N446</f>
        <v>0</v>
      </c>
      <c r="N1034" s="35">
        <f t="shared" si="239"/>
        <v>10425.9</v>
      </c>
      <c r="O1034" s="7">
        <f>прил.6!P446</f>
        <v>0</v>
      </c>
      <c r="P1034" s="35">
        <f t="shared" si="235"/>
        <v>10425.9</v>
      </c>
      <c r="Q1034" s="7">
        <f>прил.6!R446</f>
        <v>0</v>
      </c>
      <c r="R1034" s="35">
        <f t="shared" si="233"/>
        <v>10425.9</v>
      </c>
      <c r="S1034" s="7">
        <f>прил.6!T446</f>
        <v>0</v>
      </c>
      <c r="T1034" s="35">
        <f t="shared" si="241"/>
        <v>10425.9</v>
      </c>
    </row>
    <row r="1035" spans="1:21">
      <c r="A1035" s="61" t="str">
        <f t="shared" ca="1" si="242"/>
        <v>Закупка товаров, работ и услуг для муниципальных нужд</v>
      </c>
      <c r="B1035" s="45" t="s">
        <v>50</v>
      </c>
      <c r="C1035" s="8" t="s">
        <v>214</v>
      </c>
      <c r="D1035" s="8" t="s">
        <v>217</v>
      </c>
      <c r="E1035" s="113">
        <v>200</v>
      </c>
      <c r="F1035" s="7">
        <f>F1036</f>
        <v>341812.2</v>
      </c>
      <c r="G1035" s="7">
        <f>G1036</f>
        <v>51383.6</v>
      </c>
      <c r="H1035" s="35">
        <f t="shared" si="229"/>
        <v>393195.8</v>
      </c>
      <c r="I1035" s="7">
        <f>I1036</f>
        <v>0</v>
      </c>
      <c r="J1035" s="35">
        <f t="shared" si="240"/>
        <v>393195.8</v>
      </c>
      <c r="K1035" s="7">
        <f>K1036</f>
        <v>-3913.1000000000004</v>
      </c>
      <c r="L1035" s="35">
        <f t="shared" si="238"/>
        <v>389282.7</v>
      </c>
      <c r="M1035" s="7">
        <f>M1036</f>
        <v>-676.69999999999993</v>
      </c>
      <c r="N1035" s="35">
        <f t="shared" si="239"/>
        <v>388606</v>
      </c>
      <c r="O1035" s="7">
        <f>O1036</f>
        <v>0</v>
      </c>
      <c r="P1035" s="35">
        <f t="shared" si="235"/>
        <v>388606</v>
      </c>
      <c r="Q1035" s="7">
        <f>Q1036</f>
        <v>-6029.7999999999993</v>
      </c>
      <c r="R1035" s="35">
        <f t="shared" si="233"/>
        <v>382576.2</v>
      </c>
      <c r="S1035" s="7">
        <f>S1036</f>
        <v>-5813.4</v>
      </c>
      <c r="T1035" s="35">
        <f t="shared" si="241"/>
        <v>376762.8</v>
      </c>
    </row>
    <row r="1036" spans="1:21" ht="33">
      <c r="A1036" s="61" t="str">
        <f t="shared" ca="1" si="242"/>
        <v>Иные закупки товаров, работ и услуг для обеспечения муниципальных нужд</v>
      </c>
      <c r="B1036" s="45" t="s">
        <v>50</v>
      </c>
      <c r="C1036" s="8" t="s">
        <v>214</v>
      </c>
      <c r="D1036" s="8" t="s">
        <v>217</v>
      </c>
      <c r="E1036" s="113">
        <v>240</v>
      </c>
      <c r="F1036" s="7">
        <f>SUM(F1037:F1038)</f>
        <v>341812.2</v>
      </c>
      <c r="G1036" s="7">
        <f>SUM(G1037:G1038)</f>
        <v>51383.6</v>
      </c>
      <c r="H1036" s="35">
        <f t="shared" si="229"/>
        <v>393195.8</v>
      </c>
      <c r="I1036" s="7">
        <f>SUM(I1037:I1038)</f>
        <v>0</v>
      </c>
      <c r="J1036" s="35">
        <f t="shared" si="240"/>
        <v>393195.8</v>
      </c>
      <c r="K1036" s="7">
        <f>SUM(K1037:K1038)</f>
        <v>-3913.1000000000004</v>
      </c>
      <c r="L1036" s="35">
        <f t="shared" si="238"/>
        <v>389282.7</v>
      </c>
      <c r="M1036" s="7">
        <f>SUM(M1037:M1038)</f>
        <v>-676.69999999999993</v>
      </c>
      <c r="N1036" s="35">
        <f t="shared" si="239"/>
        <v>388606</v>
      </c>
      <c r="O1036" s="7">
        <f>SUM(O1037:O1038)</f>
        <v>0</v>
      </c>
      <c r="P1036" s="35">
        <f t="shared" si="235"/>
        <v>388606</v>
      </c>
      <c r="Q1036" s="7">
        <f>SUM(Q1037:Q1038)</f>
        <v>-6029.7999999999993</v>
      </c>
      <c r="R1036" s="35">
        <f t="shared" si="233"/>
        <v>382576.2</v>
      </c>
      <c r="S1036" s="7">
        <f>SUM(S1037:S1038)</f>
        <v>-5813.4</v>
      </c>
      <c r="T1036" s="35">
        <f t="shared" si="241"/>
        <v>376762.8</v>
      </c>
    </row>
    <row r="1037" spans="1:21" ht="33" hidden="1">
      <c r="A1037" s="61" t="str">
        <f t="shared" ca="1" si="242"/>
        <v>Закупка товаров, работ, услуг в сфере информационно-коммуникационных технологий</v>
      </c>
      <c r="B1037" s="45" t="s">
        <v>50</v>
      </c>
      <c r="C1037" s="8" t="s">
        <v>214</v>
      </c>
      <c r="D1037" s="8" t="s">
        <v>217</v>
      </c>
      <c r="E1037" s="89">
        <v>242</v>
      </c>
      <c r="F1037" s="7">
        <f>прил.6!G449</f>
        <v>665.5</v>
      </c>
      <c r="G1037" s="7">
        <f>прил.6!H449</f>
        <v>0</v>
      </c>
      <c r="H1037" s="35">
        <f t="shared" si="229"/>
        <v>665.5</v>
      </c>
      <c r="I1037" s="7">
        <f>прил.6!J449</f>
        <v>-665.5</v>
      </c>
      <c r="J1037" s="35">
        <f t="shared" si="240"/>
        <v>0</v>
      </c>
      <c r="K1037" s="7">
        <f>прил.6!L449</f>
        <v>0</v>
      </c>
      <c r="L1037" s="35">
        <f t="shared" si="238"/>
        <v>0</v>
      </c>
      <c r="M1037" s="7">
        <f>прил.6!N449</f>
        <v>0</v>
      </c>
      <c r="N1037" s="35">
        <f t="shared" si="239"/>
        <v>0</v>
      </c>
      <c r="O1037" s="7">
        <f>прил.6!P449</f>
        <v>0</v>
      </c>
      <c r="P1037" s="35">
        <f t="shared" si="235"/>
        <v>0</v>
      </c>
      <c r="Q1037" s="7">
        <f>прил.6!R449</f>
        <v>0</v>
      </c>
      <c r="R1037" s="35">
        <f t="shared" si="233"/>
        <v>0</v>
      </c>
      <c r="S1037" s="7">
        <f>прил.6!T449</f>
        <v>0</v>
      </c>
      <c r="T1037" s="35">
        <f t="shared" si="241"/>
        <v>0</v>
      </c>
      <c r="U1037" s="20" t="s">
        <v>706</v>
      </c>
    </row>
    <row r="1038" spans="1:21" ht="33">
      <c r="A1038" s="61" t="str">
        <f t="shared" ca="1" si="242"/>
        <v xml:space="preserve">Прочая закупка товаров, работ и услуг для обеспечения муниципальных нужд         </v>
      </c>
      <c r="B1038" s="45" t="s">
        <v>50</v>
      </c>
      <c r="C1038" s="8" t="s">
        <v>214</v>
      </c>
      <c r="D1038" s="8" t="s">
        <v>217</v>
      </c>
      <c r="E1038" s="113">
        <v>244</v>
      </c>
      <c r="F1038" s="7">
        <f>прил.6!G450</f>
        <v>341146.7</v>
      </c>
      <c r="G1038" s="7">
        <f>прил.6!H450</f>
        <v>51383.6</v>
      </c>
      <c r="H1038" s="35">
        <f t="shared" ref="H1038:H1107" si="243">F1038+G1038</f>
        <v>392530.3</v>
      </c>
      <c r="I1038" s="7">
        <f>прил.6!J450</f>
        <v>665.5</v>
      </c>
      <c r="J1038" s="35">
        <f t="shared" si="240"/>
        <v>393195.8</v>
      </c>
      <c r="K1038" s="7">
        <f>прил.6!L450</f>
        <v>-3913.1000000000004</v>
      </c>
      <c r="L1038" s="35">
        <f t="shared" si="238"/>
        <v>389282.7</v>
      </c>
      <c r="M1038" s="7">
        <f>прил.6!N450</f>
        <v>-676.69999999999993</v>
      </c>
      <c r="N1038" s="35">
        <f t="shared" si="239"/>
        <v>388606</v>
      </c>
      <c r="O1038" s="7">
        <f>прил.6!P450</f>
        <v>0</v>
      </c>
      <c r="P1038" s="35">
        <f t="shared" si="235"/>
        <v>388606</v>
      </c>
      <c r="Q1038" s="7">
        <f>прил.6!R450</f>
        <v>-6029.7999999999993</v>
      </c>
      <c r="R1038" s="35">
        <f t="shared" si="233"/>
        <v>382576.2</v>
      </c>
      <c r="S1038" s="7">
        <f>прил.6!T450</f>
        <v>-5813.4</v>
      </c>
      <c r="T1038" s="35">
        <f t="shared" si="241"/>
        <v>376762.8</v>
      </c>
    </row>
    <row r="1039" spans="1:21">
      <c r="A1039" s="61" t="str">
        <f t="shared" ca="1" si="242"/>
        <v>Иные бюджетные ассигнования</v>
      </c>
      <c r="B1039" s="45" t="s">
        <v>50</v>
      </c>
      <c r="C1039" s="8" t="s">
        <v>214</v>
      </c>
      <c r="D1039" s="8" t="s">
        <v>217</v>
      </c>
      <c r="E1039" s="113">
        <v>800</v>
      </c>
      <c r="F1039" s="7">
        <f>F1040</f>
        <v>1.6</v>
      </c>
      <c r="G1039" s="7">
        <f>G1040</f>
        <v>0</v>
      </c>
      <c r="H1039" s="35">
        <f t="shared" si="243"/>
        <v>1.6</v>
      </c>
      <c r="I1039" s="7">
        <f>I1040</f>
        <v>0</v>
      </c>
      <c r="J1039" s="35">
        <f t="shared" si="240"/>
        <v>1.6</v>
      </c>
      <c r="K1039" s="7">
        <f>K1040</f>
        <v>0</v>
      </c>
      <c r="L1039" s="35">
        <f t="shared" si="238"/>
        <v>1.6</v>
      </c>
      <c r="M1039" s="7">
        <f>M1040</f>
        <v>0</v>
      </c>
      <c r="N1039" s="35">
        <f t="shared" si="239"/>
        <v>1.6</v>
      </c>
      <c r="O1039" s="7">
        <f>O1040</f>
        <v>0</v>
      </c>
      <c r="P1039" s="35">
        <f t="shared" si="235"/>
        <v>1.6</v>
      </c>
      <c r="Q1039" s="7">
        <f>Q1040</f>
        <v>0</v>
      </c>
      <c r="R1039" s="35">
        <f t="shared" si="233"/>
        <v>1.6</v>
      </c>
      <c r="S1039" s="7">
        <f>S1040</f>
        <v>0</v>
      </c>
      <c r="T1039" s="35">
        <f t="shared" si="241"/>
        <v>1.6</v>
      </c>
    </row>
    <row r="1040" spans="1:21">
      <c r="A1040" s="61" t="str">
        <f t="shared" ca="1" si="242"/>
        <v>Уплата налогов, сборов и иных платежей</v>
      </c>
      <c r="B1040" s="45" t="s">
        <v>50</v>
      </c>
      <c r="C1040" s="8" t="s">
        <v>214</v>
      </c>
      <c r="D1040" s="8" t="s">
        <v>217</v>
      </c>
      <c r="E1040" s="113">
        <v>850</v>
      </c>
      <c r="F1040" s="7">
        <f>F1041</f>
        <v>1.6</v>
      </c>
      <c r="G1040" s="7">
        <f>G1041</f>
        <v>0</v>
      </c>
      <c r="H1040" s="35">
        <f t="shared" si="243"/>
        <v>1.6</v>
      </c>
      <c r="I1040" s="7">
        <f>I1041</f>
        <v>0</v>
      </c>
      <c r="J1040" s="35">
        <f t="shared" si="240"/>
        <v>1.6</v>
      </c>
      <c r="K1040" s="7">
        <f>K1041</f>
        <v>0</v>
      </c>
      <c r="L1040" s="35">
        <f t="shared" si="238"/>
        <v>1.6</v>
      </c>
      <c r="M1040" s="7">
        <f>M1041</f>
        <v>0</v>
      </c>
      <c r="N1040" s="35">
        <f t="shared" si="239"/>
        <v>1.6</v>
      </c>
      <c r="O1040" s="7">
        <f>O1041</f>
        <v>0</v>
      </c>
      <c r="P1040" s="35">
        <f t="shared" si="235"/>
        <v>1.6</v>
      </c>
      <c r="Q1040" s="7">
        <f>Q1041</f>
        <v>0</v>
      </c>
      <c r="R1040" s="35">
        <f t="shared" si="233"/>
        <v>1.6</v>
      </c>
      <c r="S1040" s="7">
        <f>S1041</f>
        <v>0</v>
      </c>
      <c r="T1040" s="35">
        <f t="shared" si="241"/>
        <v>1.6</v>
      </c>
    </row>
    <row r="1041" spans="1:20">
      <c r="A1041" s="61" t="str">
        <f t="shared" ca="1" si="242"/>
        <v>Уплата прочих налогов, сборов и иных платежей</v>
      </c>
      <c r="B1041" s="45" t="s">
        <v>50</v>
      </c>
      <c r="C1041" s="8" t="s">
        <v>214</v>
      </c>
      <c r="D1041" s="8" t="s">
        <v>217</v>
      </c>
      <c r="E1041" s="113">
        <v>852</v>
      </c>
      <c r="F1041" s="7">
        <f>прил.6!G453</f>
        <v>1.6</v>
      </c>
      <c r="G1041" s="7">
        <f>прил.6!H453</f>
        <v>0</v>
      </c>
      <c r="H1041" s="35">
        <f t="shared" si="243"/>
        <v>1.6</v>
      </c>
      <c r="I1041" s="7">
        <f>прил.6!J453</f>
        <v>0</v>
      </c>
      <c r="J1041" s="35">
        <f t="shared" si="240"/>
        <v>1.6</v>
      </c>
      <c r="K1041" s="7">
        <f>прил.6!L453</f>
        <v>0</v>
      </c>
      <c r="L1041" s="35">
        <f t="shared" si="238"/>
        <v>1.6</v>
      </c>
      <c r="M1041" s="7">
        <f>прил.6!N453</f>
        <v>0</v>
      </c>
      <c r="N1041" s="35">
        <f t="shared" si="239"/>
        <v>1.6</v>
      </c>
      <c r="O1041" s="7">
        <f>прил.6!P453</f>
        <v>0</v>
      </c>
      <c r="P1041" s="35">
        <f t="shared" si="235"/>
        <v>1.6</v>
      </c>
      <c r="Q1041" s="7">
        <f>прил.6!R453</f>
        <v>0</v>
      </c>
      <c r="R1041" s="35">
        <f t="shared" si="233"/>
        <v>1.6</v>
      </c>
      <c r="S1041" s="7">
        <f>прил.6!T453</f>
        <v>0</v>
      </c>
      <c r="T1041" s="35">
        <f t="shared" si="241"/>
        <v>1.6</v>
      </c>
    </row>
    <row r="1042" spans="1:20" ht="33">
      <c r="A1042" s="61" t="str">
        <f ca="1">IF(ISERROR(MATCH(B1042,Код_КЦСР,0)),"",INDIRECT(ADDRESS(MATCH(B1042,Код_КЦСР,0)+1,2,,,"КЦСР")))</f>
        <v>Мероприятия по решению общегосударственных вопросов и вопросов в области национальной политики</v>
      </c>
      <c r="B1042" s="45" t="s">
        <v>52</v>
      </c>
      <c r="C1042" s="8"/>
      <c r="D1042" s="1"/>
      <c r="E1042" s="113"/>
      <c r="F1042" s="7">
        <f>F1043+F1048</f>
        <v>240</v>
      </c>
      <c r="G1042" s="7">
        <f>G1043+G1048</f>
        <v>0</v>
      </c>
      <c r="H1042" s="35">
        <f t="shared" si="243"/>
        <v>240</v>
      </c>
      <c r="I1042" s="7">
        <f>I1043+I1048</f>
        <v>0</v>
      </c>
      <c r="J1042" s="35">
        <f t="shared" si="240"/>
        <v>240</v>
      </c>
      <c r="K1042" s="7">
        <f>K1043+K1048</f>
        <v>0</v>
      </c>
      <c r="L1042" s="35">
        <f t="shared" si="238"/>
        <v>240</v>
      </c>
      <c r="M1042" s="7">
        <f>M1043+M1048</f>
        <v>0</v>
      </c>
      <c r="N1042" s="35">
        <f t="shared" si="239"/>
        <v>240</v>
      </c>
      <c r="O1042" s="7">
        <f>O1043+O1048</f>
        <v>0</v>
      </c>
      <c r="P1042" s="35">
        <f t="shared" si="235"/>
        <v>240</v>
      </c>
      <c r="Q1042" s="7">
        <f>Q1043+Q1048</f>
        <v>0</v>
      </c>
      <c r="R1042" s="35">
        <f t="shared" si="233"/>
        <v>240</v>
      </c>
      <c r="S1042" s="7">
        <f>S1043+S1048</f>
        <v>0</v>
      </c>
      <c r="T1042" s="35">
        <f t="shared" si="241"/>
        <v>240</v>
      </c>
    </row>
    <row r="1043" spans="1:20">
      <c r="A1043" s="61" t="str">
        <f ca="1">IF(ISERROR(MATCH(C1043,Код_Раздел,0)),"",INDIRECT(ADDRESS(MATCH(C1043,Код_Раздел,0)+1,2,,,"Раздел")))</f>
        <v>Общегосударственные  вопросы</v>
      </c>
      <c r="B1043" s="45" t="s">
        <v>52</v>
      </c>
      <c r="C1043" s="8" t="s">
        <v>211</v>
      </c>
      <c r="D1043" s="1"/>
      <c r="E1043" s="113"/>
      <c r="F1043" s="7">
        <f t="shared" ref="F1043:S1046" si="244">F1044</f>
        <v>160</v>
      </c>
      <c r="G1043" s="7">
        <f t="shared" si="244"/>
        <v>0</v>
      </c>
      <c r="H1043" s="35">
        <f t="shared" si="243"/>
        <v>160</v>
      </c>
      <c r="I1043" s="7">
        <f t="shared" si="244"/>
        <v>0</v>
      </c>
      <c r="J1043" s="35">
        <f t="shared" si="240"/>
        <v>160</v>
      </c>
      <c r="K1043" s="7">
        <f t="shared" si="244"/>
        <v>0</v>
      </c>
      <c r="L1043" s="35">
        <f t="shared" si="238"/>
        <v>160</v>
      </c>
      <c r="M1043" s="7">
        <f t="shared" si="244"/>
        <v>0</v>
      </c>
      <c r="N1043" s="35">
        <f t="shared" si="239"/>
        <v>160</v>
      </c>
      <c r="O1043" s="7">
        <f t="shared" si="244"/>
        <v>0</v>
      </c>
      <c r="P1043" s="35">
        <f t="shared" si="235"/>
        <v>160</v>
      </c>
      <c r="Q1043" s="7">
        <f t="shared" si="244"/>
        <v>0</v>
      </c>
      <c r="R1043" s="35">
        <f t="shared" si="233"/>
        <v>160</v>
      </c>
      <c r="S1043" s="7">
        <f t="shared" si="244"/>
        <v>0</v>
      </c>
      <c r="T1043" s="35">
        <f t="shared" si="241"/>
        <v>160</v>
      </c>
    </row>
    <row r="1044" spans="1:20">
      <c r="A1044" s="12" t="s">
        <v>235</v>
      </c>
      <c r="B1044" s="45" t="s">
        <v>52</v>
      </c>
      <c r="C1044" s="8" t="s">
        <v>211</v>
      </c>
      <c r="D1044" s="1" t="s">
        <v>188</v>
      </c>
      <c r="E1044" s="113"/>
      <c r="F1044" s="7">
        <f t="shared" si="244"/>
        <v>160</v>
      </c>
      <c r="G1044" s="7">
        <f t="shared" si="244"/>
        <v>0</v>
      </c>
      <c r="H1044" s="35">
        <f t="shared" si="243"/>
        <v>160</v>
      </c>
      <c r="I1044" s="7">
        <f t="shared" si="244"/>
        <v>0</v>
      </c>
      <c r="J1044" s="35">
        <f t="shared" si="240"/>
        <v>160</v>
      </c>
      <c r="K1044" s="7">
        <f t="shared" si="244"/>
        <v>0</v>
      </c>
      <c r="L1044" s="35">
        <f t="shared" si="238"/>
        <v>160</v>
      </c>
      <c r="M1044" s="7">
        <f t="shared" si="244"/>
        <v>0</v>
      </c>
      <c r="N1044" s="35">
        <f t="shared" si="239"/>
        <v>160</v>
      </c>
      <c r="O1044" s="7">
        <f t="shared" si="244"/>
        <v>0</v>
      </c>
      <c r="P1044" s="35">
        <f t="shared" si="235"/>
        <v>160</v>
      </c>
      <c r="Q1044" s="7">
        <f t="shared" si="244"/>
        <v>0</v>
      </c>
      <c r="R1044" s="35">
        <f t="shared" si="233"/>
        <v>160</v>
      </c>
      <c r="S1044" s="7">
        <f t="shared" si="244"/>
        <v>0</v>
      </c>
      <c r="T1044" s="35">
        <f t="shared" si="241"/>
        <v>160</v>
      </c>
    </row>
    <row r="1045" spans="1:20">
      <c r="A1045" s="61" t="str">
        <f ca="1">IF(ISERROR(MATCH(E1045,Код_КВР,0)),"",INDIRECT(ADDRESS(MATCH(E1045,Код_КВР,0)+1,2,,,"КВР")))</f>
        <v>Закупка товаров, работ и услуг для муниципальных нужд</v>
      </c>
      <c r="B1045" s="45" t="s">
        <v>52</v>
      </c>
      <c r="C1045" s="8" t="s">
        <v>211</v>
      </c>
      <c r="D1045" s="1" t="s">
        <v>188</v>
      </c>
      <c r="E1045" s="113">
        <v>200</v>
      </c>
      <c r="F1045" s="7">
        <f t="shared" si="244"/>
        <v>160</v>
      </c>
      <c r="G1045" s="7">
        <f t="shared" si="244"/>
        <v>0</v>
      </c>
      <c r="H1045" s="35">
        <f t="shared" si="243"/>
        <v>160</v>
      </c>
      <c r="I1045" s="7">
        <f t="shared" si="244"/>
        <v>0</v>
      </c>
      <c r="J1045" s="35">
        <f t="shared" si="240"/>
        <v>160</v>
      </c>
      <c r="K1045" s="7">
        <f t="shared" si="244"/>
        <v>0</v>
      </c>
      <c r="L1045" s="35">
        <f t="shared" si="238"/>
        <v>160</v>
      </c>
      <c r="M1045" s="7">
        <f t="shared" si="244"/>
        <v>0</v>
      </c>
      <c r="N1045" s="35">
        <f t="shared" si="239"/>
        <v>160</v>
      </c>
      <c r="O1045" s="7">
        <f t="shared" si="244"/>
        <v>0</v>
      </c>
      <c r="P1045" s="35">
        <f t="shared" si="235"/>
        <v>160</v>
      </c>
      <c r="Q1045" s="7">
        <f t="shared" si="244"/>
        <v>0</v>
      </c>
      <c r="R1045" s="35">
        <f t="shared" si="233"/>
        <v>160</v>
      </c>
      <c r="S1045" s="7">
        <f t="shared" si="244"/>
        <v>0</v>
      </c>
      <c r="T1045" s="35">
        <f t="shared" si="241"/>
        <v>160</v>
      </c>
    </row>
    <row r="1046" spans="1:20" ht="33">
      <c r="A1046" s="61" t="str">
        <f ca="1">IF(ISERROR(MATCH(E1046,Код_КВР,0)),"",INDIRECT(ADDRESS(MATCH(E1046,Код_КВР,0)+1,2,,,"КВР")))</f>
        <v>Иные закупки товаров, работ и услуг для обеспечения муниципальных нужд</v>
      </c>
      <c r="B1046" s="45" t="s">
        <v>52</v>
      </c>
      <c r="C1046" s="8" t="s">
        <v>211</v>
      </c>
      <c r="D1046" s="1" t="s">
        <v>188</v>
      </c>
      <c r="E1046" s="113">
        <v>240</v>
      </c>
      <c r="F1046" s="7">
        <f t="shared" si="244"/>
        <v>160</v>
      </c>
      <c r="G1046" s="7">
        <f t="shared" si="244"/>
        <v>0</v>
      </c>
      <c r="H1046" s="35">
        <f t="shared" si="243"/>
        <v>160</v>
      </c>
      <c r="I1046" s="7">
        <f t="shared" si="244"/>
        <v>0</v>
      </c>
      <c r="J1046" s="35">
        <f t="shared" si="240"/>
        <v>160</v>
      </c>
      <c r="K1046" s="7">
        <f t="shared" si="244"/>
        <v>0</v>
      </c>
      <c r="L1046" s="35">
        <f t="shared" si="238"/>
        <v>160</v>
      </c>
      <c r="M1046" s="7">
        <f t="shared" si="244"/>
        <v>0</v>
      </c>
      <c r="N1046" s="35">
        <f t="shared" si="239"/>
        <v>160</v>
      </c>
      <c r="O1046" s="7">
        <f t="shared" si="244"/>
        <v>0</v>
      </c>
      <c r="P1046" s="35">
        <f t="shared" si="235"/>
        <v>160</v>
      </c>
      <c r="Q1046" s="7">
        <f t="shared" si="244"/>
        <v>0</v>
      </c>
      <c r="R1046" s="35">
        <f t="shared" si="233"/>
        <v>160</v>
      </c>
      <c r="S1046" s="7">
        <f t="shared" si="244"/>
        <v>0</v>
      </c>
      <c r="T1046" s="35">
        <f t="shared" si="241"/>
        <v>160</v>
      </c>
    </row>
    <row r="1047" spans="1:20" ht="33">
      <c r="A1047" s="61" t="str">
        <f ca="1">IF(ISERROR(MATCH(E1047,Код_КВР,0)),"",INDIRECT(ADDRESS(MATCH(E1047,Код_КВР,0)+1,2,,,"КВР")))</f>
        <v xml:space="preserve">Прочая закупка товаров, работ и услуг для обеспечения муниципальных нужд         </v>
      </c>
      <c r="B1047" s="45" t="s">
        <v>52</v>
      </c>
      <c r="C1047" s="8" t="s">
        <v>211</v>
      </c>
      <c r="D1047" s="1" t="s">
        <v>188</v>
      </c>
      <c r="E1047" s="113">
        <v>244</v>
      </c>
      <c r="F1047" s="7">
        <f>прил.6!G424</f>
        <v>160</v>
      </c>
      <c r="G1047" s="7">
        <f>прил.6!H424</f>
        <v>0</v>
      </c>
      <c r="H1047" s="35">
        <f t="shared" si="243"/>
        <v>160</v>
      </c>
      <c r="I1047" s="7">
        <f>прил.6!J424</f>
        <v>0</v>
      </c>
      <c r="J1047" s="35">
        <f t="shared" si="240"/>
        <v>160</v>
      </c>
      <c r="K1047" s="7">
        <f>прил.6!L424</f>
        <v>0</v>
      </c>
      <c r="L1047" s="35">
        <f t="shared" si="238"/>
        <v>160</v>
      </c>
      <c r="M1047" s="7">
        <f>прил.6!N424</f>
        <v>0</v>
      </c>
      <c r="N1047" s="35">
        <f t="shared" si="239"/>
        <v>160</v>
      </c>
      <c r="O1047" s="7">
        <f>прил.6!P424</f>
        <v>0</v>
      </c>
      <c r="P1047" s="35">
        <f t="shared" si="235"/>
        <v>160</v>
      </c>
      <c r="Q1047" s="7">
        <f>прил.6!R424</f>
        <v>0</v>
      </c>
      <c r="R1047" s="35">
        <f t="shared" si="233"/>
        <v>160</v>
      </c>
      <c r="S1047" s="7">
        <f>прил.6!T424</f>
        <v>0</v>
      </c>
      <c r="T1047" s="35">
        <f t="shared" si="241"/>
        <v>160</v>
      </c>
    </row>
    <row r="1048" spans="1:20">
      <c r="A1048" s="61" t="str">
        <f ca="1">IF(ISERROR(MATCH(C1048,Код_Раздел,0)),"",INDIRECT(ADDRESS(MATCH(C1048,Код_Раздел,0)+1,2,,,"Раздел")))</f>
        <v>Национальная экономика</v>
      </c>
      <c r="B1048" s="45" t="s">
        <v>52</v>
      </c>
      <c r="C1048" s="8" t="s">
        <v>214</v>
      </c>
      <c r="D1048" s="1"/>
      <c r="E1048" s="113"/>
      <c r="F1048" s="7">
        <f t="shared" ref="F1048:S1051" si="245">F1049</f>
        <v>80</v>
      </c>
      <c r="G1048" s="7">
        <f t="shared" si="245"/>
        <v>0</v>
      </c>
      <c r="H1048" s="35">
        <f t="shared" si="243"/>
        <v>80</v>
      </c>
      <c r="I1048" s="7">
        <f t="shared" si="245"/>
        <v>0</v>
      </c>
      <c r="J1048" s="35">
        <f t="shared" si="240"/>
        <v>80</v>
      </c>
      <c r="K1048" s="7">
        <f t="shared" si="245"/>
        <v>0</v>
      </c>
      <c r="L1048" s="35">
        <f t="shared" si="238"/>
        <v>80</v>
      </c>
      <c r="M1048" s="7">
        <f t="shared" si="245"/>
        <v>0</v>
      </c>
      <c r="N1048" s="35">
        <f t="shared" si="239"/>
        <v>80</v>
      </c>
      <c r="O1048" s="7">
        <f t="shared" si="245"/>
        <v>0</v>
      </c>
      <c r="P1048" s="35">
        <f t="shared" si="235"/>
        <v>80</v>
      </c>
      <c r="Q1048" s="7">
        <f t="shared" si="245"/>
        <v>0</v>
      </c>
      <c r="R1048" s="35">
        <f t="shared" si="233"/>
        <v>80</v>
      </c>
      <c r="S1048" s="7">
        <f t="shared" si="245"/>
        <v>0</v>
      </c>
      <c r="T1048" s="35">
        <f t="shared" si="241"/>
        <v>80</v>
      </c>
    </row>
    <row r="1049" spans="1:20">
      <c r="A1049" s="12" t="s">
        <v>221</v>
      </c>
      <c r="B1049" s="45" t="s">
        <v>52</v>
      </c>
      <c r="C1049" s="8" t="s">
        <v>214</v>
      </c>
      <c r="D1049" s="8" t="s">
        <v>194</v>
      </c>
      <c r="E1049" s="113"/>
      <c r="F1049" s="7">
        <f t="shared" si="245"/>
        <v>80</v>
      </c>
      <c r="G1049" s="7">
        <f t="shared" si="245"/>
        <v>0</v>
      </c>
      <c r="H1049" s="35">
        <f t="shared" si="243"/>
        <v>80</v>
      </c>
      <c r="I1049" s="7">
        <f t="shared" si="245"/>
        <v>0</v>
      </c>
      <c r="J1049" s="35">
        <f t="shared" si="240"/>
        <v>80</v>
      </c>
      <c r="K1049" s="7">
        <f t="shared" si="245"/>
        <v>0</v>
      </c>
      <c r="L1049" s="35">
        <f t="shared" si="238"/>
        <v>80</v>
      </c>
      <c r="M1049" s="7">
        <f t="shared" si="245"/>
        <v>0</v>
      </c>
      <c r="N1049" s="35">
        <f t="shared" si="239"/>
        <v>80</v>
      </c>
      <c r="O1049" s="7">
        <f t="shared" si="245"/>
        <v>0</v>
      </c>
      <c r="P1049" s="35">
        <f t="shared" si="235"/>
        <v>80</v>
      </c>
      <c r="Q1049" s="7">
        <f t="shared" si="245"/>
        <v>0</v>
      </c>
      <c r="R1049" s="35">
        <f t="shared" si="233"/>
        <v>80</v>
      </c>
      <c r="S1049" s="7">
        <f t="shared" si="245"/>
        <v>0</v>
      </c>
      <c r="T1049" s="35">
        <f t="shared" si="241"/>
        <v>80</v>
      </c>
    </row>
    <row r="1050" spans="1:20">
      <c r="A1050" s="61" t="str">
        <f ca="1">IF(ISERROR(MATCH(E1050,Код_КВР,0)),"",INDIRECT(ADDRESS(MATCH(E1050,Код_КВР,0)+1,2,,,"КВР")))</f>
        <v>Закупка товаров, работ и услуг для муниципальных нужд</v>
      </c>
      <c r="B1050" s="45" t="s">
        <v>52</v>
      </c>
      <c r="C1050" s="8" t="s">
        <v>214</v>
      </c>
      <c r="D1050" s="8" t="s">
        <v>194</v>
      </c>
      <c r="E1050" s="113">
        <v>200</v>
      </c>
      <c r="F1050" s="7">
        <f t="shared" si="245"/>
        <v>80</v>
      </c>
      <c r="G1050" s="7">
        <f t="shared" si="245"/>
        <v>0</v>
      </c>
      <c r="H1050" s="35">
        <f t="shared" si="243"/>
        <v>80</v>
      </c>
      <c r="I1050" s="7">
        <f t="shared" si="245"/>
        <v>0</v>
      </c>
      <c r="J1050" s="35">
        <f t="shared" si="240"/>
        <v>80</v>
      </c>
      <c r="K1050" s="7">
        <f t="shared" si="245"/>
        <v>0</v>
      </c>
      <c r="L1050" s="35">
        <f t="shared" si="238"/>
        <v>80</v>
      </c>
      <c r="M1050" s="7">
        <f t="shared" si="245"/>
        <v>0</v>
      </c>
      <c r="N1050" s="35">
        <f t="shared" si="239"/>
        <v>80</v>
      </c>
      <c r="O1050" s="7">
        <f t="shared" si="245"/>
        <v>0</v>
      </c>
      <c r="P1050" s="35">
        <f t="shared" si="235"/>
        <v>80</v>
      </c>
      <c r="Q1050" s="7">
        <f t="shared" si="245"/>
        <v>0</v>
      </c>
      <c r="R1050" s="35">
        <f t="shared" si="233"/>
        <v>80</v>
      </c>
      <c r="S1050" s="7">
        <f t="shared" si="245"/>
        <v>0</v>
      </c>
      <c r="T1050" s="35">
        <f t="shared" si="241"/>
        <v>80</v>
      </c>
    </row>
    <row r="1051" spans="1:20" ht="33">
      <c r="A1051" s="61" t="str">
        <f ca="1">IF(ISERROR(MATCH(E1051,Код_КВР,0)),"",INDIRECT(ADDRESS(MATCH(E1051,Код_КВР,0)+1,2,,,"КВР")))</f>
        <v>Иные закупки товаров, работ и услуг для обеспечения муниципальных нужд</v>
      </c>
      <c r="B1051" s="45" t="s">
        <v>52</v>
      </c>
      <c r="C1051" s="8" t="s">
        <v>214</v>
      </c>
      <c r="D1051" s="8" t="s">
        <v>194</v>
      </c>
      <c r="E1051" s="113">
        <v>240</v>
      </c>
      <c r="F1051" s="7">
        <f t="shared" si="245"/>
        <v>80</v>
      </c>
      <c r="G1051" s="7">
        <f t="shared" si="245"/>
        <v>0</v>
      </c>
      <c r="H1051" s="35">
        <f t="shared" si="243"/>
        <v>80</v>
      </c>
      <c r="I1051" s="7">
        <f t="shared" si="245"/>
        <v>0</v>
      </c>
      <c r="J1051" s="35">
        <f t="shared" si="240"/>
        <v>80</v>
      </c>
      <c r="K1051" s="7">
        <f t="shared" si="245"/>
        <v>0</v>
      </c>
      <c r="L1051" s="35">
        <f t="shared" si="238"/>
        <v>80</v>
      </c>
      <c r="M1051" s="7">
        <f t="shared" si="245"/>
        <v>0</v>
      </c>
      <c r="N1051" s="35">
        <f t="shared" si="239"/>
        <v>80</v>
      </c>
      <c r="O1051" s="7">
        <f t="shared" si="245"/>
        <v>0</v>
      </c>
      <c r="P1051" s="35">
        <f t="shared" si="235"/>
        <v>80</v>
      </c>
      <c r="Q1051" s="7">
        <f t="shared" si="245"/>
        <v>0</v>
      </c>
      <c r="R1051" s="35">
        <f t="shared" si="233"/>
        <v>80</v>
      </c>
      <c r="S1051" s="7">
        <f t="shared" si="245"/>
        <v>0</v>
      </c>
      <c r="T1051" s="35">
        <f t="shared" si="241"/>
        <v>80</v>
      </c>
    </row>
    <row r="1052" spans="1:20" ht="33">
      <c r="A1052" s="61" t="str">
        <f ca="1">IF(ISERROR(MATCH(E1052,Код_КВР,0)),"",INDIRECT(ADDRESS(MATCH(E1052,Код_КВР,0)+1,2,,,"КВР")))</f>
        <v xml:space="preserve">Прочая закупка товаров, работ и услуг для обеспечения муниципальных нужд         </v>
      </c>
      <c r="B1052" s="45" t="s">
        <v>52</v>
      </c>
      <c r="C1052" s="8" t="s">
        <v>214</v>
      </c>
      <c r="D1052" s="8" t="s">
        <v>194</v>
      </c>
      <c r="E1052" s="113">
        <v>244</v>
      </c>
      <c r="F1052" s="7">
        <f>прил.6!G478</f>
        <v>80</v>
      </c>
      <c r="G1052" s="7">
        <f>прил.6!H478</f>
        <v>0</v>
      </c>
      <c r="H1052" s="35">
        <f t="shared" si="243"/>
        <v>80</v>
      </c>
      <c r="I1052" s="7">
        <f>прил.6!J478</f>
        <v>0</v>
      </c>
      <c r="J1052" s="35">
        <f t="shared" si="240"/>
        <v>80</v>
      </c>
      <c r="K1052" s="7">
        <f>прил.6!L478</f>
        <v>0</v>
      </c>
      <c r="L1052" s="35">
        <f t="shared" si="238"/>
        <v>80</v>
      </c>
      <c r="M1052" s="7">
        <f>прил.6!N478</f>
        <v>0</v>
      </c>
      <c r="N1052" s="35">
        <f t="shared" si="239"/>
        <v>80</v>
      </c>
      <c r="O1052" s="7">
        <f>прил.6!P478</f>
        <v>0</v>
      </c>
      <c r="P1052" s="35">
        <f t="shared" si="235"/>
        <v>80</v>
      </c>
      <c r="Q1052" s="7">
        <f>прил.6!R478</f>
        <v>0</v>
      </c>
      <c r="R1052" s="35">
        <f t="shared" si="233"/>
        <v>80</v>
      </c>
      <c r="S1052" s="7">
        <f>прил.6!T478</f>
        <v>0</v>
      </c>
      <c r="T1052" s="35">
        <f t="shared" si="241"/>
        <v>80</v>
      </c>
    </row>
    <row r="1053" spans="1:20" ht="49.5">
      <c r="A1053" s="61" t="str">
        <f ca="1">IF(ISERROR(MATCH(B1053,Код_КЦСР,0)),"",INDIRECT(ADDRESS(MATCH(B1053,Код_КЦСР,0)+1,2,,,"КЦСР")))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1053" s="45" t="s">
        <v>427</v>
      </c>
      <c r="C1053" s="8"/>
      <c r="D1053" s="1"/>
      <c r="E1053" s="113"/>
      <c r="F1053" s="7">
        <f t="shared" ref="F1053:S1057" si="246">F1054</f>
        <v>227763</v>
      </c>
      <c r="G1053" s="7">
        <f t="shared" si="246"/>
        <v>0</v>
      </c>
      <c r="H1053" s="35">
        <f t="shared" si="243"/>
        <v>227763</v>
      </c>
      <c r="I1053" s="7">
        <f t="shared" si="246"/>
        <v>0</v>
      </c>
      <c r="J1053" s="35">
        <f t="shared" si="240"/>
        <v>227763</v>
      </c>
      <c r="K1053" s="7">
        <f t="shared" si="246"/>
        <v>0</v>
      </c>
      <c r="L1053" s="35">
        <f t="shared" si="238"/>
        <v>227763</v>
      </c>
      <c r="M1053" s="7">
        <f t="shared" si="246"/>
        <v>0</v>
      </c>
      <c r="N1053" s="35">
        <f t="shared" si="239"/>
        <v>227763</v>
      </c>
      <c r="O1053" s="7">
        <f t="shared" si="246"/>
        <v>0</v>
      </c>
      <c r="P1053" s="35">
        <f t="shared" si="235"/>
        <v>227763</v>
      </c>
      <c r="Q1053" s="7">
        <f t="shared" si="246"/>
        <v>0</v>
      </c>
      <c r="R1053" s="35">
        <f t="shared" si="233"/>
        <v>227763</v>
      </c>
      <c r="S1053" s="7">
        <f t="shared" si="246"/>
        <v>0</v>
      </c>
      <c r="T1053" s="35">
        <f t="shared" si="241"/>
        <v>227763</v>
      </c>
    </row>
    <row r="1054" spans="1:20">
      <c r="A1054" s="61" t="str">
        <f ca="1">IF(ISERROR(MATCH(C1054,Код_Раздел,0)),"",INDIRECT(ADDRESS(MATCH(C1054,Код_Раздел,0)+1,2,,,"Раздел")))</f>
        <v>Национальная экономика</v>
      </c>
      <c r="B1054" s="45" t="s">
        <v>427</v>
      </c>
      <c r="C1054" s="8" t="s">
        <v>214</v>
      </c>
      <c r="D1054" s="1"/>
      <c r="E1054" s="113"/>
      <c r="F1054" s="7">
        <f t="shared" si="246"/>
        <v>227763</v>
      </c>
      <c r="G1054" s="7">
        <f t="shared" si="246"/>
        <v>0</v>
      </c>
      <c r="H1054" s="35">
        <f t="shared" si="243"/>
        <v>227763</v>
      </c>
      <c r="I1054" s="7">
        <f t="shared" si="246"/>
        <v>0</v>
      </c>
      <c r="J1054" s="35">
        <f t="shared" si="240"/>
        <v>227763</v>
      </c>
      <c r="K1054" s="7">
        <f t="shared" si="246"/>
        <v>0</v>
      </c>
      <c r="L1054" s="35">
        <f t="shared" si="238"/>
        <v>227763</v>
      </c>
      <c r="M1054" s="7">
        <f t="shared" si="246"/>
        <v>0</v>
      </c>
      <c r="N1054" s="35">
        <f t="shared" si="239"/>
        <v>227763</v>
      </c>
      <c r="O1054" s="7">
        <f t="shared" si="246"/>
        <v>0</v>
      </c>
      <c r="P1054" s="35">
        <f t="shared" si="235"/>
        <v>227763</v>
      </c>
      <c r="Q1054" s="7">
        <f t="shared" si="246"/>
        <v>0</v>
      </c>
      <c r="R1054" s="35">
        <f t="shared" si="233"/>
        <v>227763</v>
      </c>
      <c r="S1054" s="7">
        <f t="shared" si="246"/>
        <v>0</v>
      </c>
      <c r="T1054" s="35">
        <f t="shared" si="241"/>
        <v>227763</v>
      </c>
    </row>
    <row r="1055" spans="1:20">
      <c r="A1055" s="76" t="s">
        <v>178</v>
      </c>
      <c r="B1055" s="45" t="s">
        <v>427</v>
      </c>
      <c r="C1055" s="8" t="s">
        <v>214</v>
      </c>
      <c r="D1055" s="1" t="s">
        <v>217</v>
      </c>
      <c r="E1055" s="113"/>
      <c r="F1055" s="7">
        <f t="shared" si="246"/>
        <v>227763</v>
      </c>
      <c r="G1055" s="7">
        <f t="shared" si="246"/>
        <v>0</v>
      </c>
      <c r="H1055" s="35">
        <f t="shared" si="243"/>
        <v>227763</v>
      </c>
      <c r="I1055" s="7">
        <f t="shared" si="246"/>
        <v>0</v>
      </c>
      <c r="J1055" s="35">
        <f t="shared" si="240"/>
        <v>227763</v>
      </c>
      <c r="K1055" s="7">
        <f t="shared" si="246"/>
        <v>0</v>
      </c>
      <c r="L1055" s="35">
        <f t="shared" si="238"/>
        <v>227763</v>
      </c>
      <c r="M1055" s="7">
        <f t="shared" si="246"/>
        <v>0</v>
      </c>
      <c r="N1055" s="35">
        <f t="shared" si="239"/>
        <v>227763</v>
      </c>
      <c r="O1055" s="7">
        <f t="shared" si="246"/>
        <v>0</v>
      </c>
      <c r="P1055" s="35">
        <f t="shared" si="235"/>
        <v>227763</v>
      </c>
      <c r="Q1055" s="7">
        <f t="shared" si="246"/>
        <v>0</v>
      </c>
      <c r="R1055" s="35">
        <f t="shared" si="233"/>
        <v>227763</v>
      </c>
      <c r="S1055" s="7">
        <f t="shared" si="246"/>
        <v>0</v>
      </c>
      <c r="T1055" s="35">
        <f t="shared" si="241"/>
        <v>227763</v>
      </c>
    </row>
    <row r="1056" spans="1:20">
      <c r="A1056" s="61" t="str">
        <f ca="1">IF(ISERROR(MATCH(E1056,Код_КВР,0)),"",INDIRECT(ADDRESS(MATCH(E1056,Код_КВР,0)+1,2,,,"КВР")))</f>
        <v>Закупка товаров, работ и услуг для муниципальных нужд</v>
      </c>
      <c r="B1056" s="45" t="s">
        <v>427</v>
      </c>
      <c r="C1056" s="8" t="s">
        <v>214</v>
      </c>
      <c r="D1056" s="1" t="s">
        <v>217</v>
      </c>
      <c r="E1056" s="113">
        <v>200</v>
      </c>
      <c r="F1056" s="7">
        <f t="shared" si="246"/>
        <v>227763</v>
      </c>
      <c r="G1056" s="7">
        <f t="shared" si="246"/>
        <v>0</v>
      </c>
      <c r="H1056" s="35">
        <f t="shared" si="243"/>
        <v>227763</v>
      </c>
      <c r="I1056" s="7">
        <f t="shared" si="246"/>
        <v>0</v>
      </c>
      <c r="J1056" s="35">
        <f t="shared" si="240"/>
        <v>227763</v>
      </c>
      <c r="K1056" s="7">
        <f t="shared" si="246"/>
        <v>0</v>
      </c>
      <c r="L1056" s="35">
        <f t="shared" si="238"/>
        <v>227763</v>
      </c>
      <c r="M1056" s="7">
        <f t="shared" si="246"/>
        <v>0</v>
      </c>
      <c r="N1056" s="35">
        <f t="shared" si="239"/>
        <v>227763</v>
      </c>
      <c r="O1056" s="7">
        <f t="shared" si="246"/>
        <v>0</v>
      </c>
      <c r="P1056" s="35">
        <f t="shared" si="235"/>
        <v>227763</v>
      </c>
      <c r="Q1056" s="7">
        <f t="shared" si="246"/>
        <v>0</v>
      </c>
      <c r="R1056" s="35">
        <f t="shared" si="233"/>
        <v>227763</v>
      </c>
      <c r="S1056" s="7">
        <f t="shared" si="246"/>
        <v>0</v>
      </c>
      <c r="T1056" s="35">
        <f t="shared" si="241"/>
        <v>227763</v>
      </c>
    </row>
    <row r="1057" spans="1:20" ht="33">
      <c r="A1057" s="61" t="str">
        <f ca="1">IF(ISERROR(MATCH(E1057,Код_КВР,0)),"",INDIRECT(ADDRESS(MATCH(E1057,Код_КВР,0)+1,2,,,"КВР")))</f>
        <v>Иные закупки товаров, работ и услуг для обеспечения муниципальных нужд</v>
      </c>
      <c r="B1057" s="45" t="s">
        <v>427</v>
      </c>
      <c r="C1057" s="8" t="s">
        <v>214</v>
      </c>
      <c r="D1057" s="1" t="s">
        <v>217</v>
      </c>
      <c r="E1057" s="113">
        <v>240</v>
      </c>
      <c r="F1057" s="7">
        <f t="shared" si="246"/>
        <v>227763</v>
      </c>
      <c r="G1057" s="7">
        <f t="shared" si="246"/>
        <v>0</v>
      </c>
      <c r="H1057" s="35">
        <f t="shared" si="243"/>
        <v>227763</v>
      </c>
      <c r="I1057" s="7">
        <f t="shared" si="246"/>
        <v>0</v>
      </c>
      <c r="J1057" s="35">
        <f t="shared" si="240"/>
        <v>227763</v>
      </c>
      <c r="K1057" s="7">
        <f t="shared" si="246"/>
        <v>0</v>
      </c>
      <c r="L1057" s="35">
        <f t="shared" si="238"/>
        <v>227763</v>
      </c>
      <c r="M1057" s="7">
        <f t="shared" si="246"/>
        <v>0</v>
      </c>
      <c r="N1057" s="35">
        <f t="shared" si="239"/>
        <v>227763</v>
      </c>
      <c r="O1057" s="7">
        <f t="shared" si="246"/>
        <v>0</v>
      </c>
      <c r="P1057" s="35">
        <f t="shared" si="235"/>
        <v>227763</v>
      </c>
      <c r="Q1057" s="7">
        <f t="shared" si="246"/>
        <v>0</v>
      </c>
      <c r="R1057" s="35">
        <f t="shared" si="233"/>
        <v>227763</v>
      </c>
      <c r="S1057" s="7">
        <f t="shared" si="246"/>
        <v>0</v>
      </c>
      <c r="T1057" s="35">
        <f t="shared" si="241"/>
        <v>227763</v>
      </c>
    </row>
    <row r="1058" spans="1:20" ht="33">
      <c r="A1058" s="61" t="str">
        <f ca="1">IF(ISERROR(MATCH(E1058,Код_КВР,0)),"",INDIRECT(ADDRESS(MATCH(E1058,Код_КВР,0)+1,2,,,"КВР")))</f>
        <v xml:space="preserve">Прочая закупка товаров, работ и услуг для обеспечения муниципальных нужд         </v>
      </c>
      <c r="B1058" s="45" t="s">
        <v>427</v>
      </c>
      <c r="C1058" s="8" t="s">
        <v>214</v>
      </c>
      <c r="D1058" s="1" t="s">
        <v>217</v>
      </c>
      <c r="E1058" s="113">
        <v>244</v>
      </c>
      <c r="F1058" s="7">
        <f>прил.6!G457</f>
        <v>227763</v>
      </c>
      <c r="G1058" s="7">
        <f>прил.6!H457</f>
        <v>0</v>
      </c>
      <c r="H1058" s="35">
        <f t="shared" si="243"/>
        <v>227763</v>
      </c>
      <c r="I1058" s="7">
        <f>прил.6!J457</f>
        <v>0</v>
      </c>
      <c r="J1058" s="35">
        <f t="shared" si="240"/>
        <v>227763</v>
      </c>
      <c r="K1058" s="7">
        <f>прил.6!L457</f>
        <v>0</v>
      </c>
      <c r="L1058" s="35">
        <f t="shared" si="238"/>
        <v>227763</v>
      </c>
      <c r="M1058" s="7">
        <f>прил.6!N457</f>
        <v>0</v>
      </c>
      <c r="N1058" s="35">
        <f t="shared" si="239"/>
        <v>227763</v>
      </c>
      <c r="O1058" s="7">
        <f>прил.6!P457</f>
        <v>0</v>
      </c>
      <c r="P1058" s="35">
        <f t="shared" si="235"/>
        <v>227763</v>
      </c>
      <c r="Q1058" s="7">
        <f>прил.6!R457</f>
        <v>0</v>
      </c>
      <c r="R1058" s="35">
        <f t="shared" ref="R1058:R1131" si="247">P1058+Q1058</f>
        <v>227763</v>
      </c>
      <c r="S1058" s="7">
        <f>прил.6!T457</f>
        <v>0</v>
      </c>
      <c r="T1058" s="35">
        <f t="shared" si="241"/>
        <v>227763</v>
      </c>
    </row>
    <row r="1059" spans="1:20" ht="105.75" customHeight="1">
      <c r="A1059" s="61" t="str">
        <f ca="1">IF(ISERROR(MATCH(B1059,Код_КЦСР,0)),"",INDIRECT(ADDRESS(MATCH(B1059,Код_КЦСР,0)+1,2,,,"КЦСР")))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1059" s="113" t="s">
        <v>412</v>
      </c>
      <c r="C1059" s="8"/>
      <c r="D1059" s="8"/>
      <c r="E1059" s="113"/>
      <c r="F1059" s="7">
        <f t="shared" ref="F1059:S1063" si="248">F1060</f>
        <v>1957.5</v>
      </c>
      <c r="G1059" s="7">
        <f t="shared" si="248"/>
        <v>0</v>
      </c>
      <c r="H1059" s="35">
        <f t="shared" si="243"/>
        <v>1957.5</v>
      </c>
      <c r="I1059" s="7">
        <f t="shared" si="248"/>
        <v>0</v>
      </c>
      <c r="J1059" s="35">
        <f t="shared" si="240"/>
        <v>1957.5</v>
      </c>
      <c r="K1059" s="7">
        <f t="shared" si="248"/>
        <v>0</v>
      </c>
      <c r="L1059" s="35">
        <f t="shared" si="238"/>
        <v>1957.5</v>
      </c>
      <c r="M1059" s="7">
        <f t="shared" si="248"/>
        <v>0</v>
      </c>
      <c r="N1059" s="35">
        <f t="shared" si="239"/>
        <v>1957.5</v>
      </c>
      <c r="O1059" s="7">
        <f t="shared" si="248"/>
        <v>0</v>
      </c>
      <c r="P1059" s="35">
        <f t="shared" si="235"/>
        <v>1957.5</v>
      </c>
      <c r="Q1059" s="7">
        <f t="shared" si="248"/>
        <v>0</v>
      </c>
      <c r="R1059" s="35">
        <f t="shared" si="247"/>
        <v>1957.5</v>
      </c>
      <c r="S1059" s="7">
        <f t="shared" si="248"/>
        <v>0</v>
      </c>
      <c r="T1059" s="35">
        <f t="shared" si="241"/>
        <v>1957.5</v>
      </c>
    </row>
    <row r="1060" spans="1:20">
      <c r="A1060" s="61" t="str">
        <f ca="1">IF(ISERROR(MATCH(C1060,Код_Раздел,0)),"",INDIRECT(ADDRESS(MATCH(C1060,Код_Раздел,0)+1,2,,,"Раздел")))</f>
        <v>Здравоохранение</v>
      </c>
      <c r="B1060" s="113" t="s">
        <v>412</v>
      </c>
      <c r="C1060" s="8" t="s">
        <v>217</v>
      </c>
      <c r="D1060" s="8"/>
      <c r="E1060" s="113"/>
      <c r="F1060" s="7">
        <f t="shared" si="248"/>
        <v>1957.5</v>
      </c>
      <c r="G1060" s="7">
        <f t="shared" si="248"/>
        <v>0</v>
      </c>
      <c r="H1060" s="35">
        <f t="shared" si="243"/>
        <v>1957.5</v>
      </c>
      <c r="I1060" s="7">
        <f t="shared" si="248"/>
        <v>0</v>
      </c>
      <c r="J1060" s="35">
        <f t="shared" si="240"/>
        <v>1957.5</v>
      </c>
      <c r="K1060" s="7">
        <f t="shared" si="248"/>
        <v>0</v>
      </c>
      <c r="L1060" s="35">
        <f t="shared" si="238"/>
        <v>1957.5</v>
      </c>
      <c r="M1060" s="7">
        <f t="shared" si="248"/>
        <v>0</v>
      </c>
      <c r="N1060" s="35">
        <f t="shared" si="239"/>
        <v>1957.5</v>
      </c>
      <c r="O1060" s="7">
        <f t="shared" si="248"/>
        <v>0</v>
      </c>
      <c r="P1060" s="35">
        <f t="shared" si="235"/>
        <v>1957.5</v>
      </c>
      <c r="Q1060" s="7">
        <f t="shared" si="248"/>
        <v>0</v>
      </c>
      <c r="R1060" s="35">
        <f t="shared" si="247"/>
        <v>1957.5</v>
      </c>
      <c r="S1060" s="7">
        <f t="shared" si="248"/>
        <v>0</v>
      </c>
      <c r="T1060" s="35">
        <f t="shared" si="241"/>
        <v>1957.5</v>
      </c>
    </row>
    <row r="1061" spans="1:20">
      <c r="A1061" s="76" t="s">
        <v>262</v>
      </c>
      <c r="B1061" s="113" t="s">
        <v>412</v>
      </c>
      <c r="C1061" s="8" t="s">
        <v>217</v>
      </c>
      <c r="D1061" s="8" t="s">
        <v>193</v>
      </c>
      <c r="E1061" s="113"/>
      <c r="F1061" s="7">
        <f t="shared" si="248"/>
        <v>1957.5</v>
      </c>
      <c r="G1061" s="7">
        <f t="shared" si="248"/>
        <v>0</v>
      </c>
      <c r="H1061" s="35">
        <f t="shared" si="243"/>
        <v>1957.5</v>
      </c>
      <c r="I1061" s="7">
        <f t="shared" si="248"/>
        <v>0</v>
      </c>
      <c r="J1061" s="35">
        <f t="shared" si="240"/>
        <v>1957.5</v>
      </c>
      <c r="K1061" s="7">
        <f t="shared" si="248"/>
        <v>0</v>
      </c>
      <c r="L1061" s="35">
        <f t="shared" si="238"/>
        <v>1957.5</v>
      </c>
      <c r="M1061" s="7">
        <f t="shared" si="248"/>
        <v>0</v>
      </c>
      <c r="N1061" s="35">
        <f t="shared" si="239"/>
        <v>1957.5</v>
      </c>
      <c r="O1061" s="7">
        <f t="shared" si="248"/>
        <v>0</v>
      </c>
      <c r="P1061" s="35">
        <f t="shared" si="235"/>
        <v>1957.5</v>
      </c>
      <c r="Q1061" s="7">
        <f t="shared" si="248"/>
        <v>0</v>
      </c>
      <c r="R1061" s="35">
        <f t="shared" si="247"/>
        <v>1957.5</v>
      </c>
      <c r="S1061" s="7">
        <f t="shared" si="248"/>
        <v>0</v>
      </c>
      <c r="T1061" s="35">
        <f t="shared" si="241"/>
        <v>1957.5</v>
      </c>
    </row>
    <row r="1062" spans="1:20">
      <c r="A1062" s="61" t="str">
        <f ca="1">IF(ISERROR(MATCH(E1062,Код_КВР,0)),"",INDIRECT(ADDRESS(MATCH(E1062,Код_КВР,0)+1,2,,,"КВР")))</f>
        <v>Закупка товаров, работ и услуг для муниципальных нужд</v>
      </c>
      <c r="B1062" s="113" t="s">
        <v>412</v>
      </c>
      <c r="C1062" s="8" t="s">
        <v>217</v>
      </c>
      <c r="D1062" s="8" t="s">
        <v>193</v>
      </c>
      <c r="E1062" s="113">
        <v>200</v>
      </c>
      <c r="F1062" s="7">
        <f t="shared" si="248"/>
        <v>1957.5</v>
      </c>
      <c r="G1062" s="7">
        <f t="shared" si="248"/>
        <v>0</v>
      </c>
      <c r="H1062" s="35">
        <f t="shared" si="243"/>
        <v>1957.5</v>
      </c>
      <c r="I1062" s="7">
        <f t="shared" si="248"/>
        <v>0</v>
      </c>
      <c r="J1062" s="35">
        <f t="shared" si="240"/>
        <v>1957.5</v>
      </c>
      <c r="K1062" s="7">
        <f t="shared" si="248"/>
        <v>0</v>
      </c>
      <c r="L1062" s="35">
        <f t="shared" si="238"/>
        <v>1957.5</v>
      </c>
      <c r="M1062" s="7">
        <f t="shared" si="248"/>
        <v>0</v>
      </c>
      <c r="N1062" s="35">
        <f t="shared" si="239"/>
        <v>1957.5</v>
      </c>
      <c r="O1062" s="7">
        <f t="shared" si="248"/>
        <v>0</v>
      </c>
      <c r="P1062" s="35">
        <f t="shared" si="235"/>
        <v>1957.5</v>
      </c>
      <c r="Q1062" s="7">
        <f t="shared" si="248"/>
        <v>0</v>
      </c>
      <c r="R1062" s="35">
        <f t="shared" si="247"/>
        <v>1957.5</v>
      </c>
      <c r="S1062" s="7">
        <f t="shared" si="248"/>
        <v>0</v>
      </c>
      <c r="T1062" s="35">
        <f t="shared" si="241"/>
        <v>1957.5</v>
      </c>
    </row>
    <row r="1063" spans="1:20" ht="33">
      <c r="A1063" s="61" t="str">
        <f ca="1">IF(ISERROR(MATCH(E1063,Код_КВР,0)),"",INDIRECT(ADDRESS(MATCH(E1063,Код_КВР,0)+1,2,,,"КВР")))</f>
        <v>Иные закупки товаров, работ и услуг для обеспечения муниципальных нужд</v>
      </c>
      <c r="B1063" s="113" t="s">
        <v>412</v>
      </c>
      <c r="C1063" s="8" t="s">
        <v>217</v>
      </c>
      <c r="D1063" s="8" t="s">
        <v>193</v>
      </c>
      <c r="E1063" s="113">
        <v>240</v>
      </c>
      <c r="F1063" s="7">
        <f t="shared" si="248"/>
        <v>1957.5</v>
      </c>
      <c r="G1063" s="7">
        <f t="shared" si="248"/>
        <v>0</v>
      </c>
      <c r="H1063" s="35">
        <f t="shared" si="243"/>
        <v>1957.5</v>
      </c>
      <c r="I1063" s="7">
        <f t="shared" si="248"/>
        <v>0</v>
      </c>
      <c r="J1063" s="35">
        <f t="shared" si="240"/>
        <v>1957.5</v>
      </c>
      <c r="K1063" s="7">
        <f t="shared" si="248"/>
        <v>0</v>
      </c>
      <c r="L1063" s="35">
        <f t="shared" si="238"/>
        <v>1957.5</v>
      </c>
      <c r="M1063" s="7">
        <f t="shared" si="248"/>
        <v>0</v>
      </c>
      <c r="N1063" s="35">
        <f t="shared" si="239"/>
        <v>1957.5</v>
      </c>
      <c r="O1063" s="7">
        <f t="shared" si="248"/>
        <v>0</v>
      </c>
      <c r="P1063" s="35">
        <f t="shared" si="235"/>
        <v>1957.5</v>
      </c>
      <c r="Q1063" s="7">
        <f t="shared" si="248"/>
        <v>0</v>
      </c>
      <c r="R1063" s="35">
        <f t="shared" si="247"/>
        <v>1957.5</v>
      </c>
      <c r="S1063" s="7">
        <f t="shared" si="248"/>
        <v>0</v>
      </c>
      <c r="T1063" s="35">
        <f t="shared" si="241"/>
        <v>1957.5</v>
      </c>
    </row>
    <row r="1064" spans="1:20" ht="33">
      <c r="A1064" s="61" t="str">
        <f ca="1">IF(ISERROR(MATCH(E1064,Код_КВР,0)),"",INDIRECT(ADDRESS(MATCH(E1064,Код_КВР,0)+1,2,,,"КВР")))</f>
        <v xml:space="preserve">Прочая закупка товаров, работ и услуг для обеспечения муниципальных нужд         </v>
      </c>
      <c r="B1064" s="113" t="s">
        <v>412</v>
      </c>
      <c r="C1064" s="8" t="s">
        <v>217</v>
      </c>
      <c r="D1064" s="8" t="s">
        <v>193</v>
      </c>
      <c r="E1064" s="113">
        <v>244</v>
      </c>
      <c r="F1064" s="7">
        <f>прил.6!G541</f>
        <v>1957.5</v>
      </c>
      <c r="G1064" s="7">
        <f>прил.6!H541</f>
        <v>0</v>
      </c>
      <c r="H1064" s="35">
        <f t="shared" si="243"/>
        <v>1957.5</v>
      </c>
      <c r="I1064" s="7">
        <f>прил.6!J541</f>
        <v>0</v>
      </c>
      <c r="J1064" s="35">
        <f t="shared" si="240"/>
        <v>1957.5</v>
      </c>
      <c r="K1064" s="7">
        <f>прил.6!L541</f>
        <v>0</v>
      </c>
      <c r="L1064" s="35">
        <f t="shared" si="238"/>
        <v>1957.5</v>
      </c>
      <c r="M1064" s="7">
        <f>прил.6!N541</f>
        <v>0</v>
      </c>
      <c r="N1064" s="35">
        <f t="shared" si="239"/>
        <v>1957.5</v>
      </c>
      <c r="O1064" s="7">
        <f>прил.6!P541</f>
        <v>0</v>
      </c>
      <c r="P1064" s="35">
        <f t="shared" si="235"/>
        <v>1957.5</v>
      </c>
      <c r="Q1064" s="7">
        <f>прил.6!R541</f>
        <v>0</v>
      </c>
      <c r="R1064" s="35">
        <f t="shared" si="247"/>
        <v>1957.5</v>
      </c>
      <c r="S1064" s="7">
        <f>прил.6!T541</f>
        <v>0</v>
      </c>
      <c r="T1064" s="35">
        <f t="shared" si="241"/>
        <v>1957.5</v>
      </c>
    </row>
    <row r="1065" spans="1:20">
      <c r="A1065" s="61" t="str">
        <f ca="1">IF(ISERROR(MATCH(B1065,Код_КЦСР,0)),"",INDIRECT(ADDRESS(MATCH(B1065,Код_КЦСР,0)+1,2,,,"КЦСР")))</f>
        <v>Содержание и ремонт жилищного фонда</v>
      </c>
      <c r="B1065" s="45" t="s">
        <v>54</v>
      </c>
      <c r="C1065" s="8"/>
      <c r="D1065" s="1"/>
      <c r="E1065" s="113"/>
      <c r="F1065" s="7">
        <f>F1066+F1072</f>
        <v>7680.8</v>
      </c>
      <c r="G1065" s="7">
        <f>G1066+G1072</f>
        <v>0</v>
      </c>
      <c r="H1065" s="35">
        <f t="shared" si="243"/>
        <v>7680.8</v>
      </c>
      <c r="I1065" s="7">
        <f>I1066+I1072</f>
        <v>0</v>
      </c>
      <c r="J1065" s="35">
        <f t="shared" si="240"/>
        <v>7680.8</v>
      </c>
      <c r="K1065" s="7">
        <f>K1066+K1072</f>
        <v>-238.1</v>
      </c>
      <c r="L1065" s="35">
        <f t="shared" si="238"/>
        <v>7442.7</v>
      </c>
      <c r="M1065" s="7">
        <f>M1066+M1072</f>
        <v>0</v>
      </c>
      <c r="N1065" s="35">
        <f t="shared" si="239"/>
        <v>7442.7</v>
      </c>
      <c r="O1065" s="7">
        <f>O1066+O1072</f>
        <v>0</v>
      </c>
      <c r="P1065" s="35">
        <f t="shared" si="235"/>
        <v>7442.7</v>
      </c>
      <c r="Q1065" s="7">
        <f>Q1066+Q1072+Q1078</f>
        <v>8339</v>
      </c>
      <c r="R1065" s="35">
        <f t="shared" si="247"/>
        <v>15781.7</v>
      </c>
      <c r="S1065" s="7">
        <f>S1066+S1072+S1078</f>
        <v>0</v>
      </c>
      <c r="T1065" s="35">
        <f t="shared" si="241"/>
        <v>15781.7</v>
      </c>
    </row>
    <row r="1066" spans="1:20">
      <c r="A1066" s="61" t="str">
        <f ca="1">IF(ISERROR(MATCH(B1066,Код_КЦСР,0)),"",INDIRECT(ADDRESS(MATCH(B1066,Код_КЦСР,0)+1,2,,,"КЦСР")))</f>
        <v>Капитальный ремонт жилищного фонда</v>
      </c>
      <c r="B1066" s="45" t="s">
        <v>56</v>
      </c>
      <c r="C1066" s="8"/>
      <c r="D1066" s="1"/>
      <c r="E1066" s="113"/>
      <c r="F1066" s="7">
        <f t="shared" ref="F1066:S1070" si="249">F1067</f>
        <v>2288.3000000000002</v>
      </c>
      <c r="G1066" s="7">
        <f t="shared" si="249"/>
        <v>0</v>
      </c>
      <c r="H1066" s="35">
        <f t="shared" si="243"/>
        <v>2288.3000000000002</v>
      </c>
      <c r="I1066" s="7">
        <f t="shared" si="249"/>
        <v>0</v>
      </c>
      <c r="J1066" s="35">
        <f t="shared" si="240"/>
        <v>2288.3000000000002</v>
      </c>
      <c r="K1066" s="7">
        <f t="shared" si="249"/>
        <v>0</v>
      </c>
      <c r="L1066" s="35">
        <f t="shared" si="238"/>
        <v>2288.3000000000002</v>
      </c>
      <c r="M1066" s="7">
        <f t="shared" si="249"/>
        <v>0</v>
      </c>
      <c r="N1066" s="35">
        <f t="shared" si="239"/>
        <v>2288.3000000000002</v>
      </c>
      <c r="O1066" s="7">
        <f t="shared" si="249"/>
        <v>0</v>
      </c>
      <c r="P1066" s="35">
        <f t="shared" ref="P1066:P1144" si="250">N1066+O1066</f>
        <v>2288.3000000000002</v>
      </c>
      <c r="Q1066" s="7">
        <f t="shared" si="249"/>
        <v>0</v>
      </c>
      <c r="R1066" s="35">
        <f t="shared" si="247"/>
        <v>2288.3000000000002</v>
      </c>
      <c r="S1066" s="7">
        <f t="shared" si="249"/>
        <v>0</v>
      </c>
      <c r="T1066" s="35">
        <f t="shared" si="241"/>
        <v>2288.3000000000002</v>
      </c>
    </row>
    <row r="1067" spans="1:20">
      <c r="A1067" s="61" t="str">
        <f ca="1">IF(ISERROR(MATCH(C1067,Код_Раздел,0)),"",INDIRECT(ADDRESS(MATCH(C1067,Код_Раздел,0)+1,2,,,"Раздел")))</f>
        <v>Жилищно-коммунальное хозяйство</v>
      </c>
      <c r="B1067" s="45" t="s">
        <v>56</v>
      </c>
      <c r="C1067" s="8" t="s">
        <v>219</v>
      </c>
      <c r="D1067" s="1"/>
      <c r="E1067" s="113"/>
      <c r="F1067" s="7">
        <f t="shared" si="249"/>
        <v>2288.3000000000002</v>
      </c>
      <c r="G1067" s="7">
        <f t="shared" si="249"/>
        <v>0</v>
      </c>
      <c r="H1067" s="35">
        <f t="shared" si="243"/>
        <v>2288.3000000000002</v>
      </c>
      <c r="I1067" s="7">
        <f t="shared" si="249"/>
        <v>0</v>
      </c>
      <c r="J1067" s="35">
        <f t="shared" si="240"/>
        <v>2288.3000000000002</v>
      </c>
      <c r="K1067" s="7">
        <f t="shared" si="249"/>
        <v>0</v>
      </c>
      <c r="L1067" s="35">
        <f t="shared" si="238"/>
        <v>2288.3000000000002</v>
      </c>
      <c r="M1067" s="7">
        <f t="shared" si="249"/>
        <v>0</v>
      </c>
      <c r="N1067" s="35">
        <f t="shared" si="239"/>
        <v>2288.3000000000002</v>
      </c>
      <c r="O1067" s="7">
        <f t="shared" si="249"/>
        <v>0</v>
      </c>
      <c r="P1067" s="35">
        <f t="shared" si="250"/>
        <v>2288.3000000000002</v>
      </c>
      <c r="Q1067" s="7">
        <f t="shared" si="249"/>
        <v>0</v>
      </c>
      <c r="R1067" s="35">
        <f t="shared" si="247"/>
        <v>2288.3000000000002</v>
      </c>
      <c r="S1067" s="7">
        <f t="shared" si="249"/>
        <v>0</v>
      </c>
      <c r="T1067" s="35">
        <f t="shared" si="241"/>
        <v>2288.3000000000002</v>
      </c>
    </row>
    <row r="1068" spans="1:20">
      <c r="A1068" s="12" t="s">
        <v>224</v>
      </c>
      <c r="B1068" s="45" t="s">
        <v>56</v>
      </c>
      <c r="C1068" s="8" t="s">
        <v>219</v>
      </c>
      <c r="D1068" s="8" t="s">
        <v>211</v>
      </c>
      <c r="E1068" s="113"/>
      <c r="F1068" s="7">
        <f t="shared" si="249"/>
        <v>2288.3000000000002</v>
      </c>
      <c r="G1068" s="7">
        <f t="shared" si="249"/>
        <v>0</v>
      </c>
      <c r="H1068" s="35">
        <f t="shared" si="243"/>
        <v>2288.3000000000002</v>
      </c>
      <c r="I1068" s="7">
        <f t="shared" si="249"/>
        <v>0</v>
      </c>
      <c r="J1068" s="35">
        <f t="shared" si="240"/>
        <v>2288.3000000000002</v>
      </c>
      <c r="K1068" s="7">
        <f t="shared" si="249"/>
        <v>0</v>
      </c>
      <c r="L1068" s="35">
        <f t="shared" si="238"/>
        <v>2288.3000000000002</v>
      </c>
      <c r="M1068" s="7">
        <f t="shared" si="249"/>
        <v>0</v>
      </c>
      <c r="N1068" s="35">
        <f t="shared" si="239"/>
        <v>2288.3000000000002</v>
      </c>
      <c r="O1068" s="7">
        <f t="shared" si="249"/>
        <v>0</v>
      </c>
      <c r="P1068" s="35">
        <f t="shared" si="250"/>
        <v>2288.3000000000002</v>
      </c>
      <c r="Q1068" s="7">
        <f t="shared" si="249"/>
        <v>0</v>
      </c>
      <c r="R1068" s="35">
        <f t="shared" si="247"/>
        <v>2288.3000000000002</v>
      </c>
      <c r="S1068" s="7">
        <f t="shared" si="249"/>
        <v>0</v>
      </c>
      <c r="T1068" s="35">
        <f t="shared" si="241"/>
        <v>2288.3000000000002</v>
      </c>
    </row>
    <row r="1069" spans="1:20">
      <c r="A1069" s="61" t="str">
        <f ca="1">IF(ISERROR(MATCH(E1069,Код_КВР,0)),"",INDIRECT(ADDRESS(MATCH(E1069,Код_КВР,0)+1,2,,,"КВР")))</f>
        <v>Закупка товаров, работ и услуг для муниципальных нужд</v>
      </c>
      <c r="B1069" s="45" t="s">
        <v>56</v>
      </c>
      <c r="C1069" s="8" t="s">
        <v>219</v>
      </c>
      <c r="D1069" s="8" t="s">
        <v>211</v>
      </c>
      <c r="E1069" s="113">
        <v>200</v>
      </c>
      <c r="F1069" s="7">
        <f t="shared" si="249"/>
        <v>2288.3000000000002</v>
      </c>
      <c r="G1069" s="7">
        <f t="shared" si="249"/>
        <v>0</v>
      </c>
      <c r="H1069" s="35">
        <f t="shared" si="243"/>
        <v>2288.3000000000002</v>
      </c>
      <c r="I1069" s="7">
        <f t="shared" si="249"/>
        <v>0</v>
      </c>
      <c r="J1069" s="35">
        <f t="shared" si="240"/>
        <v>2288.3000000000002</v>
      </c>
      <c r="K1069" s="7">
        <f t="shared" si="249"/>
        <v>0</v>
      </c>
      <c r="L1069" s="35">
        <f t="shared" si="238"/>
        <v>2288.3000000000002</v>
      </c>
      <c r="M1069" s="7">
        <f t="shared" si="249"/>
        <v>0</v>
      </c>
      <c r="N1069" s="35">
        <f t="shared" si="239"/>
        <v>2288.3000000000002</v>
      </c>
      <c r="O1069" s="7">
        <f t="shared" si="249"/>
        <v>0</v>
      </c>
      <c r="P1069" s="35">
        <f t="shared" si="250"/>
        <v>2288.3000000000002</v>
      </c>
      <c r="Q1069" s="7">
        <f t="shared" si="249"/>
        <v>0</v>
      </c>
      <c r="R1069" s="35">
        <f t="shared" si="247"/>
        <v>2288.3000000000002</v>
      </c>
      <c r="S1069" s="7">
        <f t="shared" si="249"/>
        <v>0</v>
      </c>
      <c r="T1069" s="35">
        <f t="shared" si="241"/>
        <v>2288.3000000000002</v>
      </c>
    </row>
    <row r="1070" spans="1:20" ht="33">
      <c r="A1070" s="61" t="str">
        <f ca="1">IF(ISERROR(MATCH(E1070,Код_КВР,0)),"",INDIRECT(ADDRESS(MATCH(E1070,Код_КВР,0)+1,2,,,"КВР")))</f>
        <v>Иные закупки товаров, работ и услуг для обеспечения муниципальных нужд</v>
      </c>
      <c r="B1070" s="45" t="s">
        <v>56</v>
      </c>
      <c r="C1070" s="8" t="s">
        <v>219</v>
      </c>
      <c r="D1070" s="8" t="s">
        <v>211</v>
      </c>
      <c r="E1070" s="113">
        <v>240</v>
      </c>
      <c r="F1070" s="7">
        <f t="shared" si="249"/>
        <v>2288.3000000000002</v>
      </c>
      <c r="G1070" s="7">
        <f t="shared" si="249"/>
        <v>0</v>
      </c>
      <c r="H1070" s="35">
        <f t="shared" si="243"/>
        <v>2288.3000000000002</v>
      </c>
      <c r="I1070" s="7">
        <f t="shared" si="249"/>
        <v>0</v>
      </c>
      <c r="J1070" s="35">
        <f t="shared" si="240"/>
        <v>2288.3000000000002</v>
      </c>
      <c r="K1070" s="7">
        <f t="shared" si="249"/>
        <v>0</v>
      </c>
      <c r="L1070" s="35">
        <f t="shared" si="238"/>
        <v>2288.3000000000002</v>
      </c>
      <c r="M1070" s="7">
        <f t="shared" si="249"/>
        <v>0</v>
      </c>
      <c r="N1070" s="35">
        <f t="shared" si="239"/>
        <v>2288.3000000000002</v>
      </c>
      <c r="O1070" s="7">
        <f t="shared" si="249"/>
        <v>0</v>
      </c>
      <c r="P1070" s="35">
        <f t="shared" si="250"/>
        <v>2288.3000000000002</v>
      </c>
      <c r="Q1070" s="7">
        <f t="shared" si="249"/>
        <v>0</v>
      </c>
      <c r="R1070" s="35">
        <f t="shared" si="247"/>
        <v>2288.3000000000002</v>
      </c>
      <c r="S1070" s="7">
        <f t="shared" si="249"/>
        <v>0</v>
      </c>
      <c r="T1070" s="35">
        <f t="shared" si="241"/>
        <v>2288.3000000000002</v>
      </c>
    </row>
    <row r="1071" spans="1:20" ht="33">
      <c r="A1071" s="61" t="str">
        <f ca="1">IF(ISERROR(MATCH(E1071,Код_КВР,0)),"",INDIRECT(ADDRESS(MATCH(E1071,Код_КВР,0)+1,2,,,"КВР")))</f>
        <v xml:space="preserve">Прочая закупка товаров, работ и услуг для обеспечения муниципальных нужд         </v>
      </c>
      <c r="B1071" s="45" t="s">
        <v>56</v>
      </c>
      <c r="C1071" s="8" t="s">
        <v>219</v>
      </c>
      <c r="D1071" s="8" t="s">
        <v>211</v>
      </c>
      <c r="E1071" s="113">
        <v>244</v>
      </c>
      <c r="F1071" s="7">
        <f>прил.6!G492</f>
        <v>2288.3000000000002</v>
      </c>
      <c r="G1071" s="7">
        <f>прил.6!H492</f>
        <v>0</v>
      </c>
      <c r="H1071" s="35">
        <f t="shared" si="243"/>
        <v>2288.3000000000002</v>
      </c>
      <c r="I1071" s="7">
        <f>прил.6!J492</f>
        <v>0</v>
      </c>
      <c r="J1071" s="35">
        <f t="shared" si="240"/>
        <v>2288.3000000000002</v>
      </c>
      <c r="K1071" s="7">
        <f>прил.6!L492</f>
        <v>0</v>
      </c>
      <c r="L1071" s="35">
        <f t="shared" si="238"/>
        <v>2288.3000000000002</v>
      </c>
      <c r="M1071" s="7">
        <f>прил.6!N492</f>
        <v>0</v>
      </c>
      <c r="N1071" s="35">
        <f t="shared" si="239"/>
        <v>2288.3000000000002</v>
      </c>
      <c r="O1071" s="7">
        <f>прил.6!P492</f>
        <v>0</v>
      </c>
      <c r="P1071" s="35">
        <f t="shared" si="250"/>
        <v>2288.3000000000002</v>
      </c>
      <c r="Q1071" s="7">
        <f>прил.6!R492</f>
        <v>0</v>
      </c>
      <c r="R1071" s="35">
        <f t="shared" si="247"/>
        <v>2288.3000000000002</v>
      </c>
      <c r="S1071" s="7">
        <f>прил.6!T492</f>
        <v>0</v>
      </c>
      <c r="T1071" s="35">
        <f t="shared" si="241"/>
        <v>2288.3000000000002</v>
      </c>
    </row>
    <row r="1072" spans="1:20" ht="33">
      <c r="A1072" s="61" t="str">
        <f ca="1">IF(ISERROR(MATCH(B1072,Код_КЦСР,0)),"",INDIRECT(ADDRESS(MATCH(B1072,Код_КЦСР,0)+1,2,,,"КЦСР")))</f>
        <v>Содержание и ремонт временно незаселенных жилых помещений муниципального жилищного фонда</v>
      </c>
      <c r="B1072" s="45" t="s">
        <v>58</v>
      </c>
      <c r="C1072" s="8"/>
      <c r="D1072" s="8"/>
      <c r="E1072" s="113"/>
      <c r="F1072" s="7">
        <f t="shared" ref="F1072:S1076" si="251">F1073</f>
        <v>5392.5</v>
      </c>
      <c r="G1072" s="7">
        <f t="shared" si="251"/>
        <v>0</v>
      </c>
      <c r="H1072" s="35">
        <f t="shared" si="243"/>
        <v>5392.5</v>
      </c>
      <c r="I1072" s="7">
        <f t="shared" si="251"/>
        <v>0</v>
      </c>
      <c r="J1072" s="35">
        <f t="shared" si="240"/>
        <v>5392.5</v>
      </c>
      <c r="K1072" s="7">
        <f t="shared" si="251"/>
        <v>-238.1</v>
      </c>
      <c r="L1072" s="35">
        <f t="shared" si="238"/>
        <v>5154.3999999999996</v>
      </c>
      <c r="M1072" s="7">
        <f t="shared" si="251"/>
        <v>0</v>
      </c>
      <c r="N1072" s="35">
        <f t="shared" si="239"/>
        <v>5154.3999999999996</v>
      </c>
      <c r="O1072" s="7">
        <f t="shared" si="251"/>
        <v>0</v>
      </c>
      <c r="P1072" s="35">
        <f t="shared" si="250"/>
        <v>5154.3999999999996</v>
      </c>
      <c r="Q1072" s="7">
        <f t="shared" si="251"/>
        <v>-180.39999999999998</v>
      </c>
      <c r="R1072" s="35">
        <f t="shared" si="247"/>
        <v>4974</v>
      </c>
      <c r="S1072" s="7">
        <f t="shared" si="251"/>
        <v>0</v>
      </c>
      <c r="T1072" s="35">
        <f t="shared" si="241"/>
        <v>4974</v>
      </c>
    </row>
    <row r="1073" spans="1:20">
      <c r="A1073" s="61" t="str">
        <f ca="1">IF(ISERROR(MATCH(C1073,Код_Раздел,0)),"",INDIRECT(ADDRESS(MATCH(C1073,Код_Раздел,0)+1,2,,,"Раздел")))</f>
        <v>Жилищно-коммунальное хозяйство</v>
      </c>
      <c r="B1073" s="45" t="s">
        <v>58</v>
      </c>
      <c r="C1073" s="8" t="s">
        <v>219</v>
      </c>
      <c r="D1073" s="1"/>
      <c r="E1073" s="113"/>
      <c r="F1073" s="7">
        <f t="shared" si="251"/>
        <v>5392.5</v>
      </c>
      <c r="G1073" s="7">
        <f t="shared" si="251"/>
        <v>0</v>
      </c>
      <c r="H1073" s="35">
        <f t="shared" si="243"/>
        <v>5392.5</v>
      </c>
      <c r="I1073" s="7">
        <f t="shared" si="251"/>
        <v>0</v>
      </c>
      <c r="J1073" s="35">
        <f t="shared" si="240"/>
        <v>5392.5</v>
      </c>
      <c r="K1073" s="7">
        <f t="shared" si="251"/>
        <v>-238.1</v>
      </c>
      <c r="L1073" s="35">
        <f t="shared" si="238"/>
        <v>5154.3999999999996</v>
      </c>
      <c r="M1073" s="7">
        <f t="shared" si="251"/>
        <v>0</v>
      </c>
      <c r="N1073" s="35">
        <f t="shared" si="239"/>
        <v>5154.3999999999996</v>
      </c>
      <c r="O1073" s="7">
        <f t="shared" si="251"/>
        <v>0</v>
      </c>
      <c r="P1073" s="35">
        <f t="shared" si="250"/>
        <v>5154.3999999999996</v>
      </c>
      <c r="Q1073" s="7">
        <f t="shared" si="251"/>
        <v>-180.39999999999998</v>
      </c>
      <c r="R1073" s="35">
        <f t="shared" si="247"/>
        <v>4974</v>
      </c>
      <c r="S1073" s="7">
        <f t="shared" si="251"/>
        <v>0</v>
      </c>
      <c r="T1073" s="35">
        <f t="shared" si="241"/>
        <v>4974</v>
      </c>
    </row>
    <row r="1074" spans="1:20">
      <c r="A1074" s="12" t="s">
        <v>224</v>
      </c>
      <c r="B1074" s="45" t="s">
        <v>58</v>
      </c>
      <c r="C1074" s="8" t="s">
        <v>219</v>
      </c>
      <c r="D1074" s="8" t="s">
        <v>211</v>
      </c>
      <c r="E1074" s="113"/>
      <c r="F1074" s="7">
        <f t="shared" si="251"/>
        <v>5392.5</v>
      </c>
      <c r="G1074" s="7">
        <f t="shared" si="251"/>
        <v>0</v>
      </c>
      <c r="H1074" s="35">
        <f t="shared" si="243"/>
        <v>5392.5</v>
      </c>
      <c r="I1074" s="7">
        <f t="shared" si="251"/>
        <v>0</v>
      </c>
      <c r="J1074" s="35">
        <f t="shared" si="240"/>
        <v>5392.5</v>
      </c>
      <c r="K1074" s="7">
        <f t="shared" si="251"/>
        <v>-238.1</v>
      </c>
      <c r="L1074" s="35">
        <f t="shared" si="238"/>
        <v>5154.3999999999996</v>
      </c>
      <c r="M1074" s="7">
        <f t="shared" si="251"/>
        <v>0</v>
      </c>
      <c r="N1074" s="35">
        <f t="shared" si="239"/>
        <v>5154.3999999999996</v>
      </c>
      <c r="O1074" s="7">
        <f t="shared" si="251"/>
        <v>0</v>
      </c>
      <c r="P1074" s="35">
        <f t="shared" si="250"/>
        <v>5154.3999999999996</v>
      </c>
      <c r="Q1074" s="7">
        <f t="shared" si="251"/>
        <v>-180.39999999999998</v>
      </c>
      <c r="R1074" s="35">
        <f t="shared" si="247"/>
        <v>4974</v>
      </c>
      <c r="S1074" s="7">
        <f t="shared" si="251"/>
        <v>0</v>
      </c>
      <c r="T1074" s="35">
        <f t="shared" si="241"/>
        <v>4974</v>
      </c>
    </row>
    <row r="1075" spans="1:20">
      <c r="A1075" s="61" t="str">
        <f ca="1">IF(ISERROR(MATCH(E1075,Код_КВР,0)),"",INDIRECT(ADDRESS(MATCH(E1075,Код_КВР,0)+1,2,,,"КВР")))</f>
        <v>Закупка товаров, работ и услуг для муниципальных нужд</v>
      </c>
      <c r="B1075" s="45" t="s">
        <v>58</v>
      </c>
      <c r="C1075" s="8" t="s">
        <v>219</v>
      </c>
      <c r="D1075" s="8" t="s">
        <v>211</v>
      </c>
      <c r="E1075" s="113">
        <v>200</v>
      </c>
      <c r="F1075" s="7">
        <f t="shared" si="251"/>
        <v>5392.5</v>
      </c>
      <c r="G1075" s="7">
        <f t="shared" si="251"/>
        <v>0</v>
      </c>
      <c r="H1075" s="35">
        <f t="shared" si="243"/>
        <v>5392.5</v>
      </c>
      <c r="I1075" s="7">
        <f t="shared" si="251"/>
        <v>0</v>
      </c>
      <c r="J1075" s="35">
        <f t="shared" si="240"/>
        <v>5392.5</v>
      </c>
      <c r="K1075" s="7">
        <f t="shared" si="251"/>
        <v>-238.1</v>
      </c>
      <c r="L1075" s="35">
        <f t="shared" si="238"/>
        <v>5154.3999999999996</v>
      </c>
      <c r="M1075" s="7">
        <f t="shared" si="251"/>
        <v>0</v>
      </c>
      <c r="N1075" s="35">
        <f t="shared" si="239"/>
        <v>5154.3999999999996</v>
      </c>
      <c r="O1075" s="7">
        <f t="shared" si="251"/>
        <v>0</v>
      </c>
      <c r="P1075" s="35">
        <f t="shared" si="250"/>
        <v>5154.3999999999996</v>
      </c>
      <c r="Q1075" s="7">
        <f t="shared" si="251"/>
        <v>-180.39999999999998</v>
      </c>
      <c r="R1075" s="35">
        <f t="shared" si="247"/>
        <v>4974</v>
      </c>
      <c r="S1075" s="7">
        <f t="shared" si="251"/>
        <v>0</v>
      </c>
      <c r="T1075" s="35">
        <f t="shared" si="241"/>
        <v>4974</v>
      </c>
    </row>
    <row r="1076" spans="1:20" ht="33">
      <c r="A1076" s="61" t="str">
        <f ca="1">IF(ISERROR(MATCH(E1076,Код_КВР,0)),"",INDIRECT(ADDRESS(MATCH(E1076,Код_КВР,0)+1,2,,,"КВР")))</f>
        <v>Иные закупки товаров, работ и услуг для обеспечения муниципальных нужд</v>
      </c>
      <c r="B1076" s="45" t="s">
        <v>58</v>
      </c>
      <c r="C1076" s="8" t="s">
        <v>219</v>
      </c>
      <c r="D1076" s="8" t="s">
        <v>211</v>
      </c>
      <c r="E1076" s="113">
        <v>240</v>
      </c>
      <c r="F1076" s="7">
        <f t="shared" si="251"/>
        <v>5392.5</v>
      </c>
      <c r="G1076" s="7">
        <f t="shared" si="251"/>
        <v>0</v>
      </c>
      <c r="H1076" s="35">
        <f t="shared" si="243"/>
        <v>5392.5</v>
      </c>
      <c r="I1076" s="7">
        <f t="shared" si="251"/>
        <v>0</v>
      </c>
      <c r="J1076" s="35">
        <f t="shared" si="240"/>
        <v>5392.5</v>
      </c>
      <c r="K1076" s="7">
        <f t="shared" si="251"/>
        <v>-238.1</v>
      </c>
      <c r="L1076" s="35">
        <f t="shared" si="238"/>
        <v>5154.3999999999996</v>
      </c>
      <c r="M1076" s="7">
        <f t="shared" si="251"/>
        <v>0</v>
      </c>
      <c r="N1076" s="35">
        <f t="shared" si="239"/>
        <v>5154.3999999999996</v>
      </c>
      <c r="O1076" s="7">
        <f t="shared" si="251"/>
        <v>0</v>
      </c>
      <c r="P1076" s="35">
        <f t="shared" si="250"/>
        <v>5154.3999999999996</v>
      </c>
      <c r="Q1076" s="7">
        <f t="shared" si="251"/>
        <v>-180.39999999999998</v>
      </c>
      <c r="R1076" s="35">
        <f t="shared" si="247"/>
        <v>4974</v>
      </c>
      <c r="S1076" s="7">
        <f t="shared" si="251"/>
        <v>0</v>
      </c>
      <c r="T1076" s="35">
        <f t="shared" si="241"/>
        <v>4974</v>
      </c>
    </row>
    <row r="1077" spans="1:20" ht="33">
      <c r="A1077" s="61" t="str">
        <f ca="1">IF(ISERROR(MATCH(E1077,Код_КВР,0)),"",INDIRECT(ADDRESS(MATCH(E1077,Код_КВР,0)+1,2,,,"КВР")))</f>
        <v xml:space="preserve">Прочая закупка товаров, работ и услуг для обеспечения муниципальных нужд         </v>
      </c>
      <c r="B1077" s="45" t="s">
        <v>58</v>
      </c>
      <c r="C1077" s="8" t="s">
        <v>219</v>
      </c>
      <c r="D1077" s="8" t="s">
        <v>211</v>
      </c>
      <c r="E1077" s="113">
        <v>244</v>
      </c>
      <c r="F1077" s="7">
        <f>прил.6!G496</f>
        <v>5392.5</v>
      </c>
      <c r="G1077" s="7">
        <f>прил.6!H496</f>
        <v>0</v>
      </c>
      <c r="H1077" s="35">
        <f t="shared" si="243"/>
        <v>5392.5</v>
      </c>
      <c r="I1077" s="7">
        <f>прил.6!J496</f>
        <v>0</v>
      </c>
      <c r="J1077" s="35">
        <f t="shared" si="240"/>
        <v>5392.5</v>
      </c>
      <c r="K1077" s="7">
        <f>прил.6!L496</f>
        <v>-238.1</v>
      </c>
      <c r="L1077" s="35">
        <f t="shared" si="238"/>
        <v>5154.3999999999996</v>
      </c>
      <c r="M1077" s="7">
        <f>прил.6!N496</f>
        <v>0</v>
      </c>
      <c r="N1077" s="35">
        <f t="shared" si="239"/>
        <v>5154.3999999999996</v>
      </c>
      <c r="O1077" s="7">
        <f>прил.6!P496</f>
        <v>0</v>
      </c>
      <c r="P1077" s="35">
        <f t="shared" si="250"/>
        <v>5154.3999999999996</v>
      </c>
      <c r="Q1077" s="7">
        <f>прил.6!R496</f>
        <v>-180.39999999999998</v>
      </c>
      <c r="R1077" s="35">
        <f t="shared" si="247"/>
        <v>4974</v>
      </c>
      <c r="S1077" s="7">
        <f>прил.6!T496</f>
        <v>0</v>
      </c>
      <c r="T1077" s="35">
        <f t="shared" si="241"/>
        <v>4974</v>
      </c>
    </row>
    <row r="1078" spans="1:20" ht="59.25" customHeight="1">
      <c r="A1078" s="61" t="str">
        <f ca="1">IF(ISERROR(MATCH(B1078,Код_КЦСР,0)),"",INDIRECT(ADDRESS(MATCH(B1078,Код_КЦСР,0)+1,2,,,"КЦСР")))</f>
        <v>Осуществление полномочий собственника муниципального жилищного фонда городского округа в части внесения взносов в фонд капитального ремонта</v>
      </c>
      <c r="B1078" s="45" t="s">
        <v>654</v>
      </c>
      <c r="C1078" s="8"/>
      <c r="D1078" s="8"/>
      <c r="E1078" s="113"/>
      <c r="F1078" s="7"/>
      <c r="G1078" s="7"/>
      <c r="H1078" s="35"/>
      <c r="I1078" s="7"/>
      <c r="J1078" s="35"/>
      <c r="K1078" s="7"/>
      <c r="L1078" s="35"/>
      <c r="M1078" s="7"/>
      <c r="N1078" s="35"/>
      <c r="O1078" s="7"/>
      <c r="P1078" s="35"/>
      <c r="Q1078" s="7">
        <f>Q1079</f>
        <v>8519.4</v>
      </c>
      <c r="R1078" s="35">
        <f t="shared" si="247"/>
        <v>8519.4</v>
      </c>
      <c r="S1078" s="7">
        <f>S1079</f>
        <v>0</v>
      </c>
      <c r="T1078" s="35">
        <f t="shared" si="241"/>
        <v>8519.4</v>
      </c>
    </row>
    <row r="1079" spans="1:20">
      <c r="A1079" s="61" t="str">
        <f ca="1">IF(ISERROR(MATCH(C1079,Код_Раздел,0)),"",INDIRECT(ADDRESS(MATCH(C1079,Код_Раздел,0)+1,2,,,"Раздел")))</f>
        <v>Жилищно-коммунальное хозяйство</v>
      </c>
      <c r="B1079" s="45" t="s">
        <v>654</v>
      </c>
      <c r="C1079" s="8" t="s">
        <v>219</v>
      </c>
      <c r="D1079" s="1"/>
      <c r="E1079" s="113"/>
      <c r="F1079" s="7"/>
      <c r="G1079" s="7"/>
      <c r="H1079" s="35"/>
      <c r="I1079" s="7"/>
      <c r="J1079" s="35"/>
      <c r="K1079" s="7"/>
      <c r="L1079" s="35"/>
      <c r="M1079" s="7"/>
      <c r="N1079" s="35"/>
      <c r="O1079" s="7"/>
      <c r="P1079" s="35"/>
      <c r="Q1079" s="7">
        <f>Q1080</f>
        <v>8519.4</v>
      </c>
      <c r="R1079" s="35">
        <f t="shared" si="247"/>
        <v>8519.4</v>
      </c>
      <c r="S1079" s="7">
        <f>S1080</f>
        <v>0</v>
      </c>
      <c r="T1079" s="35">
        <f t="shared" si="241"/>
        <v>8519.4</v>
      </c>
    </row>
    <row r="1080" spans="1:20">
      <c r="A1080" s="12" t="s">
        <v>224</v>
      </c>
      <c r="B1080" s="45" t="s">
        <v>654</v>
      </c>
      <c r="C1080" s="8" t="s">
        <v>219</v>
      </c>
      <c r="D1080" s="8" t="s">
        <v>211</v>
      </c>
      <c r="E1080" s="113"/>
      <c r="F1080" s="7"/>
      <c r="G1080" s="7"/>
      <c r="H1080" s="35"/>
      <c r="I1080" s="7"/>
      <c r="J1080" s="35"/>
      <c r="K1080" s="7"/>
      <c r="L1080" s="35"/>
      <c r="M1080" s="7"/>
      <c r="N1080" s="35"/>
      <c r="O1080" s="7"/>
      <c r="P1080" s="35"/>
      <c r="Q1080" s="7">
        <f>Q1081</f>
        <v>8519.4</v>
      </c>
      <c r="R1080" s="35">
        <f t="shared" si="247"/>
        <v>8519.4</v>
      </c>
      <c r="S1080" s="7">
        <f>S1081</f>
        <v>0</v>
      </c>
      <c r="T1080" s="35">
        <f t="shared" si="241"/>
        <v>8519.4</v>
      </c>
    </row>
    <row r="1081" spans="1:20" ht="19.5" customHeight="1">
      <c r="A1081" s="61" t="str">
        <f ca="1">IF(ISERROR(MATCH(E1081,Код_КВР,0)),"",INDIRECT(ADDRESS(MATCH(E1081,Код_КВР,0)+1,2,,,"КВР")))</f>
        <v>Закупка товаров, работ и услуг для муниципальных нужд</v>
      </c>
      <c r="B1081" s="45" t="s">
        <v>654</v>
      </c>
      <c r="C1081" s="8" t="s">
        <v>219</v>
      </c>
      <c r="D1081" s="8" t="s">
        <v>211</v>
      </c>
      <c r="E1081" s="113">
        <v>200</v>
      </c>
      <c r="F1081" s="7"/>
      <c r="G1081" s="7"/>
      <c r="H1081" s="35"/>
      <c r="I1081" s="7"/>
      <c r="J1081" s="35"/>
      <c r="K1081" s="7"/>
      <c r="L1081" s="35"/>
      <c r="M1081" s="7"/>
      <c r="N1081" s="35"/>
      <c r="O1081" s="7"/>
      <c r="P1081" s="35"/>
      <c r="Q1081" s="7">
        <f>Q1082</f>
        <v>8519.4</v>
      </c>
      <c r="R1081" s="35">
        <f t="shared" si="247"/>
        <v>8519.4</v>
      </c>
      <c r="S1081" s="7">
        <f>S1082</f>
        <v>0</v>
      </c>
      <c r="T1081" s="35">
        <f t="shared" si="241"/>
        <v>8519.4</v>
      </c>
    </row>
    <row r="1082" spans="1:20" ht="33">
      <c r="A1082" s="61" t="str">
        <f ca="1">IF(ISERROR(MATCH(E1082,Код_КВР,0)),"",INDIRECT(ADDRESS(MATCH(E1082,Код_КВР,0)+1,2,,,"КВР")))</f>
        <v>Иные закупки товаров, работ и услуг для обеспечения муниципальных нужд</v>
      </c>
      <c r="B1082" s="45" t="s">
        <v>654</v>
      </c>
      <c r="C1082" s="8" t="s">
        <v>219</v>
      </c>
      <c r="D1082" s="8" t="s">
        <v>211</v>
      </c>
      <c r="E1082" s="113">
        <v>240</v>
      </c>
      <c r="F1082" s="7"/>
      <c r="G1082" s="7"/>
      <c r="H1082" s="35"/>
      <c r="I1082" s="7"/>
      <c r="J1082" s="35"/>
      <c r="K1082" s="7"/>
      <c r="L1082" s="35"/>
      <c r="M1082" s="7"/>
      <c r="N1082" s="35"/>
      <c r="O1082" s="7"/>
      <c r="P1082" s="35"/>
      <c r="Q1082" s="7">
        <f>Q1083</f>
        <v>8519.4</v>
      </c>
      <c r="R1082" s="35">
        <f t="shared" si="247"/>
        <v>8519.4</v>
      </c>
      <c r="S1082" s="7">
        <f>S1083</f>
        <v>0</v>
      </c>
      <c r="T1082" s="35">
        <f t="shared" si="241"/>
        <v>8519.4</v>
      </c>
    </row>
    <row r="1083" spans="1:20" ht="33">
      <c r="A1083" s="61" t="str">
        <f ca="1">IF(ISERROR(MATCH(E1083,Код_КВР,0)),"",INDIRECT(ADDRESS(MATCH(E1083,Код_КВР,0)+1,2,,,"КВР")))</f>
        <v xml:space="preserve">Прочая закупка товаров, работ и услуг для обеспечения муниципальных нужд         </v>
      </c>
      <c r="B1083" s="45" t="s">
        <v>654</v>
      </c>
      <c r="C1083" s="8" t="s">
        <v>219</v>
      </c>
      <c r="D1083" s="8" t="s">
        <v>211</v>
      </c>
      <c r="E1083" s="113">
        <v>244</v>
      </c>
      <c r="F1083" s="7"/>
      <c r="G1083" s="7"/>
      <c r="H1083" s="35"/>
      <c r="I1083" s="7"/>
      <c r="J1083" s="35"/>
      <c r="K1083" s="7"/>
      <c r="L1083" s="35"/>
      <c r="M1083" s="7"/>
      <c r="N1083" s="35"/>
      <c r="O1083" s="7"/>
      <c r="P1083" s="35"/>
      <c r="Q1083" s="7">
        <f>прил.6!R500</f>
        <v>8519.4</v>
      </c>
      <c r="R1083" s="35">
        <f t="shared" si="247"/>
        <v>8519.4</v>
      </c>
      <c r="S1083" s="7">
        <f>прил.6!T500</f>
        <v>0</v>
      </c>
      <c r="T1083" s="35">
        <f t="shared" si="241"/>
        <v>8519.4</v>
      </c>
    </row>
    <row r="1084" spans="1:20" ht="33">
      <c r="A1084" s="61" t="str">
        <f ca="1">IF(ISERROR(MATCH(B1084,Код_КЦСР,0)),"",INDIRECT(ADDRESS(MATCH(B1084,Код_КЦСР,0)+1,2,,,"КЦСР")))</f>
        <v>Муниципальная программа «Развитие земельно-имущественного комплекса  города Череповца» на 2014-2018 годы</v>
      </c>
      <c r="B1084" s="45" t="s">
        <v>60</v>
      </c>
      <c r="C1084" s="8"/>
      <c r="D1084" s="1"/>
      <c r="E1084" s="113"/>
      <c r="F1084" s="7">
        <f>F1085+F1096+F1102</f>
        <v>79861.8</v>
      </c>
      <c r="G1084" s="7">
        <f>G1085+G1096+G1102</f>
        <v>0</v>
      </c>
      <c r="H1084" s="35">
        <f t="shared" si="243"/>
        <v>79861.8</v>
      </c>
      <c r="I1084" s="7">
        <f>I1085+I1096+I1102</f>
        <v>-83.699999999999818</v>
      </c>
      <c r="J1084" s="35">
        <f t="shared" si="240"/>
        <v>79778.100000000006</v>
      </c>
      <c r="K1084" s="7">
        <f>K1085+K1096+K1102</f>
        <v>351.79999999999995</v>
      </c>
      <c r="L1084" s="35">
        <f t="shared" si="238"/>
        <v>80129.900000000009</v>
      </c>
      <c r="M1084" s="7">
        <f>M1085+M1096+M1102</f>
        <v>-3001.2</v>
      </c>
      <c r="N1084" s="35">
        <f t="shared" si="239"/>
        <v>77128.700000000012</v>
      </c>
      <c r="O1084" s="7">
        <f>O1085+O1096+O1102</f>
        <v>0</v>
      </c>
      <c r="P1084" s="35">
        <f t="shared" si="250"/>
        <v>77128.700000000012</v>
      </c>
      <c r="Q1084" s="7">
        <f>Q1085+Q1096+Q1102</f>
        <v>-1292.4000000000001</v>
      </c>
      <c r="R1084" s="35">
        <f t="shared" si="247"/>
        <v>75836.300000000017</v>
      </c>
      <c r="S1084" s="7">
        <f>S1085+S1096+S1102</f>
        <v>0</v>
      </c>
      <c r="T1084" s="35">
        <f t="shared" si="241"/>
        <v>75836.300000000017</v>
      </c>
    </row>
    <row r="1085" spans="1:20" ht="33">
      <c r="A1085" s="61" t="str">
        <f ca="1">IF(ISERROR(MATCH(B1085,Код_КЦСР,0)),"",INDIRECT(ADDRESS(MATCH(B1085,Код_КЦСР,0)+1,2,,,"КЦСР")))</f>
        <v>Формирование и обеспечение сохранности муниципального земельно-имущественного комплекса</v>
      </c>
      <c r="B1085" s="45" t="s">
        <v>62</v>
      </c>
      <c r="C1085" s="8"/>
      <c r="D1085" s="1"/>
      <c r="E1085" s="113"/>
      <c r="F1085" s="7">
        <f>F1086+F1091</f>
        <v>74338.5</v>
      </c>
      <c r="G1085" s="7">
        <f>G1086+G1091</f>
        <v>0</v>
      </c>
      <c r="H1085" s="35">
        <f t="shared" si="243"/>
        <v>74338.5</v>
      </c>
      <c r="I1085" s="7">
        <f>I1086+I1091</f>
        <v>-83.699999999999818</v>
      </c>
      <c r="J1085" s="35">
        <f t="shared" si="240"/>
        <v>74254.8</v>
      </c>
      <c r="K1085" s="7">
        <f>K1086+K1091</f>
        <v>1130</v>
      </c>
      <c r="L1085" s="35">
        <f t="shared" si="238"/>
        <v>75384.800000000003</v>
      </c>
      <c r="M1085" s="7">
        <f>M1086+M1091</f>
        <v>-2931</v>
      </c>
      <c r="N1085" s="35">
        <f t="shared" si="239"/>
        <v>72453.8</v>
      </c>
      <c r="O1085" s="7">
        <f>O1086+O1091</f>
        <v>0</v>
      </c>
      <c r="P1085" s="35">
        <f t="shared" si="250"/>
        <v>72453.8</v>
      </c>
      <c r="Q1085" s="7">
        <f>Q1086+Q1091</f>
        <v>-1342.3000000000002</v>
      </c>
      <c r="R1085" s="35">
        <f t="shared" si="247"/>
        <v>71111.5</v>
      </c>
      <c r="S1085" s="7">
        <f>S1086+S1091</f>
        <v>0</v>
      </c>
      <c r="T1085" s="35">
        <f t="shared" si="241"/>
        <v>71111.5</v>
      </c>
    </row>
    <row r="1086" spans="1:20">
      <c r="A1086" s="61" t="str">
        <f ca="1">IF(ISERROR(MATCH(C1086,Код_Раздел,0)),"",INDIRECT(ADDRESS(MATCH(C1086,Код_Раздел,0)+1,2,,,"Раздел")))</f>
        <v>Общегосударственные  вопросы</v>
      </c>
      <c r="B1086" s="45" t="s">
        <v>62</v>
      </c>
      <c r="C1086" s="8" t="s">
        <v>211</v>
      </c>
      <c r="D1086" s="1"/>
      <c r="E1086" s="113"/>
      <c r="F1086" s="7">
        <f t="shared" ref="F1086:S1089" si="252">F1087</f>
        <v>10109.5</v>
      </c>
      <c r="G1086" s="7">
        <f t="shared" si="252"/>
        <v>0</v>
      </c>
      <c r="H1086" s="35">
        <f t="shared" si="243"/>
        <v>10109.5</v>
      </c>
      <c r="I1086" s="7">
        <f t="shared" si="252"/>
        <v>-83.699999999999818</v>
      </c>
      <c r="J1086" s="35">
        <f t="shared" si="240"/>
        <v>10025.799999999999</v>
      </c>
      <c r="K1086" s="7">
        <f t="shared" si="252"/>
        <v>1130</v>
      </c>
      <c r="L1086" s="35">
        <f t="shared" si="238"/>
        <v>11155.8</v>
      </c>
      <c r="M1086" s="7">
        <f t="shared" si="252"/>
        <v>-365.3</v>
      </c>
      <c r="N1086" s="35">
        <f t="shared" si="239"/>
        <v>10790.5</v>
      </c>
      <c r="O1086" s="7">
        <f t="shared" si="252"/>
        <v>0</v>
      </c>
      <c r="P1086" s="35">
        <f t="shared" si="250"/>
        <v>10790.5</v>
      </c>
      <c r="Q1086" s="7">
        <f t="shared" si="252"/>
        <v>-1292.4000000000001</v>
      </c>
      <c r="R1086" s="35">
        <f t="shared" si="247"/>
        <v>9498.1</v>
      </c>
      <c r="S1086" s="7">
        <f t="shared" si="252"/>
        <v>0</v>
      </c>
      <c r="T1086" s="35">
        <f t="shared" si="241"/>
        <v>9498.1</v>
      </c>
    </row>
    <row r="1087" spans="1:20">
      <c r="A1087" s="12" t="s">
        <v>235</v>
      </c>
      <c r="B1087" s="45" t="s">
        <v>62</v>
      </c>
      <c r="C1087" s="8" t="s">
        <v>211</v>
      </c>
      <c r="D1087" s="1" t="s">
        <v>188</v>
      </c>
      <c r="E1087" s="113"/>
      <c r="F1087" s="7">
        <f t="shared" si="252"/>
        <v>10109.5</v>
      </c>
      <c r="G1087" s="7">
        <f t="shared" si="252"/>
        <v>0</v>
      </c>
      <c r="H1087" s="35">
        <f t="shared" si="243"/>
        <v>10109.5</v>
      </c>
      <c r="I1087" s="7">
        <f t="shared" si="252"/>
        <v>-83.699999999999818</v>
      </c>
      <c r="J1087" s="35">
        <f t="shared" si="240"/>
        <v>10025.799999999999</v>
      </c>
      <c r="K1087" s="7">
        <f t="shared" si="252"/>
        <v>1130</v>
      </c>
      <c r="L1087" s="35">
        <f t="shared" ref="L1087:L1163" si="253">J1087+K1087</f>
        <v>11155.8</v>
      </c>
      <c r="M1087" s="7">
        <f t="shared" si="252"/>
        <v>-365.3</v>
      </c>
      <c r="N1087" s="35">
        <f t="shared" ref="N1087:N1163" si="254">L1087+M1087</f>
        <v>10790.5</v>
      </c>
      <c r="O1087" s="7">
        <f t="shared" si="252"/>
        <v>0</v>
      </c>
      <c r="P1087" s="35">
        <f t="shared" si="250"/>
        <v>10790.5</v>
      </c>
      <c r="Q1087" s="7">
        <f t="shared" si="252"/>
        <v>-1292.4000000000001</v>
      </c>
      <c r="R1087" s="35">
        <f t="shared" si="247"/>
        <v>9498.1</v>
      </c>
      <c r="S1087" s="7">
        <f t="shared" si="252"/>
        <v>0</v>
      </c>
      <c r="T1087" s="35">
        <f t="shared" si="241"/>
        <v>9498.1</v>
      </c>
    </row>
    <row r="1088" spans="1:20">
      <c r="A1088" s="61" t="str">
        <f ca="1">IF(ISERROR(MATCH(E1088,Код_КВР,0)),"",INDIRECT(ADDRESS(MATCH(E1088,Код_КВР,0)+1,2,,,"КВР")))</f>
        <v>Закупка товаров, работ и услуг для муниципальных нужд</v>
      </c>
      <c r="B1088" s="45" t="s">
        <v>62</v>
      </c>
      <c r="C1088" s="8" t="s">
        <v>211</v>
      </c>
      <c r="D1088" s="1" t="s">
        <v>188</v>
      </c>
      <c r="E1088" s="113">
        <v>200</v>
      </c>
      <c r="F1088" s="7">
        <f t="shared" si="252"/>
        <v>10109.5</v>
      </c>
      <c r="G1088" s="7">
        <f t="shared" si="252"/>
        <v>0</v>
      </c>
      <c r="H1088" s="35">
        <f t="shared" si="243"/>
        <v>10109.5</v>
      </c>
      <c r="I1088" s="7">
        <f t="shared" si="252"/>
        <v>-83.699999999999818</v>
      </c>
      <c r="J1088" s="35">
        <f t="shared" si="240"/>
        <v>10025.799999999999</v>
      </c>
      <c r="K1088" s="7">
        <f t="shared" si="252"/>
        <v>1130</v>
      </c>
      <c r="L1088" s="35">
        <f t="shared" si="253"/>
        <v>11155.8</v>
      </c>
      <c r="M1088" s="7">
        <f t="shared" si="252"/>
        <v>-365.3</v>
      </c>
      <c r="N1088" s="35">
        <f t="shared" si="254"/>
        <v>10790.5</v>
      </c>
      <c r="O1088" s="7">
        <f t="shared" si="252"/>
        <v>0</v>
      </c>
      <c r="P1088" s="35">
        <f t="shared" si="250"/>
        <v>10790.5</v>
      </c>
      <c r="Q1088" s="7">
        <f t="shared" si="252"/>
        <v>-1292.4000000000001</v>
      </c>
      <c r="R1088" s="35">
        <f t="shared" si="247"/>
        <v>9498.1</v>
      </c>
      <c r="S1088" s="7">
        <f t="shared" si="252"/>
        <v>0</v>
      </c>
      <c r="T1088" s="35">
        <f t="shared" si="241"/>
        <v>9498.1</v>
      </c>
    </row>
    <row r="1089" spans="1:20" ht="33">
      <c r="A1089" s="61" t="str">
        <f ca="1">IF(ISERROR(MATCH(E1089,Код_КВР,0)),"",INDIRECT(ADDRESS(MATCH(E1089,Код_КВР,0)+1,2,,,"КВР")))</f>
        <v>Иные закупки товаров, работ и услуг для обеспечения муниципальных нужд</v>
      </c>
      <c r="B1089" s="45" t="s">
        <v>62</v>
      </c>
      <c r="C1089" s="8" t="s">
        <v>211</v>
      </c>
      <c r="D1089" s="1" t="s">
        <v>188</v>
      </c>
      <c r="E1089" s="113">
        <v>240</v>
      </c>
      <c r="F1089" s="7">
        <f t="shared" si="252"/>
        <v>10109.5</v>
      </c>
      <c r="G1089" s="7">
        <f t="shared" si="252"/>
        <v>0</v>
      </c>
      <c r="H1089" s="35">
        <f t="shared" si="243"/>
        <v>10109.5</v>
      </c>
      <c r="I1089" s="7">
        <f t="shared" si="252"/>
        <v>-83.699999999999818</v>
      </c>
      <c r="J1089" s="35">
        <f t="shared" si="240"/>
        <v>10025.799999999999</v>
      </c>
      <c r="K1089" s="7">
        <f t="shared" si="252"/>
        <v>1130</v>
      </c>
      <c r="L1089" s="35">
        <f t="shared" si="253"/>
        <v>11155.8</v>
      </c>
      <c r="M1089" s="7">
        <f t="shared" si="252"/>
        <v>-365.3</v>
      </c>
      <c r="N1089" s="35">
        <f t="shared" si="254"/>
        <v>10790.5</v>
      </c>
      <c r="O1089" s="7">
        <f t="shared" si="252"/>
        <v>0</v>
      </c>
      <c r="P1089" s="35">
        <f t="shared" si="250"/>
        <v>10790.5</v>
      </c>
      <c r="Q1089" s="7">
        <f t="shared" si="252"/>
        <v>-1292.4000000000001</v>
      </c>
      <c r="R1089" s="35">
        <f t="shared" si="247"/>
        <v>9498.1</v>
      </c>
      <c r="S1089" s="7">
        <f t="shared" si="252"/>
        <v>0</v>
      </c>
      <c r="T1089" s="35">
        <f t="shared" si="241"/>
        <v>9498.1</v>
      </c>
    </row>
    <row r="1090" spans="1:20" ht="33">
      <c r="A1090" s="61" t="str">
        <f ca="1">IF(ISERROR(MATCH(E1090,Код_КВР,0)),"",INDIRECT(ADDRESS(MATCH(E1090,Код_КВР,0)+1,2,,,"КВР")))</f>
        <v xml:space="preserve">Прочая закупка товаров, работ и услуг для обеспечения муниципальных нужд         </v>
      </c>
      <c r="B1090" s="45" t="s">
        <v>62</v>
      </c>
      <c r="C1090" s="8" t="s">
        <v>211</v>
      </c>
      <c r="D1090" s="1" t="s">
        <v>188</v>
      </c>
      <c r="E1090" s="113">
        <v>244</v>
      </c>
      <c r="F1090" s="7">
        <f>прил.6!G1498</f>
        <v>10109.5</v>
      </c>
      <c r="G1090" s="7">
        <f>прил.6!H1498</f>
        <v>0</v>
      </c>
      <c r="H1090" s="35">
        <f t="shared" si="243"/>
        <v>10109.5</v>
      </c>
      <c r="I1090" s="7">
        <f>прил.6!J1498+прил.6!J113</f>
        <v>-83.699999999999818</v>
      </c>
      <c r="J1090" s="35">
        <f t="shared" si="240"/>
        <v>10025.799999999999</v>
      </c>
      <c r="K1090" s="7">
        <f>прил.6!L1498+прил.6!L113</f>
        <v>1130</v>
      </c>
      <c r="L1090" s="35">
        <f t="shared" si="253"/>
        <v>11155.8</v>
      </c>
      <c r="M1090" s="7">
        <f>прил.6!N1498+прил.6!N113</f>
        <v>-365.3</v>
      </c>
      <c r="N1090" s="35">
        <f t="shared" si="254"/>
        <v>10790.5</v>
      </c>
      <c r="O1090" s="7">
        <f>прил.6!P1498+прил.6!P113</f>
        <v>0</v>
      </c>
      <c r="P1090" s="35">
        <f t="shared" si="250"/>
        <v>10790.5</v>
      </c>
      <c r="Q1090" s="7">
        <f>прил.6!R1498+прил.6!R113</f>
        <v>-1292.4000000000001</v>
      </c>
      <c r="R1090" s="35">
        <f t="shared" si="247"/>
        <v>9498.1</v>
      </c>
      <c r="S1090" s="7">
        <f>прил.6!T1498+прил.6!T113</f>
        <v>0</v>
      </c>
      <c r="T1090" s="35">
        <f t="shared" si="241"/>
        <v>9498.1</v>
      </c>
    </row>
    <row r="1091" spans="1:20">
      <c r="A1091" s="61" t="str">
        <f ca="1">IF(ISERROR(MATCH(C1091,Код_Раздел,0)),"",INDIRECT(ADDRESS(MATCH(C1091,Код_Раздел,0)+1,2,,,"Раздел")))</f>
        <v>Национальная экономика</v>
      </c>
      <c r="B1091" s="45" t="s">
        <v>62</v>
      </c>
      <c r="C1091" s="8" t="s">
        <v>214</v>
      </c>
      <c r="D1091" s="1"/>
      <c r="E1091" s="113"/>
      <c r="F1091" s="7">
        <f t="shared" ref="F1091:S1094" si="255">F1092</f>
        <v>64229</v>
      </c>
      <c r="G1091" s="7">
        <f t="shared" si="255"/>
        <v>0</v>
      </c>
      <c r="H1091" s="35">
        <f t="shared" si="243"/>
        <v>64229</v>
      </c>
      <c r="I1091" s="7">
        <f t="shared" si="255"/>
        <v>0</v>
      </c>
      <c r="J1091" s="35">
        <f t="shared" si="240"/>
        <v>64229</v>
      </c>
      <c r="K1091" s="7">
        <f t="shared" si="255"/>
        <v>0</v>
      </c>
      <c r="L1091" s="35">
        <f t="shared" si="253"/>
        <v>64229</v>
      </c>
      <c r="M1091" s="7">
        <f t="shared" si="255"/>
        <v>-2565.6999999999998</v>
      </c>
      <c r="N1091" s="35">
        <f t="shared" si="254"/>
        <v>61663.3</v>
      </c>
      <c r="O1091" s="7">
        <f t="shared" si="255"/>
        <v>0</v>
      </c>
      <c r="P1091" s="35">
        <f t="shared" si="250"/>
        <v>61663.3</v>
      </c>
      <c r="Q1091" s="7">
        <f t="shared" si="255"/>
        <v>-49.9</v>
      </c>
      <c r="R1091" s="35">
        <f t="shared" si="247"/>
        <v>61613.4</v>
      </c>
      <c r="S1091" s="7">
        <f t="shared" si="255"/>
        <v>0</v>
      </c>
      <c r="T1091" s="35">
        <f t="shared" si="241"/>
        <v>61613.4</v>
      </c>
    </row>
    <row r="1092" spans="1:20">
      <c r="A1092" s="76" t="s">
        <v>357</v>
      </c>
      <c r="B1092" s="45" t="s">
        <v>62</v>
      </c>
      <c r="C1092" s="8" t="s">
        <v>214</v>
      </c>
      <c r="D1092" s="8" t="s">
        <v>220</v>
      </c>
      <c r="E1092" s="113"/>
      <c r="F1092" s="7">
        <f t="shared" si="255"/>
        <v>64229</v>
      </c>
      <c r="G1092" s="7">
        <f t="shared" si="255"/>
        <v>0</v>
      </c>
      <c r="H1092" s="35">
        <f t="shared" si="243"/>
        <v>64229</v>
      </c>
      <c r="I1092" s="7">
        <f t="shared" si="255"/>
        <v>0</v>
      </c>
      <c r="J1092" s="35">
        <f t="shared" si="240"/>
        <v>64229</v>
      </c>
      <c r="K1092" s="7">
        <f t="shared" si="255"/>
        <v>0</v>
      </c>
      <c r="L1092" s="35">
        <f t="shared" si="253"/>
        <v>64229</v>
      </c>
      <c r="M1092" s="7">
        <f t="shared" si="255"/>
        <v>-2565.6999999999998</v>
      </c>
      <c r="N1092" s="35">
        <f t="shared" si="254"/>
        <v>61663.3</v>
      </c>
      <c r="O1092" s="7">
        <f t="shared" si="255"/>
        <v>0</v>
      </c>
      <c r="P1092" s="35">
        <f t="shared" si="250"/>
        <v>61663.3</v>
      </c>
      <c r="Q1092" s="7">
        <f t="shared" si="255"/>
        <v>-49.9</v>
      </c>
      <c r="R1092" s="35">
        <f t="shared" si="247"/>
        <v>61613.4</v>
      </c>
      <c r="S1092" s="7">
        <f t="shared" si="255"/>
        <v>0</v>
      </c>
      <c r="T1092" s="35">
        <f t="shared" si="241"/>
        <v>61613.4</v>
      </c>
    </row>
    <row r="1093" spans="1:20">
      <c r="A1093" s="61" t="str">
        <f ca="1">IF(ISERROR(MATCH(E1093,Код_КВР,0)),"",INDIRECT(ADDRESS(MATCH(E1093,Код_КВР,0)+1,2,,,"КВР")))</f>
        <v>Закупка товаров, работ и услуг для муниципальных нужд</v>
      </c>
      <c r="B1093" s="45" t="s">
        <v>62</v>
      </c>
      <c r="C1093" s="8" t="s">
        <v>214</v>
      </c>
      <c r="D1093" s="8" t="s">
        <v>220</v>
      </c>
      <c r="E1093" s="113">
        <v>200</v>
      </c>
      <c r="F1093" s="7">
        <f t="shared" si="255"/>
        <v>64229</v>
      </c>
      <c r="G1093" s="7">
        <f t="shared" si="255"/>
        <v>0</v>
      </c>
      <c r="H1093" s="35">
        <f t="shared" si="243"/>
        <v>64229</v>
      </c>
      <c r="I1093" s="7">
        <f t="shared" si="255"/>
        <v>0</v>
      </c>
      <c r="J1093" s="35">
        <f t="shared" si="240"/>
        <v>64229</v>
      </c>
      <c r="K1093" s="7">
        <f t="shared" si="255"/>
        <v>0</v>
      </c>
      <c r="L1093" s="35">
        <f t="shared" si="253"/>
        <v>64229</v>
      </c>
      <c r="M1093" s="7">
        <f t="shared" si="255"/>
        <v>-2565.6999999999998</v>
      </c>
      <c r="N1093" s="35">
        <f t="shared" si="254"/>
        <v>61663.3</v>
      </c>
      <c r="O1093" s="7">
        <f t="shared" si="255"/>
        <v>0</v>
      </c>
      <c r="P1093" s="35">
        <f t="shared" si="250"/>
        <v>61663.3</v>
      </c>
      <c r="Q1093" s="7">
        <f t="shared" si="255"/>
        <v>-49.9</v>
      </c>
      <c r="R1093" s="35">
        <f t="shared" si="247"/>
        <v>61613.4</v>
      </c>
      <c r="S1093" s="7">
        <f t="shared" si="255"/>
        <v>0</v>
      </c>
      <c r="T1093" s="35">
        <f t="shared" si="241"/>
        <v>61613.4</v>
      </c>
    </row>
    <row r="1094" spans="1:20" ht="33">
      <c r="A1094" s="61" t="str">
        <f ca="1">IF(ISERROR(MATCH(E1094,Код_КВР,0)),"",INDIRECT(ADDRESS(MATCH(E1094,Код_КВР,0)+1,2,,,"КВР")))</f>
        <v>Иные закупки товаров, работ и услуг для обеспечения муниципальных нужд</v>
      </c>
      <c r="B1094" s="45" t="s">
        <v>62</v>
      </c>
      <c r="C1094" s="8" t="s">
        <v>214</v>
      </c>
      <c r="D1094" s="8" t="s">
        <v>220</v>
      </c>
      <c r="E1094" s="113">
        <v>240</v>
      </c>
      <c r="F1094" s="7">
        <f t="shared" si="255"/>
        <v>64229</v>
      </c>
      <c r="G1094" s="7">
        <f t="shared" si="255"/>
        <v>0</v>
      </c>
      <c r="H1094" s="35">
        <f t="shared" si="243"/>
        <v>64229</v>
      </c>
      <c r="I1094" s="7">
        <f t="shared" si="255"/>
        <v>0</v>
      </c>
      <c r="J1094" s="35">
        <f t="shared" si="240"/>
        <v>64229</v>
      </c>
      <c r="K1094" s="7">
        <f t="shared" si="255"/>
        <v>0</v>
      </c>
      <c r="L1094" s="35">
        <f t="shared" si="253"/>
        <v>64229</v>
      </c>
      <c r="M1094" s="7">
        <f t="shared" si="255"/>
        <v>-2565.6999999999998</v>
      </c>
      <c r="N1094" s="35">
        <f t="shared" si="254"/>
        <v>61663.3</v>
      </c>
      <c r="O1094" s="7">
        <f t="shared" si="255"/>
        <v>0</v>
      </c>
      <c r="P1094" s="35">
        <f t="shared" si="250"/>
        <v>61663.3</v>
      </c>
      <c r="Q1094" s="7">
        <f t="shared" si="255"/>
        <v>-49.9</v>
      </c>
      <c r="R1094" s="35">
        <f t="shared" si="247"/>
        <v>61613.4</v>
      </c>
      <c r="S1094" s="7">
        <f t="shared" si="255"/>
        <v>0</v>
      </c>
      <c r="T1094" s="35">
        <f t="shared" si="241"/>
        <v>61613.4</v>
      </c>
    </row>
    <row r="1095" spans="1:20" ht="33">
      <c r="A1095" s="61" t="str">
        <f ca="1">IF(ISERROR(MATCH(E1095,Код_КВР,0)),"",INDIRECT(ADDRESS(MATCH(E1095,Код_КВР,0)+1,2,,,"КВР")))</f>
        <v xml:space="preserve">Прочая закупка товаров, работ и услуг для обеспечения муниципальных нужд         </v>
      </c>
      <c r="B1095" s="45" t="s">
        <v>62</v>
      </c>
      <c r="C1095" s="8" t="s">
        <v>214</v>
      </c>
      <c r="D1095" s="8" t="s">
        <v>220</v>
      </c>
      <c r="E1095" s="113">
        <v>244</v>
      </c>
      <c r="F1095" s="7">
        <f>прил.6!G1523</f>
        <v>64229</v>
      </c>
      <c r="G1095" s="7">
        <f>прил.6!H1523+прил.6!H431</f>
        <v>0</v>
      </c>
      <c r="H1095" s="35">
        <f t="shared" si="243"/>
        <v>64229</v>
      </c>
      <c r="I1095" s="7">
        <f>прил.6!J1523+прил.6!J431</f>
        <v>0</v>
      </c>
      <c r="J1095" s="35">
        <f t="shared" si="240"/>
        <v>64229</v>
      </c>
      <c r="K1095" s="7">
        <f>прил.6!L1523+прил.6!L431</f>
        <v>0</v>
      </c>
      <c r="L1095" s="35">
        <f t="shared" si="253"/>
        <v>64229</v>
      </c>
      <c r="M1095" s="7">
        <f>прил.6!N1523+прил.6!N431</f>
        <v>-2565.6999999999998</v>
      </c>
      <c r="N1095" s="35">
        <f t="shared" si="254"/>
        <v>61663.3</v>
      </c>
      <c r="O1095" s="7">
        <f>прил.6!P1523+прил.6!P431</f>
        <v>0</v>
      </c>
      <c r="P1095" s="35">
        <f t="shared" si="250"/>
        <v>61663.3</v>
      </c>
      <c r="Q1095" s="7">
        <f>прил.6!R1523+прил.6!R431</f>
        <v>-49.9</v>
      </c>
      <c r="R1095" s="35">
        <f t="shared" si="247"/>
        <v>61613.4</v>
      </c>
      <c r="S1095" s="7">
        <f>прил.6!T1523+прил.6!T431</f>
        <v>0</v>
      </c>
      <c r="T1095" s="35">
        <f t="shared" si="241"/>
        <v>61613.4</v>
      </c>
    </row>
    <row r="1096" spans="1:20" ht="33">
      <c r="A1096" s="61" t="str">
        <f ca="1">IF(ISERROR(MATCH(B1096,Код_КЦСР,0)),"",INDIRECT(ADDRESS(MATCH(B1096,Код_КЦСР,0)+1,2,,,"КЦСР")))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096" s="45" t="s">
        <v>64</v>
      </c>
      <c r="C1096" s="8"/>
      <c r="D1096" s="1"/>
      <c r="E1096" s="113"/>
      <c r="F1096" s="7">
        <f t="shared" ref="F1096:S1100" si="256">F1097</f>
        <v>4795.1000000000004</v>
      </c>
      <c r="G1096" s="7">
        <f t="shared" si="256"/>
        <v>0</v>
      </c>
      <c r="H1096" s="35">
        <f t="shared" si="243"/>
        <v>4795.1000000000004</v>
      </c>
      <c r="I1096" s="7">
        <f t="shared" si="256"/>
        <v>0</v>
      </c>
      <c r="J1096" s="35">
        <f t="shared" si="240"/>
        <v>4795.1000000000004</v>
      </c>
      <c r="K1096" s="7">
        <f t="shared" si="256"/>
        <v>-778.2</v>
      </c>
      <c r="L1096" s="35">
        <f t="shared" si="253"/>
        <v>4016.9000000000005</v>
      </c>
      <c r="M1096" s="7">
        <f t="shared" si="256"/>
        <v>0</v>
      </c>
      <c r="N1096" s="35">
        <f t="shared" si="254"/>
        <v>4016.9000000000005</v>
      </c>
      <c r="O1096" s="7">
        <f t="shared" si="256"/>
        <v>0</v>
      </c>
      <c r="P1096" s="35">
        <f t="shared" si="250"/>
        <v>4016.9000000000005</v>
      </c>
      <c r="Q1096" s="7">
        <f t="shared" si="256"/>
        <v>49.900000000000063</v>
      </c>
      <c r="R1096" s="35">
        <f t="shared" si="247"/>
        <v>4066.8000000000006</v>
      </c>
      <c r="S1096" s="7">
        <f t="shared" si="256"/>
        <v>0</v>
      </c>
      <c r="T1096" s="35">
        <f t="shared" ref="T1096:T1159" si="257">R1096+S1096</f>
        <v>4066.8000000000006</v>
      </c>
    </row>
    <row r="1097" spans="1:20">
      <c r="A1097" s="61" t="str">
        <f ca="1">IF(ISERROR(MATCH(C1097,Код_Раздел,0)),"",INDIRECT(ADDRESS(MATCH(C1097,Код_Раздел,0)+1,2,,,"Раздел")))</f>
        <v>Общегосударственные  вопросы</v>
      </c>
      <c r="B1097" s="45" t="s">
        <v>64</v>
      </c>
      <c r="C1097" s="8" t="s">
        <v>211</v>
      </c>
      <c r="D1097" s="1"/>
      <c r="E1097" s="113"/>
      <c r="F1097" s="7">
        <f t="shared" si="256"/>
        <v>4795.1000000000004</v>
      </c>
      <c r="G1097" s="7">
        <f t="shared" si="256"/>
        <v>0</v>
      </c>
      <c r="H1097" s="35">
        <f t="shared" si="243"/>
        <v>4795.1000000000004</v>
      </c>
      <c r="I1097" s="7">
        <f t="shared" si="256"/>
        <v>0</v>
      </c>
      <c r="J1097" s="35">
        <f t="shared" si="240"/>
        <v>4795.1000000000004</v>
      </c>
      <c r="K1097" s="7">
        <f t="shared" si="256"/>
        <v>-778.2</v>
      </c>
      <c r="L1097" s="35">
        <f t="shared" si="253"/>
        <v>4016.9000000000005</v>
      </c>
      <c r="M1097" s="7">
        <f t="shared" si="256"/>
        <v>0</v>
      </c>
      <c r="N1097" s="35">
        <f t="shared" si="254"/>
        <v>4016.9000000000005</v>
      </c>
      <c r="O1097" s="7">
        <f t="shared" si="256"/>
        <v>0</v>
      </c>
      <c r="P1097" s="35">
        <f t="shared" si="250"/>
        <v>4016.9000000000005</v>
      </c>
      <c r="Q1097" s="7">
        <f t="shared" si="256"/>
        <v>49.900000000000063</v>
      </c>
      <c r="R1097" s="35">
        <f t="shared" si="247"/>
        <v>4066.8000000000006</v>
      </c>
      <c r="S1097" s="7">
        <f t="shared" si="256"/>
        <v>0</v>
      </c>
      <c r="T1097" s="35">
        <f t="shared" si="257"/>
        <v>4066.8000000000006</v>
      </c>
    </row>
    <row r="1098" spans="1:20">
      <c r="A1098" s="12" t="s">
        <v>235</v>
      </c>
      <c r="B1098" s="45" t="s">
        <v>64</v>
      </c>
      <c r="C1098" s="8" t="s">
        <v>211</v>
      </c>
      <c r="D1098" s="1" t="s">
        <v>188</v>
      </c>
      <c r="E1098" s="113"/>
      <c r="F1098" s="7">
        <f t="shared" si="256"/>
        <v>4795.1000000000004</v>
      </c>
      <c r="G1098" s="7">
        <f t="shared" si="256"/>
        <v>0</v>
      </c>
      <c r="H1098" s="35">
        <f t="shared" si="243"/>
        <v>4795.1000000000004</v>
      </c>
      <c r="I1098" s="7">
        <f t="shared" si="256"/>
        <v>0</v>
      </c>
      <c r="J1098" s="35">
        <f t="shared" si="240"/>
        <v>4795.1000000000004</v>
      </c>
      <c r="K1098" s="7">
        <f t="shared" si="256"/>
        <v>-778.2</v>
      </c>
      <c r="L1098" s="35">
        <f t="shared" si="253"/>
        <v>4016.9000000000005</v>
      </c>
      <c r="M1098" s="7">
        <f t="shared" si="256"/>
        <v>0</v>
      </c>
      <c r="N1098" s="35">
        <f t="shared" si="254"/>
        <v>4016.9000000000005</v>
      </c>
      <c r="O1098" s="7">
        <f t="shared" si="256"/>
        <v>0</v>
      </c>
      <c r="P1098" s="35">
        <f t="shared" si="250"/>
        <v>4016.9000000000005</v>
      </c>
      <c r="Q1098" s="7">
        <f t="shared" si="256"/>
        <v>49.900000000000063</v>
      </c>
      <c r="R1098" s="35">
        <f t="shared" si="247"/>
        <v>4066.8000000000006</v>
      </c>
      <c r="S1098" s="7">
        <f t="shared" si="256"/>
        <v>0</v>
      </c>
      <c r="T1098" s="35">
        <f t="shared" si="257"/>
        <v>4066.8000000000006</v>
      </c>
    </row>
    <row r="1099" spans="1:20">
      <c r="A1099" s="61" t="str">
        <f ca="1">IF(ISERROR(MATCH(E1099,Код_КВР,0)),"",INDIRECT(ADDRESS(MATCH(E1099,Код_КВР,0)+1,2,,,"КВР")))</f>
        <v>Закупка товаров, работ и услуг для муниципальных нужд</v>
      </c>
      <c r="B1099" s="45" t="s">
        <v>64</v>
      </c>
      <c r="C1099" s="8" t="s">
        <v>211</v>
      </c>
      <c r="D1099" s="1" t="s">
        <v>188</v>
      </c>
      <c r="E1099" s="113">
        <v>200</v>
      </c>
      <c r="F1099" s="7">
        <f t="shared" si="256"/>
        <v>4795.1000000000004</v>
      </c>
      <c r="G1099" s="7">
        <f t="shared" si="256"/>
        <v>0</v>
      </c>
      <c r="H1099" s="35">
        <f t="shared" si="243"/>
        <v>4795.1000000000004</v>
      </c>
      <c r="I1099" s="7">
        <f t="shared" si="256"/>
        <v>0</v>
      </c>
      <c r="J1099" s="35">
        <f t="shared" si="240"/>
        <v>4795.1000000000004</v>
      </c>
      <c r="K1099" s="7">
        <f t="shared" si="256"/>
        <v>-778.2</v>
      </c>
      <c r="L1099" s="35">
        <f t="shared" si="253"/>
        <v>4016.9000000000005</v>
      </c>
      <c r="M1099" s="7">
        <f t="shared" si="256"/>
        <v>0</v>
      </c>
      <c r="N1099" s="35">
        <f t="shared" si="254"/>
        <v>4016.9000000000005</v>
      </c>
      <c r="O1099" s="7">
        <f t="shared" si="256"/>
        <v>0</v>
      </c>
      <c r="P1099" s="35">
        <f t="shared" si="250"/>
        <v>4016.9000000000005</v>
      </c>
      <c r="Q1099" s="7">
        <f t="shared" si="256"/>
        <v>49.900000000000063</v>
      </c>
      <c r="R1099" s="35">
        <f t="shared" si="247"/>
        <v>4066.8000000000006</v>
      </c>
      <c r="S1099" s="7">
        <f t="shared" si="256"/>
        <v>0</v>
      </c>
      <c r="T1099" s="35">
        <f t="shared" si="257"/>
        <v>4066.8000000000006</v>
      </c>
    </row>
    <row r="1100" spans="1:20" ht="33">
      <c r="A1100" s="61" t="str">
        <f ca="1">IF(ISERROR(MATCH(E1100,Код_КВР,0)),"",INDIRECT(ADDRESS(MATCH(E1100,Код_КВР,0)+1,2,,,"КВР")))</f>
        <v>Иные закупки товаров, работ и услуг для обеспечения муниципальных нужд</v>
      </c>
      <c r="B1100" s="45" t="s">
        <v>64</v>
      </c>
      <c r="C1100" s="8" t="s">
        <v>211</v>
      </c>
      <c r="D1100" s="1" t="s">
        <v>188</v>
      </c>
      <c r="E1100" s="113">
        <v>240</v>
      </c>
      <c r="F1100" s="7">
        <f t="shared" si="256"/>
        <v>4795.1000000000004</v>
      </c>
      <c r="G1100" s="7">
        <f t="shared" si="256"/>
        <v>0</v>
      </c>
      <c r="H1100" s="35">
        <f t="shared" si="243"/>
        <v>4795.1000000000004</v>
      </c>
      <c r="I1100" s="7">
        <f t="shared" si="256"/>
        <v>0</v>
      </c>
      <c r="J1100" s="35">
        <f t="shared" ref="J1100:J1228" si="258">H1100+I1100</f>
        <v>4795.1000000000004</v>
      </c>
      <c r="K1100" s="7">
        <f t="shared" si="256"/>
        <v>-778.2</v>
      </c>
      <c r="L1100" s="35">
        <f t="shared" si="253"/>
        <v>4016.9000000000005</v>
      </c>
      <c r="M1100" s="7">
        <f t="shared" si="256"/>
        <v>0</v>
      </c>
      <c r="N1100" s="35">
        <f t="shared" si="254"/>
        <v>4016.9000000000005</v>
      </c>
      <c r="O1100" s="7">
        <f t="shared" si="256"/>
        <v>0</v>
      </c>
      <c r="P1100" s="35">
        <f t="shared" si="250"/>
        <v>4016.9000000000005</v>
      </c>
      <c r="Q1100" s="7">
        <f t="shared" si="256"/>
        <v>49.900000000000063</v>
      </c>
      <c r="R1100" s="35">
        <f t="shared" si="247"/>
        <v>4066.8000000000006</v>
      </c>
      <c r="S1100" s="7">
        <f t="shared" si="256"/>
        <v>0</v>
      </c>
      <c r="T1100" s="35">
        <f t="shared" si="257"/>
        <v>4066.8000000000006</v>
      </c>
    </row>
    <row r="1101" spans="1:20" ht="33">
      <c r="A1101" s="61" t="str">
        <f ca="1">IF(ISERROR(MATCH(E1101,Код_КВР,0)),"",INDIRECT(ADDRESS(MATCH(E1101,Код_КВР,0)+1,2,,,"КВР")))</f>
        <v xml:space="preserve">Прочая закупка товаров, работ и услуг для обеспечения муниципальных нужд         </v>
      </c>
      <c r="B1101" s="45" t="s">
        <v>64</v>
      </c>
      <c r="C1101" s="8" t="s">
        <v>211</v>
      </c>
      <c r="D1101" s="1" t="s">
        <v>188</v>
      </c>
      <c r="E1101" s="113">
        <v>244</v>
      </c>
      <c r="F1101" s="7">
        <f>прил.6!G1502</f>
        <v>4795.1000000000004</v>
      </c>
      <c r="G1101" s="7">
        <f>прил.6!H1502</f>
        <v>0</v>
      </c>
      <c r="H1101" s="35">
        <f t="shared" si="243"/>
        <v>4795.1000000000004</v>
      </c>
      <c r="I1101" s="7">
        <f>прил.6!J1502</f>
        <v>0</v>
      </c>
      <c r="J1101" s="35">
        <f t="shared" si="258"/>
        <v>4795.1000000000004</v>
      </c>
      <c r="K1101" s="7">
        <f>прил.6!L1502</f>
        <v>-778.2</v>
      </c>
      <c r="L1101" s="35">
        <f t="shared" si="253"/>
        <v>4016.9000000000005</v>
      </c>
      <c r="M1101" s="7">
        <f>прил.6!N1502</f>
        <v>0</v>
      </c>
      <c r="N1101" s="35">
        <f t="shared" si="254"/>
        <v>4016.9000000000005</v>
      </c>
      <c r="O1101" s="7">
        <f>прил.6!P1502</f>
        <v>0</v>
      </c>
      <c r="P1101" s="35">
        <f t="shared" si="250"/>
        <v>4016.9000000000005</v>
      </c>
      <c r="Q1101" s="7">
        <f>прил.6!R1502</f>
        <v>49.900000000000063</v>
      </c>
      <c r="R1101" s="35">
        <f t="shared" si="247"/>
        <v>4066.8000000000006</v>
      </c>
      <c r="S1101" s="7">
        <f>прил.6!T1502</f>
        <v>0</v>
      </c>
      <c r="T1101" s="35">
        <f t="shared" si="257"/>
        <v>4066.8000000000006</v>
      </c>
    </row>
    <row r="1102" spans="1:20" ht="33">
      <c r="A1102" s="61" t="str">
        <f ca="1">IF(ISERROR(MATCH(B1102,Код_КЦСР,0)),"",INDIRECT(ADDRESS(MATCH(B1102,Код_КЦСР,0)+1,2,,,"КЦСР")))</f>
        <v>Обеспечение исполнения полномочий органа местного самоуправления в области наружной рекламы</v>
      </c>
      <c r="B1102" s="45" t="s">
        <v>66</v>
      </c>
      <c r="C1102" s="8"/>
      <c r="D1102" s="1"/>
      <c r="E1102" s="113"/>
      <c r="F1102" s="7">
        <f t="shared" ref="F1102:S1106" si="259">F1103</f>
        <v>728.2</v>
      </c>
      <c r="G1102" s="7">
        <f t="shared" si="259"/>
        <v>0</v>
      </c>
      <c r="H1102" s="35">
        <f t="shared" si="243"/>
        <v>728.2</v>
      </c>
      <c r="I1102" s="7">
        <f t="shared" si="259"/>
        <v>0</v>
      </c>
      <c r="J1102" s="35">
        <f t="shared" si="258"/>
        <v>728.2</v>
      </c>
      <c r="K1102" s="7">
        <f t="shared" si="259"/>
        <v>0</v>
      </c>
      <c r="L1102" s="35">
        <f t="shared" si="253"/>
        <v>728.2</v>
      </c>
      <c r="M1102" s="7">
        <f t="shared" si="259"/>
        <v>-70.2</v>
      </c>
      <c r="N1102" s="35">
        <f t="shared" si="254"/>
        <v>658</v>
      </c>
      <c r="O1102" s="7">
        <f t="shared" si="259"/>
        <v>0</v>
      </c>
      <c r="P1102" s="35">
        <f t="shared" si="250"/>
        <v>658</v>
      </c>
      <c r="Q1102" s="7">
        <f t="shared" si="259"/>
        <v>0</v>
      </c>
      <c r="R1102" s="35">
        <f t="shared" si="247"/>
        <v>658</v>
      </c>
      <c r="S1102" s="7">
        <f t="shared" si="259"/>
        <v>0</v>
      </c>
      <c r="T1102" s="35">
        <f t="shared" si="257"/>
        <v>658</v>
      </c>
    </row>
    <row r="1103" spans="1:20">
      <c r="A1103" s="61" t="str">
        <f ca="1">IF(ISERROR(MATCH(C1103,Код_Раздел,0)),"",INDIRECT(ADDRESS(MATCH(C1103,Код_Раздел,0)+1,2,,,"Раздел")))</f>
        <v>Национальная экономика</v>
      </c>
      <c r="B1103" s="45" t="s">
        <v>66</v>
      </c>
      <c r="C1103" s="8" t="s">
        <v>214</v>
      </c>
      <c r="D1103" s="1"/>
      <c r="E1103" s="113"/>
      <c r="F1103" s="7">
        <f t="shared" si="259"/>
        <v>728.2</v>
      </c>
      <c r="G1103" s="7">
        <f t="shared" si="259"/>
        <v>0</v>
      </c>
      <c r="H1103" s="35">
        <f t="shared" si="243"/>
        <v>728.2</v>
      </c>
      <c r="I1103" s="7">
        <f t="shared" si="259"/>
        <v>0</v>
      </c>
      <c r="J1103" s="35">
        <f t="shared" si="258"/>
        <v>728.2</v>
      </c>
      <c r="K1103" s="7">
        <f t="shared" si="259"/>
        <v>0</v>
      </c>
      <c r="L1103" s="35">
        <f t="shared" si="253"/>
        <v>728.2</v>
      </c>
      <c r="M1103" s="7">
        <f t="shared" si="259"/>
        <v>-70.2</v>
      </c>
      <c r="N1103" s="35">
        <f t="shared" si="254"/>
        <v>658</v>
      </c>
      <c r="O1103" s="7">
        <f t="shared" si="259"/>
        <v>0</v>
      </c>
      <c r="P1103" s="35">
        <f t="shared" si="250"/>
        <v>658</v>
      </c>
      <c r="Q1103" s="7">
        <f t="shared" si="259"/>
        <v>0</v>
      </c>
      <c r="R1103" s="35">
        <f t="shared" si="247"/>
        <v>658</v>
      </c>
      <c r="S1103" s="7">
        <f t="shared" si="259"/>
        <v>0</v>
      </c>
      <c r="T1103" s="35">
        <f t="shared" si="257"/>
        <v>658</v>
      </c>
    </row>
    <row r="1104" spans="1:20">
      <c r="A1104" s="12" t="s">
        <v>221</v>
      </c>
      <c r="B1104" s="45" t="s">
        <v>66</v>
      </c>
      <c r="C1104" s="8" t="s">
        <v>214</v>
      </c>
      <c r="D1104" s="8" t="s">
        <v>194</v>
      </c>
      <c r="E1104" s="113"/>
      <c r="F1104" s="7">
        <f t="shared" si="259"/>
        <v>728.2</v>
      </c>
      <c r="G1104" s="7">
        <f t="shared" si="259"/>
        <v>0</v>
      </c>
      <c r="H1104" s="35">
        <f t="shared" si="243"/>
        <v>728.2</v>
      </c>
      <c r="I1104" s="7">
        <f t="shared" si="259"/>
        <v>0</v>
      </c>
      <c r="J1104" s="35">
        <f t="shared" si="258"/>
        <v>728.2</v>
      </c>
      <c r="K1104" s="7">
        <f t="shared" si="259"/>
        <v>0</v>
      </c>
      <c r="L1104" s="35">
        <f t="shared" si="253"/>
        <v>728.2</v>
      </c>
      <c r="M1104" s="7">
        <f t="shared" si="259"/>
        <v>-70.2</v>
      </c>
      <c r="N1104" s="35">
        <f t="shared" si="254"/>
        <v>658</v>
      </c>
      <c r="O1104" s="7">
        <f t="shared" si="259"/>
        <v>0</v>
      </c>
      <c r="P1104" s="35">
        <f t="shared" si="250"/>
        <v>658</v>
      </c>
      <c r="Q1104" s="7">
        <f t="shared" si="259"/>
        <v>0</v>
      </c>
      <c r="R1104" s="35">
        <f t="shared" si="247"/>
        <v>658</v>
      </c>
      <c r="S1104" s="7">
        <f t="shared" si="259"/>
        <v>0</v>
      </c>
      <c r="T1104" s="35">
        <f t="shared" si="257"/>
        <v>658</v>
      </c>
    </row>
    <row r="1105" spans="1:20">
      <c r="A1105" s="61" t="str">
        <f ca="1">IF(ISERROR(MATCH(E1105,Код_КВР,0)),"",INDIRECT(ADDRESS(MATCH(E1105,Код_КВР,0)+1,2,,,"КВР")))</f>
        <v>Закупка товаров, работ и услуг для муниципальных нужд</v>
      </c>
      <c r="B1105" s="45" t="s">
        <v>66</v>
      </c>
      <c r="C1105" s="8" t="s">
        <v>214</v>
      </c>
      <c r="D1105" s="8" t="s">
        <v>194</v>
      </c>
      <c r="E1105" s="113">
        <v>200</v>
      </c>
      <c r="F1105" s="7">
        <f t="shared" si="259"/>
        <v>728.2</v>
      </c>
      <c r="G1105" s="7">
        <f t="shared" si="259"/>
        <v>0</v>
      </c>
      <c r="H1105" s="35">
        <f t="shared" si="243"/>
        <v>728.2</v>
      </c>
      <c r="I1105" s="7">
        <f t="shared" si="259"/>
        <v>0</v>
      </c>
      <c r="J1105" s="35">
        <f t="shared" si="258"/>
        <v>728.2</v>
      </c>
      <c r="K1105" s="7">
        <f t="shared" si="259"/>
        <v>0</v>
      </c>
      <c r="L1105" s="35">
        <f t="shared" si="253"/>
        <v>728.2</v>
      </c>
      <c r="M1105" s="7">
        <f t="shared" si="259"/>
        <v>-70.2</v>
      </c>
      <c r="N1105" s="35">
        <f t="shared" si="254"/>
        <v>658</v>
      </c>
      <c r="O1105" s="7">
        <f t="shared" si="259"/>
        <v>0</v>
      </c>
      <c r="P1105" s="35">
        <f t="shared" si="250"/>
        <v>658</v>
      </c>
      <c r="Q1105" s="7">
        <f t="shared" si="259"/>
        <v>0</v>
      </c>
      <c r="R1105" s="35">
        <f t="shared" si="247"/>
        <v>658</v>
      </c>
      <c r="S1105" s="7">
        <f t="shared" si="259"/>
        <v>0</v>
      </c>
      <c r="T1105" s="35">
        <f t="shared" si="257"/>
        <v>658</v>
      </c>
    </row>
    <row r="1106" spans="1:20" ht="33">
      <c r="A1106" s="61" t="str">
        <f ca="1">IF(ISERROR(MATCH(E1106,Код_КВР,0)),"",INDIRECT(ADDRESS(MATCH(E1106,Код_КВР,0)+1,2,,,"КВР")))</f>
        <v>Иные закупки товаров, работ и услуг для обеспечения муниципальных нужд</v>
      </c>
      <c r="B1106" s="45" t="s">
        <v>66</v>
      </c>
      <c r="C1106" s="8" t="s">
        <v>214</v>
      </c>
      <c r="D1106" s="8" t="s">
        <v>194</v>
      </c>
      <c r="E1106" s="113">
        <v>240</v>
      </c>
      <c r="F1106" s="7">
        <f t="shared" si="259"/>
        <v>728.2</v>
      </c>
      <c r="G1106" s="7">
        <f t="shared" si="259"/>
        <v>0</v>
      </c>
      <c r="H1106" s="35">
        <f t="shared" si="243"/>
        <v>728.2</v>
      </c>
      <c r="I1106" s="7">
        <f t="shared" si="259"/>
        <v>0</v>
      </c>
      <c r="J1106" s="35">
        <f t="shared" si="258"/>
        <v>728.2</v>
      </c>
      <c r="K1106" s="7">
        <f t="shared" si="259"/>
        <v>0</v>
      </c>
      <c r="L1106" s="35">
        <f t="shared" si="253"/>
        <v>728.2</v>
      </c>
      <c r="M1106" s="7">
        <f t="shared" si="259"/>
        <v>-70.2</v>
      </c>
      <c r="N1106" s="35">
        <f t="shared" si="254"/>
        <v>658</v>
      </c>
      <c r="O1106" s="7">
        <f t="shared" si="259"/>
        <v>0</v>
      </c>
      <c r="P1106" s="35">
        <f t="shared" si="250"/>
        <v>658</v>
      </c>
      <c r="Q1106" s="7">
        <f t="shared" si="259"/>
        <v>0</v>
      </c>
      <c r="R1106" s="35">
        <f t="shared" si="247"/>
        <v>658</v>
      </c>
      <c r="S1106" s="7">
        <f t="shared" si="259"/>
        <v>0</v>
      </c>
      <c r="T1106" s="35">
        <f t="shared" si="257"/>
        <v>658</v>
      </c>
    </row>
    <row r="1107" spans="1:20" ht="33">
      <c r="A1107" s="61" t="str">
        <f ca="1">IF(ISERROR(MATCH(E1107,Код_КВР,0)),"",INDIRECT(ADDRESS(MATCH(E1107,Код_КВР,0)+1,2,,,"КВР")))</f>
        <v xml:space="preserve">Прочая закупка товаров, работ и услуг для обеспечения муниципальных нужд         </v>
      </c>
      <c r="B1107" s="45" t="s">
        <v>66</v>
      </c>
      <c r="C1107" s="8" t="s">
        <v>214</v>
      </c>
      <c r="D1107" s="8" t="s">
        <v>194</v>
      </c>
      <c r="E1107" s="113">
        <v>244</v>
      </c>
      <c r="F1107" s="7">
        <f>прил.6!G1564</f>
        <v>728.2</v>
      </c>
      <c r="G1107" s="7">
        <f>прил.6!H1564</f>
        <v>0</v>
      </c>
      <c r="H1107" s="35">
        <f t="shared" si="243"/>
        <v>728.2</v>
      </c>
      <c r="I1107" s="7">
        <f>прил.6!J1564</f>
        <v>0</v>
      </c>
      <c r="J1107" s="35">
        <f t="shared" si="258"/>
        <v>728.2</v>
      </c>
      <c r="K1107" s="7">
        <f>прил.6!L1564</f>
        <v>0</v>
      </c>
      <c r="L1107" s="35">
        <f t="shared" si="253"/>
        <v>728.2</v>
      </c>
      <c r="M1107" s="7">
        <f>прил.6!N1564</f>
        <v>-70.2</v>
      </c>
      <c r="N1107" s="35">
        <f t="shared" si="254"/>
        <v>658</v>
      </c>
      <c r="O1107" s="7">
        <f>прил.6!P1564</f>
        <v>0</v>
      </c>
      <c r="P1107" s="35">
        <f t="shared" si="250"/>
        <v>658</v>
      </c>
      <c r="Q1107" s="7">
        <f>прил.6!R1564</f>
        <v>0</v>
      </c>
      <c r="R1107" s="35">
        <f t="shared" si="247"/>
        <v>658</v>
      </c>
      <c r="S1107" s="7">
        <f>прил.6!T1564</f>
        <v>0</v>
      </c>
      <c r="T1107" s="35">
        <f t="shared" si="257"/>
        <v>658</v>
      </c>
    </row>
    <row r="1108" spans="1:20" ht="51.75" customHeight="1">
      <c r="A1108" s="61" t="str">
        <f ca="1">IF(ISERROR(MATCH(B1108,Код_КЦСР,0)),"",INDIRECT(ADDRESS(MATCH(B1108,Код_КЦСР,0)+1,2,,,"КЦСР")))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08" s="62" t="s">
        <v>68</v>
      </c>
      <c r="C1108" s="8"/>
      <c r="D1108" s="1"/>
      <c r="E1108" s="113"/>
      <c r="F1108" s="7">
        <f>F1109+F1204+F1234</f>
        <v>197705.1</v>
      </c>
      <c r="G1108" s="7">
        <f>G1109+G1204+G1234</f>
        <v>0</v>
      </c>
      <c r="H1108" s="35">
        <f t="shared" ref="H1108:H1241" si="260">F1108+G1108</f>
        <v>197705.1</v>
      </c>
      <c r="I1108" s="7">
        <f>I1109+I1204+I1234</f>
        <v>10964.4</v>
      </c>
      <c r="J1108" s="35">
        <f t="shared" si="258"/>
        <v>208669.5</v>
      </c>
      <c r="K1108" s="7">
        <f>K1109+K1204+K1234</f>
        <v>291.00000000000028</v>
      </c>
      <c r="L1108" s="35">
        <f t="shared" si="253"/>
        <v>208960.5</v>
      </c>
      <c r="M1108" s="7">
        <f>M1109+M1204+M1234</f>
        <v>3842.2</v>
      </c>
      <c r="N1108" s="35">
        <f t="shared" si="254"/>
        <v>212802.7</v>
      </c>
      <c r="O1108" s="7">
        <f>O1109+O1204+O1234</f>
        <v>3959.5</v>
      </c>
      <c r="P1108" s="35">
        <f t="shared" si="250"/>
        <v>216762.2</v>
      </c>
      <c r="Q1108" s="7">
        <f>Q1109+Q1204+Q1234+Q1246</f>
        <v>284959.90000000002</v>
      </c>
      <c r="R1108" s="35">
        <f>P1108+Q1108</f>
        <v>501722.10000000003</v>
      </c>
      <c r="S1108" s="7">
        <f>S1109+S1204+S1234+S1246+S1252+S1258</f>
        <v>8740.9</v>
      </c>
      <c r="T1108" s="35">
        <f t="shared" si="257"/>
        <v>510463.00000000006</v>
      </c>
    </row>
    <row r="1109" spans="1:20" ht="33">
      <c r="A1109" s="61" t="str">
        <f ca="1">IF(ISERROR(MATCH(B1109,Код_КЦСР,0)),"",INDIRECT(ADDRESS(MATCH(B1109,Код_КЦСР,0)+1,2,,,"КЦСР")))</f>
        <v>Капитальное строительство и реконструкция объектов муниципальной собственности</v>
      </c>
      <c r="B1109" s="62" t="s">
        <v>70</v>
      </c>
      <c r="C1109" s="8"/>
      <c r="D1109" s="1"/>
      <c r="E1109" s="113"/>
      <c r="F1109" s="7">
        <f>F1110+F1144+F1150+F1156</f>
        <v>100305.7</v>
      </c>
      <c r="G1109" s="7">
        <f>G1110+G1144+G1150+G1156</f>
        <v>0</v>
      </c>
      <c r="H1109" s="35">
        <f t="shared" si="260"/>
        <v>100305.7</v>
      </c>
      <c r="I1109" s="7">
        <f>I1110+I1144+I1150+I1156+I1162</f>
        <v>10369.799999999999</v>
      </c>
      <c r="J1109" s="35">
        <f>H1109+I1109</f>
        <v>110675.5</v>
      </c>
      <c r="K1109" s="7">
        <f>K1110+K1144+K1150+K1156+K1162+K1168</f>
        <v>-1435.1999999999998</v>
      </c>
      <c r="L1109" s="35">
        <f t="shared" si="253"/>
        <v>109240.3</v>
      </c>
      <c r="M1109" s="7">
        <f>M1110+M1144+M1150+M1156+M1162+M1168</f>
        <v>3842.2</v>
      </c>
      <c r="N1109" s="35">
        <f t="shared" si="254"/>
        <v>113082.5</v>
      </c>
      <c r="O1109" s="7">
        <f>O1110+O1144+O1150+O1156+O1162+O1168</f>
        <v>3959.5</v>
      </c>
      <c r="P1109" s="35">
        <f t="shared" si="250"/>
        <v>117042</v>
      </c>
      <c r="Q1109" s="7">
        <f>Q1110+Q1144+Q1150+Q1156+Q1162+Q1168+Q1180+Q1186+Q1192+Q1198+Q1174</f>
        <v>77363.299999999988</v>
      </c>
      <c r="R1109" s="35">
        <f t="shared" si="247"/>
        <v>194405.3</v>
      </c>
      <c r="S1109" s="7">
        <f>S1110+S1144+S1150+S1156+S1162+S1168+S1180+S1186+S1192+S1198+S1174</f>
        <v>-5978.7999999999993</v>
      </c>
      <c r="T1109" s="35">
        <f t="shared" si="257"/>
        <v>188426.5</v>
      </c>
    </row>
    <row r="1110" spans="1:20">
      <c r="A1110" s="61" t="str">
        <f ca="1">IF(ISERROR(MATCH(B1110,Код_КЦСР,0)),"",INDIRECT(ADDRESS(MATCH(B1110,Код_КЦСР,0)+1,2,,,"КЦСР")))</f>
        <v>Строительство объектов сметной стоимостью до 100 млн. рублей</v>
      </c>
      <c r="B1110" s="62" t="s">
        <v>71</v>
      </c>
      <c r="C1110" s="8"/>
      <c r="D1110" s="1"/>
      <c r="E1110" s="113"/>
      <c r="F1110" s="7">
        <f>F1111+F1124+F1129+F1139</f>
        <v>17183.7</v>
      </c>
      <c r="G1110" s="7">
        <f>G1111+G1124+G1129+G1139</f>
        <v>0</v>
      </c>
      <c r="H1110" s="35">
        <f t="shared" si="260"/>
        <v>17183.7</v>
      </c>
      <c r="I1110" s="7">
        <f>I1111+I1124+I1129+I1139</f>
        <v>-594.6</v>
      </c>
      <c r="J1110" s="35">
        <f t="shared" si="258"/>
        <v>16589.100000000002</v>
      </c>
      <c r="K1110" s="7">
        <f>K1111+K1124+K1129+K1139</f>
        <v>5809</v>
      </c>
      <c r="L1110" s="35">
        <f t="shared" si="253"/>
        <v>22398.100000000002</v>
      </c>
      <c r="M1110" s="7">
        <f>M1111+M1124+M1129+M1139</f>
        <v>3842.2</v>
      </c>
      <c r="N1110" s="35">
        <f t="shared" si="254"/>
        <v>26240.300000000003</v>
      </c>
      <c r="O1110" s="7">
        <f>O1111+O1124+O1129+O1139</f>
        <v>3959.5</v>
      </c>
      <c r="P1110" s="35">
        <f t="shared" si="250"/>
        <v>30199.800000000003</v>
      </c>
      <c r="Q1110" s="7">
        <f>Q1111+Q1124+Q1129+Q1139+Q1134</f>
        <v>9691.3000000000011</v>
      </c>
      <c r="R1110" s="35">
        <f t="shared" si="247"/>
        <v>39891.100000000006</v>
      </c>
      <c r="S1110" s="7">
        <f>S1111+S1124+S1129+S1139+S1134</f>
        <v>-1560.7</v>
      </c>
      <c r="T1110" s="35">
        <f t="shared" si="257"/>
        <v>38330.400000000009</v>
      </c>
    </row>
    <row r="1111" spans="1:20">
      <c r="A1111" s="61" t="str">
        <f ca="1">IF(ISERROR(MATCH(C1111,Код_Раздел,0)),"",INDIRECT(ADDRESS(MATCH(C1111,Код_Раздел,0)+1,2,,,"Раздел")))</f>
        <v>Национальная экономика</v>
      </c>
      <c r="B1111" s="62" t="s">
        <v>71</v>
      </c>
      <c r="C1111" s="8" t="s">
        <v>214</v>
      </c>
      <c r="D1111" s="1"/>
      <c r="E1111" s="113"/>
      <c r="F1111" s="7">
        <f t="shared" ref="F1111:S1114" si="261">F1112</f>
        <v>2004.9</v>
      </c>
      <c r="G1111" s="7">
        <f t="shared" si="261"/>
        <v>0</v>
      </c>
      <c r="H1111" s="35">
        <f t="shared" si="260"/>
        <v>2004.9</v>
      </c>
      <c r="I1111" s="7">
        <f t="shared" si="261"/>
        <v>-594.6</v>
      </c>
      <c r="J1111" s="35">
        <f t="shared" si="258"/>
        <v>1410.3000000000002</v>
      </c>
      <c r="K1111" s="7">
        <f>K1112+K1116</f>
        <v>3309</v>
      </c>
      <c r="L1111" s="35">
        <f t="shared" si="253"/>
        <v>4719.3</v>
      </c>
      <c r="M1111" s="7">
        <f>M1112+M1116</f>
        <v>0</v>
      </c>
      <c r="N1111" s="35">
        <f t="shared" si="254"/>
        <v>4719.3</v>
      </c>
      <c r="O1111" s="7">
        <f>O1112+O1116</f>
        <v>0</v>
      </c>
      <c r="P1111" s="35">
        <f t="shared" si="250"/>
        <v>4719.3</v>
      </c>
      <c r="Q1111" s="7">
        <f>Q1112+Q1116+Q1120</f>
        <v>3758.7000000000003</v>
      </c>
      <c r="R1111" s="35">
        <f t="shared" si="247"/>
        <v>8478</v>
      </c>
      <c r="S1111" s="7">
        <f>S1112+S1116+S1120</f>
        <v>-1198.8000000000002</v>
      </c>
      <c r="T1111" s="35">
        <f t="shared" si="257"/>
        <v>7279.2</v>
      </c>
    </row>
    <row r="1112" spans="1:20">
      <c r="A1112" s="76" t="s">
        <v>178</v>
      </c>
      <c r="B1112" s="62" t="s">
        <v>71</v>
      </c>
      <c r="C1112" s="8" t="s">
        <v>214</v>
      </c>
      <c r="D1112" s="8" t="s">
        <v>217</v>
      </c>
      <c r="E1112" s="113"/>
      <c r="F1112" s="7">
        <f t="shared" si="261"/>
        <v>2004.9</v>
      </c>
      <c r="G1112" s="7">
        <f t="shared" si="261"/>
        <v>0</v>
      </c>
      <c r="H1112" s="35">
        <f t="shared" si="260"/>
        <v>2004.9</v>
      </c>
      <c r="I1112" s="7">
        <f t="shared" si="261"/>
        <v>-594.6</v>
      </c>
      <c r="J1112" s="35">
        <f t="shared" si="258"/>
        <v>1410.3000000000002</v>
      </c>
      <c r="K1112" s="7">
        <f t="shared" si="261"/>
        <v>2159</v>
      </c>
      <c r="L1112" s="35">
        <f t="shared" si="253"/>
        <v>3569.3</v>
      </c>
      <c r="M1112" s="7">
        <f t="shared" si="261"/>
        <v>0</v>
      </c>
      <c r="N1112" s="35">
        <f t="shared" si="254"/>
        <v>3569.3</v>
      </c>
      <c r="O1112" s="7">
        <f t="shared" si="261"/>
        <v>0</v>
      </c>
      <c r="P1112" s="35">
        <f t="shared" si="250"/>
        <v>3569.3</v>
      </c>
      <c r="Q1112" s="7">
        <f t="shared" si="261"/>
        <v>806.19999999999993</v>
      </c>
      <c r="R1112" s="35">
        <f t="shared" si="247"/>
        <v>4375.5</v>
      </c>
      <c r="S1112" s="7">
        <f t="shared" si="261"/>
        <v>-758.5</v>
      </c>
      <c r="T1112" s="35">
        <f t="shared" si="257"/>
        <v>3617</v>
      </c>
    </row>
    <row r="1113" spans="1:20" ht="33">
      <c r="A1113" s="61" t="str">
        <f ca="1">IF(ISERROR(MATCH(E1113,Код_КВР,0)),"",INDIRECT(ADDRESS(MATCH(E1113,Код_КВР,0)+1,2,,,"КВР")))</f>
        <v>Капитальные вложения в объекты недвижимого имущества муниципальной собственности</v>
      </c>
      <c r="B1113" s="62" t="s">
        <v>71</v>
      </c>
      <c r="C1113" s="8" t="s">
        <v>214</v>
      </c>
      <c r="D1113" s="8" t="s">
        <v>217</v>
      </c>
      <c r="E1113" s="113">
        <v>400</v>
      </c>
      <c r="F1113" s="7">
        <f t="shared" si="261"/>
        <v>2004.9</v>
      </c>
      <c r="G1113" s="7">
        <f t="shared" si="261"/>
        <v>0</v>
      </c>
      <c r="H1113" s="35">
        <f t="shared" si="260"/>
        <v>2004.9</v>
      </c>
      <c r="I1113" s="7">
        <f t="shared" si="261"/>
        <v>-594.6</v>
      </c>
      <c r="J1113" s="35">
        <f t="shared" si="258"/>
        <v>1410.3000000000002</v>
      </c>
      <c r="K1113" s="7">
        <f t="shared" si="261"/>
        <v>2159</v>
      </c>
      <c r="L1113" s="35">
        <f t="shared" si="253"/>
        <v>3569.3</v>
      </c>
      <c r="M1113" s="7">
        <f t="shared" si="261"/>
        <v>0</v>
      </c>
      <c r="N1113" s="35">
        <f t="shared" si="254"/>
        <v>3569.3</v>
      </c>
      <c r="O1113" s="7">
        <f t="shared" si="261"/>
        <v>0</v>
      </c>
      <c r="P1113" s="35">
        <f t="shared" si="250"/>
        <v>3569.3</v>
      </c>
      <c r="Q1113" s="7">
        <f t="shared" si="261"/>
        <v>806.19999999999993</v>
      </c>
      <c r="R1113" s="35">
        <f t="shared" si="247"/>
        <v>4375.5</v>
      </c>
      <c r="S1113" s="7">
        <f t="shared" si="261"/>
        <v>-758.5</v>
      </c>
      <c r="T1113" s="35">
        <f t="shared" si="257"/>
        <v>3617</v>
      </c>
    </row>
    <row r="1114" spans="1:20">
      <c r="A1114" s="61" t="str">
        <f ca="1">IF(ISERROR(MATCH(E1114,Код_КВР,0)),"",INDIRECT(ADDRESS(MATCH(E1114,Код_КВР,0)+1,2,,,"КВР")))</f>
        <v>Бюджетные инвестиции</v>
      </c>
      <c r="B1114" s="62" t="s">
        <v>71</v>
      </c>
      <c r="C1114" s="8" t="s">
        <v>214</v>
      </c>
      <c r="D1114" s="8" t="s">
        <v>217</v>
      </c>
      <c r="E1114" s="113">
        <v>410</v>
      </c>
      <c r="F1114" s="7">
        <f t="shared" si="261"/>
        <v>2004.9</v>
      </c>
      <c r="G1114" s="7">
        <f t="shared" si="261"/>
        <v>0</v>
      </c>
      <c r="H1114" s="35">
        <f t="shared" si="260"/>
        <v>2004.9</v>
      </c>
      <c r="I1114" s="7">
        <f t="shared" si="261"/>
        <v>-594.6</v>
      </c>
      <c r="J1114" s="35">
        <f t="shared" si="258"/>
        <v>1410.3000000000002</v>
      </c>
      <c r="K1114" s="7">
        <f t="shared" si="261"/>
        <v>2159</v>
      </c>
      <c r="L1114" s="35">
        <f t="shared" si="253"/>
        <v>3569.3</v>
      </c>
      <c r="M1114" s="7">
        <f t="shared" si="261"/>
        <v>0</v>
      </c>
      <c r="N1114" s="35">
        <f t="shared" si="254"/>
        <v>3569.3</v>
      </c>
      <c r="O1114" s="7">
        <f t="shared" si="261"/>
        <v>0</v>
      </c>
      <c r="P1114" s="35">
        <f t="shared" si="250"/>
        <v>3569.3</v>
      </c>
      <c r="Q1114" s="7">
        <f t="shared" si="261"/>
        <v>806.19999999999993</v>
      </c>
      <c r="R1114" s="35">
        <f t="shared" si="247"/>
        <v>4375.5</v>
      </c>
      <c r="S1114" s="7">
        <f t="shared" si="261"/>
        <v>-758.5</v>
      </c>
      <c r="T1114" s="35">
        <f t="shared" si="257"/>
        <v>3617</v>
      </c>
    </row>
    <row r="1115" spans="1:20" ht="33">
      <c r="A1115" s="61" t="str">
        <f ca="1">IF(ISERROR(MATCH(E1115,Код_КВР,0)),"",INDIRECT(ADDRESS(MATCH(E1115,Код_КВР,0)+1,2,,,"КВР")))</f>
        <v>Бюджетные инвестиции в объекты капитального строительства муниципальной собственности</v>
      </c>
      <c r="B1115" s="62" t="s">
        <v>71</v>
      </c>
      <c r="C1115" s="8" t="s">
        <v>214</v>
      </c>
      <c r="D1115" s="8" t="s">
        <v>217</v>
      </c>
      <c r="E1115" s="113">
        <v>414</v>
      </c>
      <c r="F1115" s="7">
        <f>прил.6!G1530</f>
        <v>2004.9</v>
      </c>
      <c r="G1115" s="7">
        <f>прил.6!H1530</f>
        <v>0</v>
      </c>
      <c r="H1115" s="35">
        <f t="shared" si="260"/>
        <v>2004.9</v>
      </c>
      <c r="I1115" s="7">
        <f>прил.6!J1530</f>
        <v>-594.6</v>
      </c>
      <c r="J1115" s="35">
        <f t="shared" si="258"/>
        <v>1410.3000000000002</v>
      </c>
      <c r="K1115" s="7">
        <f>прил.6!L1530</f>
        <v>2159</v>
      </c>
      <c r="L1115" s="35">
        <f t="shared" si="253"/>
        <v>3569.3</v>
      </c>
      <c r="M1115" s="7">
        <f>прил.6!N1530</f>
        <v>0</v>
      </c>
      <c r="N1115" s="35">
        <f t="shared" si="254"/>
        <v>3569.3</v>
      </c>
      <c r="O1115" s="7">
        <f>прил.6!P1530</f>
        <v>0</v>
      </c>
      <c r="P1115" s="35">
        <f t="shared" si="250"/>
        <v>3569.3</v>
      </c>
      <c r="Q1115" s="7">
        <f>прил.6!R1530</f>
        <v>806.19999999999993</v>
      </c>
      <c r="R1115" s="35">
        <f t="shared" si="247"/>
        <v>4375.5</v>
      </c>
      <c r="S1115" s="7">
        <f>прил.6!T1530</f>
        <v>-758.5</v>
      </c>
      <c r="T1115" s="35">
        <f t="shared" si="257"/>
        <v>3617</v>
      </c>
    </row>
    <row r="1116" spans="1:20">
      <c r="A1116" s="61" t="s">
        <v>228</v>
      </c>
      <c r="B1116" s="62" t="s">
        <v>71</v>
      </c>
      <c r="C1116" s="8" t="s">
        <v>214</v>
      </c>
      <c r="D1116" s="8" t="s">
        <v>186</v>
      </c>
      <c r="E1116" s="113"/>
      <c r="F1116" s="7"/>
      <c r="G1116" s="7"/>
      <c r="H1116" s="35"/>
      <c r="I1116" s="7"/>
      <c r="J1116" s="35"/>
      <c r="K1116" s="7">
        <f>K1117</f>
        <v>1150</v>
      </c>
      <c r="L1116" s="35">
        <f t="shared" si="253"/>
        <v>1150</v>
      </c>
      <c r="M1116" s="7">
        <f>M1117</f>
        <v>0</v>
      </c>
      <c r="N1116" s="35">
        <f t="shared" si="254"/>
        <v>1150</v>
      </c>
      <c r="O1116" s="7">
        <f>O1117</f>
        <v>0</v>
      </c>
      <c r="P1116" s="35">
        <f t="shared" si="250"/>
        <v>1150</v>
      </c>
      <c r="Q1116" s="7">
        <f>Q1117</f>
        <v>-56.3</v>
      </c>
      <c r="R1116" s="35">
        <f t="shared" si="247"/>
        <v>1093.7</v>
      </c>
      <c r="S1116" s="7">
        <f>S1117</f>
        <v>-98.7</v>
      </c>
      <c r="T1116" s="35">
        <f t="shared" si="257"/>
        <v>995</v>
      </c>
    </row>
    <row r="1117" spans="1:20" ht="33">
      <c r="A1117" s="61" t="str">
        <f ca="1">IF(ISERROR(MATCH(E1117,Код_КВР,0)),"",INDIRECT(ADDRESS(MATCH(E1117,Код_КВР,0)+1,2,,,"КВР")))</f>
        <v>Капитальные вложения в объекты недвижимого имущества муниципальной собственности</v>
      </c>
      <c r="B1117" s="62" t="s">
        <v>71</v>
      </c>
      <c r="C1117" s="8" t="s">
        <v>214</v>
      </c>
      <c r="D1117" s="8" t="s">
        <v>186</v>
      </c>
      <c r="E1117" s="113">
        <v>400</v>
      </c>
      <c r="F1117" s="7"/>
      <c r="G1117" s="7"/>
      <c r="H1117" s="35"/>
      <c r="I1117" s="7"/>
      <c r="J1117" s="35"/>
      <c r="K1117" s="7">
        <f>K1118</f>
        <v>1150</v>
      </c>
      <c r="L1117" s="35">
        <f t="shared" si="253"/>
        <v>1150</v>
      </c>
      <c r="M1117" s="7">
        <f>M1118</f>
        <v>0</v>
      </c>
      <c r="N1117" s="35">
        <f t="shared" si="254"/>
        <v>1150</v>
      </c>
      <c r="O1117" s="7">
        <f>O1118</f>
        <v>0</v>
      </c>
      <c r="P1117" s="35">
        <f t="shared" si="250"/>
        <v>1150</v>
      </c>
      <c r="Q1117" s="7">
        <f>Q1118</f>
        <v>-56.3</v>
      </c>
      <c r="R1117" s="35">
        <f t="shared" si="247"/>
        <v>1093.7</v>
      </c>
      <c r="S1117" s="7">
        <f>S1118</f>
        <v>-98.7</v>
      </c>
      <c r="T1117" s="35">
        <f t="shared" si="257"/>
        <v>995</v>
      </c>
    </row>
    <row r="1118" spans="1:20">
      <c r="A1118" s="61" t="str">
        <f ca="1">IF(ISERROR(MATCH(E1118,Код_КВР,0)),"",INDIRECT(ADDRESS(MATCH(E1118,Код_КВР,0)+1,2,,,"КВР")))</f>
        <v>Бюджетные инвестиции</v>
      </c>
      <c r="B1118" s="62" t="s">
        <v>71</v>
      </c>
      <c r="C1118" s="8" t="s">
        <v>214</v>
      </c>
      <c r="D1118" s="8" t="s">
        <v>186</v>
      </c>
      <c r="E1118" s="113">
        <v>410</v>
      </c>
      <c r="F1118" s="7"/>
      <c r="G1118" s="7"/>
      <c r="H1118" s="35"/>
      <c r="I1118" s="7"/>
      <c r="J1118" s="35"/>
      <c r="K1118" s="7">
        <f>K1119</f>
        <v>1150</v>
      </c>
      <c r="L1118" s="35">
        <f t="shared" si="253"/>
        <v>1150</v>
      </c>
      <c r="M1118" s="7">
        <f>M1119</f>
        <v>0</v>
      </c>
      <c r="N1118" s="35">
        <f t="shared" si="254"/>
        <v>1150</v>
      </c>
      <c r="O1118" s="7">
        <f>O1119</f>
        <v>0</v>
      </c>
      <c r="P1118" s="35">
        <f t="shared" si="250"/>
        <v>1150</v>
      </c>
      <c r="Q1118" s="7">
        <f>Q1119</f>
        <v>-56.3</v>
      </c>
      <c r="R1118" s="35">
        <f t="shared" si="247"/>
        <v>1093.7</v>
      </c>
      <c r="S1118" s="7">
        <f>S1119</f>
        <v>-98.7</v>
      </c>
      <c r="T1118" s="35">
        <f t="shared" si="257"/>
        <v>995</v>
      </c>
    </row>
    <row r="1119" spans="1:20" ht="33">
      <c r="A1119" s="61" t="str">
        <f ca="1">IF(ISERROR(MATCH(E1119,Код_КВР,0)),"",INDIRECT(ADDRESS(MATCH(E1119,Код_КВР,0)+1,2,,,"КВР")))</f>
        <v>Бюджетные инвестиции в объекты капитального строительства муниципальной собственности</v>
      </c>
      <c r="B1119" s="62" t="s">
        <v>71</v>
      </c>
      <c r="C1119" s="8" t="s">
        <v>214</v>
      </c>
      <c r="D1119" s="8" t="s">
        <v>186</v>
      </c>
      <c r="E1119" s="113">
        <v>414</v>
      </c>
      <c r="F1119" s="7"/>
      <c r="G1119" s="7"/>
      <c r="H1119" s="35"/>
      <c r="I1119" s="7"/>
      <c r="J1119" s="35"/>
      <c r="K1119" s="7">
        <f>прил.6!L1553</f>
        <v>1150</v>
      </c>
      <c r="L1119" s="35">
        <f t="shared" si="253"/>
        <v>1150</v>
      </c>
      <c r="M1119" s="7">
        <f>прил.6!N1553</f>
        <v>0</v>
      </c>
      <c r="N1119" s="35">
        <f t="shared" si="254"/>
        <v>1150</v>
      </c>
      <c r="O1119" s="7">
        <f>прил.6!P1553</f>
        <v>0</v>
      </c>
      <c r="P1119" s="35">
        <f t="shared" si="250"/>
        <v>1150</v>
      </c>
      <c r="Q1119" s="7">
        <f>прил.6!R1553</f>
        <v>-56.3</v>
      </c>
      <c r="R1119" s="35">
        <f t="shared" si="247"/>
        <v>1093.7</v>
      </c>
      <c r="S1119" s="7">
        <f>прил.6!T1553</f>
        <v>-98.7</v>
      </c>
      <c r="T1119" s="35">
        <f t="shared" si="257"/>
        <v>995</v>
      </c>
    </row>
    <row r="1120" spans="1:20">
      <c r="A1120" s="12" t="s">
        <v>221</v>
      </c>
      <c r="B1120" s="62" t="s">
        <v>71</v>
      </c>
      <c r="C1120" s="8" t="s">
        <v>214</v>
      </c>
      <c r="D1120" s="8" t="s">
        <v>194</v>
      </c>
      <c r="E1120" s="113"/>
      <c r="F1120" s="7"/>
      <c r="G1120" s="7"/>
      <c r="H1120" s="35"/>
      <c r="I1120" s="7"/>
      <c r="J1120" s="35"/>
      <c r="K1120" s="7"/>
      <c r="L1120" s="35"/>
      <c r="M1120" s="7"/>
      <c r="N1120" s="35"/>
      <c r="O1120" s="7"/>
      <c r="P1120" s="35"/>
      <c r="Q1120" s="7">
        <f>Q1121</f>
        <v>3008.8</v>
      </c>
      <c r="R1120" s="35">
        <f t="shared" si="247"/>
        <v>3008.8</v>
      </c>
      <c r="S1120" s="7">
        <f>S1121</f>
        <v>-341.6</v>
      </c>
      <c r="T1120" s="35">
        <f t="shared" si="257"/>
        <v>2667.2000000000003</v>
      </c>
    </row>
    <row r="1121" spans="1:20" ht="33">
      <c r="A1121" s="61" t="str">
        <f ca="1">IF(ISERROR(MATCH(E1121,Код_КВР,0)),"",INDIRECT(ADDRESS(MATCH(E1121,Код_КВР,0)+1,2,,,"КВР")))</f>
        <v>Капитальные вложения в объекты недвижимого имущества муниципальной собственности</v>
      </c>
      <c r="B1121" s="62" t="s">
        <v>71</v>
      </c>
      <c r="C1121" s="8" t="s">
        <v>214</v>
      </c>
      <c r="D1121" s="8" t="s">
        <v>194</v>
      </c>
      <c r="E1121" s="113">
        <v>400</v>
      </c>
      <c r="F1121" s="7"/>
      <c r="G1121" s="7"/>
      <c r="H1121" s="35"/>
      <c r="I1121" s="7"/>
      <c r="J1121" s="35"/>
      <c r="K1121" s="7"/>
      <c r="L1121" s="35"/>
      <c r="M1121" s="7"/>
      <c r="N1121" s="35"/>
      <c r="O1121" s="7"/>
      <c r="P1121" s="35"/>
      <c r="Q1121" s="7">
        <f>Q1122</f>
        <v>3008.8</v>
      </c>
      <c r="R1121" s="35">
        <f t="shared" si="247"/>
        <v>3008.8</v>
      </c>
      <c r="S1121" s="7">
        <f>S1122</f>
        <v>-341.6</v>
      </c>
      <c r="T1121" s="35">
        <f t="shared" si="257"/>
        <v>2667.2000000000003</v>
      </c>
    </row>
    <row r="1122" spans="1:20">
      <c r="A1122" s="61" t="str">
        <f ca="1">IF(ISERROR(MATCH(E1122,Код_КВР,0)),"",INDIRECT(ADDRESS(MATCH(E1122,Код_КВР,0)+1,2,,,"КВР")))</f>
        <v>Бюджетные инвестиции</v>
      </c>
      <c r="B1122" s="62" t="s">
        <v>71</v>
      </c>
      <c r="C1122" s="8" t="s">
        <v>214</v>
      </c>
      <c r="D1122" s="8" t="s">
        <v>194</v>
      </c>
      <c r="E1122" s="113">
        <v>410</v>
      </c>
      <c r="F1122" s="7"/>
      <c r="G1122" s="7"/>
      <c r="H1122" s="35"/>
      <c r="I1122" s="7"/>
      <c r="J1122" s="35"/>
      <c r="K1122" s="7"/>
      <c r="L1122" s="35"/>
      <c r="M1122" s="7"/>
      <c r="N1122" s="35"/>
      <c r="O1122" s="7"/>
      <c r="P1122" s="35"/>
      <c r="Q1122" s="7">
        <f>Q1123</f>
        <v>3008.8</v>
      </c>
      <c r="R1122" s="35">
        <f t="shared" si="247"/>
        <v>3008.8</v>
      </c>
      <c r="S1122" s="7">
        <f>S1123</f>
        <v>-341.6</v>
      </c>
      <c r="T1122" s="35">
        <f t="shared" si="257"/>
        <v>2667.2000000000003</v>
      </c>
    </row>
    <row r="1123" spans="1:20" ht="33">
      <c r="A1123" s="61" t="str">
        <f ca="1">IF(ISERROR(MATCH(E1123,Код_КВР,0)),"",INDIRECT(ADDRESS(MATCH(E1123,Код_КВР,0)+1,2,,,"КВР")))</f>
        <v>Бюджетные инвестиции в объекты капитального строительства муниципальной собственности</v>
      </c>
      <c r="B1123" s="62" t="s">
        <v>71</v>
      </c>
      <c r="C1123" s="8" t="s">
        <v>214</v>
      </c>
      <c r="D1123" s="8" t="s">
        <v>194</v>
      </c>
      <c r="E1123" s="113">
        <v>414</v>
      </c>
      <c r="F1123" s="7"/>
      <c r="G1123" s="7"/>
      <c r="H1123" s="35"/>
      <c r="I1123" s="7"/>
      <c r="J1123" s="35"/>
      <c r="K1123" s="7"/>
      <c r="L1123" s="35"/>
      <c r="M1123" s="7"/>
      <c r="N1123" s="35"/>
      <c r="O1123" s="7"/>
      <c r="P1123" s="35"/>
      <c r="Q1123" s="7">
        <f>прил.6!R1570</f>
        <v>3008.8</v>
      </c>
      <c r="R1123" s="35">
        <f t="shared" si="247"/>
        <v>3008.8</v>
      </c>
      <c r="S1123" s="7">
        <f>прил.6!T1570</f>
        <v>-341.6</v>
      </c>
      <c r="T1123" s="35">
        <f t="shared" si="257"/>
        <v>2667.2000000000003</v>
      </c>
    </row>
    <row r="1124" spans="1:20">
      <c r="A1124" s="61" t="str">
        <f ca="1">IF(ISERROR(MATCH(C1124,Код_Раздел,0)),"",INDIRECT(ADDRESS(MATCH(C1124,Код_Раздел,0)+1,2,,,"Раздел")))</f>
        <v>Жилищно-коммунальное хозяйство</v>
      </c>
      <c r="B1124" s="62" t="s">
        <v>71</v>
      </c>
      <c r="C1124" s="8" t="s">
        <v>219</v>
      </c>
      <c r="D1124" s="1"/>
      <c r="E1124" s="113"/>
      <c r="F1124" s="7">
        <f t="shared" ref="F1124:S1127" si="262">F1125</f>
        <v>5000</v>
      </c>
      <c r="G1124" s="7">
        <f t="shared" si="262"/>
        <v>0</v>
      </c>
      <c r="H1124" s="35">
        <f t="shared" si="260"/>
        <v>5000</v>
      </c>
      <c r="I1124" s="7">
        <f t="shared" si="262"/>
        <v>0</v>
      </c>
      <c r="J1124" s="35">
        <f t="shared" si="258"/>
        <v>5000</v>
      </c>
      <c r="K1124" s="7">
        <f t="shared" si="262"/>
        <v>0</v>
      </c>
      <c r="L1124" s="35">
        <f t="shared" si="253"/>
        <v>5000</v>
      </c>
      <c r="M1124" s="7">
        <f t="shared" si="262"/>
        <v>3842.2</v>
      </c>
      <c r="N1124" s="35">
        <f t="shared" si="254"/>
        <v>8842.2000000000007</v>
      </c>
      <c r="O1124" s="7">
        <f t="shared" si="262"/>
        <v>0</v>
      </c>
      <c r="P1124" s="35">
        <f t="shared" si="250"/>
        <v>8842.2000000000007</v>
      </c>
      <c r="Q1124" s="7">
        <f t="shared" si="262"/>
        <v>0</v>
      </c>
      <c r="R1124" s="35">
        <f t="shared" si="247"/>
        <v>8842.2000000000007</v>
      </c>
      <c r="S1124" s="7">
        <f t="shared" si="262"/>
        <v>-20.100000000000001</v>
      </c>
      <c r="T1124" s="35">
        <f t="shared" si="257"/>
        <v>8822.1</v>
      </c>
    </row>
    <row r="1125" spans="1:20">
      <c r="A1125" s="61" t="s">
        <v>250</v>
      </c>
      <c r="B1125" s="62" t="s">
        <v>71</v>
      </c>
      <c r="C1125" s="8" t="s">
        <v>219</v>
      </c>
      <c r="D1125" s="8" t="s">
        <v>213</v>
      </c>
      <c r="E1125" s="113"/>
      <c r="F1125" s="7">
        <f t="shared" si="262"/>
        <v>5000</v>
      </c>
      <c r="G1125" s="7">
        <f t="shared" si="262"/>
        <v>0</v>
      </c>
      <c r="H1125" s="35">
        <f t="shared" si="260"/>
        <v>5000</v>
      </c>
      <c r="I1125" s="7">
        <f t="shared" si="262"/>
        <v>0</v>
      </c>
      <c r="J1125" s="35">
        <f t="shared" si="258"/>
        <v>5000</v>
      </c>
      <c r="K1125" s="7">
        <f t="shared" si="262"/>
        <v>0</v>
      </c>
      <c r="L1125" s="35">
        <f t="shared" si="253"/>
        <v>5000</v>
      </c>
      <c r="M1125" s="7">
        <f t="shared" si="262"/>
        <v>3842.2</v>
      </c>
      <c r="N1125" s="35">
        <f t="shared" si="254"/>
        <v>8842.2000000000007</v>
      </c>
      <c r="O1125" s="7">
        <f t="shared" si="262"/>
        <v>0</v>
      </c>
      <c r="P1125" s="35">
        <f t="shared" si="250"/>
        <v>8842.2000000000007</v>
      </c>
      <c r="Q1125" s="7">
        <f t="shared" si="262"/>
        <v>0</v>
      </c>
      <c r="R1125" s="35">
        <f t="shared" si="247"/>
        <v>8842.2000000000007</v>
      </c>
      <c r="S1125" s="7">
        <f t="shared" si="262"/>
        <v>-20.100000000000001</v>
      </c>
      <c r="T1125" s="35">
        <f t="shared" si="257"/>
        <v>8822.1</v>
      </c>
    </row>
    <row r="1126" spans="1:20" ht="33">
      <c r="A1126" s="61" t="str">
        <f ca="1">IF(ISERROR(MATCH(E1126,Код_КВР,0)),"",INDIRECT(ADDRESS(MATCH(E1126,Код_КВР,0)+1,2,,,"КВР")))</f>
        <v>Капитальные вложения в объекты недвижимого имущества муниципальной собственности</v>
      </c>
      <c r="B1126" s="62" t="s">
        <v>71</v>
      </c>
      <c r="C1126" s="8" t="s">
        <v>219</v>
      </c>
      <c r="D1126" s="8" t="s">
        <v>213</v>
      </c>
      <c r="E1126" s="113">
        <v>400</v>
      </c>
      <c r="F1126" s="7">
        <f t="shared" si="262"/>
        <v>5000</v>
      </c>
      <c r="G1126" s="7">
        <f t="shared" si="262"/>
        <v>0</v>
      </c>
      <c r="H1126" s="35">
        <f t="shared" si="260"/>
        <v>5000</v>
      </c>
      <c r="I1126" s="7">
        <f t="shared" si="262"/>
        <v>0</v>
      </c>
      <c r="J1126" s="35">
        <f t="shared" si="258"/>
        <v>5000</v>
      </c>
      <c r="K1126" s="7">
        <f t="shared" si="262"/>
        <v>0</v>
      </c>
      <c r="L1126" s="35">
        <f t="shared" si="253"/>
        <v>5000</v>
      </c>
      <c r="M1126" s="7">
        <f t="shared" si="262"/>
        <v>3842.2</v>
      </c>
      <c r="N1126" s="35">
        <f t="shared" si="254"/>
        <v>8842.2000000000007</v>
      </c>
      <c r="O1126" s="7">
        <f t="shared" si="262"/>
        <v>0</v>
      </c>
      <c r="P1126" s="35">
        <f t="shared" si="250"/>
        <v>8842.2000000000007</v>
      </c>
      <c r="Q1126" s="7">
        <f t="shared" si="262"/>
        <v>0</v>
      </c>
      <c r="R1126" s="35">
        <f t="shared" si="247"/>
        <v>8842.2000000000007</v>
      </c>
      <c r="S1126" s="7">
        <f t="shared" si="262"/>
        <v>-20.100000000000001</v>
      </c>
      <c r="T1126" s="35">
        <f t="shared" si="257"/>
        <v>8822.1</v>
      </c>
    </row>
    <row r="1127" spans="1:20">
      <c r="A1127" s="61" t="str">
        <f ca="1">IF(ISERROR(MATCH(E1127,Код_КВР,0)),"",INDIRECT(ADDRESS(MATCH(E1127,Код_КВР,0)+1,2,,,"КВР")))</f>
        <v>Бюджетные инвестиции</v>
      </c>
      <c r="B1127" s="62" t="s">
        <v>71</v>
      </c>
      <c r="C1127" s="8" t="s">
        <v>219</v>
      </c>
      <c r="D1127" s="8" t="s">
        <v>213</v>
      </c>
      <c r="E1127" s="113">
        <v>410</v>
      </c>
      <c r="F1127" s="7">
        <f t="shared" si="262"/>
        <v>5000</v>
      </c>
      <c r="G1127" s="7">
        <f t="shared" si="262"/>
        <v>0</v>
      </c>
      <c r="H1127" s="35">
        <f t="shared" si="260"/>
        <v>5000</v>
      </c>
      <c r="I1127" s="7">
        <f t="shared" si="262"/>
        <v>0</v>
      </c>
      <c r="J1127" s="35">
        <f t="shared" si="258"/>
        <v>5000</v>
      </c>
      <c r="K1127" s="7">
        <f t="shared" si="262"/>
        <v>0</v>
      </c>
      <c r="L1127" s="35">
        <f t="shared" si="253"/>
        <v>5000</v>
      </c>
      <c r="M1127" s="7">
        <f t="shared" si="262"/>
        <v>3842.2</v>
      </c>
      <c r="N1127" s="35">
        <f t="shared" si="254"/>
        <v>8842.2000000000007</v>
      </c>
      <c r="O1127" s="7">
        <f t="shared" si="262"/>
        <v>0</v>
      </c>
      <c r="P1127" s="35">
        <f t="shared" si="250"/>
        <v>8842.2000000000007</v>
      </c>
      <c r="Q1127" s="7">
        <f t="shared" si="262"/>
        <v>0</v>
      </c>
      <c r="R1127" s="35">
        <f t="shared" si="247"/>
        <v>8842.2000000000007</v>
      </c>
      <c r="S1127" s="7">
        <f t="shared" si="262"/>
        <v>-20.100000000000001</v>
      </c>
      <c r="T1127" s="35">
        <f t="shared" si="257"/>
        <v>8822.1</v>
      </c>
    </row>
    <row r="1128" spans="1:20" ht="33">
      <c r="A1128" s="61" t="str">
        <f ca="1">IF(ISERROR(MATCH(E1128,Код_КВР,0)),"",INDIRECT(ADDRESS(MATCH(E1128,Код_КВР,0)+1,2,,,"КВР")))</f>
        <v>Бюджетные инвестиции в объекты капитального строительства муниципальной собственности</v>
      </c>
      <c r="B1128" s="62" t="s">
        <v>71</v>
      </c>
      <c r="C1128" s="8" t="s">
        <v>219</v>
      </c>
      <c r="D1128" s="8" t="s">
        <v>213</v>
      </c>
      <c r="E1128" s="113">
        <v>414</v>
      </c>
      <c r="F1128" s="7">
        <f>прил.6!G1628</f>
        <v>5000</v>
      </c>
      <c r="G1128" s="7">
        <f>прил.6!H1628</f>
        <v>0</v>
      </c>
      <c r="H1128" s="35">
        <f t="shared" si="260"/>
        <v>5000</v>
      </c>
      <c r="I1128" s="7">
        <f>прил.6!J1628</f>
        <v>0</v>
      </c>
      <c r="J1128" s="35">
        <f t="shared" si="258"/>
        <v>5000</v>
      </c>
      <c r="K1128" s="7">
        <f>прил.6!L1628</f>
        <v>0</v>
      </c>
      <c r="L1128" s="35">
        <f t="shared" si="253"/>
        <v>5000</v>
      </c>
      <c r="M1128" s="7">
        <f>прил.6!N1628</f>
        <v>3842.2</v>
      </c>
      <c r="N1128" s="35">
        <f t="shared" si="254"/>
        <v>8842.2000000000007</v>
      </c>
      <c r="O1128" s="7">
        <f>прил.6!P1628</f>
        <v>0</v>
      </c>
      <c r="P1128" s="35">
        <f t="shared" si="250"/>
        <v>8842.2000000000007</v>
      </c>
      <c r="Q1128" s="7">
        <f>прил.6!R1628</f>
        <v>0</v>
      </c>
      <c r="R1128" s="35">
        <f t="shared" si="247"/>
        <v>8842.2000000000007</v>
      </c>
      <c r="S1128" s="7">
        <f>прил.6!T1628</f>
        <v>-20.100000000000001</v>
      </c>
      <c r="T1128" s="35">
        <f t="shared" si="257"/>
        <v>8822.1</v>
      </c>
    </row>
    <row r="1129" spans="1:20">
      <c r="A1129" s="61" t="str">
        <f ca="1">IF(ISERROR(MATCH(C1129,Код_Раздел,0)),"",INDIRECT(ADDRESS(MATCH(C1129,Код_Раздел,0)+1,2,,,"Раздел")))</f>
        <v>Образование</v>
      </c>
      <c r="B1129" s="62" t="s">
        <v>71</v>
      </c>
      <c r="C1129" s="8" t="s">
        <v>193</v>
      </c>
      <c r="D1129" s="1"/>
      <c r="E1129" s="113"/>
      <c r="F1129" s="7">
        <f t="shared" ref="F1129:S1132" si="263">F1130</f>
        <v>178.8</v>
      </c>
      <c r="G1129" s="7">
        <f t="shared" si="263"/>
        <v>0</v>
      </c>
      <c r="H1129" s="35">
        <f t="shared" si="260"/>
        <v>178.8</v>
      </c>
      <c r="I1129" s="7">
        <f t="shared" si="263"/>
        <v>0</v>
      </c>
      <c r="J1129" s="35">
        <f t="shared" si="258"/>
        <v>178.8</v>
      </c>
      <c r="K1129" s="7">
        <f t="shared" si="263"/>
        <v>2500</v>
      </c>
      <c r="L1129" s="35">
        <f t="shared" si="253"/>
        <v>2678.8</v>
      </c>
      <c r="M1129" s="7">
        <f t="shared" si="263"/>
        <v>0</v>
      </c>
      <c r="N1129" s="35">
        <f t="shared" si="254"/>
        <v>2678.8</v>
      </c>
      <c r="O1129" s="7">
        <f t="shared" si="263"/>
        <v>3959.5</v>
      </c>
      <c r="P1129" s="35">
        <f t="shared" si="250"/>
        <v>6638.3</v>
      </c>
      <c r="Q1129" s="7">
        <f t="shared" si="263"/>
        <v>213.5</v>
      </c>
      <c r="R1129" s="35">
        <f t="shared" si="247"/>
        <v>6851.8</v>
      </c>
      <c r="S1129" s="7">
        <f t="shared" si="263"/>
        <v>-138.6</v>
      </c>
      <c r="T1129" s="35">
        <f t="shared" si="257"/>
        <v>6713.2</v>
      </c>
    </row>
    <row r="1130" spans="1:20">
      <c r="A1130" s="12" t="s">
        <v>249</v>
      </c>
      <c r="B1130" s="62" t="s">
        <v>71</v>
      </c>
      <c r="C1130" s="8" t="s">
        <v>193</v>
      </c>
      <c r="D1130" s="1" t="s">
        <v>217</v>
      </c>
      <c r="E1130" s="113"/>
      <c r="F1130" s="7">
        <f t="shared" si="263"/>
        <v>178.8</v>
      </c>
      <c r="G1130" s="7">
        <f t="shared" si="263"/>
        <v>0</v>
      </c>
      <c r="H1130" s="35">
        <f t="shared" si="260"/>
        <v>178.8</v>
      </c>
      <c r="I1130" s="7">
        <f t="shared" si="263"/>
        <v>0</v>
      </c>
      <c r="J1130" s="35">
        <f t="shared" si="258"/>
        <v>178.8</v>
      </c>
      <c r="K1130" s="7">
        <f t="shared" si="263"/>
        <v>2500</v>
      </c>
      <c r="L1130" s="35">
        <f t="shared" si="253"/>
        <v>2678.8</v>
      </c>
      <c r="M1130" s="7">
        <f t="shared" si="263"/>
        <v>0</v>
      </c>
      <c r="N1130" s="35">
        <f t="shared" si="254"/>
        <v>2678.8</v>
      </c>
      <c r="O1130" s="7">
        <f t="shared" si="263"/>
        <v>3959.5</v>
      </c>
      <c r="P1130" s="35">
        <f t="shared" si="250"/>
        <v>6638.3</v>
      </c>
      <c r="Q1130" s="7">
        <f t="shared" si="263"/>
        <v>213.5</v>
      </c>
      <c r="R1130" s="35">
        <f t="shared" si="247"/>
        <v>6851.8</v>
      </c>
      <c r="S1130" s="7">
        <f t="shared" si="263"/>
        <v>-138.6</v>
      </c>
      <c r="T1130" s="35">
        <f t="shared" si="257"/>
        <v>6713.2</v>
      </c>
    </row>
    <row r="1131" spans="1:20" ht="33">
      <c r="A1131" s="61" t="str">
        <f ca="1">IF(ISERROR(MATCH(E1131,Код_КВР,0)),"",INDIRECT(ADDRESS(MATCH(E1131,Код_КВР,0)+1,2,,,"КВР")))</f>
        <v>Капитальные вложения в объекты недвижимого имущества муниципальной собственности</v>
      </c>
      <c r="B1131" s="62" t="s">
        <v>71</v>
      </c>
      <c r="C1131" s="8" t="s">
        <v>193</v>
      </c>
      <c r="D1131" s="1" t="s">
        <v>217</v>
      </c>
      <c r="E1131" s="113">
        <v>400</v>
      </c>
      <c r="F1131" s="7">
        <f t="shared" si="263"/>
        <v>178.8</v>
      </c>
      <c r="G1131" s="7">
        <f t="shared" si="263"/>
        <v>0</v>
      </c>
      <c r="H1131" s="35">
        <f t="shared" si="260"/>
        <v>178.8</v>
      </c>
      <c r="I1131" s="7">
        <f t="shared" si="263"/>
        <v>0</v>
      </c>
      <c r="J1131" s="35">
        <f t="shared" si="258"/>
        <v>178.8</v>
      </c>
      <c r="K1131" s="7">
        <f t="shared" si="263"/>
        <v>2500</v>
      </c>
      <c r="L1131" s="35">
        <f t="shared" si="253"/>
        <v>2678.8</v>
      </c>
      <c r="M1131" s="7">
        <f t="shared" si="263"/>
        <v>0</v>
      </c>
      <c r="N1131" s="35">
        <f t="shared" si="254"/>
        <v>2678.8</v>
      </c>
      <c r="O1131" s="7">
        <f t="shared" si="263"/>
        <v>3959.5</v>
      </c>
      <c r="P1131" s="35">
        <f t="shared" si="250"/>
        <v>6638.3</v>
      </c>
      <c r="Q1131" s="7">
        <f t="shared" si="263"/>
        <v>213.5</v>
      </c>
      <c r="R1131" s="35">
        <f t="shared" si="247"/>
        <v>6851.8</v>
      </c>
      <c r="S1131" s="7">
        <f t="shared" si="263"/>
        <v>-138.6</v>
      </c>
      <c r="T1131" s="35">
        <f t="shared" si="257"/>
        <v>6713.2</v>
      </c>
    </row>
    <row r="1132" spans="1:20">
      <c r="A1132" s="61" t="str">
        <f ca="1">IF(ISERROR(MATCH(E1132,Код_КВР,0)),"",INDIRECT(ADDRESS(MATCH(E1132,Код_КВР,0)+1,2,,,"КВР")))</f>
        <v>Бюджетные инвестиции</v>
      </c>
      <c r="B1132" s="62" t="s">
        <v>71</v>
      </c>
      <c r="C1132" s="8" t="s">
        <v>193</v>
      </c>
      <c r="D1132" s="1" t="s">
        <v>217</v>
      </c>
      <c r="E1132" s="113">
        <v>410</v>
      </c>
      <c r="F1132" s="7">
        <f t="shared" si="263"/>
        <v>178.8</v>
      </c>
      <c r="G1132" s="7">
        <f t="shared" si="263"/>
        <v>0</v>
      </c>
      <c r="H1132" s="35">
        <f t="shared" si="260"/>
        <v>178.8</v>
      </c>
      <c r="I1132" s="7">
        <f t="shared" si="263"/>
        <v>0</v>
      </c>
      <c r="J1132" s="35">
        <f t="shared" si="258"/>
        <v>178.8</v>
      </c>
      <c r="K1132" s="7">
        <f t="shared" si="263"/>
        <v>2500</v>
      </c>
      <c r="L1132" s="35">
        <f t="shared" si="253"/>
        <v>2678.8</v>
      </c>
      <c r="M1132" s="7">
        <f t="shared" si="263"/>
        <v>0</v>
      </c>
      <c r="N1132" s="35">
        <f t="shared" si="254"/>
        <v>2678.8</v>
      </c>
      <c r="O1132" s="7">
        <f t="shared" si="263"/>
        <v>3959.5</v>
      </c>
      <c r="P1132" s="35">
        <f t="shared" si="250"/>
        <v>6638.3</v>
      </c>
      <c r="Q1132" s="7">
        <f t="shared" si="263"/>
        <v>213.5</v>
      </c>
      <c r="R1132" s="35">
        <f t="shared" ref="R1132:R1235" si="264">P1132+Q1132</f>
        <v>6851.8</v>
      </c>
      <c r="S1132" s="7">
        <f t="shared" si="263"/>
        <v>-138.6</v>
      </c>
      <c r="T1132" s="35">
        <f t="shared" si="257"/>
        <v>6713.2</v>
      </c>
    </row>
    <row r="1133" spans="1:20" ht="33">
      <c r="A1133" s="61" t="str">
        <f ca="1">IF(ISERROR(MATCH(E1133,Код_КВР,0)),"",INDIRECT(ADDRESS(MATCH(E1133,Код_КВР,0)+1,2,,,"КВР")))</f>
        <v>Бюджетные инвестиции в объекты капитального строительства муниципальной собственности</v>
      </c>
      <c r="B1133" s="62" t="s">
        <v>71</v>
      </c>
      <c r="C1133" s="8" t="s">
        <v>193</v>
      </c>
      <c r="D1133" s="1" t="s">
        <v>217</v>
      </c>
      <c r="E1133" s="113">
        <v>414</v>
      </c>
      <c r="F1133" s="7">
        <f>прил.6!G1655</f>
        <v>178.8</v>
      </c>
      <c r="G1133" s="7">
        <f>прил.6!H1655</f>
        <v>0</v>
      </c>
      <c r="H1133" s="35">
        <f t="shared" si="260"/>
        <v>178.8</v>
      </c>
      <c r="I1133" s="7">
        <f>прил.6!J1655</f>
        <v>0</v>
      </c>
      <c r="J1133" s="35">
        <f t="shared" si="258"/>
        <v>178.8</v>
      </c>
      <c r="K1133" s="7">
        <f>прил.6!L1655</f>
        <v>2500</v>
      </c>
      <c r="L1133" s="35">
        <f t="shared" si="253"/>
        <v>2678.8</v>
      </c>
      <c r="M1133" s="7">
        <f>прил.6!N1655</f>
        <v>0</v>
      </c>
      <c r="N1133" s="35">
        <f t="shared" si="254"/>
        <v>2678.8</v>
      </c>
      <c r="O1133" s="7">
        <f>прил.6!P1655</f>
        <v>3959.5</v>
      </c>
      <c r="P1133" s="35">
        <f t="shared" si="250"/>
        <v>6638.3</v>
      </c>
      <c r="Q1133" s="7">
        <f>прил.6!R1655</f>
        <v>213.5</v>
      </c>
      <c r="R1133" s="35">
        <f t="shared" si="264"/>
        <v>6851.8</v>
      </c>
      <c r="S1133" s="7">
        <f>прил.6!T1655</f>
        <v>-138.6</v>
      </c>
      <c r="T1133" s="35">
        <f t="shared" si="257"/>
        <v>6713.2</v>
      </c>
    </row>
    <row r="1134" spans="1:20">
      <c r="A1134" s="61" t="str">
        <f ca="1">IF(ISERROR(MATCH(C1134,Код_Раздел,0)),"",INDIRECT(ADDRESS(MATCH(C1134,Код_Раздел,0)+1,2,,,"Раздел")))</f>
        <v>Культура, кинематография</v>
      </c>
      <c r="B1134" s="62" t="s">
        <v>71</v>
      </c>
      <c r="C1134" s="8" t="s">
        <v>220</v>
      </c>
      <c r="D1134" s="1"/>
      <c r="E1134" s="113"/>
      <c r="F1134" s="7"/>
      <c r="G1134" s="7"/>
      <c r="H1134" s="35"/>
      <c r="I1134" s="7"/>
      <c r="J1134" s="35"/>
      <c r="K1134" s="7"/>
      <c r="L1134" s="35"/>
      <c r="M1134" s="7"/>
      <c r="N1134" s="35"/>
      <c r="O1134" s="7"/>
      <c r="P1134" s="35"/>
      <c r="Q1134" s="7">
        <f>Q1135</f>
        <v>5719.1</v>
      </c>
      <c r="R1134" s="35">
        <f t="shared" si="264"/>
        <v>5719.1</v>
      </c>
      <c r="S1134" s="7">
        <f>S1135</f>
        <v>-203.2</v>
      </c>
      <c r="T1134" s="35">
        <f t="shared" si="257"/>
        <v>5515.9000000000005</v>
      </c>
    </row>
    <row r="1135" spans="1:20" ht="20.25" customHeight="1">
      <c r="A1135" s="12" t="s">
        <v>161</v>
      </c>
      <c r="B1135" s="62" t="s">
        <v>71</v>
      </c>
      <c r="C1135" s="8" t="s">
        <v>220</v>
      </c>
      <c r="D1135" s="1" t="s">
        <v>214</v>
      </c>
      <c r="E1135" s="113"/>
      <c r="F1135" s="7"/>
      <c r="G1135" s="7"/>
      <c r="H1135" s="35"/>
      <c r="I1135" s="7"/>
      <c r="J1135" s="35"/>
      <c r="K1135" s="7"/>
      <c r="L1135" s="35"/>
      <c r="M1135" s="7"/>
      <c r="N1135" s="35"/>
      <c r="O1135" s="7"/>
      <c r="P1135" s="35"/>
      <c r="Q1135" s="7">
        <f>Q1136</f>
        <v>5719.1</v>
      </c>
      <c r="R1135" s="35">
        <f t="shared" si="264"/>
        <v>5719.1</v>
      </c>
      <c r="S1135" s="7">
        <f>S1136</f>
        <v>-203.2</v>
      </c>
      <c r="T1135" s="35">
        <f t="shared" si="257"/>
        <v>5515.9000000000005</v>
      </c>
    </row>
    <row r="1136" spans="1:20" ht="33">
      <c r="A1136" s="61" t="str">
        <f ca="1">IF(ISERROR(MATCH(E1136,Код_КВР,0)),"",INDIRECT(ADDRESS(MATCH(E1136,Код_КВР,0)+1,2,,,"КВР")))</f>
        <v>Капитальные вложения в объекты недвижимого имущества муниципальной собственности</v>
      </c>
      <c r="B1136" s="62" t="s">
        <v>71</v>
      </c>
      <c r="C1136" s="8" t="s">
        <v>220</v>
      </c>
      <c r="D1136" s="1" t="s">
        <v>214</v>
      </c>
      <c r="E1136" s="113">
        <v>400</v>
      </c>
      <c r="F1136" s="7"/>
      <c r="G1136" s="7"/>
      <c r="H1136" s="35"/>
      <c r="I1136" s="7"/>
      <c r="J1136" s="35"/>
      <c r="K1136" s="7"/>
      <c r="L1136" s="35"/>
      <c r="M1136" s="7"/>
      <c r="N1136" s="35"/>
      <c r="O1136" s="7"/>
      <c r="P1136" s="35"/>
      <c r="Q1136" s="7">
        <f>Q1137</f>
        <v>5719.1</v>
      </c>
      <c r="R1136" s="35">
        <f t="shared" si="264"/>
        <v>5719.1</v>
      </c>
      <c r="S1136" s="7">
        <f>S1137</f>
        <v>-203.2</v>
      </c>
      <c r="T1136" s="35">
        <f t="shared" si="257"/>
        <v>5515.9000000000005</v>
      </c>
    </row>
    <row r="1137" spans="1:20">
      <c r="A1137" s="61" t="str">
        <f ca="1">IF(ISERROR(MATCH(E1137,Код_КВР,0)),"",INDIRECT(ADDRESS(MATCH(E1137,Код_КВР,0)+1,2,,,"КВР")))</f>
        <v>Бюджетные инвестиции</v>
      </c>
      <c r="B1137" s="62" t="s">
        <v>71</v>
      </c>
      <c r="C1137" s="8" t="s">
        <v>220</v>
      </c>
      <c r="D1137" s="1" t="s">
        <v>214</v>
      </c>
      <c r="E1137" s="113">
        <v>410</v>
      </c>
      <c r="F1137" s="7"/>
      <c r="G1137" s="7"/>
      <c r="H1137" s="35"/>
      <c r="I1137" s="7"/>
      <c r="J1137" s="35"/>
      <c r="K1137" s="7"/>
      <c r="L1137" s="35"/>
      <c r="M1137" s="7"/>
      <c r="N1137" s="35"/>
      <c r="O1137" s="7"/>
      <c r="P1137" s="35"/>
      <c r="Q1137" s="7">
        <f>Q1138</f>
        <v>5719.1</v>
      </c>
      <c r="R1137" s="35">
        <f t="shared" si="264"/>
        <v>5719.1</v>
      </c>
      <c r="S1137" s="7">
        <f>S1138</f>
        <v>-203.2</v>
      </c>
      <c r="T1137" s="35">
        <f t="shared" si="257"/>
        <v>5515.9000000000005</v>
      </c>
    </row>
    <row r="1138" spans="1:20" ht="33">
      <c r="A1138" s="61" t="str">
        <f ca="1">IF(ISERROR(MATCH(E1138,Код_КВР,0)),"",INDIRECT(ADDRESS(MATCH(E1138,Код_КВР,0)+1,2,,,"КВР")))</f>
        <v>Бюджетные инвестиции в объекты капитального строительства муниципальной собственности</v>
      </c>
      <c r="B1138" s="62" t="s">
        <v>71</v>
      </c>
      <c r="C1138" s="8" t="s">
        <v>220</v>
      </c>
      <c r="D1138" s="1" t="s">
        <v>214</v>
      </c>
      <c r="E1138" s="113">
        <v>414</v>
      </c>
      <c r="F1138" s="7"/>
      <c r="G1138" s="7"/>
      <c r="H1138" s="35"/>
      <c r="I1138" s="7"/>
      <c r="J1138" s="35"/>
      <c r="K1138" s="7"/>
      <c r="L1138" s="35"/>
      <c r="M1138" s="7"/>
      <c r="N1138" s="35"/>
      <c r="O1138" s="7"/>
      <c r="P1138" s="35"/>
      <c r="Q1138" s="7">
        <f>прил.6!R1693</f>
        <v>5719.1</v>
      </c>
      <c r="R1138" s="35">
        <f t="shared" si="264"/>
        <v>5719.1</v>
      </c>
      <c r="S1138" s="7">
        <f>прил.6!T1693</f>
        <v>-203.2</v>
      </c>
      <c r="T1138" s="35">
        <f t="shared" si="257"/>
        <v>5515.9000000000005</v>
      </c>
    </row>
    <row r="1139" spans="1:20">
      <c r="A1139" s="61" t="str">
        <f ca="1">IF(ISERROR(MATCH(C1139,Код_Раздел,0)),"",INDIRECT(ADDRESS(MATCH(C1139,Код_Раздел,0)+1,2,,,"Раздел")))</f>
        <v>Физическая культура и спорт</v>
      </c>
      <c r="B1139" s="62" t="s">
        <v>71</v>
      </c>
      <c r="C1139" s="8" t="s">
        <v>222</v>
      </c>
      <c r="D1139" s="1"/>
      <c r="E1139" s="113"/>
      <c r="F1139" s="7">
        <f t="shared" ref="F1139:S1142" si="265">F1140</f>
        <v>10000</v>
      </c>
      <c r="G1139" s="7">
        <f t="shared" si="265"/>
        <v>0</v>
      </c>
      <c r="H1139" s="35">
        <f t="shared" si="260"/>
        <v>10000</v>
      </c>
      <c r="I1139" s="7">
        <f t="shared" si="265"/>
        <v>0</v>
      </c>
      <c r="J1139" s="35">
        <f t="shared" si="258"/>
        <v>10000</v>
      </c>
      <c r="K1139" s="7">
        <f t="shared" si="265"/>
        <v>0</v>
      </c>
      <c r="L1139" s="35">
        <f t="shared" si="253"/>
        <v>10000</v>
      </c>
      <c r="M1139" s="7">
        <f t="shared" si="265"/>
        <v>0</v>
      </c>
      <c r="N1139" s="35">
        <f t="shared" si="254"/>
        <v>10000</v>
      </c>
      <c r="O1139" s="7">
        <f t="shared" si="265"/>
        <v>0</v>
      </c>
      <c r="P1139" s="35">
        <f t="shared" si="250"/>
        <v>10000</v>
      </c>
      <c r="Q1139" s="7">
        <f t="shared" si="265"/>
        <v>0</v>
      </c>
      <c r="R1139" s="35">
        <f t="shared" si="264"/>
        <v>10000</v>
      </c>
      <c r="S1139" s="7">
        <f t="shared" si="265"/>
        <v>0</v>
      </c>
      <c r="T1139" s="35">
        <f t="shared" si="257"/>
        <v>10000</v>
      </c>
    </row>
    <row r="1140" spans="1:20">
      <c r="A1140" s="12" t="s">
        <v>190</v>
      </c>
      <c r="B1140" s="62" t="s">
        <v>71</v>
      </c>
      <c r="C1140" s="8" t="s">
        <v>222</v>
      </c>
      <c r="D1140" s="1" t="s">
        <v>219</v>
      </c>
      <c r="E1140" s="113"/>
      <c r="F1140" s="7">
        <f t="shared" si="265"/>
        <v>10000</v>
      </c>
      <c r="G1140" s="7">
        <f t="shared" si="265"/>
        <v>0</v>
      </c>
      <c r="H1140" s="35">
        <f t="shared" si="260"/>
        <v>10000</v>
      </c>
      <c r="I1140" s="7">
        <f t="shared" si="265"/>
        <v>0</v>
      </c>
      <c r="J1140" s="35">
        <f t="shared" si="258"/>
        <v>10000</v>
      </c>
      <c r="K1140" s="7">
        <f t="shared" si="265"/>
        <v>0</v>
      </c>
      <c r="L1140" s="35">
        <f t="shared" si="253"/>
        <v>10000</v>
      </c>
      <c r="M1140" s="7">
        <f t="shared" si="265"/>
        <v>0</v>
      </c>
      <c r="N1140" s="35">
        <f t="shared" si="254"/>
        <v>10000</v>
      </c>
      <c r="O1140" s="7">
        <f t="shared" si="265"/>
        <v>0</v>
      </c>
      <c r="P1140" s="35">
        <f t="shared" si="250"/>
        <v>10000</v>
      </c>
      <c r="Q1140" s="7">
        <f t="shared" si="265"/>
        <v>0</v>
      </c>
      <c r="R1140" s="35">
        <f t="shared" si="264"/>
        <v>10000</v>
      </c>
      <c r="S1140" s="7">
        <f t="shared" si="265"/>
        <v>0</v>
      </c>
      <c r="T1140" s="35">
        <f t="shared" si="257"/>
        <v>10000</v>
      </c>
    </row>
    <row r="1141" spans="1:20" ht="33">
      <c r="A1141" s="61" t="str">
        <f ca="1">IF(ISERROR(MATCH(E1141,Код_КВР,0)),"",INDIRECT(ADDRESS(MATCH(E1141,Код_КВР,0)+1,2,,,"КВР")))</f>
        <v>Капитальные вложения в объекты недвижимого имущества муниципальной собственности</v>
      </c>
      <c r="B1141" s="62" t="s">
        <v>71</v>
      </c>
      <c r="C1141" s="8" t="s">
        <v>222</v>
      </c>
      <c r="D1141" s="1" t="s">
        <v>219</v>
      </c>
      <c r="E1141" s="113">
        <v>400</v>
      </c>
      <c r="F1141" s="7">
        <f t="shared" si="265"/>
        <v>10000</v>
      </c>
      <c r="G1141" s="7">
        <f t="shared" si="265"/>
        <v>0</v>
      </c>
      <c r="H1141" s="35">
        <f t="shared" si="260"/>
        <v>10000</v>
      </c>
      <c r="I1141" s="7">
        <f t="shared" si="265"/>
        <v>0</v>
      </c>
      <c r="J1141" s="35">
        <f t="shared" si="258"/>
        <v>10000</v>
      </c>
      <c r="K1141" s="7">
        <f t="shared" si="265"/>
        <v>0</v>
      </c>
      <c r="L1141" s="35">
        <f t="shared" si="253"/>
        <v>10000</v>
      </c>
      <c r="M1141" s="7">
        <f t="shared" si="265"/>
        <v>0</v>
      </c>
      <c r="N1141" s="35">
        <f t="shared" si="254"/>
        <v>10000</v>
      </c>
      <c r="O1141" s="7">
        <f t="shared" si="265"/>
        <v>0</v>
      </c>
      <c r="P1141" s="35">
        <f t="shared" si="250"/>
        <v>10000</v>
      </c>
      <c r="Q1141" s="7">
        <f t="shared" si="265"/>
        <v>0</v>
      </c>
      <c r="R1141" s="35">
        <f t="shared" si="264"/>
        <v>10000</v>
      </c>
      <c r="S1141" s="7">
        <f t="shared" si="265"/>
        <v>0</v>
      </c>
      <c r="T1141" s="35">
        <f t="shared" si="257"/>
        <v>10000</v>
      </c>
    </row>
    <row r="1142" spans="1:20">
      <c r="A1142" s="61" t="str">
        <f ca="1">IF(ISERROR(MATCH(E1142,Код_КВР,0)),"",INDIRECT(ADDRESS(MATCH(E1142,Код_КВР,0)+1,2,,,"КВР")))</f>
        <v>Бюджетные инвестиции</v>
      </c>
      <c r="B1142" s="62" t="s">
        <v>71</v>
      </c>
      <c r="C1142" s="8" t="s">
        <v>222</v>
      </c>
      <c r="D1142" s="1" t="s">
        <v>219</v>
      </c>
      <c r="E1142" s="113">
        <v>410</v>
      </c>
      <c r="F1142" s="7">
        <f t="shared" si="265"/>
        <v>10000</v>
      </c>
      <c r="G1142" s="7">
        <f t="shared" si="265"/>
        <v>0</v>
      </c>
      <c r="H1142" s="35">
        <f t="shared" si="260"/>
        <v>10000</v>
      </c>
      <c r="I1142" s="7">
        <f t="shared" si="265"/>
        <v>0</v>
      </c>
      <c r="J1142" s="35">
        <f t="shared" si="258"/>
        <v>10000</v>
      </c>
      <c r="K1142" s="7">
        <f t="shared" si="265"/>
        <v>0</v>
      </c>
      <c r="L1142" s="35">
        <f t="shared" si="253"/>
        <v>10000</v>
      </c>
      <c r="M1142" s="7">
        <f t="shared" si="265"/>
        <v>0</v>
      </c>
      <c r="N1142" s="35">
        <f t="shared" si="254"/>
        <v>10000</v>
      </c>
      <c r="O1142" s="7">
        <f t="shared" si="265"/>
        <v>0</v>
      </c>
      <c r="P1142" s="35">
        <f t="shared" si="250"/>
        <v>10000</v>
      </c>
      <c r="Q1142" s="7">
        <f t="shared" si="265"/>
        <v>0</v>
      </c>
      <c r="R1142" s="35">
        <f t="shared" si="264"/>
        <v>10000</v>
      </c>
      <c r="S1142" s="7">
        <f t="shared" si="265"/>
        <v>0</v>
      </c>
      <c r="T1142" s="35">
        <f t="shared" si="257"/>
        <v>10000</v>
      </c>
    </row>
    <row r="1143" spans="1:20" ht="33">
      <c r="A1143" s="61" t="str">
        <f ca="1">IF(ISERROR(MATCH(E1143,Код_КВР,0)),"",INDIRECT(ADDRESS(MATCH(E1143,Код_КВР,0)+1,2,,,"КВР")))</f>
        <v>Бюджетные инвестиции в объекты капитального строительства муниципальной собственности</v>
      </c>
      <c r="B1143" s="62" t="s">
        <v>71</v>
      </c>
      <c r="C1143" s="8" t="s">
        <v>222</v>
      </c>
      <c r="D1143" s="1" t="s">
        <v>219</v>
      </c>
      <c r="E1143" s="113">
        <v>414</v>
      </c>
      <c r="F1143" s="7">
        <f>прил.6!G1701</f>
        <v>10000</v>
      </c>
      <c r="G1143" s="7">
        <f>прил.6!H1701</f>
        <v>0</v>
      </c>
      <c r="H1143" s="35">
        <f t="shared" si="260"/>
        <v>10000</v>
      </c>
      <c r="I1143" s="7">
        <f>прил.6!J1701</f>
        <v>0</v>
      </c>
      <c r="J1143" s="35">
        <f t="shared" si="258"/>
        <v>10000</v>
      </c>
      <c r="K1143" s="7">
        <f>прил.6!L1701</f>
        <v>0</v>
      </c>
      <c r="L1143" s="35">
        <f t="shared" si="253"/>
        <v>10000</v>
      </c>
      <c r="M1143" s="7">
        <f>прил.6!N1701</f>
        <v>0</v>
      </c>
      <c r="N1143" s="35">
        <f t="shared" si="254"/>
        <v>10000</v>
      </c>
      <c r="O1143" s="7">
        <f>прил.6!P1701</f>
        <v>0</v>
      </c>
      <c r="P1143" s="35">
        <f t="shared" si="250"/>
        <v>10000</v>
      </c>
      <c r="Q1143" s="7">
        <f>прил.6!R1701</f>
        <v>0</v>
      </c>
      <c r="R1143" s="35">
        <f t="shared" si="264"/>
        <v>10000</v>
      </c>
      <c r="S1143" s="7">
        <f>прил.6!T1701</f>
        <v>0</v>
      </c>
      <c r="T1143" s="35">
        <f t="shared" si="257"/>
        <v>10000</v>
      </c>
    </row>
    <row r="1144" spans="1:20">
      <c r="A1144" s="61" t="str">
        <f ca="1">IF(ISERROR(MATCH(B1144,Код_КЦСР,0)),"",INDIRECT(ADDRESS(MATCH(B1144,Код_КЦСР,0)+1,2,,,"КЦСР")))</f>
        <v>Строительство детского сада № 35 на 330 мест в 105 мкр.</v>
      </c>
      <c r="B1144" s="62" t="s">
        <v>73</v>
      </c>
      <c r="C1144" s="8"/>
      <c r="D1144" s="1"/>
      <c r="E1144" s="113"/>
      <c r="F1144" s="7">
        <f t="shared" ref="F1144:S1148" si="266">F1145</f>
        <v>51800</v>
      </c>
      <c r="G1144" s="7">
        <f t="shared" si="266"/>
        <v>0</v>
      </c>
      <c r="H1144" s="35">
        <f t="shared" si="260"/>
        <v>51800</v>
      </c>
      <c r="I1144" s="7">
        <f t="shared" si="266"/>
        <v>0</v>
      </c>
      <c r="J1144" s="35">
        <f t="shared" si="258"/>
        <v>51800</v>
      </c>
      <c r="K1144" s="7">
        <f t="shared" si="266"/>
        <v>-7657</v>
      </c>
      <c r="L1144" s="35">
        <f t="shared" si="253"/>
        <v>44143</v>
      </c>
      <c r="M1144" s="7">
        <f t="shared" si="266"/>
        <v>0</v>
      </c>
      <c r="N1144" s="35">
        <f t="shared" si="254"/>
        <v>44143</v>
      </c>
      <c r="O1144" s="7">
        <f t="shared" si="266"/>
        <v>0</v>
      </c>
      <c r="P1144" s="35">
        <f t="shared" si="250"/>
        <v>44143</v>
      </c>
      <c r="Q1144" s="7">
        <f t="shared" si="266"/>
        <v>0</v>
      </c>
      <c r="R1144" s="35">
        <f t="shared" si="264"/>
        <v>44143</v>
      </c>
      <c r="S1144" s="7">
        <f t="shared" si="266"/>
        <v>0</v>
      </c>
      <c r="T1144" s="35">
        <f t="shared" si="257"/>
        <v>44143</v>
      </c>
    </row>
    <row r="1145" spans="1:20">
      <c r="A1145" s="61" t="str">
        <f ca="1">IF(ISERROR(MATCH(C1145,Код_Раздел,0)),"",INDIRECT(ADDRESS(MATCH(C1145,Код_Раздел,0)+1,2,,,"Раздел")))</f>
        <v>Образование</v>
      </c>
      <c r="B1145" s="62" t="s">
        <v>73</v>
      </c>
      <c r="C1145" s="8" t="s">
        <v>193</v>
      </c>
      <c r="D1145" s="1"/>
      <c r="E1145" s="113"/>
      <c r="F1145" s="7">
        <f t="shared" si="266"/>
        <v>51800</v>
      </c>
      <c r="G1145" s="7">
        <f t="shared" si="266"/>
        <v>0</v>
      </c>
      <c r="H1145" s="35">
        <f t="shared" si="260"/>
        <v>51800</v>
      </c>
      <c r="I1145" s="7">
        <f t="shared" si="266"/>
        <v>0</v>
      </c>
      <c r="J1145" s="35">
        <f t="shared" si="258"/>
        <v>51800</v>
      </c>
      <c r="K1145" s="7">
        <f t="shared" si="266"/>
        <v>-7657</v>
      </c>
      <c r="L1145" s="35">
        <f t="shared" si="253"/>
        <v>44143</v>
      </c>
      <c r="M1145" s="7">
        <f t="shared" si="266"/>
        <v>0</v>
      </c>
      <c r="N1145" s="35">
        <f t="shared" si="254"/>
        <v>44143</v>
      </c>
      <c r="O1145" s="7">
        <f t="shared" si="266"/>
        <v>0</v>
      </c>
      <c r="P1145" s="35">
        <f t="shared" ref="P1145:P1243" si="267">N1145+O1145</f>
        <v>44143</v>
      </c>
      <c r="Q1145" s="7">
        <f t="shared" si="266"/>
        <v>0</v>
      </c>
      <c r="R1145" s="35">
        <f t="shared" si="264"/>
        <v>44143</v>
      </c>
      <c r="S1145" s="7">
        <f t="shared" si="266"/>
        <v>0</v>
      </c>
      <c r="T1145" s="35">
        <f t="shared" si="257"/>
        <v>44143</v>
      </c>
    </row>
    <row r="1146" spans="1:20">
      <c r="A1146" s="12" t="s">
        <v>249</v>
      </c>
      <c r="B1146" s="62" t="s">
        <v>73</v>
      </c>
      <c r="C1146" s="8" t="s">
        <v>193</v>
      </c>
      <c r="D1146" s="1" t="s">
        <v>217</v>
      </c>
      <c r="E1146" s="113"/>
      <c r="F1146" s="7">
        <f t="shared" si="266"/>
        <v>51800</v>
      </c>
      <c r="G1146" s="7">
        <f t="shared" si="266"/>
        <v>0</v>
      </c>
      <c r="H1146" s="35">
        <f t="shared" si="260"/>
        <v>51800</v>
      </c>
      <c r="I1146" s="7">
        <f t="shared" si="266"/>
        <v>0</v>
      </c>
      <c r="J1146" s="35">
        <f t="shared" si="258"/>
        <v>51800</v>
      </c>
      <c r="K1146" s="7">
        <f t="shared" si="266"/>
        <v>-7657</v>
      </c>
      <c r="L1146" s="35">
        <f t="shared" si="253"/>
        <v>44143</v>
      </c>
      <c r="M1146" s="7">
        <f t="shared" si="266"/>
        <v>0</v>
      </c>
      <c r="N1146" s="35">
        <f t="shared" si="254"/>
        <v>44143</v>
      </c>
      <c r="O1146" s="7">
        <f t="shared" si="266"/>
        <v>0</v>
      </c>
      <c r="P1146" s="35">
        <f t="shared" si="267"/>
        <v>44143</v>
      </c>
      <c r="Q1146" s="7">
        <f t="shared" si="266"/>
        <v>0</v>
      </c>
      <c r="R1146" s="35">
        <f t="shared" si="264"/>
        <v>44143</v>
      </c>
      <c r="S1146" s="7">
        <f t="shared" si="266"/>
        <v>0</v>
      </c>
      <c r="T1146" s="35">
        <f t="shared" si="257"/>
        <v>44143</v>
      </c>
    </row>
    <row r="1147" spans="1:20" ht="33">
      <c r="A1147" s="61" t="str">
        <f ca="1">IF(ISERROR(MATCH(E1147,Код_КВР,0)),"",INDIRECT(ADDRESS(MATCH(E1147,Код_КВР,0)+1,2,,,"КВР")))</f>
        <v>Капитальные вложения в объекты недвижимого имущества муниципальной собственности</v>
      </c>
      <c r="B1147" s="62" t="s">
        <v>73</v>
      </c>
      <c r="C1147" s="8" t="s">
        <v>193</v>
      </c>
      <c r="D1147" s="1" t="s">
        <v>217</v>
      </c>
      <c r="E1147" s="113">
        <v>400</v>
      </c>
      <c r="F1147" s="7">
        <f t="shared" si="266"/>
        <v>51800</v>
      </c>
      <c r="G1147" s="7">
        <f t="shared" si="266"/>
        <v>0</v>
      </c>
      <c r="H1147" s="35">
        <f t="shared" si="260"/>
        <v>51800</v>
      </c>
      <c r="I1147" s="7">
        <f t="shared" si="266"/>
        <v>0</v>
      </c>
      <c r="J1147" s="35">
        <f t="shared" si="258"/>
        <v>51800</v>
      </c>
      <c r="K1147" s="7">
        <f t="shared" si="266"/>
        <v>-7657</v>
      </c>
      <c r="L1147" s="35">
        <f t="shared" si="253"/>
        <v>44143</v>
      </c>
      <c r="M1147" s="7">
        <f t="shared" si="266"/>
        <v>0</v>
      </c>
      <c r="N1147" s="35">
        <f t="shared" si="254"/>
        <v>44143</v>
      </c>
      <c r="O1147" s="7">
        <f t="shared" si="266"/>
        <v>0</v>
      </c>
      <c r="P1147" s="35">
        <f t="shared" si="267"/>
        <v>44143</v>
      </c>
      <c r="Q1147" s="7">
        <f t="shared" si="266"/>
        <v>0</v>
      </c>
      <c r="R1147" s="35">
        <f t="shared" si="264"/>
        <v>44143</v>
      </c>
      <c r="S1147" s="7">
        <f t="shared" si="266"/>
        <v>0</v>
      </c>
      <c r="T1147" s="35">
        <f t="shared" si="257"/>
        <v>44143</v>
      </c>
    </row>
    <row r="1148" spans="1:20">
      <c r="A1148" s="61" t="str">
        <f ca="1">IF(ISERROR(MATCH(E1148,Код_КВР,0)),"",INDIRECT(ADDRESS(MATCH(E1148,Код_КВР,0)+1,2,,,"КВР")))</f>
        <v>Бюджетные инвестиции</v>
      </c>
      <c r="B1148" s="62" t="s">
        <v>73</v>
      </c>
      <c r="C1148" s="8" t="s">
        <v>193</v>
      </c>
      <c r="D1148" s="1" t="s">
        <v>217</v>
      </c>
      <c r="E1148" s="113">
        <v>410</v>
      </c>
      <c r="F1148" s="7">
        <f t="shared" si="266"/>
        <v>51800</v>
      </c>
      <c r="G1148" s="7">
        <f t="shared" si="266"/>
        <v>0</v>
      </c>
      <c r="H1148" s="35">
        <f t="shared" si="260"/>
        <v>51800</v>
      </c>
      <c r="I1148" s="7">
        <f t="shared" si="266"/>
        <v>0</v>
      </c>
      <c r="J1148" s="35">
        <f t="shared" si="258"/>
        <v>51800</v>
      </c>
      <c r="K1148" s="7">
        <f t="shared" si="266"/>
        <v>-7657</v>
      </c>
      <c r="L1148" s="35">
        <f t="shared" si="253"/>
        <v>44143</v>
      </c>
      <c r="M1148" s="7">
        <f t="shared" si="266"/>
        <v>0</v>
      </c>
      <c r="N1148" s="35">
        <f t="shared" si="254"/>
        <v>44143</v>
      </c>
      <c r="O1148" s="7">
        <f t="shared" si="266"/>
        <v>0</v>
      </c>
      <c r="P1148" s="35">
        <f t="shared" si="267"/>
        <v>44143</v>
      </c>
      <c r="Q1148" s="7">
        <f t="shared" si="266"/>
        <v>0</v>
      </c>
      <c r="R1148" s="35">
        <f t="shared" si="264"/>
        <v>44143</v>
      </c>
      <c r="S1148" s="7">
        <f t="shared" si="266"/>
        <v>0</v>
      </c>
      <c r="T1148" s="35">
        <f t="shared" si="257"/>
        <v>44143</v>
      </c>
    </row>
    <row r="1149" spans="1:20" ht="33">
      <c r="A1149" s="61" t="str">
        <f ca="1">IF(ISERROR(MATCH(E1149,Код_КВР,0)),"",INDIRECT(ADDRESS(MATCH(E1149,Код_КВР,0)+1,2,,,"КВР")))</f>
        <v>Бюджетные инвестиции в объекты капитального строительства муниципальной собственности</v>
      </c>
      <c r="B1149" s="62" t="s">
        <v>73</v>
      </c>
      <c r="C1149" s="8" t="s">
        <v>193</v>
      </c>
      <c r="D1149" s="1" t="s">
        <v>217</v>
      </c>
      <c r="E1149" s="113">
        <v>414</v>
      </c>
      <c r="F1149" s="7">
        <f>прил.6!G1659</f>
        <v>51800</v>
      </c>
      <c r="G1149" s="7">
        <f>прил.6!H1659</f>
        <v>0</v>
      </c>
      <c r="H1149" s="35">
        <f t="shared" si="260"/>
        <v>51800</v>
      </c>
      <c r="I1149" s="7">
        <f>прил.6!J1659</f>
        <v>0</v>
      </c>
      <c r="J1149" s="35">
        <f t="shared" si="258"/>
        <v>51800</v>
      </c>
      <c r="K1149" s="7">
        <f>прил.6!L1659</f>
        <v>-7657</v>
      </c>
      <c r="L1149" s="35">
        <f t="shared" si="253"/>
        <v>44143</v>
      </c>
      <c r="M1149" s="7">
        <f>прил.6!N1659</f>
        <v>0</v>
      </c>
      <c r="N1149" s="35">
        <f t="shared" si="254"/>
        <v>44143</v>
      </c>
      <c r="O1149" s="7">
        <f>прил.6!P1659</f>
        <v>0</v>
      </c>
      <c r="P1149" s="35">
        <f t="shared" si="267"/>
        <v>44143</v>
      </c>
      <c r="Q1149" s="7">
        <f>прил.6!R1659</f>
        <v>0</v>
      </c>
      <c r="R1149" s="35">
        <f t="shared" si="264"/>
        <v>44143</v>
      </c>
      <c r="S1149" s="7">
        <f>прил.6!T1659</f>
        <v>0</v>
      </c>
      <c r="T1149" s="35">
        <f t="shared" si="257"/>
        <v>44143</v>
      </c>
    </row>
    <row r="1150" spans="1:20">
      <c r="A1150" s="61" t="str">
        <f ca="1">IF(ISERROR(MATCH(B1150,Код_КЦСР,0)),"",INDIRECT(ADDRESS(MATCH(B1150,Код_КЦСР,0)+1,2,,,"КЦСР")))</f>
        <v>Строительство детского сада № 27 в 115 мкр.</v>
      </c>
      <c r="B1150" s="62" t="s">
        <v>74</v>
      </c>
      <c r="C1150" s="8"/>
      <c r="D1150" s="1"/>
      <c r="E1150" s="113"/>
      <c r="F1150" s="7">
        <f t="shared" ref="F1150:S1154" si="268">F1151</f>
        <v>26800</v>
      </c>
      <c r="G1150" s="7">
        <f t="shared" si="268"/>
        <v>0</v>
      </c>
      <c r="H1150" s="35">
        <f t="shared" si="260"/>
        <v>26800</v>
      </c>
      <c r="I1150" s="7">
        <f t="shared" si="268"/>
        <v>0</v>
      </c>
      <c r="J1150" s="35">
        <f t="shared" si="258"/>
        <v>26800</v>
      </c>
      <c r="K1150" s="7">
        <f t="shared" si="268"/>
        <v>0</v>
      </c>
      <c r="L1150" s="35">
        <f t="shared" si="253"/>
        <v>26800</v>
      </c>
      <c r="M1150" s="7">
        <f t="shared" si="268"/>
        <v>0</v>
      </c>
      <c r="N1150" s="35">
        <f t="shared" si="254"/>
        <v>26800</v>
      </c>
      <c r="O1150" s="7">
        <f t="shared" si="268"/>
        <v>0</v>
      </c>
      <c r="P1150" s="35">
        <f t="shared" si="267"/>
        <v>26800</v>
      </c>
      <c r="Q1150" s="7">
        <f>Q1151</f>
        <v>67686.3</v>
      </c>
      <c r="R1150" s="35">
        <f t="shared" si="264"/>
        <v>94486.3</v>
      </c>
      <c r="S1150" s="7">
        <f>S1151</f>
        <v>2</v>
      </c>
      <c r="T1150" s="35">
        <f t="shared" si="257"/>
        <v>94488.3</v>
      </c>
    </row>
    <row r="1151" spans="1:20">
      <c r="A1151" s="61" t="str">
        <f ca="1">IF(ISERROR(MATCH(C1151,Код_Раздел,0)),"",INDIRECT(ADDRESS(MATCH(C1151,Код_Раздел,0)+1,2,,,"Раздел")))</f>
        <v>Образование</v>
      </c>
      <c r="B1151" s="62" t="s">
        <v>74</v>
      </c>
      <c r="C1151" s="8" t="s">
        <v>193</v>
      </c>
      <c r="D1151" s="1"/>
      <c r="E1151" s="113"/>
      <c r="F1151" s="7">
        <f t="shared" si="268"/>
        <v>26800</v>
      </c>
      <c r="G1151" s="7">
        <f t="shared" si="268"/>
        <v>0</v>
      </c>
      <c r="H1151" s="35">
        <f t="shared" si="260"/>
        <v>26800</v>
      </c>
      <c r="I1151" s="7">
        <f t="shared" si="268"/>
        <v>0</v>
      </c>
      <c r="J1151" s="35">
        <f t="shared" si="258"/>
        <v>26800</v>
      </c>
      <c r="K1151" s="7">
        <f t="shared" si="268"/>
        <v>0</v>
      </c>
      <c r="L1151" s="35">
        <f t="shared" si="253"/>
        <v>26800</v>
      </c>
      <c r="M1151" s="7">
        <f t="shared" si="268"/>
        <v>0</v>
      </c>
      <c r="N1151" s="35">
        <f t="shared" si="254"/>
        <v>26800</v>
      </c>
      <c r="O1151" s="7">
        <f t="shared" si="268"/>
        <v>0</v>
      </c>
      <c r="P1151" s="35">
        <f t="shared" si="267"/>
        <v>26800</v>
      </c>
      <c r="Q1151" s="7">
        <f>Q1152</f>
        <v>67686.3</v>
      </c>
      <c r="R1151" s="35">
        <f t="shared" si="264"/>
        <v>94486.3</v>
      </c>
      <c r="S1151" s="7">
        <f>S1152</f>
        <v>2</v>
      </c>
      <c r="T1151" s="35">
        <f t="shared" si="257"/>
        <v>94488.3</v>
      </c>
    </row>
    <row r="1152" spans="1:20">
      <c r="A1152" s="12" t="s">
        <v>249</v>
      </c>
      <c r="B1152" s="62" t="s">
        <v>74</v>
      </c>
      <c r="C1152" s="8" t="s">
        <v>193</v>
      </c>
      <c r="D1152" s="1" t="s">
        <v>217</v>
      </c>
      <c r="E1152" s="113"/>
      <c r="F1152" s="7">
        <f t="shared" si="268"/>
        <v>26800</v>
      </c>
      <c r="G1152" s="7">
        <f t="shared" si="268"/>
        <v>0</v>
      </c>
      <c r="H1152" s="35">
        <f t="shared" si="260"/>
        <v>26800</v>
      </c>
      <c r="I1152" s="7">
        <f t="shared" si="268"/>
        <v>0</v>
      </c>
      <c r="J1152" s="35">
        <f t="shared" si="258"/>
        <v>26800</v>
      </c>
      <c r="K1152" s="7">
        <f t="shared" si="268"/>
        <v>0</v>
      </c>
      <c r="L1152" s="35">
        <f t="shared" si="253"/>
        <v>26800</v>
      </c>
      <c r="M1152" s="7">
        <f t="shared" si="268"/>
        <v>0</v>
      </c>
      <c r="N1152" s="35">
        <f t="shared" si="254"/>
        <v>26800</v>
      </c>
      <c r="O1152" s="7">
        <f t="shared" si="268"/>
        <v>0</v>
      </c>
      <c r="P1152" s="35">
        <f t="shared" si="267"/>
        <v>26800</v>
      </c>
      <c r="Q1152" s="7">
        <f>Q1153</f>
        <v>67686.3</v>
      </c>
      <c r="R1152" s="35">
        <f t="shared" si="264"/>
        <v>94486.3</v>
      </c>
      <c r="S1152" s="7">
        <f>S1153</f>
        <v>2</v>
      </c>
      <c r="T1152" s="35">
        <f t="shared" si="257"/>
        <v>94488.3</v>
      </c>
    </row>
    <row r="1153" spans="1:20" ht="33">
      <c r="A1153" s="61" t="str">
        <f ca="1">IF(ISERROR(MATCH(E1153,Код_КВР,0)),"",INDIRECT(ADDRESS(MATCH(E1153,Код_КВР,0)+1,2,,,"КВР")))</f>
        <v>Капитальные вложения в объекты недвижимого имущества муниципальной собственности</v>
      </c>
      <c r="B1153" s="62" t="s">
        <v>74</v>
      </c>
      <c r="C1153" s="8" t="s">
        <v>193</v>
      </c>
      <c r="D1153" s="1" t="s">
        <v>217</v>
      </c>
      <c r="E1153" s="113">
        <v>400</v>
      </c>
      <c r="F1153" s="7">
        <f t="shared" si="268"/>
        <v>26800</v>
      </c>
      <c r="G1153" s="7">
        <f t="shared" si="268"/>
        <v>0</v>
      </c>
      <c r="H1153" s="35">
        <f t="shared" si="260"/>
        <v>26800</v>
      </c>
      <c r="I1153" s="7">
        <f t="shared" si="268"/>
        <v>0</v>
      </c>
      <c r="J1153" s="35">
        <f t="shared" si="258"/>
        <v>26800</v>
      </c>
      <c r="K1153" s="7">
        <f t="shared" si="268"/>
        <v>0</v>
      </c>
      <c r="L1153" s="35">
        <f t="shared" si="253"/>
        <v>26800</v>
      </c>
      <c r="M1153" s="7">
        <f t="shared" si="268"/>
        <v>0</v>
      </c>
      <c r="N1153" s="35">
        <f t="shared" si="254"/>
        <v>26800</v>
      </c>
      <c r="O1153" s="7">
        <f t="shared" si="268"/>
        <v>0</v>
      </c>
      <c r="P1153" s="35">
        <f t="shared" si="267"/>
        <v>26800</v>
      </c>
      <c r="Q1153" s="7">
        <f t="shared" si="268"/>
        <v>67686.3</v>
      </c>
      <c r="R1153" s="35">
        <f t="shared" si="264"/>
        <v>94486.3</v>
      </c>
      <c r="S1153" s="7">
        <f t="shared" si="268"/>
        <v>2</v>
      </c>
      <c r="T1153" s="35">
        <f t="shared" si="257"/>
        <v>94488.3</v>
      </c>
    </row>
    <row r="1154" spans="1:20">
      <c r="A1154" s="61" t="str">
        <f ca="1">IF(ISERROR(MATCH(E1154,Код_КВР,0)),"",INDIRECT(ADDRESS(MATCH(E1154,Код_КВР,0)+1,2,,,"КВР")))</f>
        <v>Бюджетные инвестиции</v>
      </c>
      <c r="B1154" s="62" t="s">
        <v>74</v>
      </c>
      <c r="C1154" s="8" t="s">
        <v>193</v>
      </c>
      <c r="D1154" s="1" t="s">
        <v>217</v>
      </c>
      <c r="E1154" s="113">
        <v>410</v>
      </c>
      <c r="F1154" s="7">
        <f t="shared" si="268"/>
        <v>26800</v>
      </c>
      <c r="G1154" s="7">
        <f t="shared" si="268"/>
        <v>0</v>
      </c>
      <c r="H1154" s="35">
        <f t="shared" si="260"/>
        <v>26800</v>
      </c>
      <c r="I1154" s="7">
        <f t="shared" si="268"/>
        <v>0</v>
      </c>
      <c r="J1154" s="35">
        <f t="shared" si="258"/>
        <v>26800</v>
      </c>
      <c r="K1154" s="7">
        <f t="shared" si="268"/>
        <v>0</v>
      </c>
      <c r="L1154" s="35">
        <f t="shared" si="253"/>
        <v>26800</v>
      </c>
      <c r="M1154" s="7">
        <f t="shared" si="268"/>
        <v>0</v>
      </c>
      <c r="N1154" s="35">
        <f t="shared" si="254"/>
        <v>26800</v>
      </c>
      <c r="O1154" s="7">
        <f t="shared" si="268"/>
        <v>0</v>
      </c>
      <c r="P1154" s="35">
        <f t="shared" si="267"/>
        <v>26800</v>
      </c>
      <c r="Q1154" s="7">
        <f t="shared" si="268"/>
        <v>67686.3</v>
      </c>
      <c r="R1154" s="35">
        <f t="shared" si="264"/>
        <v>94486.3</v>
      </c>
      <c r="S1154" s="7">
        <f t="shared" si="268"/>
        <v>2</v>
      </c>
      <c r="T1154" s="35">
        <f t="shared" si="257"/>
        <v>94488.3</v>
      </c>
    </row>
    <row r="1155" spans="1:20" ht="33">
      <c r="A1155" s="61" t="str">
        <f ca="1">IF(ISERROR(MATCH(E1155,Код_КВР,0)),"",INDIRECT(ADDRESS(MATCH(E1155,Код_КВР,0)+1,2,,,"КВР")))</f>
        <v>Бюджетные инвестиции в объекты капитального строительства муниципальной собственности</v>
      </c>
      <c r="B1155" s="62" t="s">
        <v>74</v>
      </c>
      <c r="C1155" s="8" t="s">
        <v>193</v>
      </c>
      <c r="D1155" s="1" t="s">
        <v>217</v>
      </c>
      <c r="E1155" s="113">
        <v>414</v>
      </c>
      <c r="F1155" s="7">
        <f>прил.6!G1663</f>
        <v>26800</v>
      </c>
      <c r="G1155" s="7">
        <f>прил.6!H1663</f>
        <v>0</v>
      </c>
      <c r="H1155" s="35">
        <f t="shared" si="260"/>
        <v>26800</v>
      </c>
      <c r="I1155" s="7">
        <f>прил.6!J1663</f>
        <v>0</v>
      </c>
      <c r="J1155" s="35">
        <f t="shared" si="258"/>
        <v>26800</v>
      </c>
      <c r="K1155" s="7">
        <f>прил.6!L1663</f>
        <v>0</v>
      </c>
      <c r="L1155" s="35">
        <f t="shared" si="253"/>
        <v>26800</v>
      </c>
      <c r="M1155" s="7">
        <f>прил.6!N1663</f>
        <v>0</v>
      </c>
      <c r="N1155" s="35">
        <f t="shared" si="254"/>
        <v>26800</v>
      </c>
      <c r="O1155" s="7">
        <f>прил.6!P1663</f>
        <v>0</v>
      </c>
      <c r="P1155" s="35">
        <f t="shared" si="267"/>
        <v>26800</v>
      </c>
      <c r="Q1155" s="7">
        <f>прил.6!R1663</f>
        <v>67686.3</v>
      </c>
      <c r="R1155" s="35">
        <f t="shared" si="264"/>
        <v>94486.3</v>
      </c>
      <c r="S1155" s="7">
        <f>прил.6!T1663</f>
        <v>2</v>
      </c>
      <c r="T1155" s="35">
        <f t="shared" si="257"/>
        <v>94488.3</v>
      </c>
    </row>
    <row r="1156" spans="1:20">
      <c r="A1156" s="61" t="str">
        <f ca="1">IF(ISERROR(MATCH(B1156,Код_КЦСР,0)),"",INDIRECT(ADDRESS(MATCH(B1156,Код_КЦСР,0)+1,2,,,"КЦСР")))</f>
        <v>Строительство полигона твердых бытовых отходов (ТБО) №2</v>
      </c>
      <c r="B1156" s="62" t="s">
        <v>75</v>
      </c>
      <c r="C1156" s="8"/>
      <c r="D1156" s="1"/>
      <c r="E1156" s="113"/>
      <c r="F1156" s="7">
        <f t="shared" ref="F1156:S1160" si="269">F1157</f>
        <v>4522</v>
      </c>
      <c r="G1156" s="7">
        <f t="shared" si="269"/>
        <v>0</v>
      </c>
      <c r="H1156" s="35">
        <f t="shared" si="260"/>
        <v>4522</v>
      </c>
      <c r="I1156" s="7">
        <f t="shared" si="269"/>
        <v>0</v>
      </c>
      <c r="J1156" s="35">
        <f t="shared" si="258"/>
        <v>4522</v>
      </c>
      <c r="K1156" s="7">
        <f t="shared" si="269"/>
        <v>-2087.1999999999998</v>
      </c>
      <c r="L1156" s="35">
        <f t="shared" si="253"/>
        <v>2434.8000000000002</v>
      </c>
      <c r="M1156" s="7">
        <f t="shared" si="269"/>
        <v>0</v>
      </c>
      <c r="N1156" s="35">
        <f t="shared" si="254"/>
        <v>2434.8000000000002</v>
      </c>
      <c r="O1156" s="7">
        <f t="shared" si="269"/>
        <v>0</v>
      </c>
      <c r="P1156" s="35">
        <f t="shared" si="267"/>
        <v>2434.8000000000002</v>
      </c>
      <c r="Q1156" s="7">
        <f t="shared" si="269"/>
        <v>1611</v>
      </c>
      <c r="R1156" s="35">
        <f t="shared" si="264"/>
        <v>4045.8</v>
      </c>
      <c r="S1156" s="7">
        <f t="shared" si="269"/>
        <v>-348.5</v>
      </c>
      <c r="T1156" s="35">
        <f t="shared" si="257"/>
        <v>3697.3</v>
      </c>
    </row>
    <row r="1157" spans="1:20">
      <c r="A1157" s="61" t="str">
        <f ca="1">IF(ISERROR(MATCH(C1157,Код_Раздел,0)),"",INDIRECT(ADDRESS(MATCH(C1157,Код_Раздел,0)+1,2,,,"Раздел")))</f>
        <v>Жилищно-коммунальное хозяйство</v>
      </c>
      <c r="B1157" s="62" t="s">
        <v>75</v>
      </c>
      <c r="C1157" s="8" t="s">
        <v>219</v>
      </c>
      <c r="D1157" s="1"/>
      <c r="E1157" s="113"/>
      <c r="F1157" s="7">
        <f t="shared" si="269"/>
        <v>4522</v>
      </c>
      <c r="G1157" s="7">
        <f t="shared" si="269"/>
        <v>0</v>
      </c>
      <c r="H1157" s="35">
        <f t="shared" si="260"/>
        <v>4522</v>
      </c>
      <c r="I1157" s="7">
        <f t="shared" si="269"/>
        <v>0</v>
      </c>
      <c r="J1157" s="35">
        <f t="shared" si="258"/>
        <v>4522</v>
      </c>
      <c r="K1157" s="7">
        <f t="shared" si="269"/>
        <v>-2087.1999999999998</v>
      </c>
      <c r="L1157" s="35">
        <f t="shared" si="253"/>
        <v>2434.8000000000002</v>
      </c>
      <c r="M1157" s="7">
        <f t="shared" si="269"/>
        <v>0</v>
      </c>
      <c r="N1157" s="35">
        <f t="shared" si="254"/>
        <v>2434.8000000000002</v>
      </c>
      <c r="O1157" s="7">
        <f t="shared" si="269"/>
        <v>0</v>
      </c>
      <c r="P1157" s="35">
        <f t="shared" si="267"/>
        <v>2434.8000000000002</v>
      </c>
      <c r="Q1157" s="7">
        <f t="shared" si="269"/>
        <v>1611</v>
      </c>
      <c r="R1157" s="35">
        <f t="shared" si="264"/>
        <v>4045.8</v>
      </c>
      <c r="S1157" s="7">
        <f t="shared" si="269"/>
        <v>-348.5</v>
      </c>
      <c r="T1157" s="35">
        <f t="shared" si="257"/>
        <v>3697.3</v>
      </c>
    </row>
    <row r="1158" spans="1:20">
      <c r="A1158" s="12" t="s">
        <v>251</v>
      </c>
      <c r="B1158" s="62" t="s">
        <v>75</v>
      </c>
      <c r="C1158" s="8" t="s">
        <v>219</v>
      </c>
      <c r="D1158" s="8" t="s">
        <v>212</v>
      </c>
      <c r="E1158" s="113"/>
      <c r="F1158" s="7">
        <f t="shared" si="269"/>
        <v>4522</v>
      </c>
      <c r="G1158" s="7">
        <f t="shared" si="269"/>
        <v>0</v>
      </c>
      <c r="H1158" s="35">
        <f t="shared" si="260"/>
        <v>4522</v>
      </c>
      <c r="I1158" s="7">
        <f t="shared" si="269"/>
        <v>0</v>
      </c>
      <c r="J1158" s="35">
        <f t="shared" si="258"/>
        <v>4522</v>
      </c>
      <c r="K1158" s="7">
        <f t="shared" si="269"/>
        <v>-2087.1999999999998</v>
      </c>
      <c r="L1158" s="35">
        <f t="shared" si="253"/>
        <v>2434.8000000000002</v>
      </c>
      <c r="M1158" s="7">
        <f t="shared" si="269"/>
        <v>0</v>
      </c>
      <c r="N1158" s="35">
        <f t="shared" si="254"/>
        <v>2434.8000000000002</v>
      </c>
      <c r="O1158" s="7">
        <f t="shared" si="269"/>
        <v>0</v>
      </c>
      <c r="P1158" s="35">
        <f t="shared" si="267"/>
        <v>2434.8000000000002</v>
      </c>
      <c r="Q1158" s="7">
        <f t="shared" si="269"/>
        <v>1611</v>
      </c>
      <c r="R1158" s="35">
        <f t="shared" si="264"/>
        <v>4045.8</v>
      </c>
      <c r="S1158" s="7">
        <f t="shared" si="269"/>
        <v>-348.5</v>
      </c>
      <c r="T1158" s="35">
        <f t="shared" si="257"/>
        <v>3697.3</v>
      </c>
    </row>
    <row r="1159" spans="1:20" ht="33">
      <c r="A1159" s="61" t="str">
        <f ca="1">IF(ISERROR(MATCH(E1159,Код_КВР,0)),"",INDIRECT(ADDRESS(MATCH(E1159,Код_КВР,0)+1,2,,,"КВР")))</f>
        <v>Капитальные вложения в объекты недвижимого имущества муниципальной собственности</v>
      </c>
      <c r="B1159" s="62" t="s">
        <v>75</v>
      </c>
      <c r="C1159" s="8" t="s">
        <v>219</v>
      </c>
      <c r="D1159" s="8" t="s">
        <v>212</v>
      </c>
      <c r="E1159" s="113">
        <v>400</v>
      </c>
      <c r="F1159" s="7">
        <f t="shared" si="269"/>
        <v>4522</v>
      </c>
      <c r="G1159" s="7">
        <f t="shared" si="269"/>
        <v>0</v>
      </c>
      <c r="H1159" s="35">
        <f t="shared" si="260"/>
        <v>4522</v>
      </c>
      <c r="I1159" s="7">
        <f t="shared" si="269"/>
        <v>0</v>
      </c>
      <c r="J1159" s="35">
        <f t="shared" si="258"/>
        <v>4522</v>
      </c>
      <c r="K1159" s="7">
        <f t="shared" si="269"/>
        <v>-2087.1999999999998</v>
      </c>
      <c r="L1159" s="35">
        <f t="shared" si="253"/>
        <v>2434.8000000000002</v>
      </c>
      <c r="M1159" s="7">
        <f t="shared" si="269"/>
        <v>0</v>
      </c>
      <c r="N1159" s="35">
        <f t="shared" si="254"/>
        <v>2434.8000000000002</v>
      </c>
      <c r="O1159" s="7">
        <f t="shared" si="269"/>
        <v>0</v>
      </c>
      <c r="P1159" s="35">
        <f t="shared" si="267"/>
        <v>2434.8000000000002</v>
      </c>
      <c r="Q1159" s="7">
        <f t="shared" si="269"/>
        <v>1611</v>
      </c>
      <c r="R1159" s="35">
        <f t="shared" si="264"/>
        <v>4045.8</v>
      </c>
      <c r="S1159" s="7">
        <f t="shared" si="269"/>
        <v>-348.5</v>
      </c>
      <c r="T1159" s="35">
        <f t="shared" si="257"/>
        <v>3697.3</v>
      </c>
    </row>
    <row r="1160" spans="1:20">
      <c r="A1160" s="61" t="str">
        <f ca="1">IF(ISERROR(MATCH(E1160,Код_КВР,0)),"",INDIRECT(ADDRESS(MATCH(E1160,Код_КВР,0)+1,2,,,"КВР")))</f>
        <v>Бюджетные инвестиции</v>
      </c>
      <c r="B1160" s="62" t="s">
        <v>75</v>
      </c>
      <c r="C1160" s="8" t="s">
        <v>219</v>
      </c>
      <c r="D1160" s="8" t="s">
        <v>212</v>
      </c>
      <c r="E1160" s="113">
        <v>410</v>
      </c>
      <c r="F1160" s="7">
        <f t="shared" si="269"/>
        <v>4522</v>
      </c>
      <c r="G1160" s="7">
        <f t="shared" si="269"/>
        <v>0</v>
      </c>
      <c r="H1160" s="35">
        <f t="shared" si="260"/>
        <v>4522</v>
      </c>
      <c r="I1160" s="7">
        <f t="shared" si="269"/>
        <v>0</v>
      </c>
      <c r="J1160" s="35">
        <f t="shared" si="258"/>
        <v>4522</v>
      </c>
      <c r="K1160" s="7">
        <f t="shared" si="269"/>
        <v>-2087.1999999999998</v>
      </c>
      <c r="L1160" s="35">
        <f t="shared" si="253"/>
        <v>2434.8000000000002</v>
      </c>
      <c r="M1160" s="7">
        <f t="shared" si="269"/>
        <v>0</v>
      </c>
      <c r="N1160" s="35">
        <f t="shared" si="254"/>
        <v>2434.8000000000002</v>
      </c>
      <c r="O1160" s="7">
        <f t="shared" si="269"/>
        <v>0</v>
      </c>
      <c r="P1160" s="35">
        <f t="shared" si="267"/>
        <v>2434.8000000000002</v>
      </c>
      <c r="Q1160" s="7">
        <f t="shared" si="269"/>
        <v>1611</v>
      </c>
      <c r="R1160" s="35">
        <f t="shared" si="264"/>
        <v>4045.8</v>
      </c>
      <c r="S1160" s="7">
        <f t="shared" si="269"/>
        <v>-348.5</v>
      </c>
      <c r="T1160" s="35">
        <f t="shared" ref="T1160:T1223" si="270">R1160+S1160</f>
        <v>3697.3</v>
      </c>
    </row>
    <row r="1161" spans="1:20" ht="33">
      <c r="A1161" s="61" t="str">
        <f ca="1">IF(ISERROR(MATCH(E1161,Код_КВР,0)),"",INDIRECT(ADDRESS(MATCH(E1161,Код_КВР,0)+1,2,,,"КВР")))</f>
        <v>Бюджетные инвестиции в объекты капитального строительства муниципальной собственности</v>
      </c>
      <c r="B1161" s="62" t="s">
        <v>75</v>
      </c>
      <c r="C1161" s="8" t="s">
        <v>219</v>
      </c>
      <c r="D1161" s="8" t="s">
        <v>212</v>
      </c>
      <c r="E1161" s="113">
        <v>414</v>
      </c>
      <c r="F1161" s="7">
        <f>прил.6!G1617</f>
        <v>4522</v>
      </c>
      <c r="G1161" s="7">
        <f>прил.6!H1617</f>
        <v>0</v>
      </c>
      <c r="H1161" s="35">
        <f t="shared" si="260"/>
        <v>4522</v>
      </c>
      <c r="I1161" s="7">
        <f>прил.6!J1617</f>
        <v>0</v>
      </c>
      <c r="J1161" s="35">
        <f t="shared" si="258"/>
        <v>4522</v>
      </c>
      <c r="K1161" s="7">
        <f>прил.6!L1617</f>
        <v>-2087.1999999999998</v>
      </c>
      <c r="L1161" s="35">
        <f t="shared" si="253"/>
        <v>2434.8000000000002</v>
      </c>
      <c r="M1161" s="7">
        <f>прил.6!N1617</f>
        <v>0</v>
      </c>
      <c r="N1161" s="35">
        <f t="shared" si="254"/>
        <v>2434.8000000000002</v>
      </c>
      <c r="O1161" s="7">
        <f>прил.6!P1617</f>
        <v>0</v>
      </c>
      <c r="P1161" s="35">
        <f t="shared" si="267"/>
        <v>2434.8000000000002</v>
      </c>
      <c r="Q1161" s="7">
        <f>прил.6!R1617</f>
        <v>1611</v>
      </c>
      <c r="R1161" s="35">
        <f t="shared" si="264"/>
        <v>4045.8</v>
      </c>
      <c r="S1161" s="7">
        <f>прил.6!T1617</f>
        <v>-348.5</v>
      </c>
      <c r="T1161" s="35">
        <f t="shared" si="270"/>
        <v>3697.3</v>
      </c>
    </row>
    <row r="1162" spans="1:20">
      <c r="A1162" s="61" t="str">
        <f ca="1">IF(ISERROR(MATCH(B1162,Код_КЦСР,0)),"",INDIRECT(ADDRESS(MATCH(B1162,Код_КЦСР,0)+1,2,,,"КЦСР")))</f>
        <v>Строительство детского сада № 20 в 112 мкр.</v>
      </c>
      <c r="B1162" s="55" t="s">
        <v>588</v>
      </c>
      <c r="C1162" s="8"/>
      <c r="D1162" s="1"/>
      <c r="E1162" s="113"/>
      <c r="F1162" s="7"/>
      <c r="G1162" s="7"/>
      <c r="H1162" s="35"/>
      <c r="I1162" s="7">
        <f>I1163</f>
        <v>10964.4</v>
      </c>
      <c r="J1162" s="35">
        <f t="shared" si="258"/>
        <v>10964.4</v>
      </c>
      <c r="K1162" s="7">
        <f>K1163</f>
        <v>0</v>
      </c>
      <c r="L1162" s="35">
        <f t="shared" si="253"/>
        <v>10964.4</v>
      </c>
      <c r="M1162" s="7">
        <f>M1163</f>
        <v>0</v>
      </c>
      <c r="N1162" s="35">
        <f t="shared" si="254"/>
        <v>10964.4</v>
      </c>
      <c r="O1162" s="7">
        <f>O1163</f>
        <v>0</v>
      </c>
      <c r="P1162" s="35">
        <f t="shared" si="267"/>
        <v>10964.4</v>
      </c>
      <c r="Q1162" s="7">
        <f>Q1163</f>
        <v>-6487.5</v>
      </c>
      <c r="R1162" s="35">
        <f t="shared" si="264"/>
        <v>4476.8999999999996</v>
      </c>
      <c r="S1162" s="7">
        <f>S1163</f>
        <v>-548.4</v>
      </c>
      <c r="T1162" s="35">
        <f t="shared" si="270"/>
        <v>3928.4999999999995</v>
      </c>
    </row>
    <row r="1163" spans="1:20">
      <c r="A1163" s="61" t="str">
        <f ca="1">IF(ISERROR(MATCH(C1163,Код_Раздел,0)),"",INDIRECT(ADDRESS(MATCH(C1163,Код_Раздел,0)+1,2,,,"Раздел")))</f>
        <v>Образование</v>
      </c>
      <c r="B1163" s="55" t="s">
        <v>588</v>
      </c>
      <c r="C1163" s="8" t="s">
        <v>193</v>
      </c>
      <c r="D1163" s="1"/>
      <c r="E1163" s="113"/>
      <c r="F1163" s="7"/>
      <c r="G1163" s="7"/>
      <c r="H1163" s="35"/>
      <c r="I1163" s="7">
        <f>I1164</f>
        <v>10964.4</v>
      </c>
      <c r="J1163" s="35">
        <f t="shared" si="258"/>
        <v>10964.4</v>
      </c>
      <c r="K1163" s="7">
        <f>K1164</f>
        <v>0</v>
      </c>
      <c r="L1163" s="35">
        <f t="shared" si="253"/>
        <v>10964.4</v>
      </c>
      <c r="M1163" s="7">
        <f>M1164</f>
        <v>0</v>
      </c>
      <c r="N1163" s="35">
        <f t="shared" si="254"/>
        <v>10964.4</v>
      </c>
      <c r="O1163" s="7">
        <f>O1164</f>
        <v>0</v>
      </c>
      <c r="P1163" s="35">
        <f t="shared" si="267"/>
        <v>10964.4</v>
      </c>
      <c r="Q1163" s="7">
        <f>Q1164</f>
        <v>-6487.5</v>
      </c>
      <c r="R1163" s="35">
        <f t="shared" si="264"/>
        <v>4476.8999999999996</v>
      </c>
      <c r="S1163" s="7">
        <f>S1164</f>
        <v>-548.4</v>
      </c>
      <c r="T1163" s="35">
        <f t="shared" si="270"/>
        <v>3928.4999999999995</v>
      </c>
    </row>
    <row r="1164" spans="1:20">
      <c r="A1164" s="12" t="s">
        <v>249</v>
      </c>
      <c r="B1164" s="55" t="s">
        <v>588</v>
      </c>
      <c r="C1164" s="8" t="s">
        <v>193</v>
      </c>
      <c r="D1164" s="1" t="s">
        <v>217</v>
      </c>
      <c r="E1164" s="113"/>
      <c r="F1164" s="7"/>
      <c r="G1164" s="7"/>
      <c r="H1164" s="35"/>
      <c r="I1164" s="7">
        <f>I1165</f>
        <v>10964.4</v>
      </c>
      <c r="J1164" s="35">
        <f t="shared" si="258"/>
        <v>10964.4</v>
      </c>
      <c r="K1164" s="7">
        <f>K1165</f>
        <v>0</v>
      </c>
      <c r="L1164" s="35">
        <f t="shared" ref="L1164:L1291" si="271">J1164+K1164</f>
        <v>10964.4</v>
      </c>
      <c r="M1164" s="7">
        <f>M1165</f>
        <v>0</v>
      </c>
      <c r="N1164" s="35">
        <f t="shared" ref="N1164:N1291" si="272">L1164+M1164</f>
        <v>10964.4</v>
      </c>
      <c r="O1164" s="7">
        <f>O1165</f>
        <v>0</v>
      </c>
      <c r="P1164" s="35">
        <f t="shared" si="267"/>
        <v>10964.4</v>
      </c>
      <c r="Q1164" s="7">
        <f>Q1165</f>
        <v>-6487.5</v>
      </c>
      <c r="R1164" s="35">
        <f t="shared" si="264"/>
        <v>4476.8999999999996</v>
      </c>
      <c r="S1164" s="7">
        <f>S1165</f>
        <v>-548.4</v>
      </c>
      <c r="T1164" s="35">
        <f t="shared" si="270"/>
        <v>3928.4999999999995</v>
      </c>
    </row>
    <row r="1165" spans="1:20" ht="33">
      <c r="A1165" s="61" t="str">
        <f ca="1">IF(ISERROR(MATCH(E1165,Код_КВР,0)),"",INDIRECT(ADDRESS(MATCH(E1165,Код_КВР,0)+1,2,,,"КВР")))</f>
        <v>Капитальные вложения в объекты недвижимого имущества муниципальной собственности</v>
      </c>
      <c r="B1165" s="55" t="s">
        <v>588</v>
      </c>
      <c r="C1165" s="8" t="s">
        <v>193</v>
      </c>
      <c r="D1165" s="1" t="s">
        <v>217</v>
      </c>
      <c r="E1165" s="113">
        <v>400</v>
      </c>
      <c r="F1165" s="7"/>
      <c r="G1165" s="7"/>
      <c r="H1165" s="35"/>
      <c r="I1165" s="7">
        <f>I1166</f>
        <v>10964.4</v>
      </c>
      <c r="J1165" s="35">
        <f t="shared" si="258"/>
        <v>10964.4</v>
      </c>
      <c r="K1165" s="7">
        <f>K1166</f>
        <v>0</v>
      </c>
      <c r="L1165" s="35">
        <f t="shared" si="271"/>
        <v>10964.4</v>
      </c>
      <c r="M1165" s="7">
        <f>M1166</f>
        <v>0</v>
      </c>
      <c r="N1165" s="35">
        <f t="shared" si="272"/>
        <v>10964.4</v>
      </c>
      <c r="O1165" s="7">
        <f>O1166</f>
        <v>0</v>
      </c>
      <c r="P1165" s="35">
        <f t="shared" si="267"/>
        <v>10964.4</v>
      </c>
      <c r="Q1165" s="7">
        <f>Q1166</f>
        <v>-6487.5</v>
      </c>
      <c r="R1165" s="35">
        <f t="shared" si="264"/>
        <v>4476.8999999999996</v>
      </c>
      <c r="S1165" s="7">
        <f>S1166</f>
        <v>-548.4</v>
      </c>
      <c r="T1165" s="35">
        <f t="shared" si="270"/>
        <v>3928.4999999999995</v>
      </c>
    </row>
    <row r="1166" spans="1:20">
      <c r="A1166" s="61" t="str">
        <f ca="1">IF(ISERROR(MATCH(E1166,Код_КВР,0)),"",INDIRECT(ADDRESS(MATCH(E1166,Код_КВР,0)+1,2,,,"КВР")))</f>
        <v>Бюджетные инвестиции</v>
      </c>
      <c r="B1166" s="55" t="s">
        <v>588</v>
      </c>
      <c r="C1166" s="8" t="s">
        <v>193</v>
      </c>
      <c r="D1166" s="1" t="s">
        <v>217</v>
      </c>
      <c r="E1166" s="113">
        <v>410</v>
      </c>
      <c r="F1166" s="7"/>
      <c r="G1166" s="7"/>
      <c r="H1166" s="35"/>
      <c r="I1166" s="7">
        <f>I1167</f>
        <v>10964.4</v>
      </c>
      <c r="J1166" s="35">
        <f t="shared" si="258"/>
        <v>10964.4</v>
      </c>
      <c r="K1166" s="7">
        <f>K1167</f>
        <v>0</v>
      </c>
      <c r="L1166" s="35">
        <f t="shared" si="271"/>
        <v>10964.4</v>
      </c>
      <c r="M1166" s="7">
        <f>M1167</f>
        <v>0</v>
      </c>
      <c r="N1166" s="35">
        <f t="shared" si="272"/>
        <v>10964.4</v>
      </c>
      <c r="O1166" s="7">
        <f>O1167</f>
        <v>0</v>
      </c>
      <c r="P1166" s="35">
        <f t="shared" si="267"/>
        <v>10964.4</v>
      </c>
      <c r="Q1166" s="7">
        <f>Q1167</f>
        <v>-6487.5</v>
      </c>
      <c r="R1166" s="35">
        <f t="shared" si="264"/>
        <v>4476.8999999999996</v>
      </c>
      <c r="S1166" s="7">
        <f>S1167</f>
        <v>-548.4</v>
      </c>
      <c r="T1166" s="35">
        <f t="shared" si="270"/>
        <v>3928.4999999999995</v>
      </c>
    </row>
    <row r="1167" spans="1:20" ht="33">
      <c r="A1167" s="61" t="str">
        <f ca="1">IF(ISERROR(MATCH(E1167,Код_КВР,0)),"",INDIRECT(ADDRESS(MATCH(E1167,Код_КВР,0)+1,2,,,"КВР")))</f>
        <v>Бюджетные инвестиции в объекты капитального строительства муниципальной собственности</v>
      </c>
      <c r="B1167" s="55" t="s">
        <v>588</v>
      </c>
      <c r="C1167" s="8" t="s">
        <v>193</v>
      </c>
      <c r="D1167" s="1" t="s">
        <v>217</v>
      </c>
      <c r="E1167" s="113">
        <v>414</v>
      </c>
      <c r="F1167" s="7"/>
      <c r="G1167" s="7"/>
      <c r="H1167" s="35"/>
      <c r="I1167" s="7">
        <f>прил.6!J1667</f>
        <v>10964.4</v>
      </c>
      <c r="J1167" s="35">
        <f t="shared" si="258"/>
        <v>10964.4</v>
      </c>
      <c r="K1167" s="7">
        <f>прил.6!L1667</f>
        <v>0</v>
      </c>
      <c r="L1167" s="35">
        <f t="shared" si="271"/>
        <v>10964.4</v>
      </c>
      <c r="M1167" s="7">
        <f>прил.6!N1667</f>
        <v>0</v>
      </c>
      <c r="N1167" s="35">
        <f t="shared" si="272"/>
        <v>10964.4</v>
      </c>
      <c r="O1167" s="7">
        <f>прил.6!P1667</f>
        <v>0</v>
      </c>
      <c r="P1167" s="35">
        <f t="shared" si="267"/>
        <v>10964.4</v>
      </c>
      <c r="Q1167" s="7">
        <f>прил.6!R1667</f>
        <v>-6487.5</v>
      </c>
      <c r="R1167" s="35">
        <f t="shared" si="264"/>
        <v>4476.8999999999996</v>
      </c>
      <c r="S1167" s="7">
        <f>прил.6!T1667</f>
        <v>-548.4</v>
      </c>
      <c r="T1167" s="35">
        <f t="shared" si="270"/>
        <v>3928.4999999999995</v>
      </c>
    </row>
    <row r="1168" spans="1:20" ht="36" customHeight="1">
      <c r="A1168" s="61" t="str">
        <f ca="1">IF(ISERROR(MATCH(B1168,Код_КЦСР,0)),"",INDIRECT(ADDRESS(MATCH(B1168,Код_КЦСР,0)+1,2,,,"КЦСР")))</f>
        <v>Туристско-рекреационный кластер «Центральная городская набережная»</v>
      </c>
      <c r="B1168" s="55" t="s">
        <v>618</v>
      </c>
      <c r="C1168" s="8"/>
      <c r="D1168" s="1"/>
      <c r="E1168" s="113"/>
      <c r="F1168" s="7"/>
      <c r="G1168" s="7"/>
      <c r="H1168" s="35"/>
      <c r="I1168" s="7"/>
      <c r="J1168" s="35"/>
      <c r="K1168" s="7">
        <f>K1169</f>
        <v>2500</v>
      </c>
      <c r="L1168" s="35">
        <f t="shared" si="271"/>
        <v>2500</v>
      </c>
      <c r="M1168" s="7">
        <f>M1169</f>
        <v>0</v>
      </c>
      <c r="N1168" s="35">
        <f t="shared" si="272"/>
        <v>2500</v>
      </c>
      <c r="O1168" s="7">
        <f>O1169</f>
        <v>0</v>
      </c>
      <c r="P1168" s="35">
        <f t="shared" si="267"/>
        <v>2500</v>
      </c>
      <c r="Q1168" s="7">
        <f>Q1169</f>
        <v>0</v>
      </c>
      <c r="R1168" s="35">
        <f t="shared" si="264"/>
        <v>2500</v>
      </c>
      <c r="S1168" s="7">
        <f>S1169</f>
        <v>-1274.4000000000001</v>
      </c>
      <c r="T1168" s="35">
        <f t="shared" si="270"/>
        <v>1225.5999999999999</v>
      </c>
    </row>
    <row r="1169" spans="1:20">
      <c r="A1169" s="61" t="str">
        <f ca="1">IF(ISERROR(MATCH(C1169,Код_Раздел,0)),"",INDIRECT(ADDRESS(MATCH(C1169,Код_Раздел,0)+1,2,,,"Раздел")))</f>
        <v>Жилищно-коммунальное хозяйство</v>
      </c>
      <c r="B1169" s="55" t="s">
        <v>618</v>
      </c>
      <c r="C1169" s="8" t="s">
        <v>219</v>
      </c>
      <c r="D1169" s="1"/>
      <c r="E1169" s="113"/>
      <c r="F1169" s="7"/>
      <c r="G1169" s="7"/>
      <c r="H1169" s="35"/>
      <c r="I1169" s="7"/>
      <c r="J1169" s="35"/>
      <c r="K1169" s="7">
        <f>K1170</f>
        <v>2500</v>
      </c>
      <c r="L1169" s="35">
        <f t="shared" si="271"/>
        <v>2500</v>
      </c>
      <c r="M1169" s="7">
        <f>M1170</f>
        <v>0</v>
      </c>
      <c r="N1169" s="35">
        <f t="shared" si="272"/>
        <v>2500</v>
      </c>
      <c r="O1169" s="7">
        <f>O1170</f>
        <v>0</v>
      </c>
      <c r="P1169" s="35">
        <f t="shared" si="267"/>
        <v>2500</v>
      </c>
      <c r="Q1169" s="7">
        <f>Q1170</f>
        <v>0</v>
      </c>
      <c r="R1169" s="35">
        <f t="shared" si="264"/>
        <v>2500</v>
      </c>
      <c r="S1169" s="7">
        <f>S1170</f>
        <v>-1274.4000000000001</v>
      </c>
      <c r="T1169" s="35">
        <f t="shared" si="270"/>
        <v>1225.5999999999999</v>
      </c>
    </row>
    <row r="1170" spans="1:20">
      <c r="A1170" s="12" t="s">
        <v>251</v>
      </c>
      <c r="B1170" s="55" t="s">
        <v>618</v>
      </c>
      <c r="C1170" s="8" t="s">
        <v>219</v>
      </c>
      <c r="D1170" s="8" t="s">
        <v>212</v>
      </c>
      <c r="E1170" s="113"/>
      <c r="F1170" s="7"/>
      <c r="G1170" s="7"/>
      <c r="H1170" s="35"/>
      <c r="I1170" s="7"/>
      <c r="J1170" s="35"/>
      <c r="K1170" s="7">
        <f>K1171</f>
        <v>2500</v>
      </c>
      <c r="L1170" s="35">
        <f t="shared" si="271"/>
        <v>2500</v>
      </c>
      <c r="M1170" s="7">
        <f>M1171</f>
        <v>0</v>
      </c>
      <c r="N1170" s="35">
        <f t="shared" si="272"/>
        <v>2500</v>
      </c>
      <c r="O1170" s="7">
        <f>O1171</f>
        <v>0</v>
      </c>
      <c r="P1170" s="35">
        <f t="shared" si="267"/>
        <v>2500</v>
      </c>
      <c r="Q1170" s="7">
        <f>Q1171</f>
        <v>0</v>
      </c>
      <c r="R1170" s="35">
        <f t="shared" si="264"/>
        <v>2500</v>
      </c>
      <c r="S1170" s="7">
        <f>S1171</f>
        <v>-1274.4000000000001</v>
      </c>
      <c r="T1170" s="35">
        <f t="shared" si="270"/>
        <v>1225.5999999999999</v>
      </c>
    </row>
    <row r="1171" spans="1:20" ht="33">
      <c r="A1171" s="61" t="str">
        <f ca="1">IF(ISERROR(MATCH(E1171,Код_КВР,0)),"",INDIRECT(ADDRESS(MATCH(E1171,Код_КВР,0)+1,2,,,"КВР")))</f>
        <v>Капитальные вложения в объекты недвижимого имущества муниципальной собственности</v>
      </c>
      <c r="B1171" s="55" t="s">
        <v>618</v>
      </c>
      <c r="C1171" s="8" t="s">
        <v>219</v>
      </c>
      <c r="D1171" s="8" t="s">
        <v>212</v>
      </c>
      <c r="E1171" s="113">
        <v>400</v>
      </c>
      <c r="F1171" s="7"/>
      <c r="G1171" s="7"/>
      <c r="H1171" s="35"/>
      <c r="I1171" s="7"/>
      <c r="J1171" s="35"/>
      <c r="K1171" s="7">
        <f>K1172</f>
        <v>2500</v>
      </c>
      <c r="L1171" s="35">
        <f t="shared" si="271"/>
        <v>2500</v>
      </c>
      <c r="M1171" s="7">
        <f>M1172</f>
        <v>0</v>
      </c>
      <c r="N1171" s="35">
        <f t="shared" si="272"/>
        <v>2500</v>
      </c>
      <c r="O1171" s="7">
        <f>O1172</f>
        <v>0</v>
      </c>
      <c r="P1171" s="35">
        <f t="shared" si="267"/>
        <v>2500</v>
      </c>
      <c r="Q1171" s="7">
        <f>Q1172</f>
        <v>0</v>
      </c>
      <c r="R1171" s="35">
        <f t="shared" si="264"/>
        <v>2500</v>
      </c>
      <c r="S1171" s="7">
        <f>S1172</f>
        <v>-1274.4000000000001</v>
      </c>
      <c r="T1171" s="35">
        <f t="shared" si="270"/>
        <v>1225.5999999999999</v>
      </c>
    </row>
    <row r="1172" spans="1:20">
      <c r="A1172" s="61" t="str">
        <f ca="1">IF(ISERROR(MATCH(E1172,Код_КВР,0)),"",INDIRECT(ADDRESS(MATCH(E1172,Код_КВР,0)+1,2,,,"КВР")))</f>
        <v>Бюджетные инвестиции</v>
      </c>
      <c r="B1172" s="55" t="s">
        <v>618</v>
      </c>
      <c r="C1172" s="8" t="s">
        <v>219</v>
      </c>
      <c r="D1172" s="8" t="s">
        <v>212</v>
      </c>
      <c r="E1172" s="113">
        <v>410</v>
      </c>
      <c r="F1172" s="7"/>
      <c r="G1172" s="7"/>
      <c r="H1172" s="35"/>
      <c r="I1172" s="7"/>
      <c r="J1172" s="35"/>
      <c r="K1172" s="7">
        <f>K1173</f>
        <v>2500</v>
      </c>
      <c r="L1172" s="35">
        <f t="shared" si="271"/>
        <v>2500</v>
      </c>
      <c r="M1172" s="7">
        <f>M1173</f>
        <v>0</v>
      </c>
      <c r="N1172" s="35">
        <f t="shared" si="272"/>
        <v>2500</v>
      </c>
      <c r="O1172" s="7">
        <f>O1173</f>
        <v>0</v>
      </c>
      <c r="P1172" s="35">
        <f t="shared" si="267"/>
        <v>2500</v>
      </c>
      <c r="Q1172" s="7">
        <f>Q1173</f>
        <v>0</v>
      </c>
      <c r="R1172" s="35">
        <f t="shared" si="264"/>
        <v>2500</v>
      </c>
      <c r="S1172" s="7">
        <f>S1173</f>
        <v>-1274.4000000000001</v>
      </c>
      <c r="T1172" s="35">
        <f t="shared" si="270"/>
        <v>1225.5999999999999</v>
      </c>
    </row>
    <row r="1173" spans="1:20" ht="33">
      <c r="A1173" s="61" t="str">
        <f ca="1">IF(ISERROR(MATCH(E1173,Код_КВР,0)),"",INDIRECT(ADDRESS(MATCH(E1173,Код_КВР,0)+1,2,,,"КВР")))</f>
        <v>Бюджетные инвестиции в объекты капитального строительства муниципальной собственности</v>
      </c>
      <c r="B1173" s="55" t="s">
        <v>618</v>
      </c>
      <c r="C1173" s="8" t="s">
        <v>219</v>
      </c>
      <c r="D1173" s="8" t="s">
        <v>212</v>
      </c>
      <c r="E1173" s="113">
        <v>414</v>
      </c>
      <c r="F1173" s="7"/>
      <c r="G1173" s="7"/>
      <c r="H1173" s="35"/>
      <c r="I1173" s="7"/>
      <c r="J1173" s="35"/>
      <c r="K1173" s="7">
        <f>прил.6!L1621</f>
        <v>2500</v>
      </c>
      <c r="L1173" s="35">
        <f t="shared" si="271"/>
        <v>2500</v>
      </c>
      <c r="M1173" s="7">
        <f>прил.6!N1621</f>
        <v>0</v>
      </c>
      <c r="N1173" s="35">
        <f t="shared" si="272"/>
        <v>2500</v>
      </c>
      <c r="O1173" s="7">
        <f>прил.6!P1621</f>
        <v>0</v>
      </c>
      <c r="P1173" s="35">
        <f t="shared" si="267"/>
        <v>2500</v>
      </c>
      <c r="Q1173" s="7">
        <f>прил.6!R1621</f>
        <v>0</v>
      </c>
      <c r="R1173" s="35">
        <f t="shared" si="264"/>
        <v>2500</v>
      </c>
      <c r="S1173" s="7">
        <f>прил.6!T1621</f>
        <v>-1274.4000000000001</v>
      </c>
      <c r="T1173" s="35">
        <f t="shared" si="270"/>
        <v>1225.5999999999999</v>
      </c>
    </row>
    <row r="1174" spans="1:20" ht="33">
      <c r="A1174" s="61" t="str">
        <f ca="1">IF(ISERROR(MATCH(B1174,Код_КЦСР,0)),"",INDIRECT(ADDRESS(MATCH(B1174,Код_КЦСР,0)+1,2,,,"КЦСР")))</f>
        <v>Строительство средней общеобразовательной школы № 24 в 112 мкр.</v>
      </c>
      <c r="B1174" s="55" t="s">
        <v>644</v>
      </c>
      <c r="C1174" s="8"/>
      <c r="D1174" s="1"/>
      <c r="E1174" s="113"/>
      <c r="F1174" s="7"/>
      <c r="G1174" s="7"/>
      <c r="H1174" s="35"/>
      <c r="I1174" s="7"/>
      <c r="J1174" s="35"/>
      <c r="K1174" s="7"/>
      <c r="L1174" s="35"/>
      <c r="M1174" s="7"/>
      <c r="N1174" s="35"/>
      <c r="O1174" s="7"/>
      <c r="P1174" s="35"/>
      <c r="Q1174" s="7">
        <f>Q1175</f>
        <v>1289.7</v>
      </c>
      <c r="R1174" s="35">
        <f t="shared" si="264"/>
        <v>1289.7</v>
      </c>
      <c r="S1174" s="7">
        <f>S1175</f>
        <v>-541</v>
      </c>
      <c r="T1174" s="35">
        <f t="shared" si="270"/>
        <v>748.7</v>
      </c>
    </row>
    <row r="1175" spans="1:20">
      <c r="A1175" s="61" t="str">
        <f ca="1">IF(ISERROR(MATCH(C1175,Код_Раздел,0)),"",INDIRECT(ADDRESS(MATCH(C1175,Код_Раздел,0)+1,2,,,"Раздел")))</f>
        <v>Образование</v>
      </c>
      <c r="B1175" s="55" t="s">
        <v>644</v>
      </c>
      <c r="C1175" s="8" t="s">
        <v>193</v>
      </c>
      <c r="D1175" s="1"/>
      <c r="E1175" s="113"/>
      <c r="F1175" s="7"/>
      <c r="G1175" s="7"/>
      <c r="H1175" s="35"/>
      <c r="I1175" s="7"/>
      <c r="J1175" s="35"/>
      <c r="K1175" s="7"/>
      <c r="L1175" s="35"/>
      <c r="M1175" s="7"/>
      <c r="N1175" s="35"/>
      <c r="O1175" s="7"/>
      <c r="P1175" s="35"/>
      <c r="Q1175" s="7">
        <f>Q1176</f>
        <v>1289.7</v>
      </c>
      <c r="R1175" s="35">
        <f t="shared" si="264"/>
        <v>1289.7</v>
      </c>
      <c r="S1175" s="7">
        <f>S1176</f>
        <v>-541</v>
      </c>
      <c r="T1175" s="35">
        <f t="shared" si="270"/>
        <v>748.7</v>
      </c>
    </row>
    <row r="1176" spans="1:20">
      <c r="A1176" s="12" t="s">
        <v>249</v>
      </c>
      <c r="B1176" s="55" t="s">
        <v>644</v>
      </c>
      <c r="C1176" s="8" t="s">
        <v>193</v>
      </c>
      <c r="D1176" s="8" t="s">
        <v>217</v>
      </c>
      <c r="E1176" s="113"/>
      <c r="F1176" s="7"/>
      <c r="G1176" s="7"/>
      <c r="H1176" s="35"/>
      <c r="I1176" s="7"/>
      <c r="J1176" s="35"/>
      <c r="K1176" s="7"/>
      <c r="L1176" s="35"/>
      <c r="M1176" s="7"/>
      <c r="N1176" s="35"/>
      <c r="O1176" s="7"/>
      <c r="P1176" s="35"/>
      <c r="Q1176" s="7">
        <f>Q1177</f>
        <v>1289.7</v>
      </c>
      <c r="R1176" s="35">
        <f t="shared" si="264"/>
        <v>1289.7</v>
      </c>
      <c r="S1176" s="7">
        <f>S1177</f>
        <v>-541</v>
      </c>
      <c r="T1176" s="35">
        <f t="shared" si="270"/>
        <v>748.7</v>
      </c>
    </row>
    <row r="1177" spans="1:20" ht="33">
      <c r="A1177" s="61" t="str">
        <f ca="1">IF(ISERROR(MATCH(E1177,Код_КВР,0)),"",INDIRECT(ADDRESS(MATCH(E1177,Код_КВР,0)+1,2,,,"КВР")))</f>
        <v>Капитальные вложения в объекты недвижимого имущества муниципальной собственности</v>
      </c>
      <c r="B1177" s="55" t="s">
        <v>644</v>
      </c>
      <c r="C1177" s="8" t="s">
        <v>193</v>
      </c>
      <c r="D1177" s="8" t="s">
        <v>217</v>
      </c>
      <c r="E1177" s="113">
        <v>400</v>
      </c>
      <c r="F1177" s="7"/>
      <c r="G1177" s="7"/>
      <c r="H1177" s="35"/>
      <c r="I1177" s="7"/>
      <c r="J1177" s="35"/>
      <c r="K1177" s="7"/>
      <c r="L1177" s="35"/>
      <c r="M1177" s="7"/>
      <c r="N1177" s="35"/>
      <c r="O1177" s="7"/>
      <c r="P1177" s="35"/>
      <c r="Q1177" s="7">
        <f>Q1178</f>
        <v>1289.7</v>
      </c>
      <c r="R1177" s="35">
        <f t="shared" si="264"/>
        <v>1289.7</v>
      </c>
      <c r="S1177" s="7">
        <f>S1178</f>
        <v>-541</v>
      </c>
      <c r="T1177" s="35">
        <f t="shared" si="270"/>
        <v>748.7</v>
      </c>
    </row>
    <row r="1178" spans="1:20">
      <c r="A1178" s="61" t="str">
        <f ca="1">IF(ISERROR(MATCH(E1178,Код_КВР,0)),"",INDIRECT(ADDRESS(MATCH(E1178,Код_КВР,0)+1,2,,,"КВР")))</f>
        <v>Бюджетные инвестиции</v>
      </c>
      <c r="B1178" s="55" t="s">
        <v>644</v>
      </c>
      <c r="C1178" s="8" t="s">
        <v>193</v>
      </c>
      <c r="D1178" s="8" t="s">
        <v>217</v>
      </c>
      <c r="E1178" s="113">
        <v>410</v>
      </c>
      <c r="F1178" s="7"/>
      <c r="G1178" s="7"/>
      <c r="H1178" s="35"/>
      <c r="I1178" s="7"/>
      <c r="J1178" s="35"/>
      <c r="K1178" s="7"/>
      <c r="L1178" s="35"/>
      <c r="M1178" s="7"/>
      <c r="N1178" s="35"/>
      <c r="O1178" s="7"/>
      <c r="P1178" s="35"/>
      <c r="Q1178" s="7">
        <f>Q1179</f>
        <v>1289.7</v>
      </c>
      <c r="R1178" s="35">
        <f t="shared" si="264"/>
        <v>1289.7</v>
      </c>
      <c r="S1178" s="7">
        <f>S1179</f>
        <v>-541</v>
      </c>
      <c r="T1178" s="35">
        <f t="shared" si="270"/>
        <v>748.7</v>
      </c>
    </row>
    <row r="1179" spans="1:20" ht="33">
      <c r="A1179" s="61" t="str">
        <f ca="1">IF(ISERROR(MATCH(E1179,Код_КВР,0)),"",INDIRECT(ADDRESS(MATCH(E1179,Код_КВР,0)+1,2,,,"КВР")))</f>
        <v>Бюджетные инвестиции в объекты капитального строительства муниципальной собственности</v>
      </c>
      <c r="B1179" s="55" t="s">
        <v>644</v>
      </c>
      <c r="C1179" s="8" t="s">
        <v>193</v>
      </c>
      <c r="D1179" s="8" t="s">
        <v>217</v>
      </c>
      <c r="E1179" s="113">
        <v>414</v>
      </c>
      <c r="F1179" s="7"/>
      <c r="G1179" s="7"/>
      <c r="H1179" s="35"/>
      <c r="I1179" s="7"/>
      <c r="J1179" s="35"/>
      <c r="K1179" s="7"/>
      <c r="L1179" s="35"/>
      <c r="M1179" s="7"/>
      <c r="N1179" s="35"/>
      <c r="O1179" s="7"/>
      <c r="P1179" s="35"/>
      <c r="Q1179" s="7">
        <f>прил.6!R1671</f>
        <v>1289.7</v>
      </c>
      <c r="R1179" s="35">
        <f t="shared" si="264"/>
        <v>1289.7</v>
      </c>
      <c r="S1179" s="7">
        <f>прил.6!T1671</f>
        <v>-541</v>
      </c>
      <c r="T1179" s="35">
        <f t="shared" si="270"/>
        <v>748.7</v>
      </c>
    </row>
    <row r="1180" spans="1:20" ht="33">
      <c r="A1180" s="61" t="str">
        <f ca="1">IF(ISERROR(MATCH(B1180,Код_КЦСР,0)),"",INDIRECT(ADDRESS(MATCH(B1180,Код_КЦСР,0)+1,2,,,"КЦСР")))</f>
        <v>Реконструкция Октябрьского проспекта на участке от Октябрьского моста до ул. Любецкой</v>
      </c>
      <c r="B1180" s="55" t="s">
        <v>646</v>
      </c>
      <c r="C1180" s="8"/>
      <c r="D1180" s="1"/>
      <c r="E1180" s="113"/>
      <c r="F1180" s="7"/>
      <c r="G1180" s="7"/>
      <c r="H1180" s="35"/>
      <c r="I1180" s="7"/>
      <c r="J1180" s="35"/>
      <c r="K1180" s="7"/>
      <c r="L1180" s="35"/>
      <c r="M1180" s="7"/>
      <c r="N1180" s="35"/>
      <c r="O1180" s="7"/>
      <c r="P1180" s="35"/>
      <c r="Q1180" s="7">
        <f>Q1181</f>
        <v>1944</v>
      </c>
      <c r="R1180" s="35">
        <f t="shared" si="264"/>
        <v>1944</v>
      </c>
      <c r="S1180" s="7">
        <f>S1181</f>
        <v>-1063.9000000000001</v>
      </c>
      <c r="T1180" s="35">
        <f t="shared" si="270"/>
        <v>880.09999999999991</v>
      </c>
    </row>
    <row r="1181" spans="1:20">
      <c r="A1181" s="61" t="str">
        <f ca="1">IF(ISERROR(MATCH(C1181,Код_Раздел,0)),"",INDIRECT(ADDRESS(MATCH(C1181,Код_Раздел,0)+1,2,,,"Раздел")))</f>
        <v>Национальная экономика</v>
      </c>
      <c r="B1181" s="55" t="s">
        <v>646</v>
      </c>
      <c r="C1181" s="8" t="s">
        <v>214</v>
      </c>
      <c r="D1181" s="1"/>
      <c r="E1181" s="113"/>
      <c r="F1181" s="7"/>
      <c r="G1181" s="7"/>
      <c r="H1181" s="35"/>
      <c r="I1181" s="7"/>
      <c r="J1181" s="35"/>
      <c r="K1181" s="7"/>
      <c r="L1181" s="35"/>
      <c r="M1181" s="7"/>
      <c r="N1181" s="35"/>
      <c r="O1181" s="7"/>
      <c r="P1181" s="35"/>
      <c r="Q1181" s="7">
        <f>Q1182</f>
        <v>1944</v>
      </c>
      <c r="R1181" s="35">
        <f t="shared" si="264"/>
        <v>1944</v>
      </c>
      <c r="S1181" s="7">
        <f>S1182</f>
        <v>-1063.9000000000001</v>
      </c>
      <c r="T1181" s="35">
        <f t="shared" si="270"/>
        <v>880.09999999999991</v>
      </c>
    </row>
    <row r="1182" spans="1:20">
      <c r="A1182" s="76" t="s">
        <v>178</v>
      </c>
      <c r="B1182" s="55" t="s">
        <v>646</v>
      </c>
      <c r="C1182" s="8" t="s">
        <v>214</v>
      </c>
      <c r="D1182" s="8" t="s">
        <v>217</v>
      </c>
      <c r="E1182" s="113"/>
      <c r="F1182" s="7"/>
      <c r="G1182" s="7"/>
      <c r="H1182" s="35"/>
      <c r="I1182" s="7"/>
      <c r="J1182" s="35"/>
      <c r="K1182" s="7"/>
      <c r="L1182" s="35"/>
      <c r="M1182" s="7"/>
      <c r="N1182" s="35"/>
      <c r="O1182" s="7"/>
      <c r="P1182" s="35"/>
      <c r="Q1182" s="7">
        <f>Q1183</f>
        <v>1944</v>
      </c>
      <c r="R1182" s="35">
        <f t="shared" si="264"/>
        <v>1944</v>
      </c>
      <c r="S1182" s="7">
        <f>S1183</f>
        <v>-1063.9000000000001</v>
      </c>
      <c r="T1182" s="35">
        <f t="shared" si="270"/>
        <v>880.09999999999991</v>
      </c>
    </row>
    <row r="1183" spans="1:20" ht="33">
      <c r="A1183" s="61" t="str">
        <f ca="1">IF(ISERROR(MATCH(E1183,Код_КВР,0)),"",INDIRECT(ADDRESS(MATCH(E1183,Код_КВР,0)+1,2,,,"КВР")))</f>
        <v>Капитальные вложения в объекты недвижимого имущества муниципальной собственности</v>
      </c>
      <c r="B1183" s="55" t="s">
        <v>646</v>
      </c>
      <c r="C1183" s="8" t="s">
        <v>214</v>
      </c>
      <c r="D1183" s="8" t="s">
        <v>217</v>
      </c>
      <c r="E1183" s="113">
        <v>400</v>
      </c>
      <c r="F1183" s="7"/>
      <c r="G1183" s="7"/>
      <c r="H1183" s="35"/>
      <c r="I1183" s="7"/>
      <c r="J1183" s="35"/>
      <c r="K1183" s="7"/>
      <c r="L1183" s="35"/>
      <c r="M1183" s="7"/>
      <c r="N1183" s="35"/>
      <c r="O1183" s="7"/>
      <c r="P1183" s="35"/>
      <c r="Q1183" s="7">
        <f>Q1184</f>
        <v>1944</v>
      </c>
      <c r="R1183" s="35">
        <f t="shared" si="264"/>
        <v>1944</v>
      </c>
      <c r="S1183" s="7">
        <f>S1184</f>
        <v>-1063.9000000000001</v>
      </c>
      <c r="T1183" s="35">
        <f t="shared" si="270"/>
        <v>880.09999999999991</v>
      </c>
    </row>
    <row r="1184" spans="1:20">
      <c r="A1184" s="61" t="str">
        <f ca="1">IF(ISERROR(MATCH(E1184,Код_КВР,0)),"",INDIRECT(ADDRESS(MATCH(E1184,Код_КВР,0)+1,2,,,"КВР")))</f>
        <v>Бюджетные инвестиции</v>
      </c>
      <c r="B1184" s="55" t="s">
        <v>646</v>
      </c>
      <c r="C1184" s="8" t="s">
        <v>214</v>
      </c>
      <c r="D1184" s="8" t="s">
        <v>217</v>
      </c>
      <c r="E1184" s="113">
        <v>410</v>
      </c>
      <c r="F1184" s="7"/>
      <c r="G1184" s="7"/>
      <c r="H1184" s="35"/>
      <c r="I1184" s="7"/>
      <c r="J1184" s="35"/>
      <c r="K1184" s="7"/>
      <c r="L1184" s="35"/>
      <c r="M1184" s="7"/>
      <c r="N1184" s="35"/>
      <c r="O1184" s="7"/>
      <c r="P1184" s="35"/>
      <c r="Q1184" s="7">
        <f>Q1185</f>
        <v>1944</v>
      </c>
      <c r="R1184" s="35">
        <f t="shared" si="264"/>
        <v>1944</v>
      </c>
      <c r="S1184" s="7">
        <f>S1185</f>
        <v>-1063.9000000000001</v>
      </c>
      <c r="T1184" s="35">
        <f t="shared" si="270"/>
        <v>880.09999999999991</v>
      </c>
    </row>
    <row r="1185" spans="1:20" ht="33">
      <c r="A1185" s="61" t="str">
        <f ca="1">IF(ISERROR(MATCH(E1185,Код_КВР,0)),"",INDIRECT(ADDRESS(MATCH(E1185,Код_КВР,0)+1,2,,,"КВР")))</f>
        <v>Бюджетные инвестиции в объекты капитального строительства муниципальной собственности</v>
      </c>
      <c r="B1185" s="55" t="s">
        <v>646</v>
      </c>
      <c r="C1185" s="8" t="s">
        <v>214</v>
      </c>
      <c r="D1185" s="8" t="s">
        <v>217</v>
      </c>
      <c r="E1185" s="113">
        <v>414</v>
      </c>
      <c r="F1185" s="7"/>
      <c r="G1185" s="7"/>
      <c r="H1185" s="35"/>
      <c r="I1185" s="7"/>
      <c r="J1185" s="35"/>
      <c r="K1185" s="7"/>
      <c r="L1185" s="35"/>
      <c r="M1185" s="7"/>
      <c r="N1185" s="35"/>
      <c r="O1185" s="7"/>
      <c r="P1185" s="35"/>
      <c r="Q1185" s="7">
        <f>прил.6!R1534</f>
        <v>1944</v>
      </c>
      <c r="R1185" s="35">
        <f t="shared" si="264"/>
        <v>1944</v>
      </c>
      <c r="S1185" s="7">
        <f>прил.6!T1534</f>
        <v>-1063.9000000000001</v>
      </c>
      <c r="T1185" s="35">
        <f t="shared" si="270"/>
        <v>880.09999999999991</v>
      </c>
    </row>
    <row r="1186" spans="1:20" ht="21" customHeight="1">
      <c r="A1186" s="61" t="str">
        <f ca="1">IF(ISERROR(MATCH(B1186,Код_КЦСР,0)),"",INDIRECT(ADDRESS(MATCH(B1186,Код_КЦСР,0)+1,2,,,"КЦСР")))</f>
        <v>Реконструкция пр. Строителей</v>
      </c>
      <c r="B1186" s="55" t="s">
        <v>648</v>
      </c>
      <c r="C1186" s="8"/>
      <c r="D1186" s="1"/>
      <c r="E1186" s="113"/>
      <c r="F1186" s="7"/>
      <c r="G1186" s="7"/>
      <c r="H1186" s="35"/>
      <c r="I1186" s="7"/>
      <c r="J1186" s="35"/>
      <c r="K1186" s="7"/>
      <c r="L1186" s="35"/>
      <c r="M1186" s="7"/>
      <c r="N1186" s="35"/>
      <c r="O1186" s="7"/>
      <c r="P1186" s="35"/>
      <c r="Q1186" s="7">
        <f>Q1187</f>
        <v>585.4</v>
      </c>
      <c r="R1186" s="35">
        <f t="shared" si="264"/>
        <v>585.4</v>
      </c>
      <c r="S1186" s="7">
        <f>S1187</f>
        <v>-322.2</v>
      </c>
      <c r="T1186" s="35">
        <f t="shared" si="270"/>
        <v>263.2</v>
      </c>
    </row>
    <row r="1187" spans="1:20">
      <c r="A1187" s="61" t="str">
        <f ca="1">IF(ISERROR(MATCH(C1187,Код_Раздел,0)),"",INDIRECT(ADDRESS(MATCH(C1187,Код_Раздел,0)+1,2,,,"Раздел")))</f>
        <v>Национальная экономика</v>
      </c>
      <c r="B1187" s="55" t="s">
        <v>648</v>
      </c>
      <c r="C1187" s="8" t="s">
        <v>214</v>
      </c>
      <c r="D1187" s="1"/>
      <c r="E1187" s="113"/>
      <c r="F1187" s="7"/>
      <c r="G1187" s="7"/>
      <c r="H1187" s="35"/>
      <c r="I1187" s="7"/>
      <c r="J1187" s="35"/>
      <c r="K1187" s="7"/>
      <c r="L1187" s="35"/>
      <c r="M1187" s="7"/>
      <c r="N1187" s="35"/>
      <c r="O1187" s="7"/>
      <c r="P1187" s="35"/>
      <c r="Q1187" s="7">
        <f>Q1188</f>
        <v>585.4</v>
      </c>
      <c r="R1187" s="35">
        <f t="shared" si="264"/>
        <v>585.4</v>
      </c>
      <c r="S1187" s="7">
        <f>S1188</f>
        <v>-322.2</v>
      </c>
      <c r="T1187" s="35">
        <f t="shared" si="270"/>
        <v>263.2</v>
      </c>
    </row>
    <row r="1188" spans="1:20">
      <c r="A1188" s="76" t="s">
        <v>178</v>
      </c>
      <c r="B1188" s="55" t="s">
        <v>648</v>
      </c>
      <c r="C1188" s="8" t="s">
        <v>214</v>
      </c>
      <c r="D1188" s="8" t="s">
        <v>217</v>
      </c>
      <c r="E1188" s="113"/>
      <c r="F1188" s="7"/>
      <c r="G1188" s="7"/>
      <c r="H1188" s="35"/>
      <c r="I1188" s="7"/>
      <c r="J1188" s="35"/>
      <c r="K1188" s="7"/>
      <c r="L1188" s="35"/>
      <c r="M1188" s="7"/>
      <c r="N1188" s="35"/>
      <c r="O1188" s="7"/>
      <c r="P1188" s="35"/>
      <c r="Q1188" s="7">
        <f>Q1189</f>
        <v>585.4</v>
      </c>
      <c r="R1188" s="35">
        <f t="shared" si="264"/>
        <v>585.4</v>
      </c>
      <c r="S1188" s="7">
        <f>S1189</f>
        <v>-322.2</v>
      </c>
      <c r="T1188" s="35">
        <f t="shared" si="270"/>
        <v>263.2</v>
      </c>
    </row>
    <row r="1189" spans="1:20" ht="33">
      <c r="A1189" s="61" t="str">
        <f ca="1">IF(ISERROR(MATCH(E1189,Код_КВР,0)),"",INDIRECT(ADDRESS(MATCH(E1189,Код_КВР,0)+1,2,,,"КВР")))</f>
        <v>Капитальные вложения в объекты недвижимого имущества муниципальной собственности</v>
      </c>
      <c r="B1189" s="55" t="s">
        <v>648</v>
      </c>
      <c r="C1189" s="8" t="s">
        <v>214</v>
      </c>
      <c r="D1189" s="8" t="s">
        <v>217</v>
      </c>
      <c r="E1189" s="113">
        <v>400</v>
      </c>
      <c r="F1189" s="7"/>
      <c r="G1189" s="7"/>
      <c r="H1189" s="35"/>
      <c r="I1189" s="7"/>
      <c r="J1189" s="35"/>
      <c r="K1189" s="7"/>
      <c r="L1189" s="35"/>
      <c r="M1189" s="7"/>
      <c r="N1189" s="35"/>
      <c r="O1189" s="7"/>
      <c r="P1189" s="35"/>
      <c r="Q1189" s="7">
        <f>Q1190</f>
        <v>585.4</v>
      </c>
      <c r="R1189" s="35">
        <f t="shared" si="264"/>
        <v>585.4</v>
      </c>
      <c r="S1189" s="7">
        <f>S1190</f>
        <v>-322.2</v>
      </c>
      <c r="T1189" s="35">
        <f t="shared" si="270"/>
        <v>263.2</v>
      </c>
    </row>
    <row r="1190" spans="1:20">
      <c r="A1190" s="61" t="str">
        <f ca="1">IF(ISERROR(MATCH(E1190,Код_КВР,0)),"",INDIRECT(ADDRESS(MATCH(E1190,Код_КВР,0)+1,2,,,"КВР")))</f>
        <v>Бюджетные инвестиции</v>
      </c>
      <c r="B1190" s="55" t="s">
        <v>648</v>
      </c>
      <c r="C1190" s="8" t="s">
        <v>214</v>
      </c>
      <c r="D1190" s="8" t="s">
        <v>217</v>
      </c>
      <c r="E1190" s="113">
        <v>410</v>
      </c>
      <c r="F1190" s="7"/>
      <c r="G1190" s="7"/>
      <c r="H1190" s="35"/>
      <c r="I1190" s="7"/>
      <c r="J1190" s="35"/>
      <c r="K1190" s="7"/>
      <c r="L1190" s="35"/>
      <c r="M1190" s="7"/>
      <c r="N1190" s="35"/>
      <c r="O1190" s="7"/>
      <c r="P1190" s="35"/>
      <c r="Q1190" s="7">
        <f>Q1191</f>
        <v>585.4</v>
      </c>
      <c r="R1190" s="35">
        <f t="shared" si="264"/>
        <v>585.4</v>
      </c>
      <c r="S1190" s="7">
        <f>S1191</f>
        <v>-322.2</v>
      </c>
      <c r="T1190" s="35">
        <f t="shared" si="270"/>
        <v>263.2</v>
      </c>
    </row>
    <row r="1191" spans="1:20" ht="33">
      <c r="A1191" s="61" t="str">
        <f ca="1">IF(ISERROR(MATCH(E1191,Код_КВР,0)),"",INDIRECT(ADDRESS(MATCH(E1191,Код_КВР,0)+1,2,,,"КВР")))</f>
        <v>Бюджетные инвестиции в объекты капитального строительства муниципальной собственности</v>
      </c>
      <c r="B1191" s="55" t="s">
        <v>648</v>
      </c>
      <c r="C1191" s="8" t="s">
        <v>214</v>
      </c>
      <c r="D1191" s="8" t="s">
        <v>217</v>
      </c>
      <c r="E1191" s="113">
        <v>414</v>
      </c>
      <c r="F1191" s="7"/>
      <c r="G1191" s="7"/>
      <c r="H1191" s="35"/>
      <c r="I1191" s="7"/>
      <c r="J1191" s="35"/>
      <c r="K1191" s="7"/>
      <c r="L1191" s="35"/>
      <c r="M1191" s="7"/>
      <c r="N1191" s="35"/>
      <c r="O1191" s="7"/>
      <c r="P1191" s="35"/>
      <c r="Q1191" s="7">
        <f>прил.6!R1538</f>
        <v>585.4</v>
      </c>
      <c r="R1191" s="35">
        <f t="shared" si="264"/>
        <v>585.4</v>
      </c>
      <c r="S1191" s="7">
        <f>прил.6!T1538</f>
        <v>-322.2</v>
      </c>
      <c r="T1191" s="35">
        <f t="shared" si="270"/>
        <v>263.2</v>
      </c>
    </row>
    <row r="1192" spans="1:20">
      <c r="A1192" s="61" t="str">
        <f ca="1">IF(ISERROR(MATCH(B1192,Код_КЦСР,0)),"",INDIRECT(ADDRESS(MATCH(B1192,Код_КЦСР,0)+1,2,,,"КЦСР")))</f>
        <v>Реконструкция ул. Мамлеева</v>
      </c>
      <c r="B1192" s="55" t="s">
        <v>650</v>
      </c>
      <c r="C1192" s="8"/>
      <c r="D1192" s="1"/>
      <c r="E1192" s="113"/>
      <c r="F1192" s="7"/>
      <c r="G1192" s="7"/>
      <c r="H1192" s="35"/>
      <c r="I1192" s="7"/>
      <c r="J1192" s="35"/>
      <c r="K1192" s="7"/>
      <c r="L1192" s="35"/>
      <c r="M1192" s="7"/>
      <c r="N1192" s="35"/>
      <c r="O1192" s="7"/>
      <c r="P1192" s="35"/>
      <c r="Q1192" s="7">
        <f>Q1193</f>
        <v>524.70000000000005</v>
      </c>
      <c r="R1192" s="35">
        <f t="shared" si="264"/>
        <v>524.70000000000005</v>
      </c>
      <c r="S1192" s="7">
        <f>S1193</f>
        <v>-130.69999999999999</v>
      </c>
      <c r="T1192" s="35">
        <f t="shared" si="270"/>
        <v>394.00000000000006</v>
      </c>
    </row>
    <row r="1193" spans="1:20">
      <c r="A1193" s="61" t="str">
        <f ca="1">IF(ISERROR(MATCH(C1193,Код_Раздел,0)),"",INDIRECT(ADDRESS(MATCH(C1193,Код_Раздел,0)+1,2,,,"Раздел")))</f>
        <v>Национальная экономика</v>
      </c>
      <c r="B1193" s="55" t="s">
        <v>650</v>
      </c>
      <c r="C1193" s="8" t="s">
        <v>214</v>
      </c>
      <c r="D1193" s="1"/>
      <c r="E1193" s="113"/>
      <c r="F1193" s="7"/>
      <c r="G1193" s="7"/>
      <c r="H1193" s="35"/>
      <c r="I1193" s="7"/>
      <c r="J1193" s="35"/>
      <c r="K1193" s="7"/>
      <c r="L1193" s="35"/>
      <c r="M1193" s="7"/>
      <c r="N1193" s="35"/>
      <c r="O1193" s="7"/>
      <c r="P1193" s="35"/>
      <c r="Q1193" s="7">
        <f>Q1194</f>
        <v>524.70000000000005</v>
      </c>
      <c r="R1193" s="35">
        <f t="shared" si="264"/>
        <v>524.70000000000005</v>
      </c>
      <c r="S1193" s="7">
        <f>S1194</f>
        <v>-130.69999999999999</v>
      </c>
      <c r="T1193" s="35">
        <f t="shared" si="270"/>
        <v>394.00000000000006</v>
      </c>
    </row>
    <row r="1194" spans="1:20">
      <c r="A1194" s="76" t="s">
        <v>178</v>
      </c>
      <c r="B1194" s="55" t="s">
        <v>650</v>
      </c>
      <c r="C1194" s="8" t="s">
        <v>214</v>
      </c>
      <c r="D1194" s="8" t="s">
        <v>217</v>
      </c>
      <c r="E1194" s="113"/>
      <c r="F1194" s="7"/>
      <c r="G1194" s="7"/>
      <c r="H1194" s="35"/>
      <c r="I1194" s="7"/>
      <c r="J1194" s="35"/>
      <c r="K1194" s="7"/>
      <c r="L1194" s="35"/>
      <c r="M1194" s="7"/>
      <c r="N1194" s="35"/>
      <c r="O1194" s="7"/>
      <c r="P1194" s="35"/>
      <c r="Q1194" s="7">
        <f>Q1195</f>
        <v>524.70000000000005</v>
      </c>
      <c r="R1194" s="35">
        <f t="shared" si="264"/>
        <v>524.70000000000005</v>
      </c>
      <c r="S1194" s="7">
        <f>S1195</f>
        <v>-130.69999999999999</v>
      </c>
      <c r="T1194" s="35">
        <f t="shared" si="270"/>
        <v>394.00000000000006</v>
      </c>
    </row>
    <row r="1195" spans="1:20" ht="33">
      <c r="A1195" s="61" t="str">
        <f ca="1">IF(ISERROR(MATCH(E1195,Код_КВР,0)),"",INDIRECT(ADDRESS(MATCH(E1195,Код_КВР,0)+1,2,,,"КВР")))</f>
        <v>Капитальные вложения в объекты недвижимого имущества муниципальной собственности</v>
      </c>
      <c r="B1195" s="55" t="s">
        <v>650</v>
      </c>
      <c r="C1195" s="8" t="s">
        <v>214</v>
      </c>
      <c r="D1195" s="8" t="s">
        <v>217</v>
      </c>
      <c r="E1195" s="113">
        <v>400</v>
      </c>
      <c r="F1195" s="7"/>
      <c r="G1195" s="7"/>
      <c r="H1195" s="35"/>
      <c r="I1195" s="7"/>
      <c r="J1195" s="35"/>
      <c r="K1195" s="7"/>
      <c r="L1195" s="35"/>
      <c r="M1195" s="7"/>
      <c r="N1195" s="35"/>
      <c r="O1195" s="7"/>
      <c r="P1195" s="35"/>
      <c r="Q1195" s="7">
        <f>Q1196</f>
        <v>524.70000000000005</v>
      </c>
      <c r="R1195" s="35">
        <f t="shared" si="264"/>
        <v>524.70000000000005</v>
      </c>
      <c r="S1195" s="7">
        <f>S1196</f>
        <v>-130.69999999999999</v>
      </c>
      <c r="T1195" s="35">
        <f t="shared" si="270"/>
        <v>394.00000000000006</v>
      </c>
    </row>
    <row r="1196" spans="1:20">
      <c r="A1196" s="61" t="str">
        <f ca="1">IF(ISERROR(MATCH(E1196,Код_КВР,0)),"",INDIRECT(ADDRESS(MATCH(E1196,Код_КВР,0)+1,2,,,"КВР")))</f>
        <v>Бюджетные инвестиции</v>
      </c>
      <c r="B1196" s="55" t="s">
        <v>650</v>
      </c>
      <c r="C1196" s="8" t="s">
        <v>214</v>
      </c>
      <c r="D1196" s="8" t="s">
        <v>217</v>
      </c>
      <c r="E1196" s="113">
        <v>410</v>
      </c>
      <c r="F1196" s="7"/>
      <c r="G1196" s="7"/>
      <c r="H1196" s="35"/>
      <c r="I1196" s="7"/>
      <c r="J1196" s="35"/>
      <c r="K1196" s="7"/>
      <c r="L1196" s="35"/>
      <c r="M1196" s="7"/>
      <c r="N1196" s="35"/>
      <c r="O1196" s="7"/>
      <c r="P1196" s="35"/>
      <c r="Q1196" s="7">
        <f>Q1197</f>
        <v>524.70000000000005</v>
      </c>
      <c r="R1196" s="35">
        <f t="shared" si="264"/>
        <v>524.70000000000005</v>
      </c>
      <c r="S1196" s="7">
        <f>S1197</f>
        <v>-130.69999999999999</v>
      </c>
      <c r="T1196" s="35">
        <f t="shared" si="270"/>
        <v>394.00000000000006</v>
      </c>
    </row>
    <row r="1197" spans="1:20" ht="33">
      <c r="A1197" s="61" t="str">
        <f ca="1">IF(ISERROR(MATCH(E1197,Код_КВР,0)),"",INDIRECT(ADDRESS(MATCH(E1197,Код_КВР,0)+1,2,,,"КВР")))</f>
        <v>Бюджетные инвестиции в объекты капитального строительства муниципальной собственности</v>
      </c>
      <c r="B1197" s="55" t="s">
        <v>650</v>
      </c>
      <c r="C1197" s="8" t="s">
        <v>214</v>
      </c>
      <c r="D1197" s="8" t="s">
        <v>217</v>
      </c>
      <c r="E1197" s="113">
        <v>414</v>
      </c>
      <c r="F1197" s="7"/>
      <c r="G1197" s="7"/>
      <c r="H1197" s="35"/>
      <c r="I1197" s="7"/>
      <c r="J1197" s="35"/>
      <c r="K1197" s="7"/>
      <c r="L1197" s="35"/>
      <c r="M1197" s="7"/>
      <c r="N1197" s="35"/>
      <c r="O1197" s="7"/>
      <c r="P1197" s="35"/>
      <c r="Q1197" s="7">
        <f>прил.6!R1542</f>
        <v>524.70000000000005</v>
      </c>
      <c r="R1197" s="35">
        <f t="shared" si="264"/>
        <v>524.70000000000005</v>
      </c>
      <c r="S1197" s="7">
        <f>прил.6!T1542</f>
        <v>-130.69999999999999</v>
      </c>
      <c r="T1197" s="35">
        <f t="shared" si="270"/>
        <v>394.00000000000006</v>
      </c>
    </row>
    <row r="1198" spans="1:20">
      <c r="A1198" s="61" t="str">
        <f ca="1">IF(ISERROR(MATCH(B1198,Код_КЦСР,0)),"",INDIRECT(ADDRESS(MATCH(B1198,Код_КЦСР,0)+1,2,,,"КЦСР")))</f>
        <v>Реконструкция ул. Данилова</v>
      </c>
      <c r="B1198" s="55" t="s">
        <v>652</v>
      </c>
      <c r="C1198" s="8"/>
      <c r="D1198" s="1"/>
      <c r="E1198" s="113"/>
      <c r="F1198" s="7"/>
      <c r="G1198" s="7"/>
      <c r="H1198" s="35"/>
      <c r="I1198" s="7"/>
      <c r="J1198" s="35"/>
      <c r="K1198" s="7"/>
      <c r="L1198" s="35"/>
      <c r="M1198" s="7"/>
      <c r="N1198" s="35"/>
      <c r="O1198" s="7"/>
      <c r="P1198" s="35"/>
      <c r="Q1198" s="7">
        <f>Q1199</f>
        <v>518.4</v>
      </c>
      <c r="R1198" s="35">
        <f t="shared" si="264"/>
        <v>518.4</v>
      </c>
      <c r="S1198" s="7">
        <f>S1199</f>
        <v>-191</v>
      </c>
      <c r="T1198" s="35">
        <f t="shared" si="270"/>
        <v>327.39999999999998</v>
      </c>
    </row>
    <row r="1199" spans="1:20">
      <c r="A1199" s="61" t="str">
        <f ca="1">IF(ISERROR(MATCH(C1199,Код_Раздел,0)),"",INDIRECT(ADDRESS(MATCH(C1199,Код_Раздел,0)+1,2,,,"Раздел")))</f>
        <v>Национальная экономика</v>
      </c>
      <c r="B1199" s="55" t="s">
        <v>652</v>
      </c>
      <c r="C1199" s="8" t="s">
        <v>214</v>
      </c>
      <c r="D1199" s="1"/>
      <c r="E1199" s="113"/>
      <c r="F1199" s="7"/>
      <c r="G1199" s="7"/>
      <c r="H1199" s="35"/>
      <c r="I1199" s="7"/>
      <c r="J1199" s="35"/>
      <c r="K1199" s="7"/>
      <c r="L1199" s="35"/>
      <c r="M1199" s="7"/>
      <c r="N1199" s="35"/>
      <c r="O1199" s="7"/>
      <c r="P1199" s="35"/>
      <c r="Q1199" s="7">
        <f>Q1200</f>
        <v>518.4</v>
      </c>
      <c r="R1199" s="35">
        <f t="shared" si="264"/>
        <v>518.4</v>
      </c>
      <c r="S1199" s="7">
        <f>S1200</f>
        <v>-191</v>
      </c>
      <c r="T1199" s="35">
        <f t="shared" si="270"/>
        <v>327.39999999999998</v>
      </c>
    </row>
    <row r="1200" spans="1:20">
      <c r="A1200" s="76" t="s">
        <v>178</v>
      </c>
      <c r="B1200" s="55" t="s">
        <v>652</v>
      </c>
      <c r="C1200" s="8" t="s">
        <v>214</v>
      </c>
      <c r="D1200" s="8" t="s">
        <v>217</v>
      </c>
      <c r="E1200" s="113"/>
      <c r="F1200" s="7"/>
      <c r="G1200" s="7"/>
      <c r="H1200" s="35"/>
      <c r="I1200" s="7"/>
      <c r="J1200" s="35"/>
      <c r="K1200" s="7"/>
      <c r="L1200" s="35"/>
      <c r="M1200" s="7"/>
      <c r="N1200" s="35"/>
      <c r="O1200" s="7"/>
      <c r="P1200" s="35"/>
      <c r="Q1200" s="7">
        <f>Q1201</f>
        <v>518.4</v>
      </c>
      <c r="R1200" s="35">
        <f t="shared" si="264"/>
        <v>518.4</v>
      </c>
      <c r="S1200" s="7">
        <f>S1201</f>
        <v>-191</v>
      </c>
      <c r="T1200" s="35">
        <f t="shared" si="270"/>
        <v>327.39999999999998</v>
      </c>
    </row>
    <row r="1201" spans="1:20" ht="33">
      <c r="A1201" s="61" t="str">
        <f ca="1">IF(ISERROR(MATCH(E1201,Код_КВР,0)),"",INDIRECT(ADDRESS(MATCH(E1201,Код_КВР,0)+1,2,,,"КВР")))</f>
        <v>Капитальные вложения в объекты недвижимого имущества муниципальной собственности</v>
      </c>
      <c r="B1201" s="55" t="s">
        <v>652</v>
      </c>
      <c r="C1201" s="8" t="s">
        <v>214</v>
      </c>
      <c r="D1201" s="8" t="s">
        <v>217</v>
      </c>
      <c r="E1201" s="113">
        <v>400</v>
      </c>
      <c r="F1201" s="7"/>
      <c r="G1201" s="7"/>
      <c r="H1201" s="35"/>
      <c r="I1201" s="7"/>
      <c r="J1201" s="35"/>
      <c r="K1201" s="7"/>
      <c r="L1201" s="35"/>
      <c r="M1201" s="7"/>
      <c r="N1201" s="35"/>
      <c r="O1201" s="7"/>
      <c r="P1201" s="35"/>
      <c r="Q1201" s="7">
        <f>Q1202</f>
        <v>518.4</v>
      </c>
      <c r="R1201" s="35">
        <f t="shared" si="264"/>
        <v>518.4</v>
      </c>
      <c r="S1201" s="7">
        <f>S1202</f>
        <v>-191</v>
      </c>
      <c r="T1201" s="35">
        <f t="shared" si="270"/>
        <v>327.39999999999998</v>
      </c>
    </row>
    <row r="1202" spans="1:20">
      <c r="A1202" s="61" t="str">
        <f ca="1">IF(ISERROR(MATCH(E1202,Код_КВР,0)),"",INDIRECT(ADDRESS(MATCH(E1202,Код_КВР,0)+1,2,,,"КВР")))</f>
        <v>Бюджетные инвестиции</v>
      </c>
      <c r="B1202" s="55" t="s">
        <v>652</v>
      </c>
      <c r="C1202" s="8" t="s">
        <v>214</v>
      </c>
      <c r="D1202" s="8" t="s">
        <v>217</v>
      </c>
      <c r="E1202" s="113">
        <v>410</v>
      </c>
      <c r="F1202" s="7"/>
      <c r="G1202" s="7"/>
      <c r="H1202" s="35"/>
      <c r="I1202" s="7"/>
      <c r="J1202" s="35"/>
      <c r="K1202" s="7"/>
      <c r="L1202" s="35"/>
      <c r="M1202" s="7"/>
      <c r="N1202" s="35"/>
      <c r="O1202" s="7"/>
      <c r="P1202" s="35"/>
      <c r="Q1202" s="7">
        <f>Q1203</f>
        <v>518.4</v>
      </c>
      <c r="R1202" s="35">
        <f t="shared" si="264"/>
        <v>518.4</v>
      </c>
      <c r="S1202" s="7">
        <f>S1203</f>
        <v>-191</v>
      </c>
      <c r="T1202" s="35">
        <f t="shared" si="270"/>
        <v>327.39999999999998</v>
      </c>
    </row>
    <row r="1203" spans="1:20" ht="33">
      <c r="A1203" s="61" t="str">
        <f ca="1">IF(ISERROR(MATCH(E1203,Код_КВР,0)),"",INDIRECT(ADDRESS(MATCH(E1203,Код_КВР,0)+1,2,,,"КВР")))</f>
        <v>Бюджетные инвестиции в объекты капитального строительства муниципальной собственности</v>
      </c>
      <c r="B1203" s="55" t="s">
        <v>652</v>
      </c>
      <c r="C1203" s="8" t="s">
        <v>214</v>
      </c>
      <c r="D1203" s="8" t="s">
        <v>217</v>
      </c>
      <c r="E1203" s="113">
        <v>414</v>
      </c>
      <c r="F1203" s="7"/>
      <c r="G1203" s="7"/>
      <c r="H1203" s="35"/>
      <c r="I1203" s="7"/>
      <c r="J1203" s="35"/>
      <c r="K1203" s="7"/>
      <c r="L1203" s="35"/>
      <c r="M1203" s="7"/>
      <c r="N1203" s="35"/>
      <c r="O1203" s="7"/>
      <c r="P1203" s="35"/>
      <c r="Q1203" s="7">
        <f>прил.6!R1546</f>
        <v>518.4</v>
      </c>
      <c r="R1203" s="35">
        <f t="shared" si="264"/>
        <v>518.4</v>
      </c>
      <c r="S1203" s="7">
        <f>прил.6!T1546</f>
        <v>-191</v>
      </c>
      <c r="T1203" s="35">
        <f t="shared" si="270"/>
        <v>327.39999999999998</v>
      </c>
    </row>
    <row r="1204" spans="1:20">
      <c r="A1204" s="61" t="str">
        <f ca="1">IF(ISERROR(MATCH(B1204,Код_КЦСР,0)),"",INDIRECT(ADDRESS(MATCH(B1204,Код_КЦСР,0)+1,2,,,"КЦСР")))</f>
        <v>Капитальный ремонт  объектов муниципальной собственности</v>
      </c>
      <c r="B1204" s="45" t="s">
        <v>76</v>
      </c>
      <c r="C1204" s="8"/>
      <c r="D1204" s="1"/>
      <c r="E1204" s="113"/>
      <c r="F1204" s="7">
        <f>F1205+F1220</f>
        <v>47796</v>
      </c>
      <c r="G1204" s="7">
        <f>G1205+G1220</f>
        <v>0</v>
      </c>
      <c r="H1204" s="35">
        <f t="shared" si="260"/>
        <v>47796</v>
      </c>
      <c r="I1204" s="7">
        <f>I1205+I1210+I1220</f>
        <v>594.6</v>
      </c>
      <c r="J1204" s="35">
        <f t="shared" si="258"/>
        <v>48390.6</v>
      </c>
      <c r="K1204" s="7">
        <f>K1205+K1210+K1220+K1229</f>
        <v>1712.9</v>
      </c>
      <c r="L1204" s="35">
        <f t="shared" si="271"/>
        <v>50103.5</v>
      </c>
      <c r="M1204" s="7">
        <f>M1205+M1210+M1220+M1229</f>
        <v>0</v>
      </c>
      <c r="N1204" s="35">
        <f t="shared" si="272"/>
        <v>50103.5</v>
      </c>
      <c r="O1204" s="7">
        <f>O1205+O1210+O1220+O1229</f>
        <v>0</v>
      </c>
      <c r="P1204" s="35">
        <f t="shared" si="267"/>
        <v>50103.5</v>
      </c>
      <c r="Q1204" s="7">
        <f>Q1205+Q1210+Q1220+Q1229+Q1215</f>
        <v>-8577.1</v>
      </c>
      <c r="R1204" s="35">
        <f t="shared" si="264"/>
        <v>41526.400000000001</v>
      </c>
      <c r="S1204" s="7">
        <f>S1205+S1210+S1220+S1229+S1215</f>
        <v>-3994.5</v>
      </c>
      <c r="T1204" s="35">
        <f t="shared" si="270"/>
        <v>37531.9</v>
      </c>
    </row>
    <row r="1205" spans="1:20">
      <c r="A1205" s="61" t="str">
        <f ca="1">IF(ISERROR(MATCH(C1205,Код_Раздел,0)),"",INDIRECT(ADDRESS(MATCH(C1205,Код_Раздел,0)+1,2,,,"Раздел")))</f>
        <v>Общегосударственные  вопросы</v>
      </c>
      <c r="B1205" s="45" t="s">
        <v>76</v>
      </c>
      <c r="C1205" s="8" t="s">
        <v>211</v>
      </c>
      <c r="D1205" s="1"/>
      <c r="E1205" s="113"/>
      <c r="F1205" s="7">
        <f t="shared" ref="F1205:S1208" si="273">F1206</f>
        <v>10110.9</v>
      </c>
      <c r="G1205" s="7">
        <f t="shared" si="273"/>
        <v>0</v>
      </c>
      <c r="H1205" s="35">
        <f t="shared" si="260"/>
        <v>10110.9</v>
      </c>
      <c r="I1205" s="7">
        <f t="shared" si="273"/>
        <v>0</v>
      </c>
      <c r="J1205" s="35">
        <f t="shared" si="258"/>
        <v>10110.9</v>
      </c>
      <c r="K1205" s="7">
        <f t="shared" si="273"/>
        <v>0</v>
      </c>
      <c r="L1205" s="35">
        <f t="shared" si="271"/>
        <v>10110.9</v>
      </c>
      <c r="M1205" s="7">
        <f t="shared" si="273"/>
        <v>0</v>
      </c>
      <c r="N1205" s="35">
        <f t="shared" si="272"/>
        <v>10110.9</v>
      </c>
      <c r="O1205" s="7">
        <f t="shared" si="273"/>
        <v>0</v>
      </c>
      <c r="P1205" s="35">
        <f t="shared" si="267"/>
        <v>10110.9</v>
      </c>
      <c r="Q1205" s="7">
        <f t="shared" si="273"/>
        <v>0</v>
      </c>
      <c r="R1205" s="35">
        <f t="shared" si="264"/>
        <v>10110.9</v>
      </c>
      <c r="S1205" s="7">
        <f t="shared" si="273"/>
        <v>-2086.1</v>
      </c>
      <c r="T1205" s="35">
        <f t="shared" si="270"/>
        <v>8024.7999999999993</v>
      </c>
    </row>
    <row r="1206" spans="1:20">
      <c r="A1206" s="12" t="s">
        <v>235</v>
      </c>
      <c r="B1206" s="45" t="s">
        <v>76</v>
      </c>
      <c r="C1206" s="8" t="s">
        <v>211</v>
      </c>
      <c r="D1206" s="1" t="s">
        <v>188</v>
      </c>
      <c r="E1206" s="113"/>
      <c r="F1206" s="7">
        <f t="shared" si="273"/>
        <v>10110.9</v>
      </c>
      <c r="G1206" s="7">
        <f t="shared" si="273"/>
        <v>0</v>
      </c>
      <c r="H1206" s="35">
        <f t="shared" si="260"/>
        <v>10110.9</v>
      </c>
      <c r="I1206" s="7">
        <f t="shared" si="273"/>
        <v>0</v>
      </c>
      <c r="J1206" s="35">
        <f t="shared" si="258"/>
        <v>10110.9</v>
      </c>
      <c r="K1206" s="7">
        <f t="shared" si="273"/>
        <v>0</v>
      </c>
      <c r="L1206" s="35">
        <f t="shared" si="271"/>
        <v>10110.9</v>
      </c>
      <c r="M1206" s="7">
        <f t="shared" si="273"/>
        <v>0</v>
      </c>
      <c r="N1206" s="35">
        <f t="shared" si="272"/>
        <v>10110.9</v>
      </c>
      <c r="O1206" s="7">
        <f t="shared" si="273"/>
        <v>0</v>
      </c>
      <c r="P1206" s="35">
        <f t="shared" si="267"/>
        <v>10110.9</v>
      </c>
      <c r="Q1206" s="7">
        <f t="shared" si="273"/>
        <v>0</v>
      </c>
      <c r="R1206" s="35">
        <f t="shared" si="264"/>
        <v>10110.9</v>
      </c>
      <c r="S1206" s="7">
        <f t="shared" si="273"/>
        <v>-2086.1</v>
      </c>
      <c r="T1206" s="35">
        <f t="shared" si="270"/>
        <v>8024.7999999999993</v>
      </c>
    </row>
    <row r="1207" spans="1:20">
      <c r="A1207" s="61" t="str">
        <f ca="1">IF(ISERROR(MATCH(E1207,Код_КВР,0)),"",INDIRECT(ADDRESS(MATCH(E1207,Код_КВР,0)+1,2,,,"КВР")))</f>
        <v>Закупка товаров, работ и услуг для муниципальных нужд</v>
      </c>
      <c r="B1207" s="45" t="s">
        <v>76</v>
      </c>
      <c r="C1207" s="8" t="s">
        <v>211</v>
      </c>
      <c r="D1207" s="1" t="s">
        <v>188</v>
      </c>
      <c r="E1207" s="113">
        <v>200</v>
      </c>
      <c r="F1207" s="7">
        <f t="shared" si="273"/>
        <v>10110.9</v>
      </c>
      <c r="G1207" s="7">
        <f t="shared" si="273"/>
        <v>0</v>
      </c>
      <c r="H1207" s="35">
        <f t="shared" si="260"/>
        <v>10110.9</v>
      </c>
      <c r="I1207" s="7">
        <f t="shared" si="273"/>
        <v>0</v>
      </c>
      <c r="J1207" s="35">
        <f t="shared" si="258"/>
        <v>10110.9</v>
      </c>
      <c r="K1207" s="7">
        <f t="shared" si="273"/>
        <v>0</v>
      </c>
      <c r="L1207" s="35">
        <f t="shared" si="271"/>
        <v>10110.9</v>
      </c>
      <c r="M1207" s="7">
        <f t="shared" si="273"/>
        <v>0</v>
      </c>
      <c r="N1207" s="35">
        <f t="shared" si="272"/>
        <v>10110.9</v>
      </c>
      <c r="O1207" s="7">
        <f t="shared" si="273"/>
        <v>0</v>
      </c>
      <c r="P1207" s="35">
        <f t="shared" si="267"/>
        <v>10110.9</v>
      </c>
      <c r="Q1207" s="7">
        <f t="shared" si="273"/>
        <v>0</v>
      </c>
      <c r="R1207" s="35">
        <f t="shared" si="264"/>
        <v>10110.9</v>
      </c>
      <c r="S1207" s="7">
        <f t="shared" si="273"/>
        <v>-2086.1</v>
      </c>
      <c r="T1207" s="35">
        <f t="shared" si="270"/>
        <v>8024.7999999999993</v>
      </c>
    </row>
    <row r="1208" spans="1:20" ht="33">
      <c r="A1208" s="61" t="str">
        <f ca="1">IF(ISERROR(MATCH(E1208,Код_КВР,0)),"",INDIRECT(ADDRESS(MATCH(E1208,Код_КВР,0)+1,2,,,"КВР")))</f>
        <v>Иные закупки товаров, работ и услуг для обеспечения муниципальных нужд</v>
      </c>
      <c r="B1208" s="45" t="s">
        <v>76</v>
      </c>
      <c r="C1208" s="8" t="s">
        <v>211</v>
      </c>
      <c r="D1208" s="1" t="s">
        <v>188</v>
      </c>
      <c r="E1208" s="113">
        <v>240</v>
      </c>
      <c r="F1208" s="7">
        <f t="shared" si="273"/>
        <v>10110.9</v>
      </c>
      <c r="G1208" s="7">
        <f t="shared" si="273"/>
        <v>0</v>
      </c>
      <c r="H1208" s="35">
        <f t="shared" si="260"/>
        <v>10110.9</v>
      </c>
      <c r="I1208" s="7">
        <f t="shared" si="273"/>
        <v>0</v>
      </c>
      <c r="J1208" s="35">
        <f t="shared" si="258"/>
        <v>10110.9</v>
      </c>
      <c r="K1208" s="7">
        <f t="shared" si="273"/>
        <v>0</v>
      </c>
      <c r="L1208" s="35">
        <f t="shared" si="271"/>
        <v>10110.9</v>
      </c>
      <c r="M1208" s="7">
        <f t="shared" si="273"/>
        <v>0</v>
      </c>
      <c r="N1208" s="35">
        <f t="shared" si="272"/>
        <v>10110.9</v>
      </c>
      <c r="O1208" s="7">
        <f t="shared" si="273"/>
        <v>0</v>
      </c>
      <c r="P1208" s="35">
        <f t="shared" si="267"/>
        <v>10110.9</v>
      </c>
      <c r="Q1208" s="7">
        <f t="shared" si="273"/>
        <v>0</v>
      </c>
      <c r="R1208" s="35">
        <f t="shared" si="264"/>
        <v>10110.9</v>
      </c>
      <c r="S1208" s="7">
        <f t="shared" si="273"/>
        <v>-2086.1</v>
      </c>
      <c r="T1208" s="35">
        <f t="shared" si="270"/>
        <v>8024.7999999999993</v>
      </c>
    </row>
    <row r="1209" spans="1:20" ht="33">
      <c r="A1209" s="61" t="str">
        <f ca="1">IF(ISERROR(MATCH(E1209,Код_КВР,0)),"",INDIRECT(ADDRESS(MATCH(E1209,Код_КВР,0)+1,2,,,"КВР")))</f>
        <v>Закупка товаров, работ, услуг в целях капитального ремонта муниципального имущества</v>
      </c>
      <c r="B1209" s="45" t="s">
        <v>76</v>
      </c>
      <c r="C1209" s="8" t="s">
        <v>211</v>
      </c>
      <c r="D1209" s="1" t="s">
        <v>188</v>
      </c>
      <c r="E1209" s="113">
        <v>243</v>
      </c>
      <c r="F1209" s="7">
        <f>прил.6!G1507</f>
        <v>10110.9</v>
      </c>
      <c r="G1209" s="7">
        <f>прил.6!H1507</f>
        <v>0</v>
      </c>
      <c r="H1209" s="35">
        <f t="shared" si="260"/>
        <v>10110.9</v>
      </c>
      <c r="I1209" s="7">
        <f>прил.6!J1507</f>
        <v>0</v>
      </c>
      <c r="J1209" s="35">
        <f t="shared" si="258"/>
        <v>10110.9</v>
      </c>
      <c r="K1209" s="7">
        <f>прил.6!L1507</f>
        <v>0</v>
      </c>
      <c r="L1209" s="35">
        <f t="shared" si="271"/>
        <v>10110.9</v>
      </c>
      <c r="M1209" s="7">
        <f>прил.6!N1507</f>
        <v>0</v>
      </c>
      <c r="N1209" s="35">
        <f t="shared" si="272"/>
        <v>10110.9</v>
      </c>
      <c r="O1209" s="7">
        <f>прил.6!P1507</f>
        <v>0</v>
      </c>
      <c r="P1209" s="35">
        <f t="shared" si="267"/>
        <v>10110.9</v>
      </c>
      <c r="Q1209" s="7">
        <f>прил.6!R1507</f>
        <v>0</v>
      </c>
      <c r="R1209" s="35">
        <f t="shared" si="264"/>
        <v>10110.9</v>
      </c>
      <c r="S1209" s="7">
        <f>прил.6!T1507</f>
        <v>-2086.1</v>
      </c>
      <c r="T1209" s="35">
        <f t="shared" si="270"/>
        <v>8024.7999999999993</v>
      </c>
    </row>
    <row r="1210" spans="1:20">
      <c r="A1210" s="61" t="str">
        <f ca="1">IF(ISERROR(MATCH(C1210,Код_Раздел,0)),"",INDIRECT(ADDRESS(MATCH(C1210,Код_Раздел,0)+1,2,,,"Раздел")))</f>
        <v>Национальная экономика</v>
      </c>
      <c r="B1210" s="45" t="s">
        <v>76</v>
      </c>
      <c r="C1210" s="8" t="s">
        <v>214</v>
      </c>
      <c r="D1210" s="1"/>
      <c r="E1210" s="113"/>
      <c r="F1210" s="7"/>
      <c r="G1210" s="7"/>
      <c r="H1210" s="35"/>
      <c r="I1210" s="7">
        <f>I1211</f>
        <v>594.6</v>
      </c>
      <c r="J1210" s="35">
        <f t="shared" si="258"/>
        <v>594.6</v>
      </c>
      <c r="K1210" s="7">
        <f>K1211</f>
        <v>0</v>
      </c>
      <c r="L1210" s="35">
        <f t="shared" si="271"/>
        <v>594.6</v>
      </c>
      <c r="M1210" s="7">
        <f>M1211</f>
        <v>0</v>
      </c>
      <c r="N1210" s="35">
        <f t="shared" si="272"/>
        <v>594.6</v>
      </c>
      <c r="O1210" s="7">
        <f>O1211</f>
        <v>0</v>
      </c>
      <c r="P1210" s="35">
        <f t="shared" si="267"/>
        <v>594.6</v>
      </c>
      <c r="Q1210" s="7">
        <f>Q1211</f>
        <v>-118.7</v>
      </c>
      <c r="R1210" s="35">
        <f t="shared" si="264"/>
        <v>475.90000000000003</v>
      </c>
      <c r="S1210" s="7">
        <f>S1211</f>
        <v>0</v>
      </c>
      <c r="T1210" s="35">
        <f t="shared" si="270"/>
        <v>475.90000000000003</v>
      </c>
    </row>
    <row r="1211" spans="1:20">
      <c r="A1211" s="12" t="s">
        <v>221</v>
      </c>
      <c r="B1211" s="45" t="s">
        <v>76</v>
      </c>
      <c r="C1211" s="8" t="s">
        <v>214</v>
      </c>
      <c r="D1211" s="1" t="s">
        <v>194</v>
      </c>
      <c r="E1211" s="113"/>
      <c r="F1211" s="7"/>
      <c r="G1211" s="7"/>
      <c r="H1211" s="35"/>
      <c r="I1211" s="7">
        <f>I1212</f>
        <v>594.6</v>
      </c>
      <c r="J1211" s="35">
        <f t="shared" si="258"/>
        <v>594.6</v>
      </c>
      <c r="K1211" s="7">
        <f>K1212</f>
        <v>0</v>
      </c>
      <c r="L1211" s="35">
        <f t="shared" si="271"/>
        <v>594.6</v>
      </c>
      <c r="M1211" s="7">
        <f>M1212</f>
        <v>0</v>
      </c>
      <c r="N1211" s="35">
        <f t="shared" si="272"/>
        <v>594.6</v>
      </c>
      <c r="O1211" s="7">
        <f>O1212</f>
        <v>0</v>
      </c>
      <c r="P1211" s="35">
        <f t="shared" si="267"/>
        <v>594.6</v>
      </c>
      <c r="Q1211" s="7">
        <f>Q1212</f>
        <v>-118.7</v>
      </c>
      <c r="R1211" s="35">
        <f t="shared" si="264"/>
        <v>475.90000000000003</v>
      </c>
      <c r="S1211" s="7">
        <f>S1212</f>
        <v>0</v>
      </c>
      <c r="T1211" s="35">
        <f t="shared" si="270"/>
        <v>475.90000000000003</v>
      </c>
    </row>
    <row r="1212" spans="1:20">
      <c r="A1212" s="61" t="str">
        <f ca="1">IF(ISERROR(MATCH(E1212,Код_КВР,0)),"",INDIRECT(ADDRESS(MATCH(E1212,Код_КВР,0)+1,2,,,"КВР")))</f>
        <v>Закупка товаров, работ и услуг для муниципальных нужд</v>
      </c>
      <c r="B1212" s="45" t="s">
        <v>76</v>
      </c>
      <c r="C1212" s="8" t="s">
        <v>214</v>
      </c>
      <c r="D1212" s="1" t="s">
        <v>194</v>
      </c>
      <c r="E1212" s="113">
        <v>200</v>
      </c>
      <c r="F1212" s="7"/>
      <c r="G1212" s="7"/>
      <c r="H1212" s="35"/>
      <c r="I1212" s="7">
        <f>I1213</f>
        <v>594.6</v>
      </c>
      <c r="J1212" s="35">
        <f t="shared" si="258"/>
        <v>594.6</v>
      </c>
      <c r="K1212" s="7">
        <f>K1213</f>
        <v>0</v>
      </c>
      <c r="L1212" s="35">
        <f t="shared" si="271"/>
        <v>594.6</v>
      </c>
      <c r="M1212" s="7">
        <f>M1213</f>
        <v>0</v>
      </c>
      <c r="N1212" s="35">
        <f t="shared" si="272"/>
        <v>594.6</v>
      </c>
      <c r="O1212" s="7">
        <f>O1213</f>
        <v>0</v>
      </c>
      <c r="P1212" s="35">
        <f t="shared" si="267"/>
        <v>594.6</v>
      </c>
      <c r="Q1212" s="7">
        <f>Q1213</f>
        <v>-118.7</v>
      </c>
      <c r="R1212" s="35">
        <f t="shared" si="264"/>
        <v>475.90000000000003</v>
      </c>
      <c r="S1212" s="7">
        <f>S1213</f>
        <v>0</v>
      </c>
      <c r="T1212" s="35">
        <f t="shared" si="270"/>
        <v>475.90000000000003</v>
      </c>
    </row>
    <row r="1213" spans="1:20" ht="33">
      <c r="A1213" s="61" t="str">
        <f ca="1">IF(ISERROR(MATCH(E1213,Код_КВР,0)),"",INDIRECT(ADDRESS(MATCH(E1213,Код_КВР,0)+1,2,,,"КВР")))</f>
        <v>Иные закупки товаров, работ и услуг для обеспечения муниципальных нужд</v>
      </c>
      <c r="B1213" s="45" t="s">
        <v>76</v>
      </c>
      <c r="C1213" s="8" t="s">
        <v>214</v>
      </c>
      <c r="D1213" s="1" t="s">
        <v>194</v>
      </c>
      <c r="E1213" s="113">
        <v>240</v>
      </c>
      <c r="F1213" s="7"/>
      <c r="G1213" s="7"/>
      <c r="H1213" s="35"/>
      <c r="I1213" s="7">
        <f>I1214</f>
        <v>594.6</v>
      </c>
      <c r="J1213" s="35">
        <f t="shared" si="258"/>
        <v>594.6</v>
      </c>
      <c r="K1213" s="7">
        <f>K1214</f>
        <v>0</v>
      </c>
      <c r="L1213" s="35">
        <f t="shared" si="271"/>
        <v>594.6</v>
      </c>
      <c r="M1213" s="7">
        <f>M1214</f>
        <v>0</v>
      </c>
      <c r="N1213" s="35">
        <f t="shared" si="272"/>
        <v>594.6</v>
      </c>
      <c r="O1213" s="7">
        <f>O1214</f>
        <v>0</v>
      </c>
      <c r="P1213" s="35">
        <f t="shared" si="267"/>
        <v>594.6</v>
      </c>
      <c r="Q1213" s="7">
        <f>Q1214</f>
        <v>-118.7</v>
      </c>
      <c r="R1213" s="35">
        <f t="shared" si="264"/>
        <v>475.90000000000003</v>
      </c>
      <c r="S1213" s="7">
        <f>S1214</f>
        <v>0</v>
      </c>
      <c r="T1213" s="35">
        <f t="shared" si="270"/>
        <v>475.90000000000003</v>
      </c>
    </row>
    <row r="1214" spans="1:20" ht="33">
      <c r="A1214" s="61" t="str">
        <f ca="1">IF(ISERROR(MATCH(E1214,Код_КВР,0)),"",INDIRECT(ADDRESS(MATCH(E1214,Код_КВР,0)+1,2,,,"КВР")))</f>
        <v>Закупка товаров, работ, услуг в целях капитального ремонта муниципального имущества</v>
      </c>
      <c r="B1214" s="45" t="s">
        <v>76</v>
      </c>
      <c r="C1214" s="8" t="s">
        <v>214</v>
      </c>
      <c r="D1214" s="1" t="s">
        <v>194</v>
      </c>
      <c r="E1214" s="113">
        <v>243</v>
      </c>
      <c r="F1214" s="7"/>
      <c r="G1214" s="7"/>
      <c r="H1214" s="35"/>
      <c r="I1214" s="7">
        <f>прил.6!J1574</f>
        <v>594.6</v>
      </c>
      <c r="J1214" s="35">
        <f t="shared" si="258"/>
        <v>594.6</v>
      </c>
      <c r="K1214" s="7">
        <f>прил.6!L1574</f>
        <v>0</v>
      </c>
      <c r="L1214" s="35">
        <f t="shared" si="271"/>
        <v>594.6</v>
      </c>
      <c r="M1214" s="7">
        <f>прил.6!N1574</f>
        <v>0</v>
      </c>
      <c r="N1214" s="35">
        <f t="shared" si="272"/>
        <v>594.6</v>
      </c>
      <c r="O1214" s="7">
        <f>прил.6!P1574</f>
        <v>0</v>
      </c>
      <c r="P1214" s="35">
        <f t="shared" si="267"/>
        <v>594.6</v>
      </c>
      <c r="Q1214" s="7">
        <f>прил.6!R1574</f>
        <v>-118.7</v>
      </c>
      <c r="R1214" s="35">
        <f t="shared" si="264"/>
        <v>475.90000000000003</v>
      </c>
      <c r="S1214" s="7">
        <f>прил.6!T1574</f>
        <v>0</v>
      </c>
      <c r="T1214" s="35">
        <f t="shared" si="270"/>
        <v>475.90000000000003</v>
      </c>
    </row>
    <row r="1215" spans="1:20">
      <c r="A1215" s="61" t="str">
        <f ca="1">IF(ISERROR(MATCH(C1215,Код_Раздел,0)),"",INDIRECT(ADDRESS(MATCH(C1215,Код_Раздел,0)+1,2,,,"Раздел")))</f>
        <v>Жилищно-коммунальное хозяйство</v>
      </c>
      <c r="B1215" s="45" t="s">
        <v>76</v>
      </c>
      <c r="C1215" s="8" t="s">
        <v>219</v>
      </c>
      <c r="D1215" s="1"/>
      <c r="E1215" s="113"/>
      <c r="F1215" s="7"/>
      <c r="G1215" s="7"/>
      <c r="H1215" s="35"/>
      <c r="I1215" s="7"/>
      <c r="J1215" s="35"/>
      <c r="K1215" s="7"/>
      <c r="L1215" s="35"/>
      <c r="M1215" s="7"/>
      <c r="N1215" s="35"/>
      <c r="O1215" s="7"/>
      <c r="P1215" s="35"/>
      <c r="Q1215" s="7">
        <f>Q1216</f>
        <v>186.4</v>
      </c>
      <c r="R1215" s="35">
        <f t="shared" si="264"/>
        <v>186.4</v>
      </c>
      <c r="S1215" s="7">
        <f>S1216</f>
        <v>0</v>
      </c>
      <c r="T1215" s="35">
        <f t="shared" si="270"/>
        <v>186.4</v>
      </c>
    </row>
    <row r="1216" spans="1:20">
      <c r="A1216" s="12" t="s">
        <v>224</v>
      </c>
      <c r="B1216" s="45" t="s">
        <v>76</v>
      </c>
      <c r="C1216" s="8" t="s">
        <v>219</v>
      </c>
      <c r="D1216" s="1" t="s">
        <v>211</v>
      </c>
      <c r="E1216" s="113"/>
      <c r="F1216" s="7"/>
      <c r="G1216" s="7"/>
      <c r="H1216" s="35"/>
      <c r="I1216" s="7"/>
      <c r="J1216" s="35"/>
      <c r="K1216" s="7"/>
      <c r="L1216" s="35"/>
      <c r="M1216" s="7"/>
      <c r="N1216" s="35"/>
      <c r="O1216" s="7"/>
      <c r="P1216" s="35"/>
      <c r="Q1216" s="7">
        <f>Q1217</f>
        <v>186.4</v>
      </c>
      <c r="R1216" s="35">
        <f t="shared" si="264"/>
        <v>186.4</v>
      </c>
      <c r="S1216" s="7">
        <f>S1217</f>
        <v>0</v>
      </c>
      <c r="T1216" s="35">
        <f t="shared" si="270"/>
        <v>186.4</v>
      </c>
    </row>
    <row r="1217" spans="1:21">
      <c r="A1217" s="61" t="str">
        <f ca="1">IF(ISERROR(MATCH(E1217,Код_КВР,0)),"",INDIRECT(ADDRESS(MATCH(E1217,Код_КВР,0)+1,2,,,"КВР")))</f>
        <v>Закупка товаров, работ и услуг для муниципальных нужд</v>
      </c>
      <c r="B1217" s="45" t="s">
        <v>76</v>
      </c>
      <c r="C1217" s="8" t="s">
        <v>219</v>
      </c>
      <c r="D1217" s="1" t="s">
        <v>211</v>
      </c>
      <c r="E1217" s="113">
        <v>200</v>
      </c>
      <c r="F1217" s="7"/>
      <c r="G1217" s="7"/>
      <c r="H1217" s="35"/>
      <c r="I1217" s="7"/>
      <c r="J1217" s="35"/>
      <c r="K1217" s="7"/>
      <c r="L1217" s="35"/>
      <c r="M1217" s="7"/>
      <c r="N1217" s="35"/>
      <c r="O1217" s="7"/>
      <c r="P1217" s="35"/>
      <c r="Q1217" s="7">
        <f>Q1218</f>
        <v>186.4</v>
      </c>
      <c r="R1217" s="35">
        <f t="shared" si="264"/>
        <v>186.4</v>
      </c>
      <c r="S1217" s="7">
        <f>S1218</f>
        <v>0</v>
      </c>
      <c r="T1217" s="35">
        <f t="shared" si="270"/>
        <v>186.4</v>
      </c>
    </row>
    <row r="1218" spans="1:21" ht="33">
      <c r="A1218" s="61" t="str">
        <f ca="1">IF(ISERROR(MATCH(E1218,Код_КВР,0)),"",INDIRECT(ADDRESS(MATCH(E1218,Код_КВР,0)+1,2,,,"КВР")))</f>
        <v>Иные закупки товаров, работ и услуг для обеспечения муниципальных нужд</v>
      </c>
      <c r="B1218" s="45" t="s">
        <v>76</v>
      </c>
      <c r="C1218" s="8" t="s">
        <v>219</v>
      </c>
      <c r="D1218" s="1" t="s">
        <v>211</v>
      </c>
      <c r="E1218" s="113">
        <v>240</v>
      </c>
      <c r="F1218" s="7"/>
      <c r="G1218" s="7"/>
      <c r="H1218" s="35"/>
      <c r="I1218" s="7"/>
      <c r="J1218" s="35"/>
      <c r="K1218" s="7"/>
      <c r="L1218" s="35"/>
      <c r="M1218" s="7"/>
      <c r="N1218" s="35"/>
      <c r="O1218" s="7"/>
      <c r="P1218" s="35"/>
      <c r="Q1218" s="7">
        <f>Q1219</f>
        <v>186.4</v>
      </c>
      <c r="R1218" s="35">
        <f t="shared" si="264"/>
        <v>186.4</v>
      </c>
      <c r="S1218" s="7">
        <f>S1219</f>
        <v>0</v>
      </c>
      <c r="T1218" s="35">
        <f t="shared" si="270"/>
        <v>186.4</v>
      </c>
    </row>
    <row r="1219" spans="1:21" ht="33">
      <c r="A1219" s="61" t="str">
        <f ca="1">IF(ISERROR(MATCH(E1219,Код_КВР,0)),"",INDIRECT(ADDRESS(MATCH(E1219,Код_КВР,0)+1,2,,,"КВР")))</f>
        <v>Закупка товаров, работ, услуг в целях капитального ремонта муниципального имущества</v>
      </c>
      <c r="B1219" s="45" t="s">
        <v>76</v>
      </c>
      <c r="C1219" s="8" t="s">
        <v>219</v>
      </c>
      <c r="D1219" s="1" t="s">
        <v>211</v>
      </c>
      <c r="E1219" s="113">
        <v>243</v>
      </c>
      <c r="F1219" s="7"/>
      <c r="G1219" s="7"/>
      <c r="H1219" s="35"/>
      <c r="I1219" s="7"/>
      <c r="J1219" s="35"/>
      <c r="K1219" s="7"/>
      <c r="L1219" s="35"/>
      <c r="M1219" s="7"/>
      <c r="N1219" s="35"/>
      <c r="O1219" s="7"/>
      <c r="P1219" s="35"/>
      <c r="Q1219" s="7">
        <f>прил.6!R1610</f>
        <v>186.4</v>
      </c>
      <c r="R1219" s="35">
        <f t="shared" si="264"/>
        <v>186.4</v>
      </c>
      <c r="S1219" s="7">
        <f>прил.6!T1610</f>
        <v>0</v>
      </c>
      <c r="T1219" s="35">
        <f t="shared" si="270"/>
        <v>186.4</v>
      </c>
    </row>
    <row r="1220" spans="1:21">
      <c r="A1220" s="61" t="str">
        <f ca="1">IF(ISERROR(MATCH(C1220,Код_Раздел,0)),"",INDIRECT(ADDRESS(MATCH(C1220,Код_Раздел,0)+1,2,,,"Раздел")))</f>
        <v>Образование</v>
      </c>
      <c r="B1220" s="45" t="s">
        <v>76</v>
      </c>
      <c r="C1220" s="8" t="s">
        <v>193</v>
      </c>
      <c r="D1220" s="1"/>
      <c r="E1220" s="113"/>
      <c r="F1220" s="7">
        <f>F1221+F1225</f>
        <v>37685.1</v>
      </c>
      <c r="G1220" s="7">
        <f>G1221+G1225</f>
        <v>0</v>
      </c>
      <c r="H1220" s="35">
        <f t="shared" si="260"/>
        <v>37685.1</v>
      </c>
      <c r="I1220" s="7">
        <f>I1221+I1225</f>
        <v>0</v>
      </c>
      <c r="J1220" s="35">
        <f t="shared" si="258"/>
        <v>37685.1</v>
      </c>
      <c r="K1220" s="7">
        <f>K1221+K1225</f>
        <v>0</v>
      </c>
      <c r="L1220" s="35">
        <f t="shared" si="271"/>
        <v>37685.1</v>
      </c>
      <c r="M1220" s="7">
        <f>M1221+M1225</f>
        <v>0</v>
      </c>
      <c r="N1220" s="35">
        <f t="shared" si="272"/>
        <v>37685.1</v>
      </c>
      <c r="O1220" s="7">
        <f>O1221+O1225</f>
        <v>0</v>
      </c>
      <c r="P1220" s="35">
        <f t="shared" si="267"/>
        <v>37685.1</v>
      </c>
      <c r="Q1220" s="7">
        <f>Q1221+Q1225</f>
        <v>-8644.7999999999993</v>
      </c>
      <c r="R1220" s="35">
        <f t="shared" si="264"/>
        <v>29040.3</v>
      </c>
      <c r="S1220" s="7">
        <f>S1221+S1225</f>
        <v>-1908.4</v>
      </c>
      <c r="T1220" s="35">
        <f t="shared" si="270"/>
        <v>27131.899999999998</v>
      </c>
    </row>
    <row r="1221" spans="1:21">
      <c r="A1221" s="12" t="s">
        <v>248</v>
      </c>
      <c r="B1221" s="45" t="s">
        <v>76</v>
      </c>
      <c r="C1221" s="8" t="s">
        <v>193</v>
      </c>
      <c r="D1221" s="1" t="s">
        <v>212</v>
      </c>
      <c r="E1221" s="113"/>
      <c r="F1221" s="7">
        <f t="shared" ref="F1221:S1223" si="274">F1222</f>
        <v>31933.8</v>
      </c>
      <c r="G1221" s="7">
        <f t="shared" si="274"/>
        <v>0</v>
      </c>
      <c r="H1221" s="35">
        <f t="shared" si="260"/>
        <v>31933.8</v>
      </c>
      <c r="I1221" s="7">
        <f t="shared" si="274"/>
        <v>0</v>
      </c>
      <c r="J1221" s="35">
        <f t="shared" si="258"/>
        <v>31933.8</v>
      </c>
      <c r="K1221" s="7">
        <f t="shared" si="274"/>
        <v>0</v>
      </c>
      <c r="L1221" s="35">
        <f t="shared" si="271"/>
        <v>31933.8</v>
      </c>
      <c r="M1221" s="7">
        <f t="shared" si="274"/>
        <v>0</v>
      </c>
      <c r="N1221" s="35">
        <f t="shared" si="272"/>
        <v>31933.8</v>
      </c>
      <c r="O1221" s="7">
        <f t="shared" si="274"/>
        <v>0</v>
      </c>
      <c r="P1221" s="35">
        <f t="shared" si="267"/>
        <v>31933.8</v>
      </c>
      <c r="Q1221" s="7">
        <f t="shared" si="274"/>
        <v>-2893.5</v>
      </c>
      <c r="R1221" s="35">
        <f t="shared" si="264"/>
        <v>29040.3</v>
      </c>
      <c r="S1221" s="7">
        <f t="shared" si="274"/>
        <v>-1908.4</v>
      </c>
      <c r="T1221" s="35">
        <f t="shared" si="270"/>
        <v>27131.899999999998</v>
      </c>
    </row>
    <row r="1222" spans="1:21">
      <c r="A1222" s="61" t="str">
        <f ca="1">IF(ISERROR(MATCH(E1222,Код_КВР,0)),"",INDIRECT(ADDRESS(MATCH(E1222,Код_КВР,0)+1,2,,,"КВР")))</f>
        <v>Закупка товаров, работ и услуг для муниципальных нужд</v>
      </c>
      <c r="B1222" s="45" t="s">
        <v>76</v>
      </c>
      <c r="C1222" s="8" t="s">
        <v>193</v>
      </c>
      <c r="D1222" s="1" t="s">
        <v>212</v>
      </c>
      <c r="E1222" s="113">
        <v>200</v>
      </c>
      <c r="F1222" s="7">
        <f t="shared" si="274"/>
        <v>31933.8</v>
      </c>
      <c r="G1222" s="7">
        <f t="shared" si="274"/>
        <v>0</v>
      </c>
      <c r="H1222" s="35">
        <f t="shared" si="260"/>
        <v>31933.8</v>
      </c>
      <c r="I1222" s="7">
        <f t="shared" si="274"/>
        <v>0</v>
      </c>
      <c r="J1222" s="35">
        <f t="shared" si="258"/>
        <v>31933.8</v>
      </c>
      <c r="K1222" s="7">
        <f t="shared" si="274"/>
        <v>0</v>
      </c>
      <c r="L1222" s="35">
        <f t="shared" si="271"/>
        <v>31933.8</v>
      </c>
      <c r="M1222" s="7">
        <f t="shared" si="274"/>
        <v>0</v>
      </c>
      <c r="N1222" s="35">
        <f t="shared" si="272"/>
        <v>31933.8</v>
      </c>
      <c r="O1222" s="7">
        <f t="shared" si="274"/>
        <v>0</v>
      </c>
      <c r="P1222" s="35">
        <f t="shared" si="267"/>
        <v>31933.8</v>
      </c>
      <c r="Q1222" s="7">
        <f t="shared" si="274"/>
        <v>-2893.5</v>
      </c>
      <c r="R1222" s="35">
        <f t="shared" si="264"/>
        <v>29040.3</v>
      </c>
      <c r="S1222" s="7">
        <f t="shared" si="274"/>
        <v>-1908.4</v>
      </c>
      <c r="T1222" s="35">
        <f t="shared" si="270"/>
        <v>27131.899999999998</v>
      </c>
    </row>
    <row r="1223" spans="1:21" ht="33">
      <c r="A1223" s="61" t="str">
        <f ca="1">IF(ISERROR(MATCH(E1223,Код_КВР,0)),"",INDIRECT(ADDRESS(MATCH(E1223,Код_КВР,0)+1,2,,,"КВР")))</f>
        <v>Иные закупки товаров, работ и услуг для обеспечения муниципальных нужд</v>
      </c>
      <c r="B1223" s="45" t="s">
        <v>76</v>
      </c>
      <c r="C1223" s="8" t="s">
        <v>193</v>
      </c>
      <c r="D1223" s="1" t="s">
        <v>212</v>
      </c>
      <c r="E1223" s="113">
        <v>240</v>
      </c>
      <c r="F1223" s="7">
        <f t="shared" si="274"/>
        <v>31933.8</v>
      </c>
      <c r="G1223" s="7">
        <f t="shared" si="274"/>
        <v>0</v>
      </c>
      <c r="H1223" s="35">
        <f t="shared" si="260"/>
        <v>31933.8</v>
      </c>
      <c r="I1223" s="7">
        <f t="shared" si="274"/>
        <v>0</v>
      </c>
      <c r="J1223" s="35">
        <f t="shared" si="258"/>
        <v>31933.8</v>
      </c>
      <c r="K1223" s="7">
        <f t="shared" si="274"/>
        <v>0</v>
      </c>
      <c r="L1223" s="35">
        <f t="shared" si="271"/>
        <v>31933.8</v>
      </c>
      <c r="M1223" s="7">
        <f t="shared" si="274"/>
        <v>0</v>
      </c>
      <c r="N1223" s="35">
        <f t="shared" si="272"/>
        <v>31933.8</v>
      </c>
      <c r="O1223" s="7">
        <f t="shared" si="274"/>
        <v>0</v>
      </c>
      <c r="P1223" s="35">
        <f t="shared" si="267"/>
        <v>31933.8</v>
      </c>
      <c r="Q1223" s="7">
        <f t="shared" si="274"/>
        <v>-2893.5</v>
      </c>
      <c r="R1223" s="35">
        <f t="shared" si="264"/>
        <v>29040.3</v>
      </c>
      <c r="S1223" s="7">
        <f t="shared" si="274"/>
        <v>-1908.4</v>
      </c>
      <c r="T1223" s="35">
        <f t="shared" si="270"/>
        <v>27131.899999999998</v>
      </c>
    </row>
    <row r="1224" spans="1:21" ht="33">
      <c r="A1224" s="61" t="str">
        <f ca="1">IF(ISERROR(MATCH(E1224,Код_КВР,0)),"",INDIRECT(ADDRESS(MATCH(E1224,Код_КВР,0)+1,2,,,"КВР")))</f>
        <v>Закупка товаров, работ, услуг в целях капитального ремонта муниципального имущества</v>
      </c>
      <c r="B1224" s="45" t="s">
        <v>76</v>
      </c>
      <c r="C1224" s="8" t="s">
        <v>193</v>
      </c>
      <c r="D1224" s="1" t="s">
        <v>212</v>
      </c>
      <c r="E1224" s="113">
        <v>243</v>
      </c>
      <c r="F1224" s="7">
        <f>прил.6!G1635</f>
        <v>31933.8</v>
      </c>
      <c r="G1224" s="7">
        <f>прил.6!H1635</f>
        <v>0</v>
      </c>
      <c r="H1224" s="35">
        <f t="shared" si="260"/>
        <v>31933.8</v>
      </c>
      <c r="I1224" s="7">
        <f>прил.6!J1635</f>
        <v>0</v>
      </c>
      <c r="J1224" s="35">
        <f t="shared" si="258"/>
        <v>31933.8</v>
      </c>
      <c r="K1224" s="7">
        <f>прил.6!L1635</f>
        <v>0</v>
      </c>
      <c r="L1224" s="35">
        <f t="shared" si="271"/>
        <v>31933.8</v>
      </c>
      <c r="M1224" s="7">
        <f>прил.6!N1635</f>
        <v>0</v>
      </c>
      <c r="N1224" s="35">
        <f t="shared" si="272"/>
        <v>31933.8</v>
      </c>
      <c r="O1224" s="7">
        <f>прил.6!P1635</f>
        <v>0</v>
      </c>
      <c r="P1224" s="35">
        <f t="shared" si="267"/>
        <v>31933.8</v>
      </c>
      <c r="Q1224" s="7">
        <f>прил.6!R1635</f>
        <v>-2893.5</v>
      </c>
      <c r="R1224" s="35">
        <f t="shared" si="264"/>
        <v>29040.3</v>
      </c>
      <c r="S1224" s="7">
        <f>прил.6!T1635</f>
        <v>-1908.4</v>
      </c>
      <c r="T1224" s="35">
        <f t="shared" ref="T1224:T1299" si="275">R1224+S1224</f>
        <v>27131.899999999998</v>
      </c>
    </row>
    <row r="1225" spans="1:21" hidden="1">
      <c r="A1225" s="12" t="s">
        <v>249</v>
      </c>
      <c r="B1225" s="45" t="s">
        <v>76</v>
      </c>
      <c r="C1225" s="8" t="s">
        <v>193</v>
      </c>
      <c r="D1225" s="1" t="s">
        <v>217</v>
      </c>
      <c r="E1225" s="89"/>
      <c r="F1225" s="7">
        <f t="shared" ref="F1225:S1227" si="276">F1226</f>
        <v>5751.3</v>
      </c>
      <c r="G1225" s="7">
        <f t="shared" si="276"/>
        <v>0</v>
      </c>
      <c r="H1225" s="35">
        <f t="shared" si="260"/>
        <v>5751.3</v>
      </c>
      <c r="I1225" s="7">
        <f t="shared" si="276"/>
        <v>0</v>
      </c>
      <c r="J1225" s="35">
        <f t="shared" si="258"/>
        <v>5751.3</v>
      </c>
      <c r="K1225" s="7">
        <f t="shared" si="276"/>
        <v>0</v>
      </c>
      <c r="L1225" s="35">
        <f t="shared" si="271"/>
        <v>5751.3</v>
      </c>
      <c r="M1225" s="7">
        <f t="shared" si="276"/>
        <v>0</v>
      </c>
      <c r="N1225" s="35">
        <f t="shared" si="272"/>
        <v>5751.3</v>
      </c>
      <c r="O1225" s="7">
        <f t="shared" si="276"/>
        <v>0</v>
      </c>
      <c r="P1225" s="35">
        <f t="shared" si="267"/>
        <v>5751.3</v>
      </c>
      <c r="Q1225" s="7">
        <f t="shared" si="276"/>
        <v>-5751.3</v>
      </c>
      <c r="R1225" s="35">
        <f t="shared" si="264"/>
        <v>0</v>
      </c>
      <c r="S1225" s="7">
        <f t="shared" si="276"/>
        <v>0</v>
      </c>
      <c r="T1225" s="35">
        <f t="shared" si="275"/>
        <v>0</v>
      </c>
      <c r="U1225" s="20" t="s">
        <v>706</v>
      </c>
    </row>
    <row r="1226" spans="1:21" hidden="1">
      <c r="A1226" s="61" t="str">
        <f ca="1">IF(ISERROR(MATCH(E1226,Код_КВР,0)),"",INDIRECT(ADDRESS(MATCH(E1226,Код_КВР,0)+1,2,,,"КВР")))</f>
        <v>Закупка товаров, работ и услуг для муниципальных нужд</v>
      </c>
      <c r="B1226" s="45" t="s">
        <v>76</v>
      </c>
      <c r="C1226" s="8" t="s">
        <v>193</v>
      </c>
      <c r="D1226" s="1" t="s">
        <v>217</v>
      </c>
      <c r="E1226" s="89">
        <v>200</v>
      </c>
      <c r="F1226" s="7">
        <f t="shared" si="276"/>
        <v>5751.3</v>
      </c>
      <c r="G1226" s="7">
        <f t="shared" si="276"/>
        <v>0</v>
      </c>
      <c r="H1226" s="35">
        <f t="shared" si="260"/>
        <v>5751.3</v>
      </c>
      <c r="I1226" s="7">
        <f t="shared" si="276"/>
        <v>0</v>
      </c>
      <c r="J1226" s="35">
        <f t="shared" si="258"/>
        <v>5751.3</v>
      </c>
      <c r="K1226" s="7">
        <f t="shared" si="276"/>
        <v>0</v>
      </c>
      <c r="L1226" s="35">
        <f t="shared" si="271"/>
        <v>5751.3</v>
      </c>
      <c r="M1226" s="7">
        <f t="shared" si="276"/>
        <v>0</v>
      </c>
      <c r="N1226" s="35">
        <f t="shared" si="272"/>
        <v>5751.3</v>
      </c>
      <c r="O1226" s="7">
        <f t="shared" si="276"/>
        <v>0</v>
      </c>
      <c r="P1226" s="35">
        <f t="shared" si="267"/>
        <v>5751.3</v>
      </c>
      <c r="Q1226" s="7">
        <f t="shared" si="276"/>
        <v>-5751.3</v>
      </c>
      <c r="R1226" s="35">
        <f t="shared" si="264"/>
        <v>0</v>
      </c>
      <c r="S1226" s="7">
        <f t="shared" si="276"/>
        <v>0</v>
      </c>
      <c r="T1226" s="35">
        <f t="shared" si="275"/>
        <v>0</v>
      </c>
      <c r="U1226" s="20" t="s">
        <v>706</v>
      </c>
    </row>
    <row r="1227" spans="1:21" ht="33" hidden="1">
      <c r="A1227" s="61" t="str">
        <f ca="1">IF(ISERROR(MATCH(E1227,Код_КВР,0)),"",INDIRECT(ADDRESS(MATCH(E1227,Код_КВР,0)+1,2,,,"КВР")))</f>
        <v>Иные закупки товаров, работ и услуг для обеспечения муниципальных нужд</v>
      </c>
      <c r="B1227" s="45" t="s">
        <v>76</v>
      </c>
      <c r="C1227" s="8" t="s">
        <v>193</v>
      </c>
      <c r="D1227" s="1" t="s">
        <v>217</v>
      </c>
      <c r="E1227" s="89">
        <v>240</v>
      </c>
      <c r="F1227" s="7">
        <f t="shared" si="276"/>
        <v>5751.3</v>
      </c>
      <c r="G1227" s="7">
        <f t="shared" si="276"/>
        <v>0</v>
      </c>
      <c r="H1227" s="35">
        <f t="shared" si="260"/>
        <v>5751.3</v>
      </c>
      <c r="I1227" s="7">
        <f t="shared" si="276"/>
        <v>0</v>
      </c>
      <c r="J1227" s="35">
        <f t="shared" si="258"/>
        <v>5751.3</v>
      </c>
      <c r="K1227" s="7">
        <f t="shared" si="276"/>
        <v>0</v>
      </c>
      <c r="L1227" s="35">
        <f t="shared" si="271"/>
        <v>5751.3</v>
      </c>
      <c r="M1227" s="7">
        <f t="shared" si="276"/>
        <v>0</v>
      </c>
      <c r="N1227" s="35">
        <f t="shared" si="272"/>
        <v>5751.3</v>
      </c>
      <c r="O1227" s="7">
        <f t="shared" si="276"/>
        <v>0</v>
      </c>
      <c r="P1227" s="35">
        <f t="shared" si="267"/>
        <v>5751.3</v>
      </c>
      <c r="Q1227" s="7">
        <f t="shared" si="276"/>
        <v>-5751.3</v>
      </c>
      <c r="R1227" s="35">
        <f t="shared" si="264"/>
        <v>0</v>
      </c>
      <c r="S1227" s="7">
        <f t="shared" si="276"/>
        <v>0</v>
      </c>
      <c r="T1227" s="35">
        <f t="shared" si="275"/>
        <v>0</v>
      </c>
      <c r="U1227" s="20" t="s">
        <v>706</v>
      </c>
    </row>
    <row r="1228" spans="1:21" ht="33" hidden="1">
      <c r="A1228" s="61" t="str">
        <f ca="1">IF(ISERROR(MATCH(E1228,Код_КВР,0)),"",INDIRECT(ADDRESS(MATCH(E1228,Код_КВР,0)+1,2,,,"КВР")))</f>
        <v>Закупка товаров, работ, услуг в целях капитального ремонта муниципального имущества</v>
      </c>
      <c r="B1228" s="45" t="s">
        <v>76</v>
      </c>
      <c r="C1228" s="8" t="s">
        <v>193</v>
      </c>
      <c r="D1228" s="1" t="s">
        <v>217</v>
      </c>
      <c r="E1228" s="89">
        <v>243</v>
      </c>
      <c r="F1228" s="7">
        <f>прил.6!G1675</f>
        <v>5751.3</v>
      </c>
      <c r="G1228" s="7">
        <f>прил.6!H1675</f>
        <v>0</v>
      </c>
      <c r="H1228" s="35">
        <f t="shared" si="260"/>
        <v>5751.3</v>
      </c>
      <c r="I1228" s="7">
        <f>прил.6!J1675</f>
        <v>0</v>
      </c>
      <c r="J1228" s="35">
        <f t="shared" si="258"/>
        <v>5751.3</v>
      </c>
      <c r="K1228" s="7">
        <f>прил.6!L1675</f>
        <v>0</v>
      </c>
      <c r="L1228" s="35">
        <f t="shared" si="271"/>
        <v>5751.3</v>
      </c>
      <c r="M1228" s="7">
        <f>прил.6!N1675</f>
        <v>0</v>
      </c>
      <c r="N1228" s="35">
        <f t="shared" si="272"/>
        <v>5751.3</v>
      </c>
      <c r="O1228" s="7">
        <f>прил.6!P1675</f>
        <v>0</v>
      </c>
      <c r="P1228" s="35">
        <f t="shared" si="267"/>
        <v>5751.3</v>
      </c>
      <c r="Q1228" s="7">
        <f>прил.6!R1675</f>
        <v>-5751.3</v>
      </c>
      <c r="R1228" s="35">
        <f t="shared" si="264"/>
        <v>0</v>
      </c>
      <c r="S1228" s="7">
        <f>прил.6!T1675</f>
        <v>0</v>
      </c>
      <c r="T1228" s="35">
        <f t="shared" si="275"/>
        <v>0</v>
      </c>
      <c r="U1228" s="20" t="s">
        <v>706</v>
      </c>
    </row>
    <row r="1229" spans="1:21">
      <c r="A1229" s="61" t="str">
        <f ca="1">IF(ISERROR(MATCH(C1229,Код_Раздел,0)),"",INDIRECT(ADDRESS(MATCH(C1229,Код_Раздел,0)+1,2,,,"Раздел")))</f>
        <v>Культура, кинематография</v>
      </c>
      <c r="B1229" s="45" t="s">
        <v>76</v>
      </c>
      <c r="C1229" s="8" t="s">
        <v>220</v>
      </c>
      <c r="D1229" s="1"/>
      <c r="E1229" s="113"/>
      <c r="F1229" s="7"/>
      <c r="G1229" s="7"/>
      <c r="H1229" s="35"/>
      <c r="I1229" s="7"/>
      <c r="J1229" s="35"/>
      <c r="K1229" s="7">
        <f>K1230</f>
        <v>1712.9</v>
      </c>
      <c r="L1229" s="35">
        <f t="shared" si="271"/>
        <v>1712.9</v>
      </c>
      <c r="M1229" s="7">
        <f>M1230</f>
        <v>0</v>
      </c>
      <c r="N1229" s="35">
        <f t="shared" si="272"/>
        <v>1712.9</v>
      </c>
      <c r="O1229" s="7">
        <f>O1230</f>
        <v>0</v>
      </c>
      <c r="P1229" s="35">
        <f t="shared" si="267"/>
        <v>1712.9</v>
      </c>
      <c r="Q1229" s="7">
        <f>Q1230</f>
        <v>0</v>
      </c>
      <c r="R1229" s="35">
        <f t="shared" si="264"/>
        <v>1712.9</v>
      </c>
      <c r="S1229" s="7">
        <f>S1230</f>
        <v>0</v>
      </c>
      <c r="T1229" s="35">
        <f t="shared" si="275"/>
        <v>1712.9</v>
      </c>
    </row>
    <row r="1230" spans="1:21">
      <c r="A1230" s="12" t="s">
        <v>182</v>
      </c>
      <c r="B1230" s="45" t="s">
        <v>76</v>
      </c>
      <c r="C1230" s="8" t="s">
        <v>220</v>
      </c>
      <c r="D1230" s="1" t="s">
        <v>211</v>
      </c>
      <c r="E1230" s="113"/>
      <c r="F1230" s="7"/>
      <c r="G1230" s="7"/>
      <c r="H1230" s="35"/>
      <c r="I1230" s="7"/>
      <c r="J1230" s="35"/>
      <c r="K1230" s="7">
        <f>K1231</f>
        <v>1712.9</v>
      </c>
      <c r="L1230" s="35">
        <f t="shared" si="271"/>
        <v>1712.9</v>
      </c>
      <c r="M1230" s="7">
        <f>M1231</f>
        <v>0</v>
      </c>
      <c r="N1230" s="35">
        <f t="shared" si="272"/>
        <v>1712.9</v>
      </c>
      <c r="O1230" s="7">
        <f>O1231</f>
        <v>0</v>
      </c>
      <c r="P1230" s="35">
        <f t="shared" si="267"/>
        <v>1712.9</v>
      </c>
      <c r="Q1230" s="7">
        <f>Q1231</f>
        <v>0</v>
      </c>
      <c r="R1230" s="35">
        <f t="shared" si="264"/>
        <v>1712.9</v>
      </c>
      <c r="S1230" s="7">
        <f>S1231</f>
        <v>0</v>
      </c>
      <c r="T1230" s="35">
        <f t="shared" si="275"/>
        <v>1712.9</v>
      </c>
    </row>
    <row r="1231" spans="1:21">
      <c r="A1231" s="61" t="str">
        <f ca="1">IF(ISERROR(MATCH(E1231,Код_КВР,0)),"",INDIRECT(ADDRESS(MATCH(E1231,Код_КВР,0)+1,2,,,"КВР")))</f>
        <v>Закупка товаров, работ и услуг для муниципальных нужд</v>
      </c>
      <c r="B1231" s="45" t="s">
        <v>76</v>
      </c>
      <c r="C1231" s="8" t="s">
        <v>220</v>
      </c>
      <c r="D1231" s="1" t="s">
        <v>211</v>
      </c>
      <c r="E1231" s="113">
        <v>200</v>
      </c>
      <c r="F1231" s="7"/>
      <c r="G1231" s="7"/>
      <c r="H1231" s="35"/>
      <c r="I1231" s="7"/>
      <c r="J1231" s="35"/>
      <c r="K1231" s="7">
        <f>K1232</f>
        <v>1712.9</v>
      </c>
      <c r="L1231" s="35">
        <f t="shared" si="271"/>
        <v>1712.9</v>
      </c>
      <c r="M1231" s="7">
        <f>M1232</f>
        <v>0</v>
      </c>
      <c r="N1231" s="35">
        <f t="shared" si="272"/>
        <v>1712.9</v>
      </c>
      <c r="O1231" s="7">
        <f>O1232</f>
        <v>0</v>
      </c>
      <c r="P1231" s="35">
        <f t="shared" si="267"/>
        <v>1712.9</v>
      </c>
      <c r="Q1231" s="7">
        <f>Q1232</f>
        <v>0</v>
      </c>
      <c r="R1231" s="35">
        <f t="shared" si="264"/>
        <v>1712.9</v>
      </c>
      <c r="S1231" s="7">
        <f>S1232</f>
        <v>0</v>
      </c>
      <c r="T1231" s="35">
        <f t="shared" si="275"/>
        <v>1712.9</v>
      </c>
    </row>
    <row r="1232" spans="1:21" ht="33">
      <c r="A1232" s="61" t="str">
        <f ca="1">IF(ISERROR(MATCH(E1232,Код_КВР,0)),"",INDIRECT(ADDRESS(MATCH(E1232,Код_КВР,0)+1,2,,,"КВР")))</f>
        <v>Иные закупки товаров, работ и услуг для обеспечения муниципальных нужд</v>
      </c>
      <c r="B1232" s="45" t="s">
        <v>76</v>
      </c>
      <c r="C1232" s="8" t="s">
        <v>220</v>
      </c>
      <c r="D1232" s="1" t="s">
        <v>211</v>
      </c>
      <c r="E1232" s="113">
        <v>240</v>
      </c>
      <c r="F1232" s="7"/>
      <c r="G1232" s="7"/>
      <c r="H1232" s="35"/>
      <c r="I1232" s="7"/>
      <c r="J1232" s="35"/>
      <c r="K1232" s="7">
        <f>K1233</f>
        <v>1712.9</v>
      </c>
      <c r="L1232" s="35">
        <f t="shared" si="271"/>
        <v>1712.9</v>
      </c>
      <c r="M1232" s="7">
        <f>M1233</f>
        <v>0</v>
      </c>
      <c r="N1232" s="35">
        <f t="shared" si="272"/>
        <v>1712.9</v>
      </c>
      <c r="O1232" s="7">
        <f>O1233</f>
        <v>0</v>
      </c>
      <c r="P1232" s="35">
        <f t="shared" si="267"/>
        <v>1712.9</v>
      </c>
      <c r="Q1232" s="7">
        <f>Q1233</f>
        <v>0</v>
      </c>
      <c r="R1232" s="35">
        <f t="shared" si="264"/>
        <v>1712.9</v>
      </c>
      <c r="S1232" s="7">
        <f>S1233</f>
        <v>0</v>
      </c>
      <c r="T1232" s="35">
        <f t="shared" si="275"/>
        <v>1712.9</v>
      </c>
    </row>
    <row r="1233" spans="1:20" ht="33">
      <c r="A1233" s="61" t="str">
        <f ca="1">IF(ISERROR(MATCH(E1233,Код_КВР,0)),"",INDIRECT(ADDRESS(MATCH(E1233,Код_КВР,0)+1,2,,,"КВР")))</f>
        <v>Закупка товаров, работ, услуг в целях капитального ремонта муниципального имущества</v>
      </c>
      <c r="B1233" s="45" t="s">
        <v>76</v>
      </c>
      <c r="C1233" s="8" t="s">
        <v>220</v>
      </c>
      <c r="D1233" s="1" t="s">
        <v>211</v>
      </c>
      <c r="E1233" s="113">
        <v>243</v>
      </c>
      <c r="F1233" s="7"/>
      <c r="G1233" s="7"/>
      <c r="H1233" s="35"/>
      <c r="I1233" s="7"/>
      <c r="J1233" s="35"/>
      <c r="K1233" s="7">
        <f>прил.6!L1686</f>
        <v>1712.9</v>
      </c>
      <c r="L1233" s="35">
        <f t="shared" si="271"/>
        <v>1712.9</v>
      </c>
      <c r="M1233" s="7">
        <f>прил.6!N1686</f>
        <v>0</v>
      </c>
      <c r="N1233" s="35">
        <f t="shared" si="272"/>
        <v>1712.9</v>
      </c>
      <c r="O1233" s="7">
        <f>прил.6!P1686</f>
        <v>0</v>
      </c>
      <c r="P1233" s="35">
        <f t="shared" si="267"/>
        <v>1712.9</v>
      </c>
      <c r="Q1233" s="7">
        <f>прил.6!R1686</f>
        <v>0</v>
      </c>
      <c r="R1233" s="35">
        <f t="shared" si="264"/>
        <v>1712.9</v>
      </c>
      <c r="S1233" s="7">
        <f>прил.6!T1686</f>
        <v>0</v>
      </c>
      <c r="T1233" s="35">
        <f t="shared" si="275"/>
        <v>1712.9</v>
      </c>
    </row>
    <row r="1234" spans="1:20" ht="38.25" customHeight="1">
      <c r="A1234" s="61" t="str">
        <f ca="1">IF(ISERROR(MATCH(B1234,Код_КЦСР,0)),"",INDIRECT(ADDRESS(MATCH(B1234,Код_КЦСР,0)+1,2,,,"КЦСР")))</f>
        <v xml:space="preserve">Обеспечение создания условий для реализации муниципальной программы </v>
      </c>
      <c r="B1234" s="45" t="s">
        <v>77</v>
      </c>
      <c r="C1234" s="8"/>
      <c r="D1234" s="1"/>
      <c r="E1234" s="113"/>
      <c r="F1234" s="7">
        <f>F1235</f>
        <v>49603.399999999994</v>
      </c>
      <c r="G1234" s="7">
        <f>G1235</f>
        <v>0</v>
      </c>
      <c r="H1234" s="35">
        <f t="shared" si="260"/>
        <v>49603.399999999994</v>
      </c>
      <c r="I1234" s="7">
        <f>I1235</f>
        <v>0</v>
      </c>
      <c r="J1234" s="35">
        <f t="shared" ref="J1234:J1338" si="277">H1234+I1234</f>
        <v>49603.399999999994</v>
      </c>
      <c r="K1234" s="7">
        <f>K1235</f>
        <v>13.300000000000011</v>
      </c>
      <c r="L1234" s="35">
        <f t="shared" si="271"/>
        <v>49616.7</v>
      </c>
      <c r="M1234" s="7">
        <f>M1235</f>
        <v>0</v>
      </c>
      <c r="N1234" s="35">
        <f t="shared" si="272"/>
        <v>49616.7</v>
      </c>
      <c r="O1234" s="7">
        <f>O1235</f>
        <v>0</v>
      </c>
      <c r="P1234" s="35">
        <f t="shared" si="267"/>
        <v>49616.7</v>
      </c>
      <c r="Q1234" s="7">
        <f>Q1235</f>
        <v>378</v>
      </c>
      <c r="R1234" s="35">
        <f t="shared" si="264"/>
        <v>49994.7</v>
      </c>
      <c r="S1234" s="7">
        <f>S1235</f>
        <v>-39.099999999999994</v>
      </c>
      <c r="T1234" s="35">
        <f t="shared" si="275"/>
        <v>49955.6</v>
      </c>
    </row>
    <row r="1235" spans="1:20">
      <c r="A1235" s="61" t="str">
        <f ca="1">IF(ISERROR(MATCH(C1235,Код_Раздел,0)),"",INDIRECT(ADDRESS(MATCH(C1235,Код_Раздел,0)+1,2,,,"Раздел")))</f>
        <v>Национальная экономика</v>
      </c>
      <c r="B1235" s="45" t="s">
        <v>77</v>
      </c>
      <c r="C1235" s="8" t="s">
        <v>214</v>
      </c>
      <c r="D1235" s="1"/>
      <c r="E1235" s="113"/>
      <c r="F1235" s="7">
        <f>F1236</f>
        <v>49603.399999999994</v>
      </c>
      <c r="G1235" s="7">
        <f>G1236</f>
        <v>0</v>
      </c>
      <c r="H1235" s="35">
        <f t="shared" si="260"/>
        <v>49603.399999999994</v>
      </c>
      <c r="I1235" s="7">
        <f>I1236</f>
        <v>0</v>
      </c>
      <c r="J1235" s="35">
        <f t="shared" si="277"/>
        <v>49603.399999999994</v>
      </c>
      <c r="K1235" s="7">
        <f>K1236</f>
        <v>13.300000000000011</v>
      </c>
      <c r="L1235" s="35">
        <f t="shared" si="271"/>
        <v>49616.7</v>
      </c>
      <c r="M1235" s="7">
        <f>M1236</f>
        <v>0</v>
      </c>
      <c r="N1235" s="35">
        <f t="shared" si="272"/>
        <v>49616.7</v>
      </c>
      <c r="O1235" s="7">
        <f>O1236</f>
        <v>0</v>
      </c>
      <c r="P1235" s="35">
        <f t="shared" si="267"/>
        <v>49616.7</v>
      </c>
      <c r="Q1235" s="7">
        <f>Q1236</f>
        <v>378</v>
      </c>
      <c r="R1235" s="35">
        <f t="shared" si="264"/>
        <v>49994.7</v>
      </c>
      <c r="S1235" s="7">
        <f>S1236</f>
        <v>-39.099999999999994</v>
      </c>
      <c r="T1235" s="35">
        <f t="shared" si="275"/>
        <v>49955.6</v>
      </c>
    </row>
    <row r="1236" spans="1:20">
      <c r="A1236" s="12" t="s">
        <v>221</v>
      </c>
      <c r="B1236" s="45" t="s">
        <v>77</v>
      </c>
      <c r="C1236" s="8" t="s">
        <v>214</v>
      </c>
      <c r="D1236" s="8" t="s">
        <v>194</v>
      </c>
      <c r="E1236" s="113"/>
      <c r="F1236" s="7">
        <f>F1237+F1239+F1242</f>
        <v>49603.399999999994</v>
      </c>
      <c r="G1236" s="7">
        <f>G1237+G1239+G1242</f>
        <v>0</v>
      </c>
      <c r="H1236" s="35">
        <f t="shared" si="260"/>
        <v>49603.399999999994</v>
      </c>
      <c r="I1236" s="7">
        <f>I1237+I1239+I1242</f>
        <v>0</v>
      </c>
      <c r="J1236" s="35">
        <f t="shared" si="277"/>
        <v>49603.399999999994</v>
      </c>
      <c r="K1236" s="7">
        <f>K1237+K1239+K1242</f>
        <v>13.300000000000011</v>
      </c>
      <c r="L1236" s="35">
        <f t="shared" si="271"/>
        <v>49616.7</v>
      </c>
      <c r="M1236" s="7">
        <f>M1237+M1239+M1242</f>
        <v>0</v>
      </c>
      <c r="N1236" s="35">
        <f t="shared" si="272"/>
        <v>49616.7</v>
      </c>
      <c r="O1236" s="7">
        <f>O1237+O1239+O1242</f>
        <v>0</v>
      </c>
      <c r="P1236" s="35">
        <f t="shared" si="267"/>
        <v>49616.7</v>
      </c>
      <c r="Q1236" s="7">
        <f>Q1237+Q1239+Q1242</f>
        <v>378</v>
      </c>
      <c r="R1236" s="35">
        <f t="shared" ref="R1236:R1335" si="278">P1236+Q1236</f>
        <v>49994.7</v>
      </c>
      <c r="S1236" s="7">
        <f>S1237+S1239+S1242</f>
        <v>-39.099999999999994</v>
      </c>
      <c r="T1236" s="35">
        <f t="shared" si="275"/>
        <v>49955.6</v>
      </c>
    </row>
    <row r="1237" spans="1:20" ht="33">
      <c r="A1237" s="61" t="str">
        <f t="shared" ref="A1237:A1245" ca="1" si="279">IF(ISERROR(MATCH(E1237,Код_КВР,0)),"",INDIRECT(ADDRESS(MATCH(E1237,Код_КВР,0)+1,2,,,"КВР")))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7" s="45" t="s">
        <v>77</v>
      </c>
      <c r="C1237" s="8" t="s">
        <v>214</v>
      </c>
      <c r="D1237" s="8" t="s">
        <v>194</v>
      </c>
      <c r="E1237" s="113">
        <v>100</v>
      </c>
      <c r="F1237" s="7">
        <f>F1238</f>
        <v>46091.199999999997</v>
      </c>
      <c r="G1237" s="7">
        <f>G1238</f>
        <v>0</v>
      </c>
      <c r="H1237" s="35">
        <f t="shared" si="260"/>
        <v>46091.199999999997</v>
      </c>
      <c r="I1237" s="7">
        <f>I1238</f>
        <v>0</v>
      </c>
      <c r="J1237" s="35">
        <f t="shared" si="277"/>
        <v>46091.199999999997</v>
      </c>
      <c r="K1237" s="7">
        <f>K1238</f>
        <v>-380.3</v>
      </c>
      <c r="L1237" s="35">
        <f t="shared" si="271"/>
        <v>45710.899999999994</v>
      </c>
      <c r="M1237" s="7">
        <f>M1238</f>
        <v>0</v>
      </c>
      <c r="N1237" s="35">
        <f t="shared" si="272"/>
        <v>45710.899999999994</v>
      </c>
      <c r="O1237" s="7">
        <f>O1238</f>
        <v>0</v>
      </c>
      <c r="P1237" s="35">
        <f t="shared" si="267"/>
        <v>45710.899999999994</v>
      </c>
      <c r="Q1237" s="7">
        <f>Q1238</f>
        <v>-76.2</v>
      </c>
      <c r="R1237" s="35">
        <f t="shared" si="278"/>
        <v>45634.7</v>
      </c>
      <c r="S1237" s="7">
        <f>S1238</f>
        <v>0</v>
      </c>
      <c r="T1237" s="35">
        <f t="shared" si="275"/>
        <v>45634.7</v>
      </c>
    </row>
    <row r="1238" spans="1:20">
      <c r="A1238" s="61" t="str">
        <f t="shared" ca="1" si="279"/>
        <v>Расходы на выплаты персоналу казенных учреждений</v>
      </c>
      <c r="B1238" s="45" t="s">
        <v>77</v>
      </c>
      <c r="C1238" s="8" t="s">
        <v>214</v>
      </c>
      <c r="D1238" s="8" t="s">
        <v>194</v>
      </c>
      <c r="E1238" s="113">
        <v>110</v>
      </c>
      <c r="F1238" s="7">
        <f>прил.6!G1577</f>
        <v>46091.199999999997</v>
      </c>
      <c r="G1238" s="7">
        <f>прил.6!H1577</f>
        <v>0</v>
      </c>
      <c r="H1238" s="35">
        <f t="shared" si="260"/>
        <v>46091.199999999997</v>
      </c>
      <c r="I1238" s="7">
        <f>прил.6!J1577</f>
        <v>0</v>
      </c>
      <c r="J1238" s="35">
        <f t="shared" si="277"/>
        <v>46091.199999999997</v>
      </c>
      <c r="K1238" s="7">
        <f>прил.6!L1577</f>
        <v>-380.3</v>
      </c>
      <c r="L1238" s="35">
        <f t="shared" si="271"/>
        <v>45710.899999999994</v>
      </c>
      <c r="M1238" s="7">
        <f>прил.6!N1577</f>
        <v>0</v>
      </c>
      <c r="N1238" s="35">
        <f t="shared" si="272"/>
        <v>45710.899999999994</v>
      </c>
      <c r="O1238" s="7">
        <f>прил.6!P1577</f>
        <v>0</v>
      </c>
      <c r="P1238" s="35">
        <f t="shared" si="267"/>
        <v>45710.899999999994</v>
      </c>
      <c r="Q1238" s="7">
        <f>прил.6!R1577</f>
        <v>-76.2</v>
      </c>
      <c r="R1238" s="35">
        <f t="shared" si="278"/>
        <v>45634.7</v>
      </c>
      <c r="S1238" s="7">
        <f>прил.6!T1577</f>
        <v>0</v>
      </c>
      <c r="T1238" s="35">
        <f t="shared" si="275"/>
        <v>45634.7</v>
      </c>
    </row>
    <row r="1239" spans="1:20">
      <c r="A1239" s="61" t="str">
        <f t="shared" ca="1" si="279"/>
        <v>Закупка товаров, работ и услуг для муниципальных нужд</v>
      </c>
      <c r="B1239" s="45" t="s">
        <v>77</v>
      </c>
      <c r="C1239" s="8" t="s">
        <v>214</v>
      </c>
      <c r="D1239" s="8" t="s">
        <v>194</v>
      </c>
      <c r="E1239" s="113">
        <v>200</v>
      </c>
      <c r="F1239" s="7">
        <f>F1240</f>
        <v>2827.7</v>
      </c>
      <c r="G1239" s="7">
        <f>G1240</f>
        <v>0</v>
      </c>
      <c r="H1239" s="35">
        <f t="shared" si="260"/>
        <v>2827.7</v>
      </c>
      <c r="I1239" s="7">
        <f>I1240</f>
        <v>0</v>
      </c>
      <c r="J1239" s="35">
        <f t="shared" si="277"/>
        <v>2827.7</v>
      </c>
      <c r="K1239" s="7">
        <f>K1240</f>
        <v>393.6</v>
      </c>
      <c r="L1239" s="35">
        <f t="shared" si="271"/>
        <v>3221.2999999999997</v>
      </c>
      <c r="M1239" s="7">
        <f>M1240</f>
        <v>0</v>
      </c>
      <c r="N1239" s="35">
        <f t="shared" si="272"/>
        <v>3221.2999999999997</v>
      </c>
      <c r="O1239" s="7">
        <f>O1240</f>
        <v>0</v>
      </c>
      <c r="P1239" s="35">
        <f t="shared" si="267"/>
        <v>3221.2999999999997</v>
      </c>
      <c r="Q1239" s="7">
        <f>Q1240</f>
        <v>651.70000000000005</v>
      </c>
      <c r="R1239" s="35">
        <f t="shared" si="278"/>
        <v>3873</v>
      </c>
      <c r="S1239" s="7">
        <f>S1240</f>
        <v>0</v>
      </c>
      <c r="T1239" s="35">
        <f t="shared" si="275"/>
        <v>3873</v>
      </c>
    </row>
    <row r="1240" spans="1:20" ht="33">
      <c r="A1240" s="61" t="str">
        <f t="shared" ca="1" si="279"/>
        <v>Иные закупки товаров, работ и услуг для обеспечения муниципальных нужд</v>
      </c>
      <c r="B1240" s="45" t="s">
        <v>77</v>
      </c>
      <c r="C1240" s="8" t="s">
        <v>214</v>
      </c>
      <c r="D1240" s="8" t="s">
        <v>194</v>
      </c>
      <c r="E1240" s="113">
        <v>240</v>
      </c>
      <c r="F1240" s="7">
        <f>F1241</f>
        <v>2827.7</v>
      </c>
      <c r="G1240" s="7">
        <f>G1241</f>
        <v>0</v>
      </c>
      <c r="H1240" s="35">
        <f t="shared" si="260"/>
        <v>2827.7</v>
      </c>
      <c r="I1240" s="7">
        <f>I1241</f>
        <v>0</v>
      </c>
      <c r="J1240" s="35">
        <f t="shared" si="277"/>
        <v>2827.7</v>
      </c>
      <c r="K1240" s="7">
        <f>K1241</f>
        <v>393.6</v>
      </c>
      <c r="L1240" s="35">
        <f t="shared" si="271"/>
        <v>3221.2999999999997</v>
      </c>
      <c r="M1240" s="7">
        <f>M1241</f>
        <v>0</v>
      </c>
      <c r="N1240" s="35">
        <f t="shared" si="272"/>
        <v>3221.2999999999997</v>
      </c>
      <c r="O1240" s="7">
        <f>O1241</f>
        <v>0</v>
      </c>
      <c r="P1240" s="35">
        <f t="shared" si="267"/>
        <v>3221.2999999999997</v>
      </c>
      <c r="Q1240" s="7">
        <f>Q1241</f>
        <v>651.70000000000005</v>
      </c>
      <c r="R1240" s="35">
        <f t="shared" si="278"/>
        <v>3873</v>
      </c>
      <c r="S1240" s="7">
        <f>S1241</f>
        <v>0</v>
      </c>
      <c r="T1240" s="35">
        <f t="shared" si="275"/>
        <v>3873</v>
      </c>
    </row>
    <row r="1241" spans="1:20" ht="33">
      <c r="A1241" s="61" t="str">
        <f t="shared" ca="1" si="279"/>
        <v xml:space="preserve">Прочая закупка товаров, работ и услуг для обеспечения муниципальных нужд         </v>
      </c>
      <c r="B1241" s="45" t="s">
        <v>77</v>
      </c>
      <c r="C1241" s="8" t="s">
        <v>214</v>
      </c>
      <c r="D1241" s="8" t="s">
        <v>194</v>
      </c>
      <c r="E1241" s="113">
        <v>244</v>
      </c>
      <c r="F1241" s="7">
        <f>прил.6!G1580</f>
        <v>2827.7</v>
      </c>
      <c r="G1241" s="7">
        <f>прил.6!H1580</f>
        <v>0</v>
      </c>
      <c r="H1241" s="35">
        <f t="shared" si="260"/>
        <v>2827.7</v>
      </c>
      <c r="I1241" s="7">
        <f>прил.6!J1580</f>
        <v>0</v>
      </c>
      <c r="J1241" s="35">
        <f t="shared" si="277"/>
        <v>2827.7</v>
      </c>
      <c r="K1241" s="7">
        <f>прил.6!L1580</f>
        <v>393.6</v>
      </c>
      <c r="L1241" s="35">
        <f t="shared" si="271"/>
        <v>3221.2999999999997</v>
      </c>
      <c r="M1241" s="7">
        <f>прил.6!N1580</f>
        <v>0</v>
      </c>
      <c r="N1241" s="35">
        <f t="shared" si="272"/>
        <v>3221.2999999999997</v>
      </c>
      <c r="O1241" s="7">
        <f>прил.6!P1580</f>
        <v>0</v>
      </c>
      <c r="P1241" s="35">
        <f t="shared" si="267"/>
        <v>3221.2999999999997</v>
      </c>
      <c r="Q1241" s="7">
        <f>прил.6!R1580</f>
        <v>651.70000000000005</v>
      </c>
      <c r="R1241" s="35">
        <f t="shared" si="278"/>
        <v>3873</v>
      </c>
      <c r="S1241" s="7">
        <f>прил.6!T1580</f>
        <v>0</v>
      </c>
      <c r="T1241" s="35">
        <f t="shared" si="275"/>
        <v>3873</v>
      </c>
    </row>
    <row r="1242" spans="1:20">
      <c r="A1242" s="61" t="str">
        <f t="shared" ca="1" si="279"/>
        <v>Иные бюджетные ассигнования</v>
      </c>
      <c r="B1242" s="45" t="s">
        <v>77</v>
      </c>
      <c r="C1242" s="8" t="s">
        <v>214</v>
      </c>
      <c r="D1242" s="8" t="s">
        <v>194</v>
      </c>
      <c r="E1242" s="113">
        <v>800</v>
      </c>
      <c r="F1242" s="7">
        <f>F1243</f>
        <v>684.5</v>
      </c>
      <c r="G1242" s="7">
        <f>G1243</f>
        <v>0</v>
      </c>
      <c r="H1242" s="35">
        <f t="shared" ref="H1242:H1349" si="280">F1242+G1242</f>
        <v>684.5</v>
      </c>
      <c r="I1242" s="7">
        <f>I1243</f>
        <v>0</v>
      </c>
      <c r="J1242" s="35">
        <f t="shared" si="277"/>
        <v>684.5</v>
      </c>
      <c r="K1242" s="7">
        <f>K1243</f>
        <v>0</v>
      </c>
      <c r="L1242" s="35">
        <f t="shared" si="271"/>
        <v>684.5</v>
      </c>
      <c r="M1242" s="7">
        <f>M1243</f>
        <v>0</v>
      </c>
      <c r="N1242" s="35">
        <f t="shared" si="272"/>
        <v>684.5</v>
      </c>
      <c r="O1242" s="7">
        <f>O1243</f>
        <v>0</v>
      </c>
      <c r="P1242" s="35">
        <f t="shared" si="267"/>
        <v>684.5</v>
      </c>
      <c r="Q1242" s="7">
        <f>Q1243</f>
        <v>-197.5</v>
      </c>
      <c r="R1242" s="35">
        <f t="shared" si="278"/>
        <v>487</v>
      </c>
      <c r="S1242" s="7">
        <f>S1243</f>
        <v>-39.099999999999994</v>
      </c>
      <c r="T1242" s="35">
        <f t="shared" si="275"/>
        <v>447.9</v>
      </c>
    </row>
    <row r="1243" spans="1:20">
      <c r="A1243" s="61" t="str">
        <f t="shared" ca="1" si="279"/>
        <v>Уплата налогов, сборов и иных платежей</v>
      </c>
      <c r="B1243" s="45" t="s">
        <v>77</v>
      </c>
      <c r="C1243" s="8" t="s">
        <v>214</v>
      </c>
      <c r="D1243" s="8" t="s">
        <v>194</v>
      </c>
      <c r="E1243" s="113">
        <v>850</v>
      </c>
      <c r="F1243" s="7">
        <f>SUM(F1244:F1245)</f>
        <v>684.5</v>
      </c>
      <c r="G1243" s="7">
        <f>SUM(G1244:G1245)</f>
        <v>0</v>
      </c>
      <c r="H1243" s="35">
        <f t="shared" si="280"/>
        <v>684.5</v>
      </c>
      <c r="I1243" s="7">
        <f>SUM(I1244:I1245)</f>
        <v>0</v>
      </c>
      <c r="J1243" s="35">
        <f t="shared" si="277"/>
        <v>684.5</v>
      </c>
      <c r="K1243" s="7">
        <f>SUM(K1244:K1245)</f>
        <v>0</v>
      </c>
      <c r="L1243" s="35">
        <f t="shared" si="271"/>
        <v>684.5</v>
      </c>
      <c r="M1243" s="7">
        <f>SUM(M1244:M1245)</f>
        <v>0</v>
      </c>
      <c r="N1243" s="35">
        <f t="shared" si="272"/>
        <v>684.5</v>
      </c>
      <c r="O1243" s="7">
        <f>SUM(O1244:O1245)</f>
        <v>0</v>
      </c>
      <c r="P1243" s="35">
        <f t="shared" si="267"/>
        <v>684.5</v>
      </c>
      <c r="Q1243" s="7">
        <f>SUM(Q1244:Q1245)</f>
        <v>-197.5</v>
      </c>
      <c r="R1243" s="35">
        <f t="shared" si="278"/>
        <v>487</v>
      </c>
      <c r="S1243" s="7">
        <f>SUM(S1244:S1245)</f>
        <v>-39.099999999999994</v>
      </c>
      <c r="T1243" s="35">
        <f t="shared" si="275"/>
        <v>447.9</v>
      </c>
    </row>
    <row r="1244" spans="1:20">
      <c r="A1244" s="61" t="str">
        <f t="shared" ca="1" si="279"/>
        <v>Уплата налога на имущество организаций и земельного налога</v>
      </c>
      <c r="B1244" s="45" t="s">
        <v>77</v>
      </c>
      <c r="C1244" s="8" t="s">
        <v>214</v>
      </c>
      <c r="D1244" s="8" t="s">
        <v>194</v>
      </c>
      <c r="E1244" s="113">
        <v>851</v>
      </c>
      <c r="F1244" s="7">
        <f>прил.6!G1583</f>
        <v>183.1</v>
      </c>
      <c r="G1244" s="7">
        <f>прил.6!H1583</f>
        <v>0</v>
      </c>
      <c r="H1244" s="35">
        <f t="shared" si="280"/>
        <v>183.1</v>
      </c>
      <c r="I1244" s="7">
        <f>прил.6!J1583</f>
        <v>0</v>
      </c>
      <c r="J1244" s="35">
        <f t="shared" si="277"/>
        <v>183.1</v>
      </c>
      <c r="K1244" s="7">
        <f>прил.6!L1583</f>
        <v>0</v>
      </c>
      <c r="L1244" s="35">
        <f t="shared" si="271"/>
        <v>183.1</v>
      </c>
      <c r="M1244" s="7">
        <f>прил.6!N1583</f>
        <v>0</v>
      </c>
      <c r="N1244" s="35">
        <f t="shared" si="272"/>
        <v>183.1</v>
      </c>
      <c r="O1244" s="7">
        <f>прил.6!P1583</f>
        <v>0</v>
      </c>
      <c r="P1244" s="35">
        <f t="shared" ref="P1244:P1343" si="281">N1244+O1244</f>
        <v>183.1</v>
      </c>
      <c r="Q1244" s="7">
        <f>прил.6!R1583</f>
        <v>-130</v>
      </c>
      <c r="R1244" s="35">
        <f t="shared" si="278"/>
        <v>53.099999999999994</v>
      </c>
      <c r="S1244" s="7">
        <f>прил.6!T1583</f>
        <v>-35.799999999999997</v>
      </c>
      <c r="T1244" s="35">
        <f t="shared" si="275"/>
        <v>17.299999999999997</v>
      </c>
    </row>
    <row r="1245" spans="1:20">
      <c r="A1245" s="61" t="str">
        <f t="shared" ca="1" si="279"/>
        <v>Уплата прочих налогов, сборов и иных платежей</v>
      </c>
      <c r="B1245" s="45" t="s">
        <v>77</v>
      </c>
      <c r="C1245" s="8" t="s">
        <v>214</v>
      </c>
      <c r="D1245" s="8" t="s">
        <v>194</v>
      </c>
      <c r="E1245" s="113">
        <v>852</v>
      </c>
      <c r="F1245" s="7">
        <f>прил.6!G1584</f>
        <v>501.4</v>
      </c>
      <c r="G1245" s="7">
        <f>прил.6!H1584</f>
        <v>0</v>
      </c>
      <c r="H1245" s="35">
        <f t="shared" si="280"/>
        <v>501.4</v>
      </c>
      <c r="I1245" s="7">
        <f>прил.6!J1584</f>
        <v>0</v>
      </c>
      <c r="J1245" s="35">
        <f t="shared" si="277"/>
        <v>501.4</v>
      </c>
      <c r="K1245" s="7">
        <f>прил.6!L1584</f>
        <v>0</v>
      </c>
      <c r="L1245" s="35">
        <f t="shared" si="271"/>
        <v>501.4</v>
      </c>
      <c r="M1245" s="7">
        <f>прил.6!N1584</f>
        <v>0</v>
      </c>
      <c r="N1245" s="35">
        <f t="shared" si="272"/>
        <v>501.4</v>
      </c>
      <c r="O1245" s="7">
        <f>прил.6!P1584</f>
        <v>0</v>
      </c>
      <c r="P1245" s="35">
        <f t="shared" si="281"/>
        <v>501.4</v>
      </c>
      <c r="Q1245" s="7">
        <f>прил.6!R1584</f>
        <v>-67.5</v>
      </c>
      <c r="R1245" s="35">
        <f t="shared" si="278"/>
        <v>433.9</v>
      </c>
      <c r="S1245" s="7">
        <f>прил.6!T1584</f>
        <v>-3.3</v>
      </c>
      <c r="T1245" s="35">
        <f t="shared" si="275"/>
        <v>430.59999999999997</v>
      </c>
    </row>
    <row r="1246" spans="1:20" ht="43.5" customHeight="1">
      <c r="A1246" s="61" t="str">
        <f ca="1">IF(ISERROR(MATCH(B1246,Код_КЦСР,0)),"",INDIRECT(ADDRESS(MATCH(B1246,Код_КЦСР,0)+1,2,,,"КЦСР")))</f>
        <v>Модернизация региональных систем дошкольного образования за счет субсидии из федерального бюджета</v>
      </c>
      <c r="B1246" s="45" t="s">
        <v>636</v>
      </c>
      <c r="C1246" s="8"/>
      <c r="D1246" s="1"/>
      <c r="E1246" s="113"/>
      <c r="F1246" s="7"/>
      <c r="G1246" s="7"/>
      <c r="H1246" s="35"/>
      <c r="I1246" s="7"/>
      <c r="J1246" s="35"/>
      <c r="K1246" s="7"/>
      <c r="L1246" s="35"/>
      <c r="M1246" s="7"/>
      <c r="N1246" s="35"/>
      <c r="O1246" s="7"/>
      <c r="P1246" s="35"/>
      <c r="Q1246" s="7">
        <f>Q1247</f>
        <v>215795.7</v>
      </c>
      <c r="R1246" s="35">
        <f t="shared" si="278"/>
        <v>215795.7</v>
      </c>
      <c r="S1246" s="7">
        <f>S1247</f>
        <v>0</v>
      </c>
      <c r="T1246" s="35">
        <f t="shared" si="275"/>
        <v>215795.7</v>
      </c>
    </row>
    <row r="1247" spans="1:20">
      <c r="A1247" s="61" t="str">
        <f ca="1">IF(ISERROR(MATCH(C1247,Код_Раздел,0)),"",INDIRECT(ADDRESS(MATCH(C1247,Код_Раздел,0)+1,2,,,"Раздел")))</f>
        <v>Образование</v>
      </c>
      <c r="B1247" s="45" t="s">
        <v>636</v>
      </c>
      <c r="C1247" s="8" t="s">
        <v>193</v>
      </c>
      <c r="D1247" s="1"/>
      <c r="E1247" s="113"/>
      <c r="F1247" s="7"/>
      <c r="G1247" s="7"/>
      <c r="H1247" s="35"/>
      <c r="I1247" s="7"/>
      <c r="J1247" s="35"/>
      <c r="K1247" s="7"/>
      <c r="L1247" s="35"/>
      <c r="M1247" s="7"/>
      <c r="N1247" s="35"/>
      <c r="O1247" s="7"/>
      <c r="P1247" s="35"/>
      <c r="Q1247" s="7">
        <f>Q1248</f>
        <v>215795.7</v>
      </c>
      <c r="R1247" s="35">
        <f t="shared" si="278"/>
        <v>215795.7</v>
      </c>
      <c r="S1247" s="7">
        <f>S1248</f>
        <v>0</v>
      </c>
      <c r="T1247" s="35">
        <f t="shared" si="275"/>
        <v>215795.7</v>
      </c>
    </row>
    <row r="1248" spans="1:20">
      <c r="A1248" s="12" t="s">
        <v>249</v>
      </c>
      <c r="B1248" s="45" t="s">
        <v>636</v>
      </c>
      <c r="C1248" s="8" t="s">
        <v>193</v>
      </c>
      <c r="D1248" s="8" t="s">
        <v>217</v>
      </c>
      <c r="E1248" s="113"/>
      <c r="F1248" s="7"/>
      <c r="G1248" s="7"/>
      <c r="H1248" s="35"/>
      <c r="I1248" s="7"/>
      <c r="J1248" s="35"/>
      <c r="K1248" s="7"/>
      <c r="L1248" s="35"/>
      <c r="M1248" s="7"/>
      <c r="N1248" s="35"/>
      <c r="O1248" s="7"/>
      <c r="P1248" s="35"/>
      <c r="Q1248" s="7">
        <f>Q1249</f>
        <v>215795.7</v>
      </c>
      <c r="R1248" s="35">
        <f t="shared" si="278"/>
        <v>215795.7</v>
      </c>
      <c r="S1248" s="7">
        <f>S1249</f>
        <v>0</v>
      </c>
      <c r="T1248" s="35">
        <f t="shared" si="275"/>
        <v>215795.7</v>
      </c>
    </row>
    <row r="1249" spans="1:20" ht="33">
      <c r="A1249" s="61" t="str">
        <f t="shared" ref="A1249:A1251" ca="1" si="282">IF(ISERROR(MATCH(E1249,Код_КВР,0)),"",INDIRECT(ADDRESS(MATCH(E1249,Код_КВР,0)+1,2,,,"КВР")))</f>
        <v>Капитальные вложения в объекты недвижимого имущества муниципальной собственности</v>
      </c>
      <c r="B1249" s="45" t="s">
        <v>636</v>
      </c>
      <c r="C1249" s="8" t="s">
        <v>193</v>
      </c>
      <c r="D1249" s="8" t="s">
        <v>217</v>
      </c>
      <c r="E1249" s="113">
        <v>400</v>
      </c>
      <c r="F1249" s="7"/>
      <c r="G1249" s="7"/>
      <c r="H1249" s="35"/>
      <c r="I1249" s="7"/>
      <c r="J1249" s="35"/>
      <c r="K1249" s="7"/>
      <c r="L1249" s="35"/>
      <c r="M1249" s="7"/>
      <c r="N1249" s="35"/>
      <c r="O1249" s="7"/>
      <c r="P1249" s="35"/>
      <c r="Q1249" s="7">
        <f>Q1250</f>
        <v>215795.7</v>
      </c>
      <c r="R1249" s="35">
        <f t="shared" si="278"/>
        <v>215795.7</v>
      </c>
      <c r="S1249" s="7">
        <f>S1250</f>
        <v>0</v>
      </c>
      <c r="T1249" s="35">
        <f t="shared" si="275"/>
        <v>215795.7</v>
      </c>
    </row>
    <row r="1250" spans="1:20">
      <c r="A1250" s="61" t="str">
        <f t="shared" ca="1" si="282"/>
        <v>Бюджетные инвестиции</v>
      </c>
      <c r="B1250" s="45" t="s">
        <v>636</v>
      </c>
      <c r="C1250" s="8" t="s">
        <v>193</v>
      </c>
      <c r="D1250" s="8" t="s">
        <v>217</v>
      </c>
      <c r="E1250" s="113">
        <v>410</v>
      </c>
      <c r="F1250" s="7"/>
      <c r="G1250" s="7"/>
      <c r="H1250" s="35"/>
      <c r="I1250" s="7"/>
      <c r="J1250" s="35"/>
      <c r="K1250" s="7"/>
      <c r="L1250" s="35"/>
      <c r="M1250" s="7"/>
      <c r="N1250" s="35"/>
      <c r="O1250" s="7"/>
      <c r="P1250" s="35"/>
      <c r="Q1250" s="7">
        <f>прил.6!R1678</f>
        <v>215795.7</v>
      </c>
      <c r="R1250" s="35">
        <f t="shared" si="278"/>
        <v>215795.7</v>
      </c>
      <c r="S1250" s="7">
        <f>прил.6!T1678</f>
        <v>0</v>
      </c>
      <c r="T1250" s="35">
        <f t="shared" si="275"/>
        <v>215795.7</v>
      </c>
    </row>
    <row r="1251" spans="1:20" ht="40.5" customHeight="1">
      <c r="A1251" s="61" t="str">
        <f t="shared" ca="1" si="282"/>
        <v>Бюджетные инвестиции в объекты капитального строительства муниципальной собственности</v>
      </c>
      <c r="B1251" s="45" t="s">
        <v>636</v>
      </c>
      <c r="C1251" s="8" t="s">
        <v>193</v>
      </c>
      <c r="D1251" s="8" t="s">
        <v>217</v>
      </c>
      <c r="E1251" s="113">
        <v>414</v>
      </c>
      <c r="F1251" s="7"/>
      <c r="G1251" s="7"/>
      <c r="H1251" s="35"/>
      <c r="I1251" s="7"/>
      <c r="J1251" s="35"/>
      <c r="K1251" s="7"/>
      <c r="L1251" s="35"/>
      <c r="M1251" s="7"/>
      <c r="N1251" s="35"/>
      <c r="O1251" s="7"/>
      <c r="P1251" s="35"/>
      <c r="Q1251" s="7">
        <f>прил.6!R1679</f>
        <v>215795.7</v>
      </c>
      <c r="R1251" s="35">
        <f t="shared" si="278"/>
        <v>215795.7</v>
      </c>
      <c r="S1251" s="7">
        <f>прил.6!T1679</f>
        <v>0</v>
      </c>
      <c r="T1251" s="35">
        <f t="shared" si="275"/>
        <v>215795.7</v>
      </c>
    </row>
    <row r="1252" spans="1:20" ht="57.75" customHeight="1">
      <c r="A1252" s="61" t="str">
        <f ca="1">IF(ISERROR(MATCH(B1252,Код_КЦСР,0)),"",INDIRECT(ADDRESS(MATCH(B1252,Код_КЦСР,0)+1,2,,,"КЦСР")))</f>
        <v>Создание и развитие сети многофункциональных центров предоставления государственных и муниципальных услуг за счет иных межбюджетных трасфертов из федерального бюджета</v>
      </c>
      <c r="B1252" s="45" t="s">
        <v>683</v>
      </c>
      <c r="C1252" s="8"/>
      <c r="D1252" s="8"/>
      <c r="E1252" s="113"/>
      <c r="F1252" s="7"/>
      <c r="G1252" s="7"/>
      <c r="H1252" s="35"/>
      <c r="I1252" s="7"/>
      <c r="J1252" s="35"/>
      <c r="K1252" s="7"/>
      <c r="L1252" s="35"/>
      <c r="M1252" s="7"/>
      <c r="N1252" s="35"/>
      <c r="O1252" s="7"/>
      <c r="P1252" s="35"/>
      <c r="Q1252" s="7"/>
      <c r="R1252" s="35">
        <f t="shared" si="278"/>
        <v>0</v>
      </c>
      <c r="S1252" s="7">
        <f>S1253</f>
        <v>13403.3</v>
      </c>
      <c r="T1252" s="35">
        <f t="shared" si="275"/>
        <v>13403.3</v>
      </c>
    </row>
    <row r="1253" spans="1:20">
      <c r="A1253" s="61" t="str">
        <f ca="1">IF(ISERROR(MATCH(C1253,Код_Раздел,0)),"",INDIRECT(ADDRESS(MATCH(C1253,Код_Раздел,0)+1,2,,,"Раздел")))</f>
        <v>Общегосударственные  вопросы</v>
      </c>
      <c r="B1253" s="45" t="s">
        <v>683</v>
      </c>
      <c r="C1253" s="8" t="s">
        <v>211</v>
      </c>
      <c r="D1253" s="8"/>
      <c r="E1253" s="113"/>
      <c r="F1253" s="7"/>
      <c r="G1253" s="7"/>
      <c r="H1253" s="35"/>
      <c r="I1253" s="7"/>
      <c r="J1253" s="35"/>
      <c r="K1253" s="7"/>
      <c r="L1253" s="35"/>
      <c r="M1253" s="7"/>
      <c r="N1253" s="35"/>
      <c r="O1253" s="7"/>
      <c r="P1253" s="35"/>
      <c r="Q1253" s="7"/>
      <c r="R1253" s="35">
        <f t="shared" si="278"/>
        <v>0</v>
      </c>
      <c r="S1253" s="7">
        <f>S1254</f>
        <v>13403.3</v>
      </c>
      <c r="T1253" s="35">
        <f t="shared" si="275"/>
        <v>13403.3</v>
      </c>
    </row>
    <row r="1254" spans="1:20">
      <c r="A1254" s="12" t="s">
        <v>235</v>
      </c>
      <c r="B1254" s="45" t="s">
        <v>683</v>
      </c>
      <c r="C1254" s="8" t="s">
        <v>211</v>
      </c>
      <c r="D1254" s="8" t="s">
        <v>188</v>
      </c>
      <c r="E1254" s="113"/>
      <c r="F1254" s="7"/>
      <c r="G1254" s="7"/>
      <c r="H1254" s="35"/>
      <c r="I1254" s="7"/>
      <c r="J1254" s="35"/>
      <c r="K1254" s="7"/>
      <c r="L1254" s="35"/>
      <c r="M1254" s="7"/>
      <c r="N1254" s="35"/>
      <c r="O1254" s="7"/>
      <c r="P1254" s="35"/>
      <c r="Q1254" s="7"/>
      <c r="R1254" s="35">
        <f t="shared" si="278"/>
        <v>0</v>
      </c>
      <c r="S1254" s="7">
        <f>S1255</f>
        <v>13403.3</v>
      </c>
      <c r="T1254" s="35">
        <f t="shared" si="275"/>
        <v>13403.3</v>
      </c>
    </row>
    <row r="1255" spans="1:20">
      <c r="A1255" s="61" t="str">
        <f t="shared" ref="A1255:A1257" ca="1" si="283">IF(ISERROR(MATCH(E1255,Код_КВР,0)),"",INDIRECT(ADDRESS(MATCH(E1255,Код_КВР,0)+1,2,,,"КВР")))</f>
        <v>Закупка товаров, работ и услуг для муниципальных нужд</v>
      </c>
      <c r="B1255" s="45" t="s">
        <v>683</v>
      </c>
      <c r="C1255" s="8" t="s">
        <v>211</v>
      </c>
      <c r="D1255" s="8" t="s">
        <v>188</v>
      </c>
      <c r="E1255" s="113">
        <v>200</v>
      </c>
      <c r="F1255" s="7"/>
      <c r="G1255" s="7"/>
      <c r="H1255" s="35"/>
      <c r="I1255" s="7"/>
      <c r="J1255" s="35"/>
      <c r="K1255" s="7"/>
      <c r="L1255" s="35"/>
      <c r="M1255" s="7"/>
      <c r="N1255" s="35"/>
      <c r="O1255" s="7"/>
      <c r="P1255" s="35"/>
      <c r="Q1255" s="7"/>
      <c r="R1255" s="35">
        <f t="shared" si="278"/>
        <v>0</v>
      </c>
      <c r="S1255" s="7">
        <f>S1256</f>
        <v>13403.3</v>
      </c>
      <c r="T1255" s="35">
        <f t="shared" si="275"/>
        <v>13403.3</v>
      </c>
    </row>
    <row r="1256" spans="1:20" ht="33">
      <c r="A1256" s="61" t="str">
        <f t="shared" ca="1" si="283"/>
        <v>Иные закупки товаров, работ и услуг для обеспечения муниципальных нужд</v>
      </c>
      <c r="B1256" s="45" t="s">
        <v>683</v>
      </c>
      <c r="C1256" s="8" t="s">
        <v>211</v>
      </c>
      <c r="D1256" s="8" t="s">
        <v>188</v>
      </c>
      <c r="E1256" s="113">
        <v>240</v>
      </c>
      <c r="F1256" s="7"/>
      <c r="G1256" s="7"/>
      <c r="H1256" s="35"/>
      <c r="I1256" s="7"/>
      <c r="J1256" s="35"/>
      <c r="K1256" s="7"/>
      <c r="L1256" s="35"/>
      <c r="M1256" s="7"/>
      <c r="N1256" s="35"/>
      <c r="O1256" s="7"/>
      <c r="P1256" s="35"/>
      <c r="Q1256" s="7"/>
      <c r="R1256" s="35">
        <f t="shared" si="278"/>
        <v>0</v>
      </c>
      <c r="S1256" s="7">
        <f>прил.6!T1510</f>
        <v>13403.3</v>
      </c>
      <c r="T1256" s="35">
        <f t="shared" si="275"/>
        <v>13403.3</v>
      </c>
    </row>
    <row r="1257" spans="1:20" ht="36" customHeight="1">
      <c r="A1257" s="61" t="str">
        <f t="shared" ca="1" si="283"/>
        <v>Закупка товаров, работ, услуг в целях капитального ремонта муниципального имущества</v>
      </c>
      <c r="B1257" s="45" t="s">
        <v>683</v>
      </c>
      <c r="C1257" s="8" t="s">
        <v>211</v>
      </c>
      <c r="D1257" s="8" t="s">
        <v>188</v>
      </c>
      <c r="E1257" s="113">
        <v>243</v>
      </c>
      <c r="F1257" s="7"/>
      <c r="G1257" s="7"/>
      <c r="H1257" s="35"/>
      <c r="I1257" s="7"/>
      <c r="J1257" s="35"/>
      <c r="K1257" s="7"/>
      <c r="L1257" s="35"/>
      <c r="M1257" s="7"/>
      <c r="N1257" s="35"/>
      <c r="O1257" s="7"/>
      <c r="P1257" s="35"/>
      <c r="Q1257" s="7"/>
      <c r="R1257" s="35">
        <f t="shared" si="278"/>
        <v>0</v>
      </c>
      <c r="S1257" s="7">
        <f>прил.6!T1511</f>
        <v>13403.3</v>
      </c>
      <c r="T1257" s="35">
        <f t="shared" si="275"/>
        <v>13403.3</v>
      </c>
    </row>
    <row r="1258" spans="1:20" ht="36" customHeight="1">
      <c r="A1258" s="61" t="str">
        <f ca="1">IF(ISERROR(MATCH(B1258,Код_КЦСР,0)),"",INDIRECT(ADDRESS(MATCH(B1258,Код_КЦСР,0)+1,2,,,"КЦСР")))</f>
        <v>Реализация перспективных проектов в сфере развития туризма за счет субсидии из областного бюджета</v>
      </c>
      <c r="B1258" s="45" t="s">
        <v>681</v>
      </c>
      <c r="C1258" s="8"/>
      <c r="D1258" s="8"/>
      <c r="E1258" s="113"/>
      <c r="F1258" s="7"/>
      <c r="G1258" s="7"/>
      <c r="H1258" s="35"/>
      <c r="I1258" s="7"/>
      <c r="J1258" s="35"/>
      <c r="K1258" s="7"/>
      <c r="L1258" s="35"/>
      <c r="M1258" s="7"/>
      <c r="N1258" s="35"/>
      <c r="O1258" s="7"/>
      <c r="P1258" s="35"/>
      <c r="Q1258" s="7"/>
      <c r="R1258" s="35">
        <f t="shared" si="278"/>
        <v>0</v>
      </c>
      <c r="S1258" s="7">
        <f>S1259</f>
        <v>5350</v>
      </c>
      <c r="T1258" s="35">
        <f t="shared" si="275"/>
        <v>5350</v>
      </c>
    </row>
    <row r="1259" spans="1:20">
      <c r="A1259" s="61" t="str">
        <f ca="1">IF(ISERROR(MATCH(C1259,Код_Раздел,0)),"",INDIRECT(ADDRESS(MATCH(C1259,Код_Раздел,0)+1,2,,,"Раздел")))</f>
        <v>Национальная экономика</v>
      </c>
      <c r="B1259" s="45" t="s">
        <v>681</v>
      </c>
      <c r="C1259" s="8" t="s">
        <v>214</v>
      </c>
      <c r="D1259" s="8"/>
      <c r="E1259" s="113"/>
      <c r="F1259" s="7"/>
      <c r="G1259" s="7"/>
      <c r="H1259" s="35"/>
      <c r="I1259" s="7"/>
      <c r="J1259" s="35"/>
      <c r="K1259" s="7"/>
      <c r="L1259" s="35"/>
      <c r="M1259" s="7"/>
      <c r="N1259" s="35"/>
      <c r="O1259" s="7"/>
      <c r="P1259" s="35"/>
      <c r="Q1259" s="7"/>
      <c r="R1259" s="35">
        <f t="shared" si="278"/>
        <v>0</v>
      </c>
      <c r="S1259" s="7">
        <f>S1260</f>
        <v>5350</v>
      </c>
      <c r="T1259" s="35">
        <f t="shared" si="275"/>
        <v>5350</v>
      </c>
    </row>
    <row r="1260" spans="1:20">
      <c r="A1260" s="12" t="s">
        <v>221</v>
      </c>
      <c r="B1260" s="45" t="s">
        <v>681</v>
      </c>
      <c r="C1260" s="8" t="s">
        <v>214</v>
      </c>
      <c r="D1260" s="8" t="s">
        <v>194</v>
      </c>
      <c r="E1260" s="113"/>
      <c r="F1260" s="7"/>
      <c r="G1260" s="7"/>
      <c r="H1260" s="35"/>
      <c r="I1260" s="7"/>
      <c r="J1260" s="35"/>
      <c r="K1260" s="7"/>
      <c r="L1260" s="35"/>
      <c r="M1260" s="7"/>
      <c r="N1260" s="35"/>
      <c r="O1260" s="7"/>
      <c r="P1260" s="35"/>
      <c r="Q1260" s="7"/>
      <c r="R1260" s="35">
        <f t="shared" si="278"/>
        <v>0</v>
      </c>
      <c r="S1260" s="7">
        <f>S1261</f>
        <v>5350</v>
      </c>
      <c r="T1260" s="35">
        <f t="shared" si="275"/>
        <v>5350</v>
      </c>
    </row>
    <row r="1261" spans="1:20" ht="33">
      <c r="A1261" s="61" t="str">
        <f t="shared" ref="A1261:A1263" ca="1" si="284">IF(ISERROR(MATCH(E1261,Код_КВР,0)),"",INDIRECT(ADDRESS(MATCH(E1261,Код_КВР,0)+1,2,,,"КВР")))</f>
        <v>Капитальные вложения в объекты недвижимого имущества муниципальной собственности</v>
      </c>
      <c r="B1261" s="45" t="s">
        <v>681</v>
      </c>
      <c r="C1261" s="8" t="s">
        <v>214</v>
      </c>
      <c r="D1261" s="8" t="s">
        <v>194</v>
      </c>
      <c r="E1261" s="113">
        <v>400</v>
      </c>
      <c r="F1261" s="7"/>
      <c r="G1261" s="7"/>
      <c r="H1261" s="35"/>
      <c r="I1261" s="7"/>
      <c r="J1261" s="35"/>
      <c r="K1261" s="7"/>
      <c r="L1261" s="35"/>
      <c r="M1261" s="7"/>
      <c r="N1261" s="35"/>
      <c r="O1261" s="7"/>
      <c r="P1261" s="35"/>
      <c r="Q1261" s="7"/>
      <c r="R1261" s="35">
        <f t="shared" si="278"/>
        <v>0</v>
      </c>
      <c r="S1261" s="7">
        <f>S1262</f>
        <v>5350</v>
      </c>
      <c r="T1261" s="35">
        <f t="shared" si="275"/>
        <v>5350</v>
      </c>
    </row>
    <row r="1262" spans="1:20">
      <c r="A1262" s="61" t="str">
        <f t="shared" ca="1" si="284"/>
        <v>Бюджетные инвестиции</v>
      </c>
      <c r="B1262" s="45" t="s">
        <v>681</v>
      </c>
      <c r="C1262" s="8" t="s">
        <v>214</v>
      </c>
      <c r="D1262" s="8" t="s">
        <v>194</v>
      </c>
      <c r="E1262" s="113">
        <v>410</v>
      </c>
      <c r="F1262" s="7"/>
      <c r="G1262" s="7"/>
      <c r="H1262" s="35"/>
      <c r="I1262" s="7"/>
      <c r="J1262" s="35"/>
      <c r="K1262" s="7"/>
      <c r="L1262" s="35"/>
      <c r="M1262" s="7"/>
      <c r="N1262" s="35"/>
      <c r="O1262" s="7"/>
      <c r="P1262" s="35"/>
      <c r="Q1262" s="7"/>
      <c r="R1262" s="35">
        <f t="shared" si="278"/>
        <v>0</v>
      </c>
      <c r="S1262" s="7">
        <f>прил.6!T1587</f>
        <v>5350</v>
      </c>
      <c r="T1262" s="35">
        <f t="shared" si="275"/>
        <v>5350</v>
      </c>
    </row>
    <row r="1263" spans="1:20" ht="33">
      <c r="A1263" s="61" t="str">
        <f t="shared" ca="1" si="284"/>
        <v>Бюджетные инвестиции в объекты капитального строительства муниципальной собственности</v>
      </c>
      <c r="B1263" s="45" t="s">
        <v>681</v>
      </c>
      <c r="C1263" s="8" t="s">
        <v>214</v>
      </c>
      <c r="D1263" s="8" t="s">
        <v>194</v>
      </c>
      <c r="E1263" s="113">
        <v>414</v>
      </c>
      <c r="F1263" s="7"/>
      <c r="G1263" s="7"/>
      <c r="H1263" s="35"/>
      <c r="I1263" s="7"/>
      <c r="J1263" s="35"/>
      <c r="K1263" s="7"/>
      <c r="L1263" s="35"/>
      <c r="M1263" s="7"/>
      <c r="N1263" s="35"/>
      <c r="O1263" s="7"/>
      <c r="P1263" s="35"/>
      <c r="Q1263" s="7"/>
      <c r="R1263" s="35">
        <f t="shared" si="278"/>
        <v>0</v>
      </c>
      <c r="S1263" s="7">
        <f>прил.6!T1588</f>
        <v>5350</v>
      </c>
      <c r="T1263" s="35">
        <f t="shared" si="275"/>
        <v>5350</v>
      </c>
    </row>
    <row r="1264" spans="1:20" ht="49.5">
      <c r="A1264" s="61" t="str">
        <f ca="1">IF(ISERROR(MATCH(B1264,Код_КЦСР,0)),"",INDIRECT(ADDRESS(MATCH(B1264,Код_КЦСР,0)+1,2,,,"КЦСР")))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264" s="45" t="s">
        <v>78</v>
      </c>
      <c r="C1264" s="8"/>
      <c r="D1264" s="1"/>
      <c r="E1264" s="113"/>
      <c r="F1264" s="7">
        <f>F1265+F1333</f>
        <v>54441.599999999999</v>
      </c>
      <c r="G1264" s="7">
        <f>G1265+G1333</f>
        <v>0</v>
      </c>
      <c r="H1264" s="35">
        <f t="shared" si="280"/>
        <v>54441.599999999999</v>
      </c>
      <c r="I1264" s="7">
        <f>I1265+I1333</f>
        <v>7.5</v>
      </c>
      <c r="J1264" s="35">
        <f t="shared" si="277"/>
        <v>54449.1</v>
      </c>
      <c r="K1264" s="7">
        <f>K1265+K1333</f>
        <v>-3424</v>
      </c>
      <c r="L1264" s="35">
        <f t="shared" si="271"/>
        <v>51025.1</v>
      </c>
      <c r="M1264" s="7">
        <f>M1265+M1333</f>
        <v>0</v>
      </c>
      <c r="N1264" s="35">
        <f t="shared" si="272"/>
        <v>51025.1</v>
      </c>
      <c r="O1264" s="7">
        <f>O1265+O1333</f>
        <v>0</v>
      </c>
      <c r="P1264" s="35">
        <f t="shared" si="281"/>
        <v>51025.1</v>
      </c>
      <c r="Q1264" s="7">
        <f>Q1265+Q1333</f>
        <v>80.099999999999994</v>
      </c>
      <c r="R1264" s="35">
        <f t="shared" si="278"/>
        <v>51105.2</v>
      </c>
      <c r="S1264" s="7">
        <f>S1265+S1333</f>
        <v>0</v>
      </c>
      <c r="T1264" s="35">
        <f t="shared" si="275"/>
        <v>51105.2</v>
      </c>
    </row>
    <row r="1265" spans="1:21" ht="33">
      <c r="A1265" s="61" t="str">
        <f ca="1">IF(ISERROR(MATCH(B1265,Код_КЦСР,0)),"",INDIRECT(ADDRESS(MATCH(B1265,Код_КЦСР,0)+1,2,,,"КЦСР")))</f>
        <v>Обеспечение пожарной безопасности муниципальных учреждений города</v>
      </c>
      <c r="B1265" s="45" t="s">
        <v>80</v>
      </c>
      <c r="C1265" s="8"/>
      <c r="D1265" s="1"/>
      <c r="E1265" s="113"/>
      <c r="F1265" s="7">
        <f>F1266+F1292+F1325</f>
        <v>5000</v>
      </c>
      <c r="G1265" s="7">
        <f>G1266+G1292+G1325</f>
        <v>0</v>
      </c>
      <c r="H1265" s="35">
        <f t="shared" si="280"/>
        <v>5000</v>
      </c>
      <c r="I1265" s="7">
        <f>I1266+I1292+I1325</f>
        <v>7.5</v>
      </c>
      <c r="J1265" s="35">
        <f t="shared" si="277"/>
        <v>5007.5</v>
      </c>
      <c r="K1265" s="7">
        <f>K1266+K1292+K1325</f>
        <v>0</v>
      </c>
      <c r="L1265" s="35">
        <f t="shared" si="271"/>
        <v>5007.5</v>
      </c>
      <c r="M1265" s="7">
        <f>M1266+M1292+M1325</f>
        <v>0</v>
      </c>
      <c r="N1265" s="35">
        <f t="shared" si="272"/>
        <v>5007.5</v>
      </c>
      <c r="O1265" s="7">
        <f>O1266+O1292+O1325</f>
        <v>0</v>
      </c>
      <c r="P1265" s="35">
        <f t="shared" si="281"/>
        <v>5007.5</v>
      </c>
      <c r="Q1265" s="7">
        <f>Q1266+Q1292+Q1325</f>
        <v>0</v>
      </c>
      <c r="R1265" s="35">
        <f t="shared" si="278"/>
        <v>5007.5</v>
      </c>
      <c r="S1265" s="7">
        <f>S1266+S1292+S1325+S1307+S1313+S1319</f>
        <v>0</v>
      </c>
      <c r="T1265" s="35">
        <f t="shared" si="275"/>
        <v>5007.5</v>
      </c>
    </row>
    <row r="1266" spans="1:21" ht="49.5">
      <c r="A1266" s="61" t="str">
        <f ca="1">IF(ISERROR(MATCH(B1266,Код_КЦСР,0)),"",INDIRECT(ADDRESS(MATCH(B1266,Код_КЦСР,0)+1,2,,,"КЦСР")))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266" s="45" t="s">
        <v>82</v>
      </c>
      <c r="C1266" s="8"/>
      <c r="D1266" s="1"/>
      <c r="E1266" s="113"/>
      <c r="F1266" s="7">
        <f>F1267+F1272+F1282</f>
        <v>1655</v>
      </c>
      <c r="G1266" s="7">
        <f>G1267+G1272+G1282</f>
        <v>0</v>
      </c>
      <c r="H1266" s="35">
        <f t="shared" si="280"/>
        <v>1655</v>
      </c>
      <c r="I1266" s="7">
        <f>I1267+I1272+I1282+I1287</f>
        <v>7.5</v>
      </c>
      <c r="J1266" s="35">
        <f t="shared" si="277"/>
        <v>1662.5</v>
      </c>
      <c r="K1266" s="7">
        <f>K1267+K1272+K1282+K1287</f>
        <v>0</v>
      </c>
      <c r="L1266" s="35">
        <f t="shared" si="271"/>
        <v>1662.5</v>
      </c>
      <c r="M1266" s="7">
        <f>M1267+M1272+M1282+M1287</f>
        <v>0</v>
      </c>
      <c r="N1266" s="35">
        <f t="shared" si="272"/>
        <v>1662.5</v>
      </c>
      <c r="O1266" s="7">
        <f>O1267+O1272+O1282+O1287</f>
        <v>0</v>
      </c>
      <c r="P1266" s="35">
        <f t="shared" si="281"/>
        <v>1662.5</v>
      </c>
      <c r="Q1266" s="7">
        <f>Q1267+Q1272+Q1282+Q1287</f>
        <v>0</v>
      </c>
      <c r="R1266" s="35">
        <f t="shared" si="278"/>
        <v>1662.5</v>
      </c>
      <c r="S1266" s="7">
        <f>S1267+S1272+S1282+S1287</f>
        <v>-95.800000000000011</v>
      </c>
      <c r="T1266" s="35">
        <f t="shared" si="275"/>
        <v>1566.7</v>
      </c>
    </row>
    <row r="1267" spans="1:21">
      <c r="A1267" s="61" t="str">
        <f ca="1">IF(ISERROR(MATCH(C1267,Код_Раздел,0)),"",INDIRECT(ADDRESS(MATCH(C1267,Код_Раздел,0)+1,2,,,"Раздел")))</f>
        <v>Национальная безопасность и правоохранительная  деятельность</v>
      </c>
      <c r="B1267" s="45" t="s">
        <v>82</v>
      </c>
      <c r="C1267" s="8" t="s">
        <v>213</v>
      </c>
      <c r="D1267" s="1"/>
      <c r="E1267" s="113"/>
      <c r="F1267" s="7">
        <f t="shared" ref="F1267:S1270" si="285">F1268</f>
        <v>215</v>
      </c>
      <c r="G1267" s="7">
        <f t="shared" si="285"/>
        <v>0</v>
      </c>
      <c r="H1267" s="35">
        <f t="shared" si="280"/>
        <v>215</v>
      </c>
      <c r="I1267" s="7">
        <f t="shared" si="285"/>
        <v>0</v>
      </c>
      <c r="J1267" s="35">
        <f t="shared" si="277"/>
        <v>215</v>
      </c>
      <c r="K1267" s="7">
        <f t="shared" si="285"/>
        <v>0</v>
      </c>
      <c r="L1267" s="35">
        <f t="shared" si="271"/>
        <v>215</v>
      </c>
      <c r="M1267" s="7">
        <f t="shared" si="285"/>
        <v>0</v>
      </c>
      <c r="N1267" s="35">
        <f t="shared" si="272"/>
        <v>215</v>
      </c>
      <c r="O1267" s="7">
        <f t="shared" si="285"/>
        <v>0</v>
      </c>
      <c r="P1267" s="35">
        <f t="shared" si="281"/>
        <v>215</v>
      </c>
      <c r="Q1267" s="7">
        <f t="shared" si="285"/>
        <v>0</v>
      </c>
      <c r="R1267" s="35">
        <f t="shared" si="278"/>
        <v>215</v>
      </c>
      <c r="S1267" s="7">
        <f t="shared" si="285"/>
        <v>0</v>
      </c>
      <c r="T1267" s="35">
        <f t="shared" si="275"/>
        <v>215</v>
      </c>
    </row>
    <row r="1268" spans="1:21" ht="33">
      <c r="A1268" s="12" t="s">
        <v>259</v>
      </c>
      <c r="B1268" s="45" t="s">
        <v>82</v>
      </c>
      <c r="C1268" s="8" t="s">
        <v>213</v>
      </c>
      <c r="D1268" s="1" t="s">
        <v>217</v>
      </c>
      <c r="E1268" s="113"/>
      <c r="F1268" s="7">
        <f t="shared" si="285"/>
        <v>215</v>
      </c>
      <c r="G1268" s="7">
        <f t="shared" si="285"/>
        <v>0</v>
      </c>
      <c r="H1268" s="35">
        <f t="shared" si="280"/>
        <v>215</v>
      </c>
      <c r="I1268" s="7">
        <f t="shared" si="285"/>
        <v>0</v>
      </c>
      <c r="J1268" s="35">
        <f t="shared" si="277"/>
        <v>215</v>
      </c>
      <c r="K1268" s="7">
        <f t="shared" si="285"/>
        <v>0</v>
      </c>
      <c r="L1268" s="35">
        <f t="shared" si="271"/>
        <v>215</v>
      </c>
      <c r="M1268" s="7">
        <f t="shared" si="285"/>
        <v>0</v>
      </c>
      <c r="N1268" s="35">
        <f t="shared" si="272"/>
        <v>215</v>
      </c>
      <c r="O1268" s="7">
        <f t="shared" si="285"/>
        <v>0</v>
      </c>
      <c r="P1268" s="35">
        <f t="shared" si="281"/>
        <v>215</v>
      </c>
      <c r="Q1268" s="7">
        <f t="shared" si="285"/>
        <v>0</v>
      </c>
      <c r="R1268" s="35">
        <f t="shared" si="278"/>
        <v>215</v>
      </c>
      <c r="S1268" s="7">
        <f t="shared" si="285"/>
        <v>0</v>
      </c>
      <c r="T1268" s="35">
        <f t="shared" si="275"/>
        <v>215</v>
      </c>
    </row>
    <row r="1269" spans="1:21" ht="18.75" customHeight="1">
      <c r="A1269" s="61" t="str">
        <f ca="1">IF(ISERROR(MATCH(E1269,Код_КВР,0)),"",INDIRECT(ADDRESS(MATCH(E1269,Код_КВР,0)+1,2,,,"КВР")))</f>
        <v>Закупка товаров, работ и услуг для муниципальных нужд</v>
      </c>
      <c r="B1269" s="45" t="s">
        <v>82</v>
      </c>
      <c r="C1269" s="8" t="s">
        <v>213</v>
      </c>
      <c r="D1269" s="1" t="s">
        <v>217</v>
      </c>
      <c r="E1269" s="113">
        <v>200</v>
      </c>
      <c r="F1269" s="7">
        <f t="shared" si="285"/>
        <v>215</v>
      </c>
      <c r="G1269" s="7">
        <f t="shared" si="285"/>
        <v>0</v>
      </c>
      <c r="H1269" s="35">
        <f t="shared" si="280"/>
        <v>215</v>
      </c>
      <c r="I1269" s="7">
        <f t="shared" si="285"/>
        <v>0</v>
      </c>
      <c r="J1269" s="35">
        <f t="shared" si="277"/>
        <v>215</v>
      </c>
      <c r="K1269" s="7">
        <f t="shared" si="285"/>
        <v>0</v>
      </c>
      <c r="L1269" s="35">
        <f t="shared" si="271"/>
        <v>215</v>
      </c>
      <c r="M1269" s="7">
        <f t="shared" si="285"/>
        <v>0</v>
      </c>
      <c r="N1269" s="35">
        <f t="shared" si="272"/>
        <v>215</v>
      </c>
      <c r="O1269" s="7">
        <f t="shared" si="285"/>
        <v>0</v>
      </c>
      <c r="P1269" s="35">
        <f t="shared" si="281"/>
        <v>215</v>
      </c>
      <c r="Q1269" s="7">
        <f t="shared" si="285"/>
        <v>0</v>
      </c>
      <c r="R1269" s="35">
        <f t="shared" si="278"/>
        <v>215</v>
      </c>
      <c r="S1269" s="7">
        <f t="shared" si="285"/>
        <v>0</v>
      </c>
      <c r="T1269" s="35">
        <f t="shared" si="275"/>
        <v>215</v>
      </c>
    </row>
    <row r="1270" spans="1:21" ht="33">
      <c r="A1270" s="61" t="str">
        <f ca="1">IF(ISERROR(MATCH(E1270,Код_КВР,0)),"",INDIRECT(ADDRESS(MATCH(E1270,Код_КВР,0)+1,2,,,"КВР")))</f>
        <v>Иные закупки товаров, работ и услуг для обеспечения муниципальных нужд</v>
      </c>
      <c r="B1270" s="45" t="s">
        <v>82</v>
      </c>
      <c r="C1270" s="8" t="s">
        <v>213</v>
      </c>
      <c r="D1270" s="1" t="s">
        <v>217</v>
      </c>
      <c r="E1270" s="113">
        <v>240</v>
      </c>
      <c r="F1270" s="7">
        <f t="shared" si="285"/>
        <v>215</v>
      </c>
      <c r="G1270" s="7">
        <f t="shared" si="285"/>
        <v>0</v>
      </c>
      <c r="H1270" s="35">
        <f t="shared" si="280"/>
        <v>215</v>
      </c>
      <c r="I1270" s="7">
        <f t="shared" si="285"/>
        <v>0</v>
      </c>
      <c r="J1270" s="35">
        <f t="shared" si="277"/>
        <v>215</v>
      </c>
      <c r="K1270" s="7">
        <f t="shared" si="285"/>
        <v>0</v>
      </c>
      <c r="L1270" s="35">
        <f t="shared" si="271"/>
        <v>215</v>
      </c>
      <c r="M1270" s="7">
        <f t="shared" si="285"/>
        <v>0</v>
      </c>
      <c r="N1270" s="35">
        <f t="shared" si="272"/>
        <v>215</v>
      </c>
      <c r="O1270" s="7">
        <f t="shared" si="285"/>
        <v>0</v>
      </c>
      <c r="P1270" s="35">
        <f t="shared" si="281"/>
        <v>215</v>
      </c>
      <c r="Q1270" s="7">
        <f t="shared" si="285"/>
        <v>0</v>
      </c>
      <c r="R1270" s="35">
        <f t="shared" si="278"/>
        <v>215</v>
      </c>
      <c r="S1270" s="7">
        <f t="shared" si="285"/>
        <v>0</v>
      </c>
      <c r="T1270" s="35">
        <f t="shared" si="275"/>
        <v>215</v>
      </c>
    </row>
    <row r="1271" spans="1:21" ht="33">
      <c r="A1271" s="61" t="str">
        <f ca="1">IF(ISERROR(MATCH(E1271,Код_КВР,0)),"",INDIRECT(ADDRESS(MATCH(E1271,Код_КВР,0)+1,2,,,"КВР")))</f>
        <v xml:space="preserve">Прочая закупка товаров, работ и услуг для обеспечения муниципальных нужд         </v>
      </c>
      <c r="B1271" s="45" t="s">
        <v>82</v>
      </c>
      <c r="C1271" s="8" t="s">
        <v>213</v>
      </c>
      <c r="D1271" s="1" t="s">
        <v>217</v>
      </c>
      <c r="E1271" s="113">
        <v>244</v>
      </c>
      <c r="F1271" s="7">
        <f>прил.6!G191</f>
        <v>215</v>
      </c>
      <c r="G1271" s="7">
        <f>прил.6!H191</f>
        <v>0</v>
      </c>
      <c r="H1271" s="35">
        <f t="shared" si="280"/>
        <v>215</v>
      </c>
      <c r="I1271" s="7">
        <f>прил.6!J191</f>
        <v>0</v>
      </c>
      <c r="J1271" s="35">
        <f t="shared" si="277"/>
        <v>215</v>
      </c>
      <c r="K1271" s="7">
        <f>прил.6!L191</f>
        <v>0</v>
      </c>
      <c r="L1271" s="35">
        <f t="shared" si="271"/>
        <v>215</v>
      </c>
      <c r="M1271" s="7">
        <f>прил.6!N191</f>
        <v>0</v>
      </c>
      <c r="N1271" s="35">
        <f t="shared" si="272"/>
        <v>215</v>
      </c>
      <c r="O1271" s="7">
        <f>прил.6!P191</f>
        <v>0</v>
      </c>
      <c r="P1271" s="35">
        <f t="shared" si="281"/>
        <v>215</v>
      </c>
      <c r="Q1271" s="7">
        <f>прил.6!R191</f>
        <v>0</v>
      </c>
      <c r="R1271" s="35">
        <f t="shared" si="278"/>
        <v>215</v>
      </c>
      <c r="S1271" s="7">
        <f>прил.6!T191</f>
        <v>0</v>
      </c>
      <c r="T1271" s="35">
        <f t="shared" si="275"/>
        <v>215</v>
      </c>
    </row>
    <row r="1272" spans="1:21">
      <c r="A1272" s="61" t="str">
        <f ca="1">IF(ISERROR(MATCH(C1272,Код_Раздел,0)),"",INDIRECT(ADDRESS(MATCH(C1272,Код_Раздел,0)+1,2,,,"Раздел")))</f>
        <v>Образование</v>
      </c>
      <c r="B1272" s="45" t="s">
        <v>82</v>
      </c>
      <c r="C1272" s="8" t="s">
        <v>193</v>
      </c>
      <c r="D1272" s="1"/>
      <c r="E1272" s="113"/>
      <c r="F1272" s="7">
        <f>F1273</f>
        <v>849</v>
      </c>
      <c r="G1272" s="7">
        <f>G1273</f>
        <v>0</v>
      </c>
      <c r="H1272" s="35">
        <f t="shared" si="280"/>
        <v>849</v>
      </c>
      <c r="I1272" s="7">
        <f>I1273</f>
        <v>0</v>
      </c>
      <c r="J1272" s="35">
        <f t="shared" si="277"/>
        <v>849</v>
      </c>
      <c r="K1272" s="7">
        <f>K1273</f>
        <v>0</v>
      </c>
      <c r="L1272" s="35">
        <f t="shared" si="271"/>
        <v>849</v>
      </c>
      <c r="M1272" s="7">
        <f>M1273</f>
        <v>0</v>
      </c>
      <c r="N1272" s="35">
        <f t="shared" si="272"/>
        <v>849</v>
      </c>
      <c r="O1272" s="7">
        <f>O1273</f>
        <v>0</v>
      </c>
      <c r="P1272" s="35">
        <f t="shared" si="281"/>
        <v>849</v>
      </c>
      <c r="Q1272" s="7">
        <f>Q1273</f>
        <v>0</v>
      </c>
      <c r="R1272" s="35">
        <f t="shared" si="278"/>
        <v>849</v>
      </c>
      <c r="S1272" s="7">
        <f>S1273</f>
        <v>50</v>
      </c>
      <c r="T1272" s="35">
        <f t="shared" si="275"/>
        <v>899</v>
      </c>
    </row>
    <row r="1273" spans="1:21">
      <c r="A1273" s="12" t="s">
        <v>249</v>
      </c>
      <c r="B1273" s="45" t="s">
        <v>82</v>
      </c>
      <c r="C1273" s="8" t="s">
        <v>193</v>
      </c>
      <c r="D1273" s="1" t="s">
        <v>217</v>
      </c>
      <c r="E1273" s="113"/>
      <c r="F1273" s="7">
        <f>F1274+F1277</f>
        <v>849</v>
      </c>
      <c r="G1273" s="7">
        <f>G1274+G1277</f>
        <v>0</v>
      </c>
      <c r="H1273" s="35">
        <f t="shared" si="280"/>
        <v>849</v>
      </c>
      <c r="I1273" s="7">
        <f>I1274+I1277</f>
        <v>0</v>
      </c>
      <c r="J1273" s="35">
        <f t="shared" si="277"/>
        <v>849</v>
      </c>
      <c r="K1273" s="7">
        <f>K1274+K1277</f>
        <v>0</v>
      </c>
      <c r="L1273" s="35">
        <f t="shared" si="271"/>
        <v>849</v>
      </c>
      <c r="M1273" s="7">
        <f>M1274+M1277</f>
        <v>0</v>
      </c>
      <c r="N1273" s="35">
        <f t="shared" si="272"/>
        <v>849</v>
      </c>
      <c r="O1273" s="7">
        <f>O1274+O1277</f>
        <v>0</v>
      </c>
      <c r="P1273" s="35">
        <f t="shared" si="281"/>
        <v>849</v>
      </c>
      <c r="Q1273" s="7">
        <f>Q1274+Q1277</f>
        <v>0</v>
      </c>
      <c r="R1273" s="35">
        <f t="shared" si="278"/>
        <v>849</v>
      </c>
      <c r="S1273" s="7">
        <f>S1274+S1277</f>
        <v>50</v>
      </c>
      <c r="T1273" s="35">
        <f t="shared" si="275"/>
        <v>899</v>
      </c>
    </row>
    <row r="1274" spans="1:21" hidden="1">
      <c r="A1274" s="61" t="str">
        <f t="shared" ref="A1274:A1281" ca="1" si="286">IF(ISERROR(MATCH(E1274,Код_КВР,0)),"",INDIRECT(ADDRESS(MATCH(E1274,Код_КВР,0)+1,2,,,"КВР")))</f>
        <v>Закупка товаров, работ и услуг для муниципальных нужд</v>
      </c>
      <c r="B1274" s="45" t="s">
        <v>82</v>
      </c>
      <c r="C1274" s="8" t="s">
        <v>193</v>
      </c>
      <c r="D1274" s="1" t="s">
        <v>217</v>
      </c>
      <c r="E1274" s="89">
        <v>200</v>
      </c>
      <c r="F1274" s="7">
        <f>F1275</f>
        <v>0</v>
      </c>
      <c r="G1274" s="7">
        <f>G1275</f>
        <v>0</v>
      </c>
      <c r="H1274" s="35">
        <f t="shared" si="280"/>
        <v>0</v>
      </c>
      <c r="I1274" s="7">
        <f>I1275</f>
        <v>0</v>
      </c>
      <c r="J1274" s="35">
        <f t="shared" si="277"/>
        <v>0</v>
      </c>
      <c r="K1274" s="7">
        <f>K1275</f>
        <v>0</v>
      </c>
      <c r="L1274" s="35">
        <f t="shared" si="271"/>
        <v>0</v>
      </c>
      <c r="M1274" s="7">
        <f>M1275</f>
        <v>0</v>
      </c>
      <c r="N1274" s="35">
        <f t="shared" si="272"/>
        <v>0</v>
      </c>
      <c r="O1274" s="7">
        <f>O1275</f>
        <v>0</v>
      </c>
      <c r="P1274" s="35">
        <f t="shared" si="281"/>
        <v>0</v>
      </c>
      <c r="Q1274" s="7">
        <f>Q1275</f>
        <v>0</v>
      </c>
      <c r="R1274" s="35">
        <f t="shared" si="278"/>
        <v>0</v>
      </c>
      <c r="S1274" s="7">
        <f>S1275</f>
        <v>0</v>
      </c>
      <c r="T1274" s="35">
        <f t="shared" si="275"/>
        <v>0</v>
      </c>
      <c r="U1274" s="20" t="s">
        <v>706</v>
      </c>
    </row>
    <row r="1275" spans="1:21" ht="33" hidden="1">
      <c r="A1275" s="61" t="str">
        <f t="shared" ca="1" si="286"/>
        <v>Иные закупки товаров, работ и услуг для обеспечения муниципальных нужд</v>
      </c>
      <c r="B1275" s="45" t="s">
        <v>82</v>
      </c>
      <c r="C1275" s="8" t="s">
        <v>193</v>
      </c>
      <c r="D1275" s="1" t="s">
        <v>217</v>
      </c>
      <c r="E1275" s="89">
        <v>240</v>
      </c>
      <c r="F1275" s="7">
        <f>F1276</f>
        <v>0</v>
      </c>
      <c r="G1275" s="7">
        <f>G1276</f>
        <v>0</v>
      </c>
      <c r="H1275" s="35">
        <f t="shared" si="280"/>
        <v>0</v>
      </c>
      <c r="I1275" s="7">
        <f>I1276</f>
        <v>0</v>
      </c>
      <c r="J1275" s="35">
        <f t="shared" si="277"/>
        <v>0</v>
      </c>
      <c r="K1275" s="7">
        <f>K1276</f>
        <v>0</v>
      </c>
      <c r="L1275" s="35">
        <f t="shared" si="271"/>
        <v>0</v>
      </c>
      <c r="M1275" s="7">
        <f>M1276</f>
        <v>0</v>
      </c>
      <c r="N1275" s="35">
        <f t="shared" si="272"/>
        <v>0</v>
      </c>
      <c r="O1275" s="7">
        <f>O1276</f>
        <v>0</v>
      </c>
      <c r="P1275" s="35">
        <f t="shared" si="281"/>
        <v>0</v>
      </c>
      <c r="Q1275" s="7">
        <f>Q1276</f>
        <v>0</v>
      </c>
      <c r="R1275" s="35">
        <f t="shared" si="278"/>
        <v>0</v>
      </c>
      <c r="S1275" s="7">
        <f>S1276</f>
        <v>0</v>
      </c>
      <c r="T1275" s="35">
        <f t="shared" si="275"/>
        <v>0</v>
      </c>
      <c r="U1275" s="20" t="s">
        <v>706</v>
      </c>
    </row>
    <row r="1276" spans="1:21" ht="33" hidden="1">
      <c r="A1276" s="61" t="str">
        <f t="shared" ca="1" si="286"/>
        <v xml:space="preserve">Прочая закупка товаров, работ и услуг для обеспечения муниципальных нужд         </v>
      </c>
      <c r="B1276" s="45" t="s">
        <v>82</v>
      </c>
      <c r="C1276" s="8" t="s">
        <v>193</v>
      </c>
      <c r="D1276" s="1" t="s">
        <v>217</v>
      </c>
      <c r="E1276" s="89">
        <v>244</v>
      </c>
      <c r="F1276" s="7">
        <f>прил.6!G791</f>
        <v>0</v>
      </c>
      <c r="G1276" s="7">
        <f>прил.6!H791</f>
        <v>0</v>
      </c>
      <c r="H1276" s="35">
        <f t="shared" si="280"/>
        <v>0</v>
      </c>
      <c r="I1276" s="7">
        <f>прил.6!J791</f>
        <v>0</v>
      </c>
      <c r="J1276" s="35">
        <f t="shared" si="277"/>
        <v>0</v>
      </c>
      <c r="K1276" s="7">
        <f>прил.6!L791</f>
        <v>0</v>
      </c>
      <c r="L1276" s="35">
        <f t="shared" si="271"/>
        <v>0</v>
      </c>
      <c r="M1276" s="7">
        <f>прил.6!N791</f>
        <v>0</v>
      </c>
      <c r="N1276" s="35">
        <f t="shared" si="272"/>
        <v>0</v>
      </c>
      <c r="O1276" s="7">
        <f>прил.6!P791</f>
        <v>0</v>
      </c>
      <c r="P1276" s="35">
        <f t="shared" si="281"/>
        <v>0</v>
      </c>
      <c r="Q1276" s="7">
        <f>прил.6!R791</f>
        <v>0</v>
      </c>
      <c r="R1276" s="35">
        <f t="shared" si="278"/>
        <v>0</v>
      </c>
      <c r="S1276" s="7">
        <f>прил.6!T791</f>
        <v>0</v>
      </c>
      <c r="T1276" s="35">
        <f t="shared" si="275"/>
        <v>0</v>
      </c>
      <c r="U1276" s="20" t="s">
        <v>706</v>
      </c>
    </row>
    <row r="1277" spans="1:21" ht="34.700000000000003" customHeight="1">
      <c r="A1277" s="61" t="str">
        <f t="shared" ca="1" si="286"/>
        <v>Предоставление субсидий бюджетным, автономным учреждениям и иным некоммерческим организациям</v>
      </c>
      <c r="B1277" s="45" t="s">
        <v>82</v>
      </c>
      <c r="C1277" s="8" t="s">
        <v>193</v>
      </c>
      <c r="D1277" s="1" t="s">
        <v>217</v>
      </c>
      <c r="E1277" s="113">
        <v>600</v>
      </c>
      <c r="F1277" s="7">
        <f>F1278+F1280</f>
        <v>849</v>
      </c>
      <c r="G1277" s="7">
        <f>G1278+G1280</f>
        <v>0</v>
      </c>
      <c r="H1277" s="35">
        <f t="shared" si="280"/>
        <v>849</v>
      </c>
      <c r="I1277" s="7">
        <f>I1278+I1280</f>
        <v>0</v>
      </c>
      <c r="J1277" s="35">
        <f t="shared" si="277"/>
        <v>849</v>
      </c>
      <c r="K1277" s="7">
        <f>K1278+K1280</f>
        <v>0</v>
      </c>
      <c r="L1277" s="35">
        <f t="shared" si="271"/>
        <v>849</v>
      </c>
      <c r="M1277" s="7">
        <f>M1278+M1280</f>
        <v>0</v>
      </c>
      <c r="N1277" s="35">
        <f t="shared" si="272"/>
        <v>849</v>
      </c>
      <c r="O1277" s="7">
        <f>O1278+O1280</f>
        <v>0</v>
      </c>
      <c r="P1277" s="35">
        <f t="shared" si="281"/>
        <v>849</v>
      </c>
      <c r="Q1277" s="7">
        <f>Q1278+Q1280</f>
        <v>0</v>
      </c>
      <c r="R1277" s="35">
        <f t="shared" si="278"/>
        <v>849</v>
      </c>
      <c r="S1277" s="7">
        <f>S1278+S1280</f>
        <v>50</v>
      </c>
      <c r="T1277" s="35">
        <f t="shared" si="275"/>
        <v>899</v>
      </c>
    </row>
    <row r="1278" spans="1:21">
      <c r="A1278" s="61" t="str">
        <f t="shared" ca="1" si="286"/>
        <v>Субсидии бюджетным учреждениям</v>
      </c>
      <c r="B1278" s="45" t="s">
        <v>82</v>
      </c>
      <c r="C1278" s="8" t="s">
        <v>193</v>
      </c>
      <c r="D1278" s="1" t="s">
        <v>217</v>
      </c>
      <c r="E1278" s="113">
        <v>610</v>
      </c>
      <c r="F1278" s="7">
        <f>F1279</f>
        <v>849</v>
      </c>
      <c r="G1278" s="7">
        <f>G1279</f>
        <v>0</v>
      </c>
      <c r="H1278" s="35">
        <f t="shared" si="280"/>
        <v>849</v>
      </c>
      <c r="I1278" s="7">
        <f>I1279</f>
        <v>0</v>
      </c>
      <c r="J1278" s="35">
        <f t="shared" si="277"/>
        <v>849</v>
      </c>
      <c r="K1278" s="7">
        <f>K1279</f>
        <v>0</v>
      </c>
      <c r="L1278" s="35">
        <f t="shared" si="271"/>
        <v>849</v>
      </c>
      <c r="M1278" s="7">
        <f>M1279</f>
        <v>0</v>
      </c>
      <c r="N1278" s="35">
        <f t="shared" si="272"/>
        <v>849</v>
      </c>
      <c r="O1278" s="7">
        <f>O1279</f>
        <v>0</v>
      </c>
      <c r="P1278" s="35">
        <f t="shared" si="281"/>
        <v>849</v>
      </c>
      <c r="Q1278" s="7">
        <f>Q1279</f>
        <v>0</v>
      </c>
      <c r="R1278" s="35">
        <f t="shared" si="278"/>
        <v>849</v>
      </c>
      <c r="S1278" s="7">
        <f>S1279</f>
        <v>50</v>
      </c>
      <c r="T1278" s="35">
        <f t="shared" si="275"/>
        <v>899</v>
      </c>
    </row>
    <row r="1279" spans="1:21">
      <c r="A1279" s="61" t="str">
        <f t="shared" ca="1" si="286"/>
        <v>Субсидии бюджетным учреждениям на иные цели</v>
      </c>
      <c r="B1279" s="45" t="s">
        <v>82</v>
      </c>
      <c r="C1279" s="8" t="s">
        <v>193</v>
      </c>
      <c r="D1279" s="1" t="s">
        <v>217</v>
      </c>
      <c r="E1279" s="113">
        <v>612</v>
      </c>
      <c r="F1279" s="7">
        <f>прил.6!G794+прил.6!G967+прил.6!G1229</f>
        <v>849</v>
      </c>
      <c r="G1279" s="7">
        <f>прил.6!H794+прил.6!H967+прил.6!H1229</f>
        <v>0</v>
      </c>
      <c r="H1279" s="35">
        <f t="shared" si="280"/>
        <v>849</v>
      </c>
      <c r="I1279" s="7">
        <f>прил.6!J794+прил.6!J967+прил.6!J1229</f>
        <v>0</v>
      </c>
      <c r="J1279" s="35">
        <f t="shared" si="277"/>
        <v>849</v>
      </c>
      <c r="K1279" s="7">
        <f>прил.6!L794+прил.6!L967+прил.6!L1229</f>
        <v>0</v>
      </c>
      <c r="L1279" s="35">
        <f t="shared" si="271"/>
        <v>849</v>
      </c>
      <c r="M1279" s="7">
        <f>прил.6!N794+прил.6!N967+прил.6!N1229</f>
        <v>0</v>
      </c>
      <c r="N1279" s="35">
        <f t="shared" si="272"/>
        <v>849</v>
      </c>
      <c r="O1279" s="7">
        <f>прил.6!P794+прил.6!P967+прил.6!P1229</f>
        <v>0</v>
      </c>
      <c r="P1279" s="35">
        <f t="shared" si="281"/>
        <v>849</v>
      </c>
      <c r="Q1279" s="7">
        <f>прил.6!R794+прил.6!R967+прил.6!R1229</f>
        <v>0</v>
      </c>
      <c r="R1279" s="35">
        <f t="shared" si="278"/>
        <v>849</v>
      </c>
      <c r="S1279" s="7">
        <f>прил.6!T794+прил.6!T967+прил.6!T1229</f>
        <v>50</v>
      </c>
      <c r="T1279" s="35">
        <f t="shared" si="275"/>
        <v>899</v>
      </c>
    </row>
    <row r="1280" spans="1:21" hidden="1">
      <c r="A1280" s="61" t="str">
        <f t="shared" ca="1" si="286"/>
        <v>Субсидии автономным учреждениям</v>
      </c>
      <c r="B1280" s="45" t="s">
        <v>82</v>
      </c>
      <c r="C1280" s="8" t="s">
        <v>193</v>
      </c>
      <c r="D1280" s="1" t="s">
        <v>217</v>
      </c>
      <c r="E1280" s="89">
        <v>620</v>
      </c>
      <c r="F1280" s="7">
        <f>F1281</f>
        <v>0</v>
      </c>
      <c r="G1280" s="7">
        <f>G1281</f>
        <v>0</v>
      </c>
      <c r="H1280" s="35">
        <f t="shared" si="280"/>
        <v>0</v>
      </c>
      <c r="I1280" s="7">
        <f>I1281</f>
        <v>0</v>
      </c>
      <c r="J1280" s="35">
        <f t="shared" si="277"/>
        <v>0</v>
      </c>
      <c r="K1280" s="7">
        <f>K1281</f>
        <v>0</v>
      </c>
      <c r="L1280" s="35">
        <f t="shared" si="271"/>
        <v>0</v>
      </c>
      <c r="M1280" s="7">
        <f>M1281</f>
        <v>0</v>
      </c>
      <c r="N1280" s="35">
        <f t="shared" si="272"/>
        <v>0</v>
      </c>
      <c r="O1280" s="7">
        <f>O1281</f>
        <v>0</v>
      </c>
      <c r="P1280" s="35">
        <f t="shared" si="281"/>
        <v>0</v>
      </c>
      <c r="Q1280" s="7">
        <f>Q1281</f>
        <v>0</v>
      </c>
      <c r="R1280" s="35">
        <f t="shared" si="278"/>
        <v>0</v>
      </c>
      <c r="S1280" s="7">
        <f>S1281</f>
        <v>0</v>
      </c>
      <c r="T1280" s="35">
        <f t="shared" si="275"/>
        <v>0</v>
      </c>
      <c r="U1280" s="20" t="s">
        <v>706</v>
      </c>
    </row>
    <row r="1281" spans="1:21" hidden="1">
      <c r="A1281" s="61" t="str">
        <f t="shared" ca="1" si="286"/>
        <v>Субсидии автономным учреждениям на иные цели</v>
      </c>
      <c r="B1281" s="45" t="s">
        <v>82</v>
      </c>
      <c r="C1281" s="8" t="s">
        <v>193</v>
      </c>
      <c r="D1281" s="1" t="s">
        <v>217</v>
      </c>
      <c r="E1281" s="89">
        <v>622</v>
      </c>
      <c r="F1281" s="7">
        <f>прил.6!G1231</f>
        <v>0</v>
      </c>
      <c r="G1281" s="7">
        <f>прил.6!H1231</f>
        <v>0</v>
      </c>
      <c r="H1281" s="35">
        <f t="shared" si="280"/>
        <v>0</v>
      </c>
      <c r="I1281" s="7">
        <f>прил.6!J1231</f>
        <v>0</v>
      </c>
      <c r="J1281" s="35">
        <f t="shared" si="277"/>
        <v>0</v>
      </c>
      <c r="K1281" s="7">
        <f>прил.6!L1231</f>
        <v>0</v>
      </c>
      <c r="L1281" s="35">
        <f t="shared" si="271"/>
        <v>0</v>
      </c>
      <c r="M1281" s="7">
        <f>прил.6!N1231</f>
        <v>0</v>
      </c>
      <c r="N1281" s="35">
        <f t="shared" si="272"/>
        <v>0</v>
      </c>
      <c r="O1281" s="7">
        <f>прил.6!P1231</f>
        <v>0</v>
      </c>
      <c r="P1281" s="35">
        <f t="shared" si="281"/>
        <v>0</v>
      </c>
      <c r="Q1281" s="7">
        <f>прил.6!R1231</f>
        <v>0</v>
      </c>
      <c r="R1281" s="35">
        <f t="shared" si="278"/>
        <v>0</v>
      </c>
      <c r="S1281" s="7">
        <f>прил.6!T1231</f>
        <v>0</v>
      </c>
      <c r="T1281" s="35">
        <f t="shared" si="275"/>
        <v>0</v>
      </c>
      <c r="U1281" s="20" t="s">
        <v>706</v>
      </c>
    </row>
    <row r="1282" spans="1:21">
      <c r="A1282" s="61" t="str">
        <f ca="1">IF(ISERROR(MATCH(C1282,Код_Раздел,0)),"",INDIRECT(ADDRESS(MATCH(C1282,Код_Раздел,0)+1,2,,,"Раздел")))</f>
        <v>Культура, кинематография</v>
      </c>
      <c r="B1282" s="45" t="s">
        <v>82</v>
      </c>
      <c r="C1282" s="8" t="s">
        <v>220</v>
      </c>
      <c r="D1282" s="1"/>
      <c r="E1282" s="113"/>
      <c r="F1282" s="7">
        <f t="shared" ref="F1282:S1285" si="287">F1283</f>
        <v>591</v>
      </c>
      <c r="G1282" s="7">
        <f t="shared" si="287"/>
        <v>0</v>
      </c>
      <c r="H1282" s="35">
        <f t="shared" si="280"/>
        <v>591</v>
      </c>
      <c r="I1282" s="7">
        <f t="shared" si="287"/>
        <v>0</v>
      </c>
      <c r="J1282" s="35">
        <f t="shared" si="277"/>
        <v>591</v>
      </c>
      <c r="K1282" s="7">
        <f t="shared" si="287"/>
        <v>0</v>
      </c>
      <c r="L1282" s="35">
        <f t="shared" si="271"/>
        <v>591</v>
      </c>
      <c r="M1282" s="7">
        <f t="shared" si="287"/>
        <v>0</v>
      </c>
      <c r="N1282" s="35">
        <f t="shared" si="272"/>
        <v>591</v>
      </c>
      <c r="O1282" s="7">
        <f t="shared" si="287"/>
        <v>0</v>
      </c>
      <c r="P1282" s="35">
        <f t="shared" si="281"/>
        <v>591</v>
      </c>
      <c r="Q1282" s="7">
        <f t="shared" si="287"/>
        <v>0</v>
      </c>
      <c r="R1282" s="35">
        <f t="shared" si="278"/>
        <v>591</v>
      </c>
      <c r="S1282" s="7">
        <f t="shared" si="287"/>
        <v>-145.80000000000001</v>
      </c>
      <c r="T1282" s="35">
        <f t="shared" si="275"/>
        <v>445.2</v>
      </c>
    </row>
    <row r="1283" spans="1:21">
      <c r="A1283" s="12" t="s">
        <v>161</v>
      </c>
      <c r="B1283" s="45" t="s">
        <v>82</v>
      </c>
      <c r="C1283" s="8" t="s">
        <v>220</v>
      </c>
      <c r="D1283" s="1" t="s">
        <v>214</v>
      </c>
      <c r="E1283" s="113"/>
      <c r="F1283" s="7">
        <f t="shared" si="287"/>
        <v>591</v>
      </c>
      <c r="G1283" s="7">
        <f t="shared" si="287"/>
        <v>0</v>
      </c>
      <c r="H1283" s="35">
        <f t="shared" si="280"/>
        <v>591</v>
      </c>
      <c r="I1283" s="7">
        <f t="shared" si="287"/>
        <v>0</v>
      </c>
      <c r="J1283" s="35">
        <f t="shared" si="277"/>
        <v>591</v>
      </c>
      <c r="K1283" s="7">
        <f t="shared" si="287"/>
        <v>0</v>
      </c>
      <c r="L1283" s="35">
        <f t="shared" si="271"/>
        <v>591</v>
      </c>
      <c r="M1283" s="7">
        <f t="shared" si="287"/>
        <v>0</v>
      </c>
      <c r="N1283" s="35">
        <f t="shared" si="272"/>
        <v>591</v>
      </c>
      <c r="O1283" s="7">
        <f t="shared" si="287"/>
        <v>0</v>
      </c>
      <c r="P1283" s="35">
        <f t="shared" si="281"/>
        <v>591</v>
      </c>
      <c r="Q1283" s="7">
        <f t="shared" si="287"/>
        <v>0</v>
      </c>
      <c r="R1283" s="35">
        <f t="shared" si="278"/>
        <v>591</v>
      </c>
      <c r="S1283" s="7">
        <f t="shared" si="287"/>
        <v>-145.80000000000001</v>
      </c>
      <c r="T1283" s="35">
        <f t="shared" si="275"/>
        <v>445.2</v>
      </c>
    </row>
    <row r="1284" spans="1:21" ht="33">
      <c r="A1284" s="61" t="str">
        <f ca="1">IF(ISERROR(MATCH(E1284,Код_КВР,0)),"",INDIRECT(ADDRESS(MATCH(E1284,Код_КВР,0)+1,2,,,"КВР")))</f>
        <v>Предоставление субсидий бюджетным, автономным учреждениям и иным некоммерческим организациям</v>
      </c>
      <c r="B1284" s="45" t="s">
        <v>82</v>
      </c>
      <c r="C1284" s="8" t="s">
        <v>220</v>
      </c>
      <c r="D1284" s="1" t="s">
        <v>214</v>
      </c>
      <c r="E1284" s="113">
        <v>600</v>
      </c>
      <c r="F1284" s="7">
        <f t="shared" si="287"/>
        <v>591</v>
      </c>
      <c r="G1284" s="7">
        <f t="shared" si="287"/>
        <v>0</v>
      </c>
      <c r="H1284" s="35">
        <f t="shared" si="280"/>
        <v>591</v>
      </c>
      <c r="I1284" s="7">
        <f t="shared" si="287"/>
        <v>0</v>
      </c>
      <c r="J1284" s="35">
        <f t="shared" si="277"/>
        <v>591</v>
      </c>
      <c r="K1284" s="7">
        <f t="shared" si="287"/>
        <v>0</v>
      </c>
      <c r="L1284" s="35">
        <f t="shared" si="271"/>
        <v>591</v>
      </c>
      <c r="M1284" s="7">
        <f t="shared" si="287"/>
        <v>0</v>
      </c>
      <c r="N1284" s="35">
        <f t="shared" si="272"/>
        <v>591</v>
      </c>
      <c r="O1284" s="7">
        <f t="shared" si="287"/>
        <v>0</v>
      </c>
      <c r="P1284" s="35">
        <f t="shared" si="281"/>
        <v>591</v>
      </c>
      <c r="Q1284" s="7">
        <f t="shared" si="287"/>
        <v>0</v>
      </c>
      <c r="R1284" s="35">
        <f t="shared" si="278"/>
        <v>591</v>
      </c>
      <c r="S1284" s="7">
        <f t="shared" si="287"/>
        <v>-145.80000000000001</v>
      </c>
      <c r="T1284" s="35">
        <f t="shared" si="275"/>
        <v>445.2</v>
      </c>
    </row>
    <row r="1285" spans="1:21">
      <c r="A1285" s="61" t="str">
        <f ca="1">IF(ISERROR(MATCH(E1285,Код_КВР,0)),"",INDIRECT(ADDRESS(MATCH(E1285,Код_КВР,0)+1,2,,,"КВР")))</f>
        <v>Субсидии бюджетным учреждениям</v>
      </c>
      <c r="B1285" s="45" t="s">
        <v>82</v>
      </c>
      <c r="C1285" s="8" t="s">
        <v>220</v>
      </c>
      <c r="D1285" s="1" t="s">
        <v>214</v>
      </c>
      <c r="E1285" s="113">
        <v>610</v>
      </c>
      <c r="F1285" s="7">
        <f t="shared" si="287"/>
        <v>591</v>
      </c>
      <c r="G1285" s="7">
        <f t="shared" si="287"/>
        <v>0</v>
      </c>
      <c r="H1285" s="35">
        <f t="shared" si="280"/>
        <v>591</v>
      </c>
      <c r="I1285" s="7">
        <f t="shared" si="287"/>
        <v>0</v>
      </c>
      <c r="J1285" s="35">
        <f t="shared" si="277"/>
        <v>591</v>
      </c>
      <c r="K1285" s="7">
        <f t="shared" si="287"/>
        <v>0</v>
      </c>
      <c r="L1285" s="35">
        <f t="shared" si="271"/>
        <v>591</v>
      </c>
      <c r="M1285" s="7">
        <f t="shared" si="287"/>
        <v>0</v>
      </c>
      <c r="N1285" s="35">
        <f t="shared" si="272"/>
        <v>591</v>
      </c>
      <c r="O1285" s="7">
        <f t="shared" si="287"/>
        <v>0</v>
      </c>
      <c r="P1285" s="35">
        <f t="shared" si="281"/>
        <v>591</v>
      </c>
      <c r="Q1285" s="7">
        <f t="shared" si="287"/>
        <v>0</v>
      </c>
      <c r="R1285" s="35">
        <f t="shared" si="278"/>
        <v>591</v>
      </c>
      <c r="S1285" s="7">
        <f t="shared" si="287"/>
        <v>-145.80000000000001</v>
      </c>
      <c r="T1285" s="35">
        <f t="shared" si="275"/>
        <v>445.2</v>
      </c>
    </row>
    <row r="1286" spans="1:21">
      <c r="A1286" s="61" t="str">
        <f ca="1">IF(ISERROR(MATCH(E1286,Код_КВР,0)),"",INDIRECT(ADDRESS(MATCH(E1286,Код_КВР,0)+1,2,,,"КВР")))</f>
        <v>Субсидии бюджетным учреждениям на иные цели</v>
      </c>
      <c r="B1286" s="45" t="s">
        <v>82</v>
      </c>
      <c r="C1286" s="8" t="s">
        <v>220</v>
      </c>
      <c r="D1286" s="1" t="s">
        <v>214</v>
      </c>
      <c r="E1286" s="113">
        <v>612</v>
      </c>
      <c r="F1286" s="7">
        <f>прил.6!G1154</f>
        <v>591</v>
      </c>
      <c r="G1286" s="7">
        <f>прил.6!H1154</f>
        <v>0</v>
      </c>
      <c r="H1286" s="35">
        <f t="shared" si="280"/>
        <v>591</v>
      </c>
      <c r="I1286" s="7">
        <f>прил.6!J1154</f>
        <v>0</v>
      </c>
      <c r="J1286" s="35">
        <f t="shared" si="277"/>
        <v>591</v>
      </c>
      <c r="K1286" s="7">
        <f>прил.6!L1154</f>
        <v>0</v>
      </c>
      <c r="L1286" s="35">
        <f t="shared" si="271"/>
        <v>591</v>
      </c>
      <c r="M1286" s="7">
        <f>прил.6!N1154</f>
        <v>0</v>
      </c>
      <c r="N1286" s="35">
        <f t="shared" si="272"/>
        <v>591</v>
      </c>
      <c r="O1286" s="7">
        <f>прил.6!P1154</f>
        <v>0</v>
      </c>
      <c r="P1286" s="35">
        <f t="shared" si="281"/>
        <v>591</v>
      </c>
      <c r="Q1286" s="7">
        <f>прил.6!R1154</f>
        <v>0</v>
      </c>
      <c r="R1286" s="35">
        <f t="shared" si="278"/>
        <v>591</v>
      </c>
      <c r="S1286" s="7">
        <f>прил.6!T1154</f>
        <v>-145.80000000000001</v>
      </c>
      <c r="T1286" s="35">
        <f t="shared" si="275"/>
        <v>445.2</v>
      </c>
    </row>
    <row r="1287" spans="1:21">
      <c r="A1287" s="61" t="str">
        <f ca="1">IF(ISERROR(MATCH(C1287,Код_Раздел,0)),"",INDIRECT(ADDRESS(MATCH(C1287,Код_Раздел,0)+1,2,,,"Раздел")))</f>
        <v>Средства массовой информации</v>
      </c>
      <c r="B1287" s="45" t="s">
        <v>82</v>
      </c>
      <c r="C1287" s="8" t="s">
        <v>194</v>
      </c>
      <c r="D1287" s="1"/>
      <c r="E1287" s="113"/>
      <c r="F1287" s="7"/>
      <c r="G1287" s="7"/>
      <c r="H1287" s="35"/>
      <c r="I1287" s="7">
        <f>I1288</f>
        <v>7.5</v>
      </c>
      <c r="J1287" s="35">
        <f t="shared" si="277"/>
        <v>7.5</v>
      </c>
      <c r="K1287" s="7">
        <f>K1288</f>
        <v>0</v>
      </c>
      <c r="L1287" s="35">
        <f t="shared" si="271"/>
        <v>7.5</v>
      </c>
      <c r="M1287" s="7">
        <f>M1288</f>
        <v>0</v>
      </c>
      <c r="N1287" s="35">
        <f t="shared" si="272"/>
        <v>7.5</v>
      </c>
      <c r="O1287" s="7">
        <f>O1288</f>
        <v>0</v>
      </c>
      <c r="P1287" s="35">
        <f t="shared" si="281"/>
        <v>7.5</v>
      </c>
      <c r="Q1287" s="7">
        <f>Q1288</f>
        <v>0</v>
      </c>
      <c r="R1287" s="35">
        <f t="shared" si="278"/>
        <v>7.5</v>
      </c>
      <c r="S1287" s="7">
        <f>S1288</f>
        <v>0</v>
      </c>
      <c r="T1287" s="35">
        <f t="shared" si="275"/>
        <v>7.5</v>
      </c>
    </row>
    <row r="1288" spans="1:21">
      <c r="A1288" s="12" t="s">
        <v>196</v>
      </c>
      <c r="B1288" s="45" t="s">
        <v>82</v>
      </c>
      <c r="C1288" s="8" t="s">
        <v>194</v>
      </c>
      <c r="D1288" s="1" t="s">
        <v>212</v>
      </c>
      <c r="E1288" s="113"/>
      <c r="F1288" s="7"/>
      <c r="G1288" s="7"/>
      <c r="H1288" s="35"/>
      <c r="I1288" s="7">
        <f>I1289</f>
        <v>7.5</v>
      </c>
      <c r="J1288" s="35">
        <f t="shared" si="277"/>
        <v>7.5</v>
      </c>
      <c r="K1288" s="7">
        <f>K1289</f>
        <v>0</v>
      </c>
      <c r="L1288" s="35">
        <f t="shared" si="271"/>
        <v>7.5</v>
      </c>
      <c r="M1288" s="7">
        <f>M1289</f>
        <v>0</v>
      </c>
      <c r="N1288" s="35">
        <f t="shared" si="272"/>
        <v>7.5</v>
      </c>
      <c r="O1288" s="7">
        <f>O1289</f>
        <v>0</v>
      </c>
      <c r="P1288" s="35">
        <f t="shared" si="281"/>
        <v>7.5</v>
      </c>
      <c r="Q1288" s="7">
        <f>Q1289</f>
        <v>0</v>
      </c>
      <c r="R1288" s="35">
        <f t="shared" si="278"/>
        <v>7.5</v>
      </c>
      <c r="S1288" s="7">
        <f>S1289</f>
        <v>0</v>
      </c>
      <c r="T1288" s="35">
        <f t="shared" si="275"/>
        <v>7.5</v>
      </c>
    </row>
    <row r="1289" spans="1:21" ht="19.5" customHeight="1">
      <c r="A1289" s="61" t="str">
        <f ca="1">IF(ISERROR(MATCH(E1289,Код_КВР,0)),"",INDIRECT(ADDRESS(MATCH(E1289,Код_КВР,0)+1,2,,,"КВР")))</f>
        <v>Закупка товаров, работ и услуг для муниципальных нужд</v>
      </c>
      <c r="B1289" s="45" t="s">
        <v>82</v>
      </c>
      <c r="C1289" s="8" t="s">
        <v>194</v>
      </c>
      <c r="D1289" s="1" t="s">
        <v>212</v>
      </c>
      <c r="E1289" s="113">
        <v>200</v>
      </c>
      <c r="F1289" s="7"/>
      <c r="G1289" s="7"/>
      <c r="H1289" s="35"/>
      <c r="I1289" s="7">
        <f>I1290</f>
        <v>7.5</v>
      </c>
      <c r="J1289" s="35">
        <f t="shared" si="277"/>
        <v>7.5</v>
      </c>
      <c r="K1289" s="7">
        <f>K1290</f>
        <v>0</v>
      </c>
      <c r="L1289" s="35">
        <f t="shared" si="271"/>
        <v>7.5</v>
      </c>
      <c r="M1289" s="7">
        <f>M1290</f>
        <v>0</v>
      </c>
      <c r="N1289" s="35">
        <f t="shared" si="272"/>
        <v>7.5</v>
      </c>
      <c r="O1289" s="7">
        <f>O1290</f>
        <v>0</v>
      </c>
      <c r="P1289" s="35">
        <f t="shared" si="281"/>
        <v>7.5</v>
      </c>
      <c r="Q1289" s="7">
        <f>Q1290</f>
        <v>0</v>
      </c>
      <c r="R1289" s="35">
        <f t="shared" si="278"/>
        <v>7.5</v>
      </c>
      <c r="S1289" s="7">
        <f>S1290</f>
        <v>0</v>
      </c>
      <c r="T1289" s="35">
        <f t="shared" si="275"/>
        <v>7.5</v>
      </c>
    </row>
    <row r="1290" spans="1:21" ht="33">
      <c r="A1290" s="61" t="str">
        <f ca="1">IF(ISERROR(MATCH(E1290,Код_КВР,0)),"",INDIRECT(ADDRESS(MATCH(E1290,Код_КВР,0)+1,2,,,"КВР")))</f>
        <v>Иные закупки товаров, работ и услуг для обеспечения муниципальных нужд</v>
      </c>
      <c r="B1290" s="45" t="s">
        <v>82</v>
      </c>
      <c r="C1290" s="8" t="s">
        <v>194</v>
      </c>
      <c r="D1290" s="1" t="s">
        <v>212</v>
      </c>
      <c r="E1290" s="113">
        <v>240</v>
      </c>
      <c r="F1290" s="7"/>
      <c r="G1290" s="7"/>
      <c r="H1290" s="35"/>
      <c r="I1290" s="7">
        <f>I1291</f>
        <v>7.5</v>
      </c>
      <c r="J1290" s="35">
        <f t="shared" si="277"/>
        <v>7.5</v>
      </c>
      <c r="K1290" s="7">
        <f>K1291</f>
        <v>0</v>
      </c>
      <c r="L1290" s="35">
        <f t="shared" si="271"/>
        <v>7.5</v>
      </c>
      <c r="M1290" s="7">
        <f>M1291</f>
        <v>0</v>
      </c>
      <c r="N1290" s="35">
        <f t="shared" si="272"/>
        <v>7.5</v>
      </c>
      <c r="O1290" s="7">
        <f>O1291</f>
        <v>0</v>
      </c>
      <c r="P1290" s="35">
        <f t="shared" si="281"/>
        <v>7.5</v>
      </c>
      <c r="Q1290" s="7">
        <f>Q1291</f>
        <v>0</v>
      </c>
      <c r="R1290" s="35">
        <f t="shared" si="278"/>
        <v>7.5</v>
      </c>
      <c r="S1290" s="7">
        <f>S1291</f>
        <v>0</v>
      </c>
      <c r="T1290" s="35">
        <f t="shared" si="275"/>
        <v>7.5</v>
      </c>
    </row>
    <row r="1291" spans="1:21" ht="33">
      <c r="A1291" s="61" t="str">
        <f ca="1">IF(ISERROR(MATCH(E1291,Код_КВР,0)),"",INDIRECT(ADDRESS(MATCH(E1291,Код_КВР,0)+1,2,,,"КВР")))</f>
        <v xml:space="preserve">Прочая закупка товаров, работ и услуг для обеспечения муниципальных нужд         </v>
      </c>
      <c r="B1291" s="45" t="s">
        <v>82</v>
      </c>
      <c r="C1291" s="8" t="s">
        <v>194</v>
      </c>
      <c r="D1291" s="1" t="s">
        <v>212</v>
      </c>
      <c r="E1291" s="113">
        <v>244</v>
      </c>
      <c r="F1291" s="7"/>
      <c r="G1291" s="7"/>
      <c r="H1291" s="35"/>
      <c r="I1291" s="7">
        <f>прил.6!J378</f>
        <v>7.5</v>
      </c>
      <c r="J1291" s="35">
        <f t="shared" si="277"/>
        <v>7.5</v>
      </c>
      <c r="K1291" s="7">
        <f>прил.6!L378</f>
        <v>0</v>
      </c>
      <c r="L1291" s="35">
        <f t="shared" si="271"/>
        <v>7.5</v>
      </c>
      <c r="M1291" s="7">
        <f>прил.6!N378</f>
        <v>0</v>
      </c>
      <c r="N1291" s="35">
        <f t="shared" si="272"/>
        <v>7.5</v>
      </c>
      <c r="O1291" s="7">
        <f>прил.6!P378</f>
        <v>0</v>
      </c>
      <c r="P1291" s="35">
        <f t="shared" si="281"/>
        <v>7.5</v>
      </c>
      <c r="Q1291" s="7">
        <f>прил.6!R378</f>
        <v>0</v>
      </c>
      <c r="R1291" s="35">
        <f t="shared" si="278"/>
        <v>7.5</v>
      </c>
      <c r="S1291" s="7">
        <f>прил.6!T378</f>
        <v>0</v>
      </c>
      <c r="T1291" s="35">
        <f t="shared" si="275"/>
        <v>7.5</v>
      </c>
    </row>
    <row r="1292" spans="1:21">
      <c r="A1292" s="61" t="str">
        <f ca="1">IF(ISERROR(MATCH(B1292,Код_КЦСР,0)),"",INDIRECT(ADDRESS(MATCH(B1292,Код_КЦСР,0)+1,2,,,"КЦСР")))</f>
        <v>Ремонт и оборудование эвакуационных путей  зданий</v>
      </c>
      <c r="B1292" s="45" t="s">
        <v>86</v>
      </c>
      <c r="C1292" s="8"/>
      <c r="D1292" s="1"/>
      <c r="E1292" s="113"/>
      <c r="F1292" s="7">
        <f>F1293+F1300</f>
        <v>3239.6</v>
      </c>
      <c r="G1292" s="7">
        <f>G1293+G1300</f>
        <v>0</v>
      </c>
      <c r="H1292" s="35">
        <f t="shared" si="280"/>
        <v>3239.6</v>
      </c>
      <c r="I1292" s="7">
        <f>I1293+I1300</f>
        <v>0</v>
      </c>
      <c r="J1292" s="35">
        <f t="shared" si="277"/>
        <v>3239.6</v>
      </c>
      <c r="K1292" s="7">
        <f>K1293+K1300</f>
        <v>0</v>
      </c>
      <c r="L1292" s="35">
        <f t="shared" ref="L1292:L1373" si="288">J1292+K1292</f>
        <v>3239.6</v>
      </c>
      <c r="M1292" s="7">
        <f>M1293+M1300</f>
        <v>0</v>
      </c>
      <c r="N1292" s="35">
        <f t="shared" ref="N1292:N1373" si="289">L1292+M1292</f>
        <v>3239.6</v>
      </c>
      <c r="O1292" s="7">
        <f>O1293+O1300</f>
        <v>0</v>
      </c>
      <c r="P1292" s="35">
        <f t="shared" si="281"/>
        <v>3239.6</v>
      </c>
      <c r="Q1292" s="7">
        <f>Q1293+Q1300</f>
        <v>0</v>
      </c>
      <c r="R1292" s="35">
        <f t="shared" si="278"/>
        <v>3239.6</v>
      </c>
      <c r="S1292" s="7">
        <f>S1293+S1300</f>
        <v>0</v>
      </c>
      <c r="T1292" s="35">
        <f t="shared" si="275"/>
        <v>3239.6</v>
      </c>
    </row>
    <row r="1293" spans="1:21">
      <c r="A1293" s="61" t="str">
        <f ca="1">IF(ISERROR(MATCH(C1293,Код_Раздел,0)),"",INDIRECT(ADDRESS(MATCH(C1293,Код_Раздел,0)+1,2,,,"Раздел")))</f>
        <v>Образование</v>
      </c>
      <c r="B1293" s="45" t="s">
        <v>86</v>
      </c>
      <c r="C1293" s="8" t="s">
        <v>193</v>
      </c>
      <c r="D1293" s="1"/>
      <c r="E1293" s="113"/>
      <c r="F1293" s="7">
        <f>F1294</f>
        <v>3239.6</v>
      </c>
      <c r="G1293" s="7">
        <f>G1294</f>
        <v>0</v>
      </c>
      <c r="H1293" s="35">
        <f t="shared" si="280"/>
        <v>3239.6</v>
      </c>
      <c r="I1293" s="7">
        <f>I1294</f>
        <v>0</v>
      </c>
      <c r="J1293" s="35">
        <f t="shared" si="277"/>
        <v>3239.6</v>
      </c>
      <c r="K1293" s="7">
        <f>K1294</f>
        <v>0</v>
      </c>
      <c r="L1293" s="35">
        <f t="shared" si="288"/>
        <v>3239.6</v>
      </c>
      <c r="M1293" s="7">
        <f>M1294</f>
        <v>0</v>
      </c>
      <c r="N1293" s="35">
        <f t="shared" si="289"/>
        <v>3239.6</v>
      </c>
      <c r="O1293" s="7">
        <f>O1294</f>
        <v>0</v>
      </c>
      <c r="P1293" s="35">
        <f t="shared" si="281"/>
        <v>3239.6</v>
      </c>
      <c r="Q1293" s="7">
        <f>Q1294</f>
        <v>0</v>
      </c>
      <c r="R1293" s="35">
        <f t="shared" si="278"/>
        <v>3239.6</v>
      </c>
      <c r="S1293" s="7">
        <f>S1294</f>
        <v>0</v>
      </c>
      <c r="T1293" s="35">
        <f t="shared" si="275"/>
        <v>3239.6</v>
      </c>
    </row>
    <row r="1294" spans="1:21">
      <c r="A1294" s="12" t="s">
        <v>249</v>
      </c>
      <c r="B1294" s="45" t="s">
        <v>86</v>
      </c>
      <c r="C1294" s="8" t="s">
        <v>193</v>
      </c>
      <c r="D1294" s="1" t="s">
        <v>217</v>
      </c>
      <c r="E1294" s="113"/>
      <c r="F1294" s="7">
        <f>F1295</f>
        <v>3239.6</v>
      </c>
      <c r="G1294" s="7">
        <f>G1295</f>
        <v>0</v>
      </c>
      <c r="H1294" s="35">
        <f t="shared" si="280"/>
        <v>3239.6</v>
      </c>
      <c r="I1294" s="7">
        <f>I1295</f>
        <v>0</v>
      </c>
      <c r="J1294" s="35">
        <f t="shared" si="277"/>
        <v>3239.6</v>
      </c>
      <c r="K1294" s="7">
        <f>K1295</f>
        <v>0</v>
      </c>
      <c r="L1294" s="35">
        <f t="shared" si="288"/>
        <v>3239.6</v>
      </c>
      <c r="M1294" s="7">
        <f>M1295</f>
        <v>0</v>
      </c>
      <c r="N1294" s="35">
        <f t="shared" si="289"/>
        <v>3239.6</v>
      </c>
      <c r="O1294" s="7">
        <f>O1295</f>
        <v>0</v>
      </c>
      <c r="P1294" s="35">
        <f t="shared" si="281"/>
        <v>3239.6</v>
      </c>
      <c r="Q1294" s="7">
        <f>Q1295</f>
        <v>0</v>
      </c>
      <c r="R1294" s="35">
        <f t="shared" si="278"/>
        <v>3239.6</v>
      </c>
      <c r="S1294" s="7">
        <f>S1295</f>
        <v>0</v>
      </c>
      <c r="T1294" s="35">
        <f t="shared" si="275"/>
        <v>3239.6</v>
      </c>
    </row>
    <row r="1295" spans="1:21" ht="33">
      <c r="A1295" s="61" t="str">
        <f ca="1">IF(ISERROR(MATCH(E1295,Код_КВР,0)),"",INDIRECT(ADDRESS(MATCH(E1295,Код_КВР,0)+1,2,,,"КВР")))</f>
        <v>Предоставление субсидий бюджетным, автономным учреждениям и иным некоммерческим организациям</v>
      </c>
      <c r="B1295" s="45" t="s">
        <v>86</v>
      </c>
      <c r="C1295" s="8" t="s">
        <v>193</v>
      </c>
      <c r="D1295" s="1" t="s">
        <v>217</v>
      </c>
      <c r="E1295" s="113">
        <v>600</v>
      </c>
      <c r="F1295" s="7">
        <f>F1296+F1298</f>
        <v>3239.6</v>
      </c>
      <c r="G1295" s="7">
        <f>G1296+G1298</f>
        <v>0</v>
      </c>
      <c r="H1295" s="35">
        <f t="shared" si="280"/>
        <v>3239.6</v>
      </c>
      <c r="I1295" s="7">
        <f>I1296+I1298</f>
        <v>0</v>
      </c>
      <c r="J1295" s="35">
        <f t="shared" si="277"/>
        <v>3239.6</v>
      </c>
      <c r="K1295" s="7">
        <f>K1296+K1298</f>
        <v>0</v>
      </c>
      <c r="L1295" s="35">
        <f t="shared" si="288"/>
        <v>3239.6</v>
      </c>
      <c r="M1295" s="7">
        <f>M1296+M1298</f>
        <v>0</v>
      </c>
      <c r="N1295" s="35">
        <f t="shared" si="289"/>
        <v>3239.6</v>
      </c>
      <c r="O1295" s="7">
        <f>O1296+O1298</f>
        <v>0</v>
      </c>
      <c r="P1295" s="35">
        <f t="shared" si="281"/>
        <v>3239.6</v>
      </c>
      <c r="Q1295" s="7">
        <f>Q1296+Q1298</f>
        <v>0</v>
      </c>
      <c r="R1295" s="35">
        <f t="shared" si="278"/>
        <v>3239.6</v>
      </c>
      <c r="S1295" s="7">
        <f>S1296+S1298</f>
        <v>0</v>
      </c>
      <c r="T1295" s="35">
        <f t="shared" si="275"/>
        <v>3239.6</v>
      </c>
    </row>
    <row r="1296" spans="1:21">
      <c r="A1296" s="61" t="str">
        <f ca="1">IF(ISERROR(MATCH(E1296,Код_КВР,0)),"",INDIRECT(ADDRESS(MATCH(E1296,Код_КВР,0)+1,2,,,"КВР")))</f>
        <v>Субсидии бюджетным учреждениям</v>
      </c>
      <c r="B1296" s="45" t="s">
        <v>86</v>
      </c>
      <c r="C1296" s="8" t="s">
        <v>193</v>
      </c>
      <c r="D1296" s="1" t="s">
        <v>217</v>
      </c>
      <c r="E1296" s="113">
        <v>610</v>
      </c>
      <c r="F1296" s="7">
        <f>F1297</f>
        <v>3239.6</v>
      </c>
      <c r="G1296" s="7">
        <f>G1297</f>
        <v>0</v>
      </c>
      <c r="H1296" s="35">
        <f t="shared" si="280"/>
        <v>3239.6</v>
      </c>
      <c r="I1296" s="7">
        <f>I1297</f>
        <v>0</v>
      </c>
      <c r="J1296" s="35">
        <f t="shared" si="277"/>
        <v>3239.6</v>
      </c>
      <c r="K1296" s="7">
        <f>K1297</f>
        <v>0</v>
      </c>
      <c r="L1296" s="35">
        <f t="shared" si="288"/>
        <v>3239.6</v>
      </c>
      <c r="M1296" s="7">
        <f>M1297</f>
        <v>0</v>
      </c>
      <c r="N1296" s="35">
        <f t="shared" si="289"/>
        <v>3239.6</v>
      </c>
      <c r="O1296" s="7">
        <f>O1297</f>
        <v>0</v>
      </c>
      <c r="P1296" s="35">
        <f t="shared" si="281"/>
        <v>3239.6</v>
      </c>
      <c r="Q1296" s="7">
        <f>Q1297</f>
        <v>0</v>
      </c>
      <c r="R1296" s="35">
        <f t="shared" si="278"/>
        <v>3239.6</v>
      </c>
      <c r="S1296" s="7">
        <f>S1297</f>
        <v>0</v>
      </c>
      <c r="T1296" s="35">
        <f t="shared" si="275"/>
        <v>3239.6</v>
      </c>
    </row>
    <row r="1297" spans="1:21">
      <c r="A1297" s="61" t="str">
        <f ca="1">IF(ISERROR(MATCH(E1297,Код_КВР,0)),"",INDIRECT(ADDRESS(MATCH(E1297,Код_КВР,0)+1,2,,,"КВР")))</f>
        <v>Субсидии бюджетным учреждениям на иные цели</v>
      </c>
      <c r="B1297" s="45" t="s">
        <v>86</v>
      </c>
      <c r="C1297" s="8" t="s">
        <v>193</v>
      </c>
      <c r="D1297" s="1" t="s">
        <v>217</v>
      </c>
      <c r="E1297" s="113">
        <v>612</v>
      </c>
      <c r="F1297" s="7">
        <f>прил.6!G798+прил.6!G971+прил.6!G1235</f>
        <v>3239.6</v>
      </c>
      <c r="G1297" s="7">
        <f>прил.6!H798+прил.6!H971+прил.6!H1235</f>
        <v>0</v>
      </c>
      <c r="H1297" s="35">
        <f t="shared" si="280"/>
        <v>3239.6</v>
      </c>
      <c r="I1297" s="7">
        <f>прил.6!J798+прил.6!J971+прил.6!J1235</f>
        <v>0</v>
      </c>
      <c r="J1297" s="35">
        <f t="shared" si="277"/>
        <v>3239.6</v>
      </c>
      <c r="K1297" s="7">
        <f>прил.6!L798+прил.6!L971+прил.6!L1235</f>
        <v>0</v>
      </c>
      <c r="L1297" s="35">
        <f t="shared" si="288"/>
        <v>3239.6</v>
      </c>
      <c r="M1297" s="7">
        <f>прил.6!N798+прил.6!N971+прил.6!N1235</f>
        <v>0</v>
      </c>
      <c r="N1297" s="35">
        <f t="shared" si="289"/>
        <v>3239.6</v>
      </c>
      <c r="O1297" s="7">
        <f>прил.6!P798+прил.6!P971+прил.6!P1235</f>
        <v>0</v>
      </c>
      <c r="P1297" s="35">
        <f t="shared" si="281"/>
        <v>3239.6</v>
      </c>
      <c r="Q1297" s="7">
        <f>прил.6!R798+прил.6!R971+прил.6!R1235</f>
        <v>0</v>
      </c>
      <c r="R1297" s="35">
        <f t="shared" si="278"/>
        <v>3239.6</v>
      </c>
      <c r="S1297" s="7">
        <f>прил.6!T798+прил.6!T971+прил.6!T1235</f>
        <v>0</v>
      </c>
      <c r="T1297" s="35">
        <f t="shared" si="275"/>
        <v>3239.6</v>
      </c>
    </row>
    <row r="1298" spans="1:21" hidden="1">
      <c r="A1298" s="61" t="str">
        <f ca="1">IF(ISERROR(MATCH(E1298,Код_КВР,0)),"",INDIRECT(ADDRESS(MATCH(E1298,Код_КВР,0)+1,2,,,"КВР")))</f>
        <v>Субсидии автономным учреждениям</v>
      </c>
      <c r="B1298" s="45" t="s">
        <v>86</v>
      </c>
      <c r="C1298" s="8" t="s">
        <v>193</v>
      </c>
      <c r="D1298" s="1" t="s">
        <v>217</v>
      </c>
      <c r="E1298" s="89">
        <v>620</v>
      </c>
      <c r="F1298" s="7">
        <f>F1299</f>
        <v>0</v>
      </c>
      <c r="G1298" s="7">
        <f>G1299</f>
        <v>0</v>
      </c>
      <c r="H1298" s="35">
        <f t="shared" si="280"/>
        <v>0</v>
      </c>
      <c r="I1298" s="7">
        <f>I1299</f>
        <v>0</v>
      </c>
      <c r="J1298" s="35">
        <f t="shared" si="277"/>
        <v>0</v>
      </c>
      <c r="K1298" s="7">
        <f>K1299</f>
        <v>0</v>
      </c>
      <c r="L1298" s="35">
        <f t="shared" si="288"/>
        <v>0</v>
      </c>
      <c r="M1298" s="7">
        <f>M1299</f>
        <v>0</v>
      </c>
      <c r="N1298" s="35">
        <f t="shared" si="289"/>
        <v>0</v>
      </c>
      <c r="O1298" s="7">
        <f>O1299</f>
        <v>0</v>
      </c>
      <c r="P1298" s="35">
        <f t="shared" si="281"/>
        <v>0</v>
      </c>
      <c r="Q1298" s="7">
        <f>Q1299</f>
        <v>0</v>
      </c>
      <c r="R1298" s="35">
        <f t="shared" si="278"/>
        <v>0</v>
      </c>
      <c r="S1298" s="7">
        <f>S1299</f>
        <v>0</v>
      </c>
      <c r="T1298" s="35">
        <f t="shared" si="275"/>
        <v>0</v>
      </c>
      <c r="U1298" s="20" t="s">
        <v>706</v>
      </c>
    </row>
    <row r="1299" spans="1:21" hidden="1">
      <c r="A1299" s="61" t="str">
        <f ca="1">IF(ISERROR(MATCH(E1299,Код_КВР,0)),"",INDIRECT(ADDRESS(MATCH(E1299,Код_КВР,0)+1,2,,,"КВР")))</f>
        <v>Субсидии автономным учреждениям на иные цели</v>
      </c>
      <c r="B1299" s="45" t="s">
        <v>86</v>
      </c>
      <c r="C1299" s="8" t="s">
        <v>193</v>
      </c>
      <c r="D1299" s="1" t="s">
        <v>217</v>
      </c>
      <c r="E1299" s="89">
        <v>622</v>
      </c>
      <c r="F1299" s="7">
        <f>прил.6!G1237</f>
        <v>0</v>
      </c>
      <c r="G1299" s="7">
        <f>прил.6!H1237</f>
        <v>0</v>
      </c>
      <c r="H1299" s="35">
        <f t="shared" si="280"/>
        <v>0</v>
      </c>
      <c r="I1299" s="7">
        <f>прил.6!J1237</f>
        <v>0</v>
      </c>
      <c r="J1299" s="35">
        <f t="shared" si="277"/>
        <v>0</v>
      </c>
      <c r="K1299" s="7">
        <f>прил.6!L1237</f>
        <v>0</v>
      </c>
      <c r="L1299" s="35">
        <f t="shared" si="288"/>
        <v>0</v>
      </c>
      <c r="M1299" s="7">
        <f>прил.6!N1237</f>
        <v>0</v>
      </c>
      <c r="N1299" s="35">
        <f t="shared" si="289"/>
        <v>0</v>
      </c>
      <c r="O1299" s="7">
        <f>прил.6!P1237</f>
        <v>0</v>
      </c>
      <c r="P1299" s="35">
        <f t="shared" si="281"/>
        <v>0</v>
      </c>
      <c r="Q1299" s="7">
        <f>прил.6!R1237</f>
        <v>0</v>
      </c>
      <c r="R1299" s="35">
        <f t="shared" si="278"/>
        <v>0</v>
      </c>
      <c r="S1299" s="7">
        <f>прил.6!T1237</f>
        <v>0</v>
      </c>
      <c r="T1299" s="35">
        <f t="shared" si="275"/>
        <v>0</v>
      </c>
      <c r="U1299" s="20" t="s">
        <v>706</v>
      </c>
    </row>
    <row r="1300" spans="1:21" hidden="1">
      <c r="A1300" s="61" t="str">
        <f ca="1">IF(ISERROR(MATCH(C1300,Код_Раздел,0)),"",INDIRECT(ADDRESS(MATCH(C1300,Код_Раздел,0)+1,2,,,"Раздел")))</f>
        <v>Культура, кинематография</v>
      </c>
      <c r="B1300" s="45" t="s">
        <v>86</v>
      </c>
      <c r="C1300" s="8" t="s">
        <v>220</v>
      </c>
      <c r="D1300" s="1"/>
      <c r="E1300" s="89"/>
      <c r="F1300" s="7">
        <f>F1301</f>
        <v>0</v>
      </c>
      <c r="G1300" s="7">
        <f>G1301</f>
        <v>0</v>
      </c>
      <c r="H1300" s="35">
        <f t="shared" si="280"/>
        <v>0</v>
      </c>
      <c r="I1300" s="7">
        <f>I1301</f>
        <v>0</v>
      </c>
      <c r="J1300" s="35">
        <f t="shared" si="277"/>
        <v>0</v>
      </c>
      <c r="K1300" s="7">
        <f>K1301</f>
        <v>0</v>
      </c>
      <c r="L1300" s="35">
        <f t="shared" si="288"/>
        <v>0</v>
      </c>
      <c r="M1300" s="7">
        <f>M1301</f>
        <v>0</v>
      </c>
      <c r="N1300" s="35">
        <f t="shared" si="289"/>
        <v>0</v>
      </c>
      <c r="O1300" s="7">
        <f>O1301</f>
        <v>0</v>
      </c>
      <c r="P1300" s="35">
        <f t="shared" si="281"/>
        <v>0</v>
      </c>
      <c r="Q1300" s="7">
        <f>Q1301</f>
        <v>0</v>
      </c>
      <c r="R1300" s="35">
        <f t="shared" si="278"/>
        <v>0</v>
      </c>
      <c r="S1300" s="7">
        <f>S1301</f>
        <v>0</v>
      </c>
      <c r="T1300" s="35">
        <f t="shared" ref="T1300:T1324" si="290">R1300+S1300</f>
        <v>0</v>
      </c>
      <c r="U1300" s="20" t="s">
        <v>706</v>
      </c>
    </row>
    <row r="1301" spans="1:21" hidden="1">
      <c r="A1301" s="12" t="s">
        <v>161</v>
      </c>
      <c r="B1301" s="45" t="s">
        <v>86</v>
      </c>
      <c r="C1301" s="8" t="s">
        <v>220</v>
      </c>
      <c r="D1301" s="1" t="s">
        <v>214</v>
      </c>
      <c r="E1301" s="89"/>
      <c r="F1301" s="7">
        <f>F1302</f>
        <v>0</v>
      </c>
      <c r="G1301" s="7">
        <f>G1302</f>
        <v>0</v>
      </c>
      <c r="H1301" s="35">
        <f t="shared" si="280"/>
        <v>0</v>
      </c>
      <c r="I1301" s="7">
        <f>I1302</f>
        <v>0</v>
      </c>
      <c r="J1301" s="35">
        <f t="shared" si="277"/>
        <v>0</v>
      </c>
      <c r="K1301" s="7">
        <f>K1302</f>
        <v>0</v>
      </c>
      <c r="L1301" s="35">
        <f t="shared" si="288"/>
        <v>0</v>
      </c>
      <c r="M1301" s="7">
        <f>M1302</f>
        <v>0</v>
      </c>
      <c r="N1301" s="35">
        <f t="shared" si="289"/>
        <v>0</v>
      </c>
      <c r="O1301" s="7">
        <f>O1302</f>
        <v>0</v>
      </c>
      <c r="P1301" s="35">
        <f t="shared" si="281"/>
        <v>0</v>
      </c>
      <c r="Q1301" s="7">
        <f>Q1302</f>
        <v>0</v>
      </c>
      <c r="R1301" s="35">
        <f t="shared" si="278"/>
        <v>0</v>
      </c>
      <c r="S1301" s="7">
        <f>S1302</f>
        <v>0</v>
      </c>
      <c r="T1301" s="35">
        <f t="shared" si="290"/>
        <v>0</v>
      </c>
      <c r="U1301" s="20" t="s">
        <v>706</v>
      </c>
    </row>
    <row r="1302" spans="1:21" ht="33" hidden="1">
      <c r="A1302" s="61" t="str">
        <f ca="1">IF(ISERROR(MATCH(E1302,Код_КВР,0)),"",INDIRECT(ADDRESS(MATCH(E1302,Код_КВР,0)+1,2,,,"КВР")))</f>
        <v>Предоставление субсидий бюджетным, автономным учреждениям и иным некоммерческим организациям</v>
      </c>
      <c r="B1302" s="45" t="s">
        <v>86</v>
      </c>
      <c r="C1302" s="8" t="s">
        <v>220</v>
      </c>
      <c r="D1302" s="1" t="s">
        <v>214</v>
      </c>
      <c r="E1302" s="89">
        <v>600</v>
      </c>
      <c r="F1302" s="7">
        <f>F1303+F1305</f>
        <v>0</v>
      </c>
      <c r="G1302" s="7">
        <f>G1303+G1305</f>
        <v>0</v>
      </c>
      <c r="H1302" s="35">
        <f t="shared" si="280"/>
        <v>0</v>
      </c>
      <c r="I1302" s="7">
        <f>I1303+I1305</f>
        <v>0</v>
      </c>
      <c r="J1302" s="35">
        <f t="shared" si="277"/>
        <v>0</v>
      </c>
      <c r="K1302" s="7">
        <f>K1303+K1305</f>
        <v>0</v>
      </c>
      <c r="L1302" s="35">
        <f t="shared" si="288"/>
        <v>0</v>
      </c>
      <c r="M1302" s="7">
        <f>M1303+M1305</f>
        <v>0</v>
      </c>
      <c r="N1302" s="35">
        <f t="shared" si="289"/>
        <v>0</v>
      </c>
      <c r="O1302" s="7">
        <f>O1303+O1305</f>
        <v>0</v>
      </c>
      <c r="P1302" s="35">
        <f t="shared" si="281"/>
        <v>0</v>
      </c>
      <c r="Q1302" s="7">
        <f>Q1303+Q1305</f>
        <v>0</v>
      </c>
      <c r="R1302" s="35">
        <f t="shared" si="278"/>
        <v>0</v>
      </c>
      <c r="S1302" s="7">
        <f>S1303+S1305</f>
        <v>0</v>
      </c>
      <c r="T1302" s="35">
        <f t="shared" si="290"/>
        <v>0</v>
      </c>
      <c r="U1302" s="20" t="s">
        <v>706</v>
      </c>
    </row>
    <row r="1303" spans="1:21" hidden="1">
      <c r="A1303" s="61" t="str">
        <f ca="1">IF(ISERROR(MATCH(E1303,Код_КВР,0)),"",INDIRECT(ADDRESS(MATCH(E1303,Код_КВР,0)+1,2,,,"КВР")))</f>
        <v>Субсидии бюджетным учреждениям</v>
      </c>
      <c r="B1303" s="45" t="s">
        <v>86</v>
      </c>
      <c r="C1303" s="8" t="s">
        <v>220</v>
      </c>
      <c r="D1303" s="1" t="s">
        <v>214</v>
      </c>
      <c r="E1303" s="89">
        <v>610</v>
      </c>
      <c r="F1303" s="7">
        <f>F1304</f>
        <v>0</v>
      </c>
      <c r="G1303" s="7">
        <f>G1304</f>
        <v>0</v>
      </c>
      <c r="H1303" s="35">
        <f t="shared" si="280"/>
        <v>0</v>
      </c>
      <c r="I1303" s="7">
        <f>I1304</f>
        <v>0</v>
      </c>
      <c r="J1303" s="35">
        <f t="shared" si="277"/>
        <v>0</v>
      </c>
      <c r="K1303" s="7">
        <f>K1304</f>
        <v>0</v>
      </c>
      <c r="L1303" s="35">
        <f t="shared" si="288"/>
        <v>0</v>
      </c>
      <c r="M1303" s="7">
        <f>M1304</f>
        <v>0</v>
      </c>
      <c r="N1303" s="35">
        <f t="shared" si="289"/>
        <v>0</v>
      </c>
      <c r="O1303" s="7">
        <f>O1304</f>
        <v>0</v>
      </c>
      <c r="P1303" s="35">
        <f t="shared" si="281"/>
        <v>0</v>
      </c>
      <c r="Q1303" s="7">
        <f>Q1304</f>
        <v>0</v>
      </c>
      <c r="R1303" s="35">
        <f t="shared" si="278"/>
        <v>0</v>
      </c>
      <c r="S1303" s="7">
        <f>S1304</f>
        <v>0</v>
      </c>
      <c r="T1303" s="35">
        <f t="shared" si="290"/>
        <v>0</v>
      </c>
      <c r="U1303" s="20" t="s">
        <v>706</v>
      </c>
    </row>
    <row r="1304" spans="1:21" hidden="1">
      <c r="A1304" s="61" t="str">
        <f ca="1">IF(ISERROR(MATCH(E1304,Код_КВР,0)),"",INDIRECT(ADDRESS(MATCH(E1304,Код_КВР,0)+1,2,,,"КВР")))</f>
        <v>Субсидии бюджетным учреждениям на иные цели</v>
      </c>
      <c r="B1304" s="45" t="s">
        <v>86</v>
      </c>
      <c r="C1304" s="8" t="s">
        <v>220</v>
      </c>
      <c r="D1304" s="1" t="s">
        <v>214</v>
      </c>
      <c r="E1304" s="89">
        <v>612</v>
      </c>
      <c r="F1304" s="7">
        <f>прил.6!G1158</f>
        <v>0</v>
      </c>
      <c r="G1304" s="7">
        <f>прил.6!H1158</f>
        <v>0</v>
      </c>
      <c r="H1304" s="35">
        <f t="shared" si="280"/>
        <v>0</v>
      </c>
      <c r="I1304" s="7">
        <f>прил.6!J1158</f>
        <v>0</v>
      </c>
      <c r="J1304" s="35">
        <f t="shared" si="277"/>
        <v>0</v>
      </c>
      <c r="K1304" s="7">
        <f>прил.6!L1158</f>
        <v>0</v>
      </c>
      <c r="L1304" s="35">
        <f t="shared" si="288"/>
        <v>0</v>
      </c>
      <c r="M1304" s="7">
        <f>прил.6!N1158</f>
        <v>0</v>
      </c>
      <c r="N1304" s="35">
        <f t="shared" si="289"/>
        <v>0</v>
      </c>
      <c r="O1304" s="7">
        <f>прил.6!P1158</f>
        <v>0</v>
      </c>
      <c r="P1304" s="35">
        <f t="shared" si="281"/>
        <v>0</v>
      </c>
      <c r="Q1304" s="7">
        <f>прил.6!R1158</f>
        <v>0</v>
      </c>
      <c r="R1304" s="35">
        <f t="shared" si="278"/>
        <v>0</v>
      </c>
      <c r="S1304" s="7">
        <f>прил.6!T1158</f>
        <v>0</v>
      </c>
      <c r="T1304" s="35">
        <f t="shared" si="290"/>
        <v>0</v>
      </c>
      <c r="U1304" s="20" t="s">
        <v>706</v>
      </c>
    </row>
    <row r="1305" spans="1:21" hidden="1">
      <c r="A1305" s="61" t="str">
        <f ca="1">IF(ISERROR(MATCH(E1305,Код_КВР,0)),"",INDIRECT(ADDRESS(MATCH(E1305,Код_КВР,0)+1,2,,,"КВР")))</f>
        <v>Субсидии автономным учреждениям</v>
      </c>
      <c r="B1305" s="45" t="s">
        <v>86</v>
      </c>
      <c r="C1305" s="8" t="s">
        <v>220</v>
      </c>
      <c r="D1305" s="1" t="s">
        <v>214</v>
      </c>
      <c r="E1305" s="89">
        <v>620</v>
      </c>
      <c r="F1305" s="7">
        <f>F1306</f>
        <v>0</v>
      </c>
      <c r="G1305" s="7">
        <f>G1306</f>
        <v>0</v>
      </c>
      <c r="H1305" s="35">
        <f t="shared" si="280"/>
        <v>0</v>
      </c>
      <c r="I1305" s="7">
        <f>I1306</f>
        <v>0</v>
      </c>
      <c r="J1305" s="35">
        <f t="shared" si="277"/>
        <v>0</v>
      </c>
      <c r="K1305" s="7">
        <f>K1306</f>
        <v>0</v>
      </c>
      <c r="L1305" s="35">
        <f t="shared" si="288"/>
        <v>0</v>
      </c>
      <c r="M1305" s="7">
        <f>M1306</f>
        <v>0</v>
      </c>
      <c r="N1305" s="35">
        <f t="shared" si="289"/>
        <v>0</v>
      </c>
      <c r="O1305" s="7">
        <f>O1306</f>
        <v>0</v>
      </c>
      <c r="P1305" s="35">
        <f t="shared" si="281"/>
        <v>0</v>
      </c>
      <c r="Q1305" s="7">
        <f>Q1306</f>
        <v>0</v>
      </c>
      <c r="R1305" s="35">
        <f t="shared" si="278"/>
        <v>0</v>
      </c>
      <c r="S1305" s="7">
        <f>S1306</f>
        <v>0</v>
      </c>
      <c r="T1305" s="35">
        <f t="shared" si="290"/>
        <v>0</v>
      </c>
      <c r="U1305" s="20" t="s">
        <v>706</v>
      </c>
    </row>
    <row r="1306" spans="1:21" hidden="1">
      <c r="A1306" s="61" t="str">
        <f ca="1">IF(ISERROR(MATCH(E1306,Код_КВР,0)),"",INDIRECT(ADDRESS(MATCH(E1306,Код_КВР,0)+1,2,,,"КВР")))</f>
        <v>Субсидии автономным учреждениям на иные цели</v>
      </c>
      <c r="B1306" s="45" t="s">
        <v>86</v>
      </c>
      <c r="C1306" s="8" t="s">
        <v>220</v>
      </c>
      <c r="D1306" s="1" t="s">
        <v>214</v>
      </c>
      <c r="E1306" s="89">
        <v>622</v>
      </c>
      <c r="F1306" s="7">
        <f>прил.6!G1160</f>
        <v>0</v>
      </c>
      <c r="G1306" s="7">
        <f>прил.6!H1160</f>
        <v>0</v>
      </c>
      <c r="H1306" s="35">
        <f t="shared" si="280"/>
        <v>0</v>
      </c>
      <c r="I1306" s="7">
        <f>прил.6!J1160</f>
        <v>0</v>
      </c>
      <c r="J1306" s="35">
        <f t="shared" si="277"/>
        <v>0</v>
      </c>
      <c r="K1306" s="7">
        <f>прил.6!L1160</f>
        <v>0</v>
      </c>
      <c r="L1306" s="35">
        <f t="shared" si="288"/>
        <v>0</v>
      </c>
      <c r="M1306" s="7">
        <f>прил.6!N1160</f>
        <v>0</v>
      </c>
      <c r="N1306" s="35">
        <f t="shared" si="289"/>
        <v>0</v>
      </c>
      <c r="O1306" s="7">
        <f>прил.6!P1160</f>
        <v>0</v>
      </c>
      <c r="P1306" s="35">
        <f t="shared" si="281"/>
        <v>0</v>
      </c>
      <c r="Q1306" s="7">
        <f>прил.6!R1160</f>
        <v>0</v>
      </c>
      <c r="R1306" s="35">
        <f t="shared" si="278"/>
        <v>0</v>
      </c>
      <c r="S1306" s="7">
        <f>прил.6!T1160</f>
        <v>0</v>
      </c>
      <c r="T1306" s="35">
        <f t="shared" si="290"/>
        <v>0</v>
      </c>
      <c r="U1306" s="20" t="s">
        <v>706</v>
      </c>
    </row>
    <row r="1307" spans="1:21">
      <c r="A1307" s="61" t="str">
        <f ca="1">IF(ISERROR(MATCH(B1307,Код_КЦСР,0)),"",INDIRECT(ADDRESS(MATCH(B1307,Код_КЦСР,0)+1,2,,,"КЦСР")))</f>
        <v>Ремонт и обслуживание электрооборудования зданий</v>
      </c>
      <c r="B1307" s="47" t="s">
        <v>88</v>
      </c>
      <c r="C1307" s="8"/>
      <c r="D1307" s="1"/>
      <c r="E1307" s="113"/>
      <c r="F1307" s="7"/>
      <c r="G1307" s="7"/>
      <c r="H1307" s="35"/>
      <c r="I1307" s="7"/>
      <c r="J1307" s="35"/>
      <c r="K1307" s="7"/>
      <c r="L1307" s="35"/>
      <c r="M1307" s="7"/>
      <c r="N1307" s="35"/>
      <c r="O1307" s="7"/>
      <c r="P1307" s="35"/>
      <c r="Q1307" s="7"/>
      <c r="R1307" s="35"/>
      <c r="S1307" s="7">
        <f>S1308</f>
        <v>14.9</v>
      </c>
      <c r="T1307" s="35">
        <f t="shared" si="290"/>
        <v>14.9</v>
      </c>
    </row>
    <row r="1308" spans="1:21">
      <c r="A1308" s="61" t="str">
        <f ca="1">IF(ISERROR(MATCH(C1308,Код_Раздел,0)),"",INDIRECT(ADDRESS(MATCH(C1308,Код_Раздел,0)+1,2,,,"Раздел")))</f>
        <v>Культура, кинематография</v>
      </c>
      <c r="B1308" s="47" t="s">
        <v>88</v>
      </c>
      <c r="C1308" s="8" t="s">
        <v>220</v>
      </c>
      <c r="D1308" s="1"/>
      <c r="E1308" s="113"/>
      <c r="F1308" s="7"/>
      <c r="G1308" s="7"/>
      <c r="H1308" s="35"/>
      <c r="I1308" s="7"/>
      <c r="J1308" s="35"/>
      <c r="K1308" s="7"/>
      <c r="L1308" s="35"/>
      <c r="M1308" s="7"/>
      <c r="N1308" s="35"/>
      <c r="O1308" s="7"/>
      <c r="P1308" s="35"/>
      <c r="Q1308" s="7"/>
      <c r="R1308" s="35"/>
      <c r="S1308" s="7">
        <f>S1309</f>
        <v>14.9</v>
      </c>
      <c r="T1308" s="35">
        <f t="shared" si="290"/>
        <v>14.9</v>
      </c>
    </row>
    <row r="1309" spans="1:21">
      <c r="A1309" s="12" t="s">
        <v>161</v>
      </c>
      <c r="B1309" s="47" t="s">
        <v>88</v>
      </c>
      <c r="C1309" s="8" t="s">
        <v>220</v>
      </c>
      <c r="D1309" s="1" t="s">
        <v>214</v>
      </c>
      <c r="E1309" s="113"/>
      <c r="F1309" s="7"/>
      <c r="G1309" s="7"/>
      <c r="H1309" s="35"/>
      <c r="I1309" s="7"/>
      <c r="J1309" s="35"/>
      <c r="K1309" s="7"/>
      <c r="L1309" s="35"/>
      <c r="M1309" s="7"/>
      <c r="N1309" s="35"/>
      <c r="O1309" s="7"/>
      <c r="P1309" s="35"/>
      <c r="Q1309" s="7"/>
      <c r="R1309" s="35"/>
      <c r="S1309" s="7">
        <f>S1310</f>
        <v>14.9</v>
      </c>
      <c r="T1309" s="35">
        <f t="shared" si="290"/>
        <v>14.9</v>
      </c>
    </row>
    <row r="1310" spans="1:21" ht="33">
      <c r="A1310" s="61" t="str">
        <f ca="1">IF(ISERROR(MATCH(E1310,Код_КВР,0)),"",INDIRECT(ADDRESS(MATCH(E1310,Код_КВР,0)+1,2,,,"КВР")))</f>
        <v>Предоставление субсидий бюджетным, автономным учреждениям и иным некоммерческим организациям</v>
      </c>
      <c r="B1310" s="47" t="s">
        <v>88</v>
      </c>
      <c r="C1310" s="8" t="s">
        <v>220</v>
      </c>
      <c r="D1310" s="1" t="s">
        <v>214</v>
      </c>
      <c r="E1310" s="113">
        <v>600</v>
      </c>
      <c r="F1310" s="7"/>
      <c r="G1310" s="7"/>
      <c r="H1310" s="35"/>
      <c r="I1310" s="7"/>
      <c r="J1310" s="35"/>
      <c r="K1310" s="7"/>
      <c r="L1310" s="35"/>
      <c r="M1310" s="7"/>
      <c r="N1310" s="35"/>
      <c r="O1310" s="7"/>
      <c r="P1310" s="35"/>
      <c r="Q1310" s="7"/>
      <c r="R1310" s="35"/>
      <c r="S1310" s="7">
        <f>S1311</f>
        <v>14.9</v>
      </c>
      <c r="T1310" s="35">
        <f t="shared" si="290"/>
        <v>14.9</v>
      </c>
    </row>
    <row r="1311" spans="1:21">
      <c r="A1311" s="61" t="str">
        <f ca="1">IF(ISERROR(MATCH(E1311,Код_КВР,0)),"",INDIRECT(ADDRESS(MATCH(E1311,Код_КВР,0)+1,2,,,"КВР")))</f>
        <v>Субсидии бюджетным учреждениям</v>
      </c>
      <c r="B1311" s="47" t="s">
        <v>88</v>
      </c>
      <c r="C1311" s="8" t="s">
        <v>220</v>
      </c>
      <c r="D1311" s="1" t="s">
        <v>214</v>
      </c>
      <c r="E1311" s="113">
        <v>610</v>
      </c>
      <c r="F1311" s="7"/>
      <c r="G1311" s="7"/>
      <c r="H1311" s="35"/>
      <c r="I1311" s="7"/>
      <c r="J1311" s="35"/>
      <c r="K1311" s="7"/>
      <c r="L1311" s="35"/>
      <c r="M1311" s="7"/>
      <c r="N1311" s="35"/>
      <c r="O1311" s="7"/>
      <c r="P1311" s="35"/>
      <c r="Q1311" s="7"/>
      <c r="R1311" s="35"/>
      <c r="S1311" s="7">
        <f>S1312</f>
        <v>14.9</v>
      </c>
      <c r="T1311" s="35">
        <f t="shared" si="290"/>
        <v>14.9</v>
      </c>
    </row>
    <row r="1312" spans="1:21">
      <c r="A1312" s="61" t="str">
        <f ca="1">IF(ISERROR(MATCH(E1312,Код_КВР,0)),"",INDIRECT(ADDRESS(MATCH(E1312,Код_КВР,0)+1,2,,,"КВР")))</f>
        <v>Субсидии бюджетным учреждениям на иные цели</v>
      </c>
      <c r="B1312" s="47" t="s">
        <v>88</v>
      </c>
      <c r="C1312" s="8" t="s">
        <v>220</v>
      </c>
      <c r="D1312" s="1" t="s">
        <v>214</v>
      </c>
      <c r="E1312" s="113">
        <v>612</v>
      </c>
      <c r="F1312" s="7"/>
      <c r="G1312" s="7"/>
      <c r="H1312" s="35"/>
      <c r="I1312" s="7"/>
      <c r="J1312" s="35"/>
      <c r="K1312" s="7"/>
      <c r="L1312" s="35"/>
      <c r="M1312" s="7"/>
      <c r="N1312" s="35"/>
      <c r="O1312" s="7"/>
      <c r="P1312" s="35"/>
      <c r="Q1312" s="7"/>
      <c r="R1312" s="35"/>
      <c r="S1312" s="7">
        <f>прил.6!T1164</f>
        <v>14.9</v>
      </c>
      <c r="T1312" s="35">
        <f t="shared" si="290"/>
        <v>14.9</v>
      </c>
    </row>
    <row r="1313" spans="1:21" ht="33" customHeight="1">
      <c r="A1313" s="61" t="str">
        <f ca="1">IF(ISERROR(MATCH(B1313,Код_КЦСР,0)),"",INDIRECT(ADDRESS(MATCH(B1313,Код_КЦСР,0)+1,2,,,"КЦСР")))</f>
        <v>Комплектование, ремонт и испытание внутреннего противопожарного водоснабжения зданий (ПК)</v>
      </c>
      <c r="B1313" s="47" t="s">
        <v>92</v>
      </c>
      <c r="C1313" s="8"/>
      <c r="D1313" s="1"/>
      <c r="E1313" s="113"/>
      <c r="F1313" s="7"/>
      <c r="G1313" s="7"/>
      <c r="H1313" s="35"/>
      <c r="I1313" s="7"/>
      <c r="J1313" s="35"/>
      <c r="K1313" s="7"/>
      <c r="L1313" s="35"/>
      <c r="M1313" s="7"/>
      <c r="N1313" s="35"/>
      <c r="O1313" s="7"/>
      <c r="P1313" s="35"/>
      <c r="Q1313" s="7"/>
      <c r="R1313" s="35"/>
      <c r="S1313" s="7">
        <f>S1314</f>
        <v>37.799999999999997</v>
      </c>
      <c r="T1313" s="35">
        <f t="shared" si="290"/>
        <v>37.799999999999997</v>
      </c>
    </row>
    <row r="1314" spans="1:21">
      <c r="A1314" s="61" t="str">
        <f ca="1">IF(ISERROR(MATCH(C1314,Код_Раздел,0)),"",INDIRECT(ADDRESS(MATCH(C1314,Код_Раздел,0)+1,2,,,"Раздел")))</f>
        <v>Культура, кинематография</v>
      </c>
      <c r="B1314" s="47" t="s">
        <v>92</v>
      </c>
      <c r="C1314" s="8" t="s">
        <v>220</v>
      </c>
      <c r="D1314" s="1"/>
      <c r="E1314" s="113"/>
      <c r="F1314" s="7"/>
      <c r="G1314" s="7"/>
      <c r="H1314" s="35"/>
      <c r="I1314" s="7"/>
      <c r="J1314" s="35"/>
      <c r="K1314" s="7"/>
      <c r="L1314" s="35"/>
      <c r="M1314" s="7"/>
      <c r="N1314" s="35"/>
      <c r="O1314" s="7"/>
      <c r="P1314" s="35"/>
      <c r="Q1314" s="7"/>
      <c r="R1314" s="35"/>
      <c r="S1314" s="7">
        <f>S1315</f>
        <v>37.799999999999997</v>
      </c>
      <c r="T1314" s="35">
        <f t="shared" si="290"/>
        <v>37.799999999999997</v>
      </c>
    </row>
    <row r="1315" spans="1:21">
      <c r="A1315" s="12" t="s">
        <v>161</v>
      </c>
      <c r="B1315" s="47" t="s">
        <v>92</v>
      </c>
      <c r="C1315" s="8" t="s">
        <v>220</v>
      </c>
      <c r="D1315" s="1" t="s">
        <v>214</v>
      </c>
      <c r="E1315" s="113"/>
      <c r="F1315" s="7"/>
      <c r="G1315" s="7"/>
      <c r="H1315" s="35"/>
      <c r="I1315" s="7"/>
      <c r="J1315" s="35"/>
      <c r="K1315" s="7"/>
      <c r="L1315" s="35"/>
      <c r="M1315" s="7"/>
      <c r="N1315" s="35"/>
      <c r="O1315" s="7"/>
      <c r="P1315" s="35"/>
      <c r="Q1315" s="7"/>
      <c r="R1315" s="35"/>
      <c r="S1315" s="7">
        <f>S1316</f>
        <v>37.799999999999997</v>
      </c>
      <c r="T1315" s="35">
        <f t="shared" si="290"/>
        <v>37.799999999999997</v>
      </c>
    </row>
    <row r="1316" spans="1:21" ht="33">
      <c r="A1316" s="61" t="str">
        <f ca="1">IF(ISERROR(MATCH(E1316,Код_КВР,0)),"",INDIRECT(ADDRESS(MATCH(E1316,Код_КВР,0)+1,2,,,"КВР")))</f>
        <v>Предоставление субсидий бюджетным, автономным учреждениям и иным некоммерческим организациям</v>
      </c>
      <c r="B1316" s="47" t="s">
        <v>92</v>
      </c>
      <c r="C1316" s="8" t="s">
        <v>220</v>
      </c>
      <c r="D1316" s="1" t="s">
        <v>214</v>
      </c>
      <c r="E1316" s="113">
        <v>600</v>
      </c>
      <c r="F1316" s="7"/>
      <c r="G1316" s="7"/>
      <c r="H1316" s="35"/>
      <c r="I1316" s="7"/>
      <c r="J1316" s="35"/>
      <c r="K1316" s="7"/>
      <c r="L1316" s="35"/>
      <c r="M1316" s="7"/>
      <c r="N1316" s="35"/>
      <c r="O1316" s="7"/>
      <c r="P1316" s="35"/>
      <c r="Q1316" s="7"/>
      <c r="R1316" s="35"/>
      <c r="S1316" s="7">
        <f>S1317</f>
        <v>37.799999999999997</v>
      </c>
      <c r="T1316" s="35">
        <f t="shared" si="290"/>
        <v>37.799999999999997</v>
      </c>
    </row>
    <row r="1317" spans="1:21">
      <c r="A1317" s="61" t="str">
        <f ca="1">IF(ISERROR(MATCH(E1317,Код_КВР,0)),"",INDIRECT(ADDRESS(MATCH(E1317,Код_КВР,0)+1,2,,,"КВР")))</f>
        <v>Субсидии бюджетным учреждениям</v>
      </c>
      <c r="B1317" s="47" t="s">
        <v>92</v>
      </c>
      <c r="C1317" s="8" t="s">
        <v>220</v>
      </c>
      <c r="D1317" s="1" t="s">
        <v>214</v>
      </c>
      <c r="E1317" s="113">
        <v>610</v>
      </c>
      <c r="F1317" s="7"/>
      <c r="G1317" s="7"/>
      <c r="H1317" s="35"/>
      <c r="I1317" s="7"/>
      <c r="J1317" s="35"/>
      <c r="K1317" s="7"/>
      <c r="L1317" s="35"/>
      <c r="M1317" s="7"/>
      <c r="N1317" s="35"/>
      <c r="O1317" s="7"/>
      <c r="P1317" s="35"/>
      <c r="Q1317" s="7"/>
      <c r="R1317" s="35"/>
      <c r="S1317" s="7">
        <f>S1318</f>
        <v>37.799999999999997</v>
      </c>
      <c r="T1317" s="35">
        <f t="shared" si="290"/>
        <v>37.799999999999997</v>
      </c>
    </row>
    <row r="1318" spans="1:21">
      <c r="A1318" s="61" t="str">
        <f ca="1">IF(ISERROR(MATCH(E1318,Код_КВР,0)),"",INDIRECT(ADDRESS(MATCH(E1318,Код_КВР,0)+1,2,,,"КВР")))</f>
        <v>Субсидии бюджетным учреждениям на иные цели</v>
      </c>
      <c r="B1318" s="47" t="s">
        <v>92</v>
      </c>
      <c r="C1318" s="8" t="s">
        <v>220</v>
      </c>
      <c r="D1318" s="1" t="s">
        <v>214</v>
      </c>
      <c r="E1318" s="113">
        <v>612</v>
      </c>
      <c r="F1318" s="7"/>
      <c r="G1318" s="7"/>
      <c r="H1318" s="35"/>
      <c r="I1318" s="7"/>
      <c r="J1318" s="35"/>
      <c r="K1318" s="7"/>
      <c r="L1318" s="35"/>
      <c r="M1318" s="7"/>
      <c r="N1318" s="35"/>
      <c r="O1318" s="7"/>
      <c r="P1318" s="35"/>
      <c r="Q1318" s="7"/>
      <c r="R1318" s="35"/>
      <c r="S1318" s="7">
        <f>прил.6!T1168</f>
        <v>37.799999999999997</v>
      </c>
      <c r="T1318" s="35">
        <f t="shared" si="290"/>
        <v>37.799999999999997</v>
      </c>
    </row>
    <row r="1319" spans="1:21" ht="51.75" customHeight="1">
      <c r="A1319" s="61" t="str">
        <f ca="1">IF(ISERROR(MATCH(B1319,Код_КЦСР,0)),"",INDIRECT(ADDRESS(MATCH(B1319,Код_КЦСР,0)+1,2,,,"КЦСР")))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1319" s="47" t="s">
        <v>94</v>
      </c>
      <c r="C1319" s="8"/>
      <c r="D1319" s="1"/>
      <c r="E1319" s="113"/>
      <c r="F1319" s="7"/>
      <c r="G1319" s="7"/>
      <c r="H1319" s="35"/>
      <c r="I1319" s="7"/>
      <c r="J1319" s="35"/>
      <c r="K1319" s="7"/>
      <c r="L1319" s="35"/>
      <c r="M1319" s="7"/>
      <c r="N1319" s="35"/>
      <c r="O1319" s="7"/>
      <c r="P1319" s="35"/>
      <c r="Q1319" s="7"/>
      <c r="R1319" s="35"/>
      <c r="S1319" s="7">
        <f>S1320</f>
        <v>148.5</v>
      </c>
      <c r="T1319" s="35">
        <f t="shared" si="290"/>
        <v>148.5</v>
      </c>
    </row>
    <row r="1320" spans="1:21">
      <c r="A1320" s="61" t="str">
        <f ca="1">IF(ISERROR(MATCH(C1320,Код_Раздел,0)),"",INDIRECT(ADDRESS(MATCH(C1320,Код_Раздел,0)+1,2,,,"Раздел")))</f>
        <v>Культура, кинематография</v>
      </c>
      <c r="B1320" s="47" t="s">
        <v>94</v>
      </c>
      <c r="C1320" s="8" t="s">
        <v>220</v>
      </c>
      <c r="D1320" s="1"/>
      <c r="E1320" s="113"/>
      <c r="F1320" s="7"/>
      <c r="G1320" s="7"/>
      <c r="H1320" s="35"/>
      <c r="I1320" s="7"/>
      <c r="J1320" s="35"/>
      <c r="K1320" s="7"/>
      <c r="L1320" s="35"/>
      <c r="M1320" s="7"/>
      <c r="N1320" s="35"/>
      <c r="O1320" s="7"/>
      <c r="P1320" s="35"/>
      <c r="Q1320" s="7"/>
      <c r="R1320" s="35"/>
      <c r="S1320" s="7">
        <f>S1321</f>
        <v>148.5</v>
      </c>
      <c r="T1320" s="35">
        <f t="shared" si="290"/>
        <v>148.5</v>
      </c>
    </row>
    <row r="1321" spans="1:21">
      <c r="A1321" s="12" t="s">
        <v>161</v>
      </c>
      <c r="B1321" s="47" t="s">
        <v>94</v>
      </c>
      <c r="C1321" s="8" t="s">
        <v>220</v>
      </c>
      <c r="D1321" s="1" t="s">
        <v>214</v>
      </c>
      <c r="E1321" s="113"/>
      <c r="F1321" s="7"/>
      <c r="G1321" s="7"/>
      <c r="H1321" s="35"/>
      <c r="I1321" s="7"/>
      <c r="J1321" s="35"/>
      <c r="K1321" s="7"/>
      <c r="L1321" s="35"/>
      <c r="M1321" s="7"/>
      <c r="N1321" s="35"/>
      <c r="O1321" s="7"/>
      <c r="P1321" s="35"/>
      <c r="Q1321" s="7"/>
      <c r="R1321" s="35"/>
      <c r="S1321" s="7">
        <f>S1322</f>
        <v>148.5</v>
      </c>
      <c r="T1321" s="35">
        <f t="shared" si="290"/>
        <v>148.5</v>
      </c>
    </row>
    <row r="1322" spans="1:21" ht="33">
      <c r="A1322" s="61" t="str">
        <f ca="1">IF(ISERROR(MATCH(E1322,Код_КВР,0)),"",INDIRECT(ADDRESS(MATCH(E1322,Код_КВР,0)+1,2,,,"КВР")))</f>
        <v>Предоставление субсидий бюджетным, автономным учреждениям и иным некоммерческим организациям</v>
      </c>
      <c r="B1322" s="47" t="s">
        <v>94</v>
      </c>
      <c r="C1322" s="8" t="s">
        <v>220</v>
      </c>
      <c r="D1322" s="1" t="s">
        <v>214</v>
      </c>
      <c r="E1322" s="113">
        <v>600</v>
      </c>
      <c r="F1322" s="7"/>
      <c r="G1322" s="7"/>
      <c r="H1322" s="35"/>
      <c r="I1322" s="7"/>
      <c r="J1322" s="35"/>
      <c r="K1322" s="7"/>
      <c r="L1322" s="35"/>
      <c r="M1322" s="7"/>
      <c r="N1322" s="35"/>
      <c r="O1322" s="7"/>
      <c r="P1322" s="35"/>
      <c r="Q1322" s="7"/>
      <c r="R1322" s="35"/>
      <c r="S1322" s="7">
        <f>S1323</f>
        <v>148.5</v>
      </c>
      <c r="T1322" s="35">
        <f t="shared" si="290"/>
        <v>148.5</v>
      </c>
    </row>
    <row r="1323" spans="1:21">
      <c r="A1323" s="61" t="str">
        <f ca="1">IF(ISERROR(MATCH(E1323,Код_КВР,0)),"",INDIRECT(ADDRESS(MATCH(E1323,Код_КВР,0)+1,2,,,"КВР")))</f>
        <v>Субсидии бюджетным учреждениям</v>
      </c>
      <c r="B1323" s="47" t="s">
        <v>94</v>
      </c>
      <c r="C1323" s="8" t="s">
        <v>220</v>
      </c>
      <c r="D1323" s="1" t="s">
        <v>214</v>
      </c>
      <c r="E1323" s="113">
        <v>610</v>
      </c>
      <c r="F1323" s="7"/>
      <c r="G1323" s="7"/>
      <c r="H1323" s="35"/>
      <c r="I1323" s="7"/>
      <c r="J1323" s="35"/>
      <c r="K1323" s="7"/>
      <c r="L1323" s="35"/>
      <c r="M1323" s="7"/>
      <c r="N1323" s="35"/>
      <c r="O1323" s="7"/>
      <c r="P1323" s="35"/>
      <c r="Q1323" s="7"/>
      <c r="R1323" s="35"/>
      <c r="S1323" s="7">
        <f>S1324</f>
        <v>148.5</v>
      </c>
      <c r="T1323" s="35">
        <f t="shared" si="290"/>
        <v>148.5</v>
      </c>
    </row>
    <row r="1324" spans="1:21">
      <c r="A1324" s="61" t="str">
        <f ca="1">IF(ISERROR(MATCH(E1324,Код_КВР,0)),"",INDIRECT(ADDRESS(MATCH(E1324,Код_КВР,0)+1,2,,,"КВР")))</f>
        <v>Субсидии бюджетным учреждениям на иные цели</v>
      </c>
      <c r="B1324" s="47" t="s">
        <v>94</v>
      </c>
      <c r="C1324" s="8" t="s">
        <v>220</v>
      </c>
      <c r="D1324" s="1" t="s">
        <v>214</v>
      </c>
      <c r="E1324" s="113">
        <v>612</v>
      </c>
      <c r="F1324" s="7"/>
      <c r="G1324" s="7"/>
      <c r="H1324" s="35"/>
      <c r="I1324" s="7"/>
      <c r="J1324" s="35"/>
      <c r="K1324" s="7"/>
      <c r="L1324" s="35"/>
      <c r="M1324" s="7"/>
      <c r="N1324" s="35"/>
      <c r="O1324" s="7"/>
      <c r="P1324" s="35"/>
      <c r="Q1324" s="7"/>
      <c r="R1324" s="35"/>
      <c r="S1324" s="7">
        <f>прил.6!T1172</f>
        <v>148.5</v>
      </c>
      <c r="T1324" s="35">
        <f t="shared" si="290"/>
        <v>148.5</v>
      </c>
    </row>
    <row r="1325" spans="1:21" hidden="1">
      <c r="A1325" s="61" t="str">
        <f ca="1">IF(ISERROR(MATCH(B1325,Код_КЦСР,0)),"",INDIRECT(ADDRESS(MATCH(B1325,Код_КЦСР,0)+1,2,,,"КЦСР")))</f>
        <v>Установка распашных решеток на окнах зданий</v>
      </c>
      <c r="B1325" s="45" t="s">
        <v>102</v>
      </c>
      <c r="C1325" s="8"/>
      <c r="D1325" s="1"/>
      <c r="E1325" s="113"/>
      <c r="F1325" s="7">
        <f t="shared" ref="F1325:S1327" si="291">F1326</f>
        <v>105.4</v>
      </c>
      <c r="G1325" s="7">
        <f t="shared" si="291"/>
        <v>0</v>
      </c>
      <c r="H1325" s="35">
        <f t="shared" si="280"/>
        <v>105.4</v>
      </c>
      <c r="I1325" s="7">
        <f t="shared" si="291"/>
        <v>0</v>
      </c>
      <c r="J1325" s="35">
        <f t="shared" si="277"/>
        <v>105.4</v>
      </c>
      <c r="K1325" s="7">
        <f t="shared" si="291"/>
        <v>0</v>
      </c>
      <c r="L1325" s="35">
        <f t="shared" si="288"/>
        <v>105.4</v>
      </c>
      <c r="M1325" s="7">
        <f t="shared" si="291"/>
        <v>0</v>
      </c>
      <c r="N1325" s="35">
        <f t="shared" si="289"/>
        <v>105.4</v>
      </c>
      <c r="O1325" s="7">
        <f t="shared" si="291"/>
        <v>0</v>
      </c>
      <c r="P1325" s="35">
        <f t="shared" si="281"/>
        <v>105.4</v>
      </c>
      <c r="Q1325" s="7">
        <f t="shared" si="291"/>
        <v>0</v>
      </c>
      <c r="R1325" s="35">
        <f t="shared" si="278"/>
        <v>105.4</v>
      </c>
      <c r="S1325" s="7">
        <f t="shared" si="291"/>
        <v>-105.4</v>
      </c>
      <c r="T1325" s="35">
        <f t="shared" ref="T1325:T1381" si="292">R1325+S1325</f>
        <v>0</v>
      </c>
      <c r="U1325" s="20" t="s">
        <v>706</v>
      </c>
    </row>
    <row r="1326" spans="1:21" hidden="1">
      <c r="A1326" s="61" t="str">
        <f ca="1">IF(ISERROR(MATCH(C1326,Код_Раздел,0)),"",INDIRECT(ADDRESS(MATCH(C1326,Код_Раздел,0)+1,2,,,"Раздел")))</f>
        <v>Культура, кинематография</v>
      </c>
      <c r="B1326" s="45" t="s">
        <v>102</v>
      </c>
      <c r="C1326" s="8" t="s">
        <v>220</v>
      </c>
      <c r="D1326" s="1"/>
      <c r="E1326" s="113"/>
      <c r="F1326" s="7">
        <f t="shared" si="291"/>
        <v>105.4</v>
      </c>
      <c r="G1326" s="7">
        <f t="shared" si="291"/>
        <v>0</v>
      </c>
      <c r="H1326" s="35">
        <f t="shared" si="280"/>
        <v>105.4</v>
      </c>
      <c r="I1326" s="7">
        <f t="shared" si="291"/>
        <v>0</v>
      </c>
      <c r="J1326" s="35">
        <f t="shared" si="277"/>
        <v>105.4</v>
      </c>
      <c r="K1326" s="7">
        <f t="shared" si="291"/>
        <v>0</v>
      </c>
      <c r="L1326" s="35">
        <f t="shared" si="288"/>
        <v>105.4</v>
      </c>
      <c r="M1326" s="7">
        <f t="shared" si="291"/>
        <v>0</v>
      </c>
      <c r="N1326" s="35">
        <f t="shared" si="289"/>
        <v>105.4</v>
      </c>
      <c r="O1326" s="7">
        <f t="shared" si="291"/>
        <v>0</v>
      </c>
      <c r="P1326" s="35">
        <f t="shared" si="281"/>
        <v>105.4</v>
      </c>
      <c r="Q1326" s="7">
        <f t="shared" si="291"/>
        <v>0</v>
      </c>
      <c r="R1326" s="35">
        <f t="shared" si="278"/>
        <v>105.4</v>
      </c>
      <c r="S1326" s="7">
        <f t="shared" si="291"/>
        <v>-105.4</v>
      </c>
      <c r="T1326" s="35">
        <f t="shared" si="292"/>
        <v>0</v>
      </c>
      <c r="U1326" s="20" t="s">
        <v>706</v>
      </c>
    </row>
    <row r="1327" spans="1:21" hidden="1">
      <c r="A1327" s="12" t="s">
        <v>161</v>
      </c>
      <c r="B1327" s="45" t="s">
        <v>102</v>
      </c>
      <c r="C1327" s="8" t="s">
        <v>220</v>
      </c>
      <c r="D1327" s="1" t="s">
        <v>214</v>
      </c>
      <c r="E1327" s="113"/>
      <c r="F1327" s="7">
        <f t="shared" si="291"/>
        <v>105.4</v>
      </c>
      <c r="G1327" s="7">
        <f t="shared" si="291"/>
        <v>0</v>
      </c>
      <c r="H1327" s="35">
        <f t="shared" si="280"/>
        <v>105.4</v>
      </c>
      <c r="I1327" s="7">
        <f t="shared" si="291"/>
        <v>0</v>
      </c>
      <c r="J1327" s="35">
        <f t="shared" si="277"/>
        <v>105.4</v>
      </c>
      <c r="K1327" s="7">
        <f t="shared" si="291"/>
        <v>0</v>
      </c>
      <c r="L1327" s="35">
        <f t="shared" si="288"/>
        <v>105.4</v>
      </c>
      <c r="M1327" s="7">
        <f t="shared" si="291"/>
        <v>0</v>
      </c>
      <c r="N1327" s="35">
        <f t="shared" si="289"/>
        <v>105.4</v>
      </c>
      <c r="O1327" s="7">
        <f t="shared" si="291"/>
        <v>0</v>
      </c>
      <c r="P1327" s="35">
        <f t="shared" si="281"/>
        <v>105.4</v>
      </c>
      <c r="Q1327" s="7">
        <f t="shared" si="291"/>
        <v>0</v>
      </c>
      <c r="R1327" s="35">
        <f t="shared" si="278"/>
        <v>105.4</v>
      </c>
      <c r="S1327" s="7">
        <f t="shared" si="291"/>
        <v>-105.4</v>
      </c>
      <c r="T1327" s="35">
        <f t="shared" si="292"/>
        <v>0</v>
      </c>
      <c r="U1327" s="20" t="s">
        <v>706</v>
      </c>
    </row>
    <row r="1328" spans="1:21" ht="33" hidden="1">
      <c r="A1328" s="61" t="str">
        <f ca="1">IF(ISERROR(MATCH(E1328,Код_КВР,0)),"",INDIRECT(ADDRESS(MATCH(E1328,Код_КВР,0)+1,2,,,"КВР")))</f>
        <v>Предоставление субсидий бюджетным, автономным учреждениям и иным некоммерческим организациям</v>
      </c>
      <c r="B1328" s="45" t="s">
        <v>102</v>
      </c>
      <c r="C1328" s="8" t="s">
        <v>220</v>
      </c>
      <c r="D1328" s="1" t="s">
        <v>214</v>
      </c>
      <c r="E1328" s="113">
        <v>600</v>
      </c>
      <c r="F1328" s="7">
        <f>F1329+F1331</f>
        <v>105.4</v>
      </c>
      <c r="G1328" s="7">
        <f>G1329+G1331</f>
        <v>0</v>
      </c>
      <c r="H1328" s="35">
        <f t="shared" si="280"/>
        <v>105.4</v>
      </c>
      <c r="I1328" s="7">
        <f>I1329+I1331</f>
        <v>0</v>
      </c>
      <c r="J1328" s="35">
        <f t="shared" si="277"/>
        <v>105.4</v>
      </c>
      <c r="K1328" s="7">
        <f>K1329+K1331</f>
        <v>0</v>
      </c>
      <c r="L1328" s="35">
        <f t="shared" si="288"/>
        <v>105.4</v>
      </c>
      <c r="M1328" s="7">
        <f>M1329+M1331</f>
        <v>0</v>
      </c>
      <c r="N1328" s="35">
        <f t="shared" si="289"/>
        <v>105.4</v>
      </c>
      <c r="O1328" s="7">
        <f>O1329+O1331</f>
        <v>0</v>
      </c>
      <c r="P1328" s="35">
        <f t="shared" si="281"/>
        <v>105.4</v>
      </c>
      <c r="Q1328" s="7">
        <f>Q1329+Q1331</f>
        <v>0</v>
      </c>
      <c r="R1328" s="35">
        <f t="shared" si="278"/>
        <v>105.4</v>
      </c>
      <c r="S1328" s="7">
        <f>S1329+S1331</f>
        <v>-105.4</v>
      </c>
      <c r="T1328" s="35">
        <f t="shared" si="292"/>
        <v>0</v>
      </c>
      <c r="U1328" s="20" t="s">
        <v>706</v>
      </c>
    </row>
    <row r="1329" spans="1:21" hidden="1">
      <c r="A1329" s="61" t="str">
        <f ca="1">IF(ISERROR(MATCH(E1329,Код_КВР,0)),"",INDIRECT(ADDRESS(MATCH(E1329,Код_КВР,0)+1,2,,,"КВР")))</f>
        <v>Субсидии бюджетным учреждениям</v>
      </c>
      <c r="B1329" s="45" t="s">
        <v>102</v>
      </c>
      <c r="C1329" s="8" t="s">
        <v>220</v>
      </c>
      <c r="D1329" s="1" t="s">
        <v>214</v>
      </c>
      <c r="E1329" s="113">
        <v>610</v>
      </c>
      <c r="F1329" s="7">
        <f>F1330</f>
        <v>55.4</v>
      </c>
      <c r="G1329" s="7">
        <f>G1330</f>
        <v>0</v>
      </c>
      <c r="H1329" s="35">
        <f t="shared" si="280"/>
        <v>55.4</v>
      </c>
      <c r="I1329" s="7">
        <f>I1330</f>
        <v>0</v>
      </c>
      <c r="J1329" s="35">
        <f t="shared" si="277"/>
        <v>55.4</v>
      </c>
      <c r="K1329" s="7">
        <f>K1330</f>
        <v>0</v>
      </c>
      <c r="L1329" s="35">
        <f t="shared" si="288"/>
        <v>55.4</v>
      </c>
      <c r="M1329" s="7">
        <f>M1330</f>
        <v>0</v>
      </c>
      <c r="N1329" s="35">
        <f t="shared" si="289"/>
        <v>55.4</v>
      </c>
      <c r="O1329" s="7">
        <f>O1330</f>
        <v>0</v>
      </c>
      <c r="P1329" s="35">
        <f t="shared" si="281"/>
        <v>55.4</v>
      </c>
      <c r="Q1329" s="7">
        <f>Q1330</f>
        <v>0</v>
      </c>
      <c r="R1329" s="35">
        <f t="shared" si="278"/>
        <v>55.4</v>
      </c>
      <c r="S1329" s="7">
        <f>S1330</f>
        <v>-55.4</v>
      </c>
      <c r="T1329" s="35">
        <f t="shared" si="292"/>
        <v>0</v>
      </c>
      <c r="U1329" s="20" t="s">
        <v>706</v>
      </c>
    </row>
    <row r="1330" spans="1:21" hidden="1">
      <c r="A1330" s="61" t="str">
        <f ca="1">IF(ISERROR(MATCH(E1330,Код_КВР,0)),"",INDIRECT(ADDRESS(MATCH(E1330,Код_КВР,0)+1,2,,,"КВР")))</f>
        <v>Субсидии бюджетным учреждениям на иные цели</v>
      </c>
      <c r="B1330" s="45" t="s">
        <v>102</v>
      </c>
      <c r="C1330" s="8" t="s">
        <v>220</v>
      </c>
      <c r="D1330" s="1" t="s">
        <v>214</v>
      </c>
      <c r="E1330" s="113">
        <v>612</v>
      </c>
      <c r="F1330" s="7">
        <f>прил.6!G1176</f>
        <v>55.4</v>
      </c>
      <c r="G1330" s="7">
        <f>прил.6!H1176</f>
        <v>0</v>
      </c>
      <c r="H1330" s="35">
        <f t="shared" si="280"/>
        <v>55.4</v>
      </c>
      <c r="I1330" s="7">
        <f>прил.6!J1176</f>
        <v>0</v>
      </c>
      <c r="J1330" s="35">
        <f t="shared" si="277"/>
        <v>55.4</v>
      </c>
      <c r="K1330" s="7">
        <f>прил.6!L1176</f>
        <v>0</v>
      </c>
      <c r="L1330" s="35">
        <f t="shared" si="288"/>
        <v>55.4</v>
      </c>
      <c r="M1330" s="7">
        <f>прил.6!N1176</f>
        <v>0</v>
      </c>
      <c r="N1330" s="35">
        <f t="shared" si="289"/>
        <v>55.4</v>
      </c>
      <c r="O1330" s="7">
        <f>прил.6!P1176</f>
        <v>0</v>
      </c>
      <c r="P1330" s="35">
        <f t="shared" si="281"/>
        <v>55.4</v>
      </c>
      <c r="Q1330" s="7">
        <f>прил.6!R1176</f>
        <v>0</v>
      </c>
      <c r="R1330" s="35">
        <f t="shared" si="278"/>
        <v>55.4</v>
      </c>
      <c r="S1330" s="7">
        <f>прил.6!T1176</f>
        <v>-55.4</v>
      </c>
      <c r="T1330" s="35">
        <f t="shared" si="292"/>
        <v>0</v>
      </c>
      <c r="U1330" s="20" t="s">
        <v>706</v>
      </c>
    </row>
    <row r="1331" spans="1:21" hidden="1">
      <c r="A1331" s="61" t="str">
        <f ca="1">IF(ISERROR(MATCH(E1331,Код_КВР,0)),"",INDIRECT(ADDRESS(MATCH(E1331,Код_КВР,0)+1,2,,,"КВР")))</f>
        <v>Субсидии автономным учреждениям</v>
      </c>
      <c r="B1331" s="45" t="s">
        <v>102</v>
      </c>
      <c r="C1331" s="8" t="s">
        <v>220</v>
      </c>
      <c r="D1331" s="1" t="s">
        <v>214</v>
      </c>
      <c r="E1331" s="113">
        <v>620</v>
      </c>
      <c r="F1331" s="7">
        <f>F1332</f>
        <v>50</v>
      </c>
      <c r="G1331" s="7">
        <f>G1332</f>
        <v>0</v>
      </c>
      <c r="H1331" s="35">
        <f t="shared" si="280"/>
        <v>50</v>
      </c>
      <c r="I1331" s="7">
        <f>I1332</f>
        <v>0</v>
      </c>
      <c r="J1331" s="35">
        <f t="shared" si="277"/>
        <v>50</v>
      </c>
      <c r="K1331" s="7">
        <f>K1332</f>
        <v>0</v>
      </c>
      <c r="L1331" s="35">
        <f t="shared" si="288"/>
        <v>50</v>
      </c>
      <c r="M1331" s="7">
        <f>M1332</f>
        <v>0</v>
      </c>
      <c r="N1331" s="35">
        <f t="shared" si="289"/>
        <v>50</v>
      </c>
      <c r="O1331" s="7">
        <f>O1332</f>
        <v>0</v>
      </c>
      <c r="P1331" s="35">
        <f t="shared" si="281"/>
        <v>50</v>
      </c>
      <c r="Q1331" s="7">
        <f>Q1332</f>
        <v>0</v>
      </c>
      <c r="R1331" s="35">
        <f t="shared" si="278"/>
        <v>50</v>
      </c>
      <c r="S1331" s="7">
        <f>S1332</f>
        <v>-50</v>
      </c>
      <c r="T1331" s="35">
        <f t="shared" si="292"/>
        <v>0</v>
      </c>
      <c r="U1331" s="20" t="s">
        <v>706</v>
      </c>
    </row>
    <row r="1332" spans="1:21" hidden="1">
      <c r="A1332" s="61" t="str">
        <f ca="1">IF(ISERROR(MATCH(E1332,Код_КВР,0)),"",INDIRECT(ADDRESS(MATCH(E1332,Код_КВР,0)+1,2,,,"КВР")))</f>
        <v>Субсидии автономным учреждениям на иные цели</v>
      </c>
      <c r="B1332" s="45" t="s">
        <v>102</v>
      </c>
      <c r="C1332" s="8" t="s">
        <v>220</v>
      </c>
      <c r="D1332" s="1" t="s">
        <v>214</v>
      </c>
      <c r="E1332" s="113">
        <v>622</v>
      </c>
      <c r="F1332" s="7">
        <f>прил.6!G1178</f>
        <v>50</v>
      </c>
      <c r="G1332" s="7">
        <f>прил.6!H1178</f>
        <v>0</v>
      </c>
      <c r="H1332" s="35">
        <f t="shared" si="280"/>
        <v>50</v>
      </c>
      <c r="I1332" s="7">
        <f>прил.6!J1178</f>
        <v>0</v>
      </c>
      <c r="J1332" s="35">
        <f t="shared" si="277"/>
        <v>50</v>
      </c>
      <c r="K1332" s="7">
        <f>прил.6!L1178</f>
        <v>0</v>
      </c>
      <c r="L1332" s="35">
        <f t="shared" si="288"/>
        <v>50</v>
      </c>
      <c r="M1332" s="7">
        <f>прил.6!N1178</f>
        <v>0</v>
      </c>
      <c r="N1332" s="35">
        <f t="shared" si="289"/>
        <v>50</v>
      </c>
      <c r="O1332" s="7">
        <f>прил.6!P1178</f>
        <v>0</v>
      </c>
      <c r="P1332" s="35">
        <f t="shared" si="281"/>
        <v>50</v>
      </c>
      <c r="Q1332" s="7">
        <f>прил.6!R1178</f>
        <v>0</v>
      </c>
      <c r="R1332" s="35">
        <f t="shared" si="278"/>
        <v>50</v>
      </c>
      <c r="S1332" s="7">
        <f>прил.6!T1178</f>
        <v>-50</v>
      </c>
      <c r="T1332" s="35">
        <f t="shared" si="292"/>
        <v>0</v>
      </c>
      <c r="U1332" s="20" t="s">
        <v>706</v>
      </c>
    </row>
    <row r="1333" spans="1:21" ht="33">
      <c r="A1333" s="61" t="str">
        <f ca="1">IF(ISERROR(MATCH(B1333,Код_КЦСР,0)),"",INDIRECT(ADDRESS(MATCH(B1333,Код_КЦСР,0)+1,2,,,"КЦСР")))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333" s="45" t="s">
        <v>104</v>
      </c>
      <c r="C1333" s="8"/>
      <c r="D1333" s="1"/>
      <c r="E1333" s="113"/>
      <c r="F1333" s="7">
        <f>F1334+F1345+F1351+F1356</f>
        <v>49441.599999999999</v>
      </c>
      <c r="G1333" s="7">
        <f>G1334+G1345+G1351+G1356</f>
        <v>0</v>
      </c>
      <c r="H1333" s="35">
        <f t="shared" si="280"/>
        <v>49441.599999999999</v>
      </c>
      <c r="I1333" s="7">
        <f>I1334+I1345+I1351+I1356</f>
        <v>0</v>
      </c>
      <c r="J1333" s="35">
        <f t="shared" si="277"/>
        <v>49441.599999999999</v>
      </c>
      <c r="K1333" s="7">
        <f>K1334+K1345+K1351+K1356</f>
        <v>-3424</v>
      </c>
      <c r="L1333" s="35">
        <f t="shared" si="288"/>
        <v>46017.599999999999</v>
      </c>
      <c r="M1333" s="7">
        <f>M1334+M1345+M1351+M1356</f>
        <v>0</v>
      </c>
      <c r="N1333" s="35">
        <f t="shared" si="289"/>
        <v>46017.599999999999</v>
      </c>
      <c r="O1333" s="7">
        <f>O1334+O1345+O1351+O1356</f>
        <v>0</v>
      </c>
      <c r="P1333" s="35">
        <f t="shared" si="281"/>
        <v>46017.599999999999</v>
      </c>
      <c r="Q1333" s="7">
        <f>Q1334+Q1345+Q1351+Q1356</f>
        <v>80.099999999999994</v>
      </c>
      <c r="R1333" s="35">
        <f t="shared" si="278"/>
        <v>46097.7</v>
      </c>
      <c r="S1333" s="7">
        <f>S1334+S1345+S1351+S1356</f>
        <v>0</v>
      </c>
      <c r="T1333" s="35">
        <f t="shared" si="292"/>
        <v>46097.7</v>
      </c>
    </row>
    <row r="1334" spans="1:21" ht="57" customHeight="1">
      <c r="A1334" s="61" t="str">
        <f ca="1">IF(ISERROR(MATCH(B1334,Код_КЦСР,0)),"",INDIRECT(ADDRESS(MATCH(B1334,Код_КЦСР,0)+1,2,,,"КЦСР")))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1334" s="45" t="s">
        <v>106</v>
      </c>
      <c r="C1334" s="8"/>
      <c r="D1334" s="1"/>
      <c r="E1334" s="113"/>
      <c r="F1334" s="7">
        <f>F1335</f>
        <v>881.7</v>
      </c>
      <c r="G1334" s="7">
        <f>G1335</f>
        <v>0</v>
      </c>
      <c r="H1334" s="35">
        <f t="shared" si="280"/>
        <v>881.7</v>
      </c>
      <c r="I1334" s="7">
        <f>I1335</f>
        <v>-653.30000000000007</v>
      </c>
      <c r="J1334" s="35">
        <f t="shared" si="277"/>
        <v>228.39999999999998</v>
      </c>
      <c r="K1334" s="7">
        <f>K1335</f>
        <v>-44</v>
      </c>
      <c r="L1334" s="35">
        <f t="shared" si="288"/>
        <v>184.39999999999998</v>
      </c>
      <c r="M1334" s="7">
        <f>M1335</f>
        <v>0</v>
      </c>
      <c r="N1334" s="35">
        <f t="shared" si="289"/>
        <v>184.39999999999998</v>
      </c>
      <c r="O1334" s="7">
        <f>O1335</f>
        <v>0</v>
      </c>
      <c r="P1334" s="35">
        <f t="shared" si="281"/>
        <v>184.39999999999998</v>
      </c>
      <c r="Q1334" s="7">
        <f>Q1335</f>
        <v>0</v>
      </c>
      <c r="R1334" s="35">
        <f t="shared" si="278"/>
        <v>184.39999999999998</v>
      </c>
      <c r="S1334" s="7">
        <f>S1335</f>
        <v>0</v>
      </c>
      <c r="T1334" s="35">
        <f t="shared" si="292"/>
        <v>184.39999999999998</v>
      </c>
    </row>
    <row r="1335" spans="1:21">
      <c r="A1335" s="61" t="str">
        <f ca="1">IF(ISERROR(MATCH(C1335,Код_Раздел,0)),"",INDIRECT(ADDRESS(MATCH(C1335,Код_Раздел,0)+1,2,,,"Раздел")))</f>
        <v>Национальная безопасность и правоохранительная  деятельность</v>
      </c>
      <c r="B1335" s="45" t="s">
        <v>106</v>
      </c>
      <c r="C1335" s="8" t="s">
        <v>213</v>
      </c>
      <c r="D1335" s="1"/>
      <c r="E1335" s="113"/>
      <c r="F1335" s="7">
        <f>F1336</f>
        <v>881.7</v>
      </c>
      <c r="G1335" s="7">
        <f>G1336</f>
        <v>0</v>
      </c>
      <c r="H1335" s="35">
        <f t="shared" si="280"/>
        <v>881.7</v>
      </c>
      <c r="I1335" s="7">
        <f>I1336</f>
        <v>-653.30000000000007</v>
      </c>
      <c r="J1335" s="35">
        <f t="shared" si="277"/>
        <v>228.39999999999998</v>
      </c>
      <c r="K1335" s="7">
        <f>K1336</f>
        <v>-44</v>
      </c>
      <c r="L1335" s="35">
        <f t="shared" si="288"/>
        <v>184.39999999999998</v>
      </c>
      <c r="M1335" s="7">
        <f>M1336</f>
        <v>0</v>
      </c>
      <c r="N1335" s="35">
        <f t="shared" si="289"/>
        <v>184.39999999999998</v>
      </c>
      <c r="O1335" s="7">
        <f>O1336</f>
        <v>0</v>
      </c>
      <c r="P1335" s="35">
        <f t="shared" si="281"/>
        <v>184.39999999999998</v>
      </c>
      <c r="Q1335" s="7">
        <f>Q1336</f>
        <v>0</v>
      </c>
      <c r="R1335" s="35">
        <f t="shared" si="278"/>
        <v>184.39999999999998</v>
      </c>
      <c r="S1335" s="7">
        <f>S1336</f>
        <v>0</v>
      </c>
      <c r="T1335" s="35">
        <f t="shared" si="292"/>
        <v>184.39999999999998</v>
      </c>
    </row>
    <row r="1336" spans="1:21" ht="33">
      <c r="A1336" s="12" t="s">
        <v>259</v>
      </c>
      <c r="B1336" s="45" t="s">
        <v>106</v>
      </c>
      <c r="C1336" s="8" t="s">
        <v>213</v>
      </c>
      <c r="D1336" s="1" t="s">
        <v>217</v>
      </c>
      <c r="E1336" s="113"/>
      <c r="F1336" s="7">
        <f>F1337+F1339</f>
        <v>881.7</v>
      </c>
      <c r="G1336" s="7">
        <f>G1337+G1339</f>
        <v>0</v>
      </c>
      <c r="H1336" s="35">
        <f t="shared" si="280"/>
        <v>881.7</v>
      </c>
      <c r="I1336" s="7">
        <f>I1337+I1339+I1342</f>
        <v>-653.30000000000007</v>
      </c>
      <c r="J1336" s="35">
        <f t="shared" si="277"/>
        <v>228.39999999999998</v>
      </c>
      <c r="K1336" s="7">
        <f>K1337+K1339+K1342</f>
        <v>-44</v>
      </c>
      <c r="L1336" s="35">
        <f t="shared" si="288"/>
        <v>184.39999999999998</v>
      </c>
      <c r="M1336" s="7">
        <f>M1337+M1339+M1342</f>
        <v>0</v>
      </c>
      <c r="N1336" s="35">
        <f t="shared" si="289"/>
        <v>184.39999999999998</v>
      </c>
      <c r="O1336" s="7">
        <f>O1337+O1339+O1342</f>
        <v>0</v>
      </c>
      <c r="P1336" s="35">
        <f t="shared" si="281"/>
        <v>184.39999999999998</v>
      </c>
      <c r="Q1336" s="7">
        <f>Q1337+Q1339+Q1342</f>
        <v>0</v>
      </c>
      <c r="R1336" s="35">
        <f t="shared" ref="R1336:R1399" si="293">P1336+Q1336</f>
        <v>184.39999999999998</v>
      </c>
      <c r="S1336" s="7">
        <f>S1337+S1339+S1342</f>
        <v>0</v>
      </c>
      <c r="T1336" s="35">
        <f t="shared" si="292"/>
        <v>184.39999999999998</v>
      </c>
    </row>
    <row r="1337" spans="1:21" ht="33" hidden="1">
      <c r="A1337" s="61" t="str">
        <f t="shared" ref="A1337:A1344" ca="1" si="294">IF(ISERROR(MATCH(E1337,Код_КВР,0)),"",INDIRECT(ADDRESS(MATCH(E1337,Код_КВР,0)+1,2,,,"КВР")))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7" s="45" t="s">
        <v>106</v>
      </c>
      <c r="C1337" s="8" t="s">
        <v>213</v>
      </c>
      <c r="D1337" s="1" t="s">
        <v>217</v>
      </c>
      <c r="E1337" s="89">
        <v>100</v>
      </c>
      <c r="F1337" s="7">
        <f>F1338</f>
        <v>555</v>
      </c>
      <c r="G1337" s="7">
        <f>G1338</f>
        <v>0</v>
      </c>
      <c r="H1337" s="35">
        <f t="shared" si="280"/>
        <v>555</v>
      </c>
      <c r="I1337" s="7">
        <f>I1338</f>
        <v>-555</v>
      </c>
      <c r="J1337" s="35">
        <f t="shared" si="277"/>
        <v>0</v>
      </c>
      <c r="K1337" s="7">
        <f>K1338</f>
        <v>0</v>
      </c>
      <c r="L1337" s="35">
        <f t="shared" si="288"/>
        <v>0</v>
      </c>
      <c r="M1337" s="7">
        <f>M1338</f>
        <v>0</v>
      </c>
      <c r="N1337" s="35">
        <f t="shared" si="289"/>
        <v>0</v>
      </c>
      <c r="O1337" s="7">
        <f>O1338</f>
        <v>0</v>
      </c>
      <c r="P1337" s="35">
        <f t="shared" si="281"/>
        <v>0</v>
      </c>
      <c r="Q1337" s="7">
        <f>Q1338</f>
        <v>0</v>
      </c>
      <c r="R1337" s="35">
        <f t="shared" si="293"/>
        <v>0</v>
      </c>
      <c r="S1337" s="7">
        <f>S1338</f>
        <v>0</v>
      </c>
      <c r="T1337" s="35">
        <f t="shared" si="292"/>
        <v>0</v>
      </c>
      <c r="U1337" s="20" t="s">
        <v>706</v>
      </c>
    </row>
    <row r="1338" spans="1:21" hidden="1">
      <c r="A1338" s="61" t="str">
        <f t="shared" ca="1" si="294"/>
        <v>Расходы на выплаты персоналу казенных учреждений</v>
      </c>
      <c r="B1338" s="45" t="s">
        <v>106</v>
      </c>
      <c r="C1338" s="8" t="s">
        <v>213</v>
      </c>
      <c r="D1338" s="1" t="s">
        <v>217</v>
      </c>
      <c r="E1338" s="89">
        <v>110</v>
      </c>
      <c r="F1338" s="7">
        <f>прил.6!G195</f>
        <v>555</v>
      </c>
      <c r="G1338" s="7">
        <f>прил.6!H195</f>
        <v>0</v>
      </c>
      <c r="H1338" s="35">
        <f t="shared" si="280"/>
        <v>555</v>
      </c>
      <c r="I1338" s="7">
        <f>прил.6!J195</f>
        <v>-555</v>
      </c>
      <c r="J1338" s="35">
        <f t="shared" si="277"/>
        <v>0</v>
      </c>
      <c r="K1338" s="7">
        <f>прил.6!L195</f>
        <v>0</v>
      </c>
      <c r="L1338" s="35">
        <f t="shared" si="288"/>
        <v>0</v>
      </c>
      <c r="M1338" s="7">
        <f>прил.6!N195</f>
        <v>0</v>
      </c>
      <c r="N1338" s="35">
        <f t="shared" si="289"/>
        <v>0</v>
      </c>
      <c r="O1338" s="7">
        <f>прил.6!P195</f>
        <v>0</v>
      </c>
      <c r="P1338" s="35">
        <f t="shared" si="281"/>
        <v>0</v>
      </c>
      <c r="Q1338" s="7">
        <f>прил.6!R195</f>
        <v>0</v>
      </c>
      <c r="R1338" s="35">
        <f t="shared" si="293"/>
        <v>0</v>
      </c>
      <c r="S1338" s="7">
        <f>прил.6!T195</f>
        <v>0</v>
      </c>
      <c r="T1338" s="35">
        <f t="shared" si="292"/>
        <v>0</v>
      </c>
      <c r="U1338" s="20" t="s">
        <v>706</v>
      </c>
    </row>
    <row r="1339" spans="1:21" hidden="1">
      <c r="A1339" s="61" t="str">
        <f t="shared" ca="1" si="294"/>
        <v>Закупка товаров, работ и услуг для муниципальных нужд</v>
      </c>
      <c r="B1339" s="45" t="s">
        <v>106</v>
      </c>
      <c r="C1339" s="8" t="s">
        <v>213</v>
      </c>
      <c r="D1339" s="1" t="s">
        <v>217</v>
      </c>
      <c r="E1339" s="89">
        <v>200</v>
      </c>
      <c r="F1339" s="7">
        <f>F1340</f>
        <v>326.7</v>
      </c>
      <c r="G1339" s="7">
        <f>G1340</f>
        <v>0</v>
      </c>
      <c r="H1339" s="35">
        <f t="shared" si="280"/>
        <v>326.7</v>
      </c>
      <c r="I1339" s="7">
        <f>I1340</f>
        <v>-326.7</v>
      </c>
      <c r="J1339" s="35">
        <f t="shared" ref="J1339:J1344" si="295">H1339+I1339</f>
        <v>0</v>
      </c>
      <c r="K1339" s="7">
        <f>K1340</f>
        <v>0</v>
      </c>
      <c r="L1339" s="35">
        <f t="shared" si="288"/>
        <v>0</v>
      </c>
      <c r="M1339" s="7">
        <f>M1340</f>
        <v>0</v>
      </c>
      <c r="N1339" s="35">
        <f t="shared" si="289"/>
        <v>0</v>
      </c>
      <c r="O1339" s="7">
        <f>O1340</f>
        <v>0</v>
      </c>
      <c r="P1339" s="35">
        <f t="shared" si="281"/>
        <v>0</v>
      </c>
      <c r="Q1339" s="7">
        <f>Q1340</f>
        <v>0</v>
      </c>
      <c r="R1339" s="35">
        <f t="shared" si="293"/>
        <v>0</v>
      </c>
      <c r="S1339" s="7">
        <f>S1340</f>
        <v>0</v>
      </c>
      <c r="T1339" s="35">
        <f t="shared" si="292"/>
        <v>0</v>
      </c>
      <c r="U1339" s="20" t="s">
        <v>706</v>
      </c>
    </row>
    <row r="1340" spans="1:21" ht="33" hidden="1">
      <c r="A1340" s="61" t="str">
        <f t="shared" ca="1" si="294"/>
        <v>Иные закупки товаров, работ и услуг для обеспечения муниципальных нужд</v>
      </c>
      <c r="B1340" s="45" t="s">
        <v>106</v>
      </c>
      <c r="C1340" s="8" t="s">
        <v>213</v>
      </c>
      <c r="D1340" s="1" t="s">
        <v>217</v>
      </c>
      <c r="E1340" s="89">
        <v>240</v>
      </c>
      <c r="F1340" s="7">
        <f>F1341</f>
        <v>326.7</v>
      </c>
      <c r="G1340" s="7">
        <f>G1341</f>
        <v>0</v>
      </c>
      <c r="H1340" s="35">
        <f t="shared" si="280"/>
        <v>326.7</v>
      </c>
      <c r="I1340" s="7">
        <f>I1341</f>
        <v>-326.7</v>
      </c>
      <c r="J1340" s="35">
        <f t="shared" si="295"/>
        <v>0</v>
      </c>
      <c r="K1340" s="7">
        <f>K1341</f>
        <v>0</v>
      </c>
      <c r="L1340" s="35">
        <f t="shared" si="288"/>
        <v>0</v>
      </c>
      <c r="M1340" s="7">
        <f>M1341</f>
        <v>0</v>
      </c>
      <c r="N1340" s="35">
        <f t="shared" si="289"/>
        <v>0</v>
      </c>
      <c r="O1340" s="7">
        <f>O1341</f>
        <v>0</v>
      </c>
      <c r="P1340" s="35">
        <f t="shared" si="281"/>
        <v>0</v>
      </c>
      <c r="Q1340" s="7">
        <f>Q1341</f>
        <v>0</v>
      </c>
      <c r="R1340" s="35">
        <f t="shared" si="293"/>
        <v>0</v>
      </c>
      <c r="S1340" s="7">
        <f>S1341</f>
        <v>0</v>
      </c>
      <c r="T1340" s="35">
        <f t="shared" si="292"/>
        <v>0</v>
      </c>
      <c r="U1340" s="20" t="s">
        <v>706</v>
      </c>
    </row>
    <row r="1341" spans="1:21" ht="33" hidden="1">
      <c r="A1341" s="61" t="str">
        <f t="shared" ca="1" si="294"/>
        <v xml:space="preserve">Прочая закупка товаров, работ и услуг для обеспечения муниципальных нужд         </v>
      </c>
      <c r="B1341" s="45" t="s">
        <v>106</v>
      </c>
      <c r="C1341" s="8" t="s">
        <v>213</v>
      </c>
      <c r="D1341" s="1" t="s">
        <v>217</v>
      </c>
      <c r="E1341" s="89">
        <v>244</v>
      </c>
      <c r="F1341" s="7">
        <f>прил.6!G198</f>
        <v>326.7</v>
      </c>
      <c r="G1341" s="7">
        <f>прил.6!H198</f>
        <v>0</v>
      </c>
      <c r="H1341" s="35">
        <f t="shared" si="280"/>
        <v>326.7</v>
      </c>
      <c r="I1341" s="7">
        <f>прил.6!J198</f>
        <v>-326.7</v>
      </c>
      <c r="J1341" s="35">
        <f t="shared" si="295"/>
        <v>0</v>
      </c>
      <c r="K1341" s="7">
        <f>прил.6!L198</f>
        <v>0</v>
      </c>
      <c r="L1341" s="35">
        <f t="shared" si="288"/>
        <v>0</v>
      </c>
      <c r="M1341" s="7">
        <f>прил.6!N198</f>
        <v>0</v>
      </c>
      <c r="N1341" s="35">
        <f t="shared" si="289"/>
        <v>0</v>
      </c>
      <c r="O1341" s="7">
        <f>прил.6!P198</f>
        <v>0</v>
      </c>
      <c r="P1341" s="35">
        <f t="shared" si="281"/>
        <v>0</v>
      </c>
      <c r="Q1341" s="7">
        <f>прил.6!R198</f>
        <v>0</v>
      </c>
      <c r="R1341" s="35">
        <f t="shared" si="293"/>
        <v>0</v>
      </c>
      <c r="S1341" s="7">
        <f>прил.6!T198</f>
        <v>0</v>
      </c>
      <c r="T1341" s="35">
        <f t="shared" si="292"/>
        <v>0</v>
      </c>
      <c r="U1341" s="20" t="s">
        <v>706</v>
      </c>
    </row>
    <row r="1342" spans="1:21" ht="33">
      <c r="A1342" s="61" t="str">
        <f t="shared" ca="1" si="294"/>
        <v>Предоставление субсидий бюджетным, автономным учреждениям и иным некоммерческим организациям</v>
      </c>
      <c r="B1342" s="45" t="s">
        <v>106</v>
      </c>
      <c r="C1342" s="8" t="s">
        <v>213</v>
      </c>
      <c r="D1342" s="1" t="s">
        <v>217</v>
      </c>
      <c r="E1342" s="113">
        <v>600</v>
      </c>
      <c r="F1342" s="7"/>
      <c r="G1342" s="7"/>
      <c r="H1342" s="35"/>
      <c r="I1342" s="7">
        <f>I1343</f>
        <v>228.4</v>
      </c>
      <c r="J1342" s="35">
        <f t="shared" si="295"/>
        <v>228.4</v>
      </c>
      <c r="K1342" s="7">
        <f>K1343</f>
        <v>-44</v>
      </c>
      <c r="L1342" s="35">
        <f t="shared" si="288"/>
        <v>184.4</v>
      </c>
      <c r="M1342" s="7">
        <f>M1343</f>
        <v>0</v>
      </c>
      <c r="N1342" s="35">
        <f t="shared" si="289"/>
        <v>184.4</v>
      </c>
      <c r="O1342" s="7">
        <f>O1343</f>
        <v>0</v>
      </c>
      <c r="P1342" s="35">
        <f t="shared" si="281"/>
        <v>184.4</v>
      </c>
      <c r="Q1342" s="7">
        <f>Q1343</f>
        <v>0</v>
      </c>
      <c r="R1342" s="35">
        <f t="shared" si="293"/>
        <v>184.4</v>
      </c>
      <c r="S1342" s="7">
        <f>S1343</f>
        <v>0</v>
      </c>
      <c r="T1342" s="35">
        <f t="shared" si="292"/>
        <v>184.4</v>
      </c>
    </row>
    <row r="1343" spans="1:21">
      <c r="A1343" s="61" t="str">
        <f t="shared" ca="1" si="294"/>
        <v>Субсидии бюджетным учреждениям</v>
      </c>
      <c r="B1343" s="45" t="s">
        <v>106</v>
      </c>
      <c r="C1343" s="8" t="s">
        <v>213</v>
      </c>
      <c r="D1343" s="1" t="s">
        <v>217</v>
      </c>
      <c r="E1343" s="113">
        <v>610</v>
      </c>
      <c r="F1343" s="7"/>
      <c r="G1343" s="7"/>
      <c r="H1343" s="35"/>
      <c r="I1343" s="7">
        <f>I1344</f>
        <v>228.4</v>
      </c>
      <c r="J1343" s="35">
        <f t="shared" si="295"/>
        <v>228.4</v>
      </c>
      <c r="K1343" s="7">
        <f>K1344</f>
        <v>-44</v>
      </c>
      <c r="L1343" s="35">
        <f t="shared" si="288"/>
        <v>184.4</v>
      </c>
      <c r="M1343" s="7">
        <f>M1344</f>
        <v>0</v>
      </c>
      <c r="N1343" s="35">
        <f t="shared" si="289"/>
        <v>184.4</v>
      </c>
      <c r="O1343" s="7">
        <f>O1344</f>
        <v>0</v>
      </c>
      <c r="P1343" s="35">
        <f t="shared" si="281"/>
        <v>184.4</v>
      </c>
      <c r="Q1343" s="7">
        <f>Q1344</f>
        <v>0</v>
      </c>
      <c r="R1343" s="35">
        <f t="shared" si="293"/>
        <v>184.4</v>
      </c>
      <c r="S1343" s="7">
        <f>S1344</f>
        <v>0</v>
      </c>
      <c r="T1343" s="35">
        <f t="shared" si="292"/>
        <v>184.4</v>
      </c>
    </row>
    <row r="1344" spans="1:21">
      <c r="A1344" s="61" t="str">
        <f t="shared" ca="1" si="294"/>
        <v>Субсидии бюджетным учреждениям на иные цели</v>
      </c>
      <c r="B1344" s="45" t="s">
        <v>106</v>
      </c>
      <c r="C1344" s="8" t="s">
        <v>213</v>
      </c>
      <c r="D1344" s="1" t="s">
        <v>217</v>
      </c>
      <c r="E1344" s="113">
        <v>612</v>
      </c>
      <c r="F1344" s="7"/>
      <c r="G1344" s="7"/>
      <c r="H1344" s="35"/>
      <c r="I1344" s="7">
        <v>228.4</v>
      </c>
      <c r="J1344" s="35">
        <f t="shared" si="295"/>
        <v>228.4</v>
      </c>
      <c r="K1344" s="7">
        <f>прил.6!L193</f>
        <v>-44</v>
      </c>
      <c r="L1344" s="35">
        <f t="shared" si="288"/>
        <v>184.4</v>
      </c>
      <c r="M1344" s="7">
        <f>прил.6!N193</f>
        <v>0</v>
      </c>
      <c r="N1344" s="35">
        <f t="shared" si="289"/>
        <v>184.4</v>
      </c>
      <c r="O1344" s="7">
        <f>прил.6!P193</f>
        <v>0</v>
      </c>
      <c r="P1344" s="35">
        <f t="shared" ref="P1344:P1409" si="296">N1344+O1344</f>
        <v>184.4</v>
      </c>
      <c r="Q1344" s="7">
        <f>прил.6!R193</f>
        <v>0</v>
      </c>
      <c r="R1344" s="35">
        <f t="shared" si="293"/>
        <v>184.4</v>
      </c>
      <c r="S1344" s="7">
        <f>прил.6!T193</f>
        <v>0</v>
      </c>
      <c r="T1344" s="35">
        <f t="shared" si="292"/>
        <v>184.4</v>
      </c>
    </row>
    <row r="1345" spans="1:21" ht="19.5" customHeight="1">
      <c r="A1345" s="61" t="str">
        <f ca="1">IF(ISERROR(MATCH(B1345,Код_КЦСР,0)),"",INDIRECT(ADDRESS(MATCH(B1345,Код_КЦСР,0)+1,2,,,"КЦСР")))</f>
        <v>Приобретение лицензионного ПО, Крипто ПРО с лицензией СЭД</v>
      </c>
      <c r="B1345" s="45" t="s">
        <v>107</v>
      </c>
      <c r="C1345" s="8"/>
      <c r="D1345" s="1"/>
      <c r="E1345" s="113"/>
      <c r="F1345" s="7">
        <f t="shared" ref="F1345:S1349" si="297">F1346</f>
        <v>354.6</v>
      </c>
      <c r="G1345" s="7">
        <f t="shared" si="297"/>
        <v>0</v>
      </c>
      <c r="H1345" s="35">
        <f t="shared" si="280"/>
        <v>354.6</v>
      </c>
      <c r="I1345" s="7">
        <f t="shared" si="297"/>
        <v>0</v>
      </c>
      <c r="J1345" s="35">
        <f t="shared" ref="J1345:J1410" si="298">H1345+I1345</f>
        <v>354.6</v>
      </c>
      <c r="K1345" s="7">
        <f t="shared" si="297"/>
        <v>-169.8</v>
      </c>
      <c r="L1345" s="35">
        <f t="shared" si="288"/>
        <v>184.8</v>
      </c>
      <c r="M1345" s="7">
        <f t="shared" si="297"/>
        <v>0</v>
      </c>
      <c r="N1345" s="35">
        <f t="shared" si="289"/>
        <v>184.8</v>
      </c>
      <c r="O1345" s="7">
        <f t="shared" si="297"/>
        <v>0</v>
      </c>
      <c r="P1345" s="35">
        <f t="shared" si="296"/>
        <v>184.8</v>
      </c>
      <c r="Q1345" s="7">
        <f t="shared" si="297"/>
        <v>0</v>
      </c>
      <c r="R1345" s="35">
        <f t="shared" si="293"/>
        <v>184.8</v>
      </c>
      <c r="S1345" s="7">
        <f t="shared" si="297"/>
        <v>0</v>
      </c>
      <c r="T1345" s="35">
        <f t="shared" si="292"/>
        <v>184.8</v>
      </c>
    </row>
    <row r="1346" spans="1:21">
      <c r="A1346" s="61" t="str">
        <f ca="1">IF(ISERROR(MATCH(C1346,Код_Раздел,0)),"",INDIRECT(ADDRESS(MATCH(C1346,Код_Раздел,0)+1,2,,,"Раздел")))</f>
        <v>Национальная безопасность и правоохранительная  деятельность</v>
      </c>
      <c r="B1346" s="45" t="s">
        <v>107</v>
      </c>
      <c r="C1346" s="8" t="s">
        <v>213</v>
      </c>
      <c r="D1346" s="1"/>
      <c r="E1346" s="113"/>
      <c r="F1346" s="7">
        <f t="shared" si="297"/>
        <v>354.6</v>
      </c>
      <c r="G1346" s="7">
        <f t="shared" si="297"/>
        <v>0</v>
      </c>
      <c r="H1346" s="35">
        <f t="shared" si="280"/>
        <v>354.6</v>
      </c>
      <c r="I1346" s="7">
        <f t="shared" si="297"/>
        <v>0</v>
      </c>
      <c r="J1346" s="35">
        <f t="shared" si="298"/>
        <v>354.6</v>
      </c>
      <c r="K1346" s="7">
        <f t="shared" si="297"/>
        <v>-169.8</v>
      </c>
      <c r="L1346" s="35">
        <f t="shared" si="288"/>
        <v>184.8</v>
      </c>
      <c r="M1346" s="7">
        <f t="shared" si="297"/>
        <v>0</v>
      </c>
      <c r="N1346" s="35">
        <f t="shared" si="289"/>
        <v>184.8</v>
      </c>
      <c r="O1346" s="7">
        <f t="shared" si="297"/>
        <v>0</v>
      </c>
      <c r="P1346" s="35">
        <f t="shared" si="296"/>
        <v>184.8</v>
      </c>
      <c r="Q1346" s="7">
        <f t="shared" si="297"/>
        <v>0</v>
      </c>
      <c r="R1346" s="35">
        <f t="shared" si="293"/>
        <v>184.8</v>
      </c>
      <c r="S1346" s="7">
        <f t="shared" si="297"/>
        <v>0</v>
      </c>
      <c r="T1346" s="35">
        <f t="shared" si="292"/>
        <v>184.8</v>
      </c>
    </row>
    <row r="1347" spans="1:21" ht="33">
      <c r="A1347" s="12" t="s">
        <v>259</v>
      </c>
      <c r="B1347" s="45" t="s">
        <v>107</v>
      </c>
      <c r="C1347" s="8" t="s">
        <v>213</v>
      </c>
      <c r="D1347" s="1" t="s">
        <v>217</v>
      </c>
      <c r="E1347" s="113"/>
      <c r="F1347" s="7">
        <f t="shared" si="297"/>
        <v>354.6</v>
      </c>
      <c r="G1347" s="7">
        <f t="shared" si="297"/>
        <v>0</v>
      </c>
      <c r="H1347" s="35">
        <f t="shared" si="280"/>
        <v>354.6</v>
      </c>
      <c r="I1347" s="7">
        <f t="shared" si="297"/>
        <v>0</v>
      </c>
      <c r="J1347" s="35">
        <f t="shared" si="298"/>
        <v>354.6</v>
      </c>
      <c r="K1347" s="7">
        <f t="shared" si="297"/>
        <v>-169.8</v>
      </c>
      <c r="L1347" s="35">
        <f t="shared" si="288"/>
        <v>184.8</v>
      </c>
      <c r="M1347" s="7">
        <f t="shared" si="297"/>
        <v>0</v>
      </c>
      <c r="N1347" s="35">
        <f t="shared" si="289"/>
        <v>184.8</v>
      </c>
      <c r="O1347" s="7">
        <f t="shared" si="297"/>
        <v>0</v>
      </c>
      <c r="P1347" s="35">
        <f t="shared" si="296"/>
        <v>184.8</v>
      </c>
      <c r="Q1347" s="7">
        <f t="shared" si="297"/>
        <v>0</v>
      </c>
      <c r="R1347" s="35">
        <f t="shared" si="293"/>
        <v>184.8</v>
      </c>
      <c r="S1347" s="7">
        <f t="shared" si="297"/>
        <v>0</v>
      </c>
      <c r="T1347" s="35">
        <f t="shared" si="292"/>
        <v>184.8</v>
      </c>
    </row>
    <row r="1348" spans="1:21">
      <c r="A1348" s="61" t="str">
        <f ca="1">IF(ISERROR(MATCH(E1348,Код_КВР,0)),"",INDIRECT(ADDRESS(MATCH(E1348,Код_КВР,0)+1,2,,,"КВР")))</f>
        <v>Закупка товаров, работ и услуг для муниципальных нужд</v>
      </c>
      <c r="B1348" s="45" t="s">
        <v>107</v>
      </c>
      <c r="C1348" s="8" t="s">
        <v>213</v>
      </c>
      <c r="D1348" s="1" t="s">
        <v>217</v>
      </c>
      <c r="E1348" s="113">
        <v>200</v>
      </c>
      <c r="F1348" s="7">
        <f t="shared" si="297"/>
        <v>354.6</v>
      </c>
      <c r="G1348" s="7">
        <f t="shared" si="297"/>
        <v>0</v>
      </c>
      <c r="H1348" s="35">
        <f t="shared" si="280"/>
        <v>354.6</v>
      </c>
      <c r="I1348" s="7">
        <f t="shared" si="297"/>
        <v>0</v>
      </c>
      <c r="J1348" s="35">
        <f t="shared" si="298"/>
        <v>354.6</v>
      </c>
      <c r="K1348" s="7">
        <f t="shared" si="297"/>
        <v>-169.8</v>
      </c>
      <c r="L1348" s="35">
        <f t="shared" si="288"/>
        <v>184.8</v>
      </c>
      <c r="M1348" s="7">
        <f t="shared" si="297"/>
        <v>0</v>
      </c>
      <c r="N1348" s="35">
        <f t="shared" si="289"/>
        <v>184.8</v>
      </c>
      <c r="O1348" s="7">
        <f t="shared" si="297"/>
        <v>0</v>
      </c>
      <c r="P1348" s="35">
        <f t="shared" si="296"/>
        <v>184.8</v>
      </c>
      <c r="Q1348" s="7">
        <f t="shared" si="297"/>
        <v>0</v>
      </c>
      <c r="R1348" s="35">
        <f t="shared" si="293"/>
        <v>184.8</v>
      </c>
      <c r="S1348" s="7">
        <f t="shared" si="297"/>
        <v>0</v>
      </c>
      <c r="T1348" s="35">
        <f t="shared" si="292"/>
        <v>184.8</v>
      </c>
    </row>
    <row r="1349" spans="1:21" ht="33">
      <c r="A1349" s="61" t="str">
        <f ca="1">IF(ISERROR(MATCH(E1349,Код_КВР,0)),"",INDIRECT(ADDRESS(MATCH(E1349,Код_КВР,0)+1,2,,,"КВР")))</f>
        <v>Иные закупки товаров, работ и услуг для обеспечения муниципальных нужд</v>
      </c>
      <c r="B1349" s="45" t="s">
        <v>107</v>
      </c>
      <c r="C1349" s="8" t="s">
        <v>213</v>
      </c>
      <c r="D1349" s="1" t="s">
        <v>217</v>
      </c>
      <c r="E1349" s="113">
        <v>240</v>
      </c>
      <c r="F1349" s="7">
        <f t="shared" si="297"/>
        <v>354.6</v>
      </c>
      <c r="G1349" s="7">
        <f t="shared" si="297"/>
        <v>0</v>
      </c>
      <c r="H1349" s="35">
        <f t="shared" si="280"/>
        <v>354.6</v>
      </c>
      <c r="I1349" s="7">
        <f t="shared" si="297"/>
        <v>0</v>
      </c>
      <c r="J1349" s="35">
        <f t="shared" si="298"/>
        <v>354.6</v>
      </c>
      <c r="K1349" s="7">
        <f t="shared" si="297"/>
        <v>-169.8</v>
      </c>
      <c r="L1349" s="35">
        <f t="shared" si="288"/>
        <v>184.8</v>
      </c>
      <c r="M1349" s="7">
        <f t="shared" si="297"/>
        <v>0</v>
      </c>
      <c r="N1349" s="35">
        <f t="shared" si="289"/>
        <v>184.8</v>
      </c>
      <c r="O1349" s="7">
        <f t="shared" si="297"/>
        <v>0</v>
      </c>
      <c r="P1349" s="35">
        <f t="shared" si="296"/>
        <v>184.8</v>
      </c>
      <c r="Q1349" s="7">
        <f t="shared" si="297"/>
        <v>0</v>
      </c>
      <c r="R1349" s="35">
        <f t="shared" si="293"/>
        <v>184.8</v>
      </c>
      <c r="S1349" s="7">
        <f t="shared" si="297"/>
        <v>0</v>
      </c>
      <c r="T1349" s="35">
        <f t="shared" si="292"/>
        <v>184.8</v>
      </c>
    </row>
    <row r="1350" spans="1:21" ht="33">
      <c r="A1350" s="61" t="str">
        <f ca="1">IF(ISERROR(MATCH(E1350,Код_КВР,0)),"",INDIRECT(ADDRESS(MATCH(E1350,Код_КВР,0)+1,2,,,"КВР")))</f>
        <v xml:space="preserve">Прочая закупка товаров, работ и услуг для обеспечения муниципальных нужд         </v>
      </c>
      <c r="B1350" s="45" t="s">
        <v>107</v>
      </c>
      <c r="C1350" s="8" t="s">
        <v>213</v>
      </c>
      <c r="D1350" s="1" t="s">
        <v>217</v>
      </c>
      <c r="E1350" s="113">
        <v>244</v>
      </c>
      <c r="F1350" s="7">
        <f>прил.6!G205</f>
        <v>354.6</v>
      </c>
      <c r="G1350" s="7">
        <f>прил.6!H205</f>
        <v>0</v>
      </c>
      <c r="H1350" s="35">
        <f t="shared" ref="H1350:H1417" si="299">F1350+G1350</f>
        <v>354.6</v>
      </c>
      <c r="I1350" s="7">
        <f>прил.6!J205</f>
        <v>0</v>
      </c>
      <c r="J1350" s="35">
        <f t="shared" si="298"/>
        <v>354.6</v>
      </c>
      <c r="K1350" s="7">
        <f>прил.6!L205</f>
        <v>-169.8</v>
      </c>
      <c r="L1350" s="35">
        <f t="shared" si="288"/>
        <v>184.8</v>
      </c>
      <c r="M1350" s="7">
        <f>прил.6!N205</f>
        <v>0</v>
      </c>
      <c r="N1350" s="35">
        <f t="shared" si="289"/>
        <v>184.8</v>
      </c>
      <c r="O1350" s="7">
        <f>прил.6!P205</f>
        <v>0</v>
      </c>
      <c r="P1350" s="35">
        <f t="shared" si="296"/>
        <v>184.8</v>
      </c>
      <c r="Q1350" s="7">
        <f>прил.6!R205</f>
        <v>0</v>
      </c>
      <c r="R1350" s="35">
        <f t="shared" si="293"/>
        <v>184.8</v>
      </c>
      <c r="S1350" s="7">
        <f>прил.6!T205</f>
        <v>0</v>
      </c>
      <c r="T1350" s="35">
        <f t="shared" si="292"/>
        <v>184.8</v>
      </c>
    </row>
    <row r="1351" spans="1:21" ht="33" hidden="1">
      <c r="A1351" s="61" t="str">
        <f ca="1">IF(ISERROR(MATCH(B1351,Код_КЦСР,0)),"",INDIRECT(ADDRESS(MATCH(B1351,Код_КЦСР,0)+1,2,,,"КЦСР")))</f>
        <v>Минимизация последствий от ЧС на опасных производственных объектах экономики (ОПОЭ)</v>
      </c>
      <c r="B1351" s="45" t="s">
        <v>118</v>
      </c>
      <c r="C1351" s="8"/>
      <c r="D1351" s="1"/>
      <c r="E1351" s="89"/>
      <c r="F1351" s="7">
        <f t="shared" ref="F1351:S1354" si="300">F1352</f>
        <v>1559.6</v>
      </c>
      <c r="G1351" s="7">
        <f t="shared" si="300"/>
        <v>0</v>
      </c>
      <c r="H1351" s="35">
        <f t="shared" si="299"/>
        <v>1559.6</v>
      </c>
      <c r="I1351" s="7">
        <f t="shared" si="300"/>
        <v>0</v>
      </c>
      <c r="J1351" s="35">
        <f t="shared" si="298"/>
        <v>1559.6</v>
      </c>
      <c r="K1351" s="7">
        <f t="shared" si="300"/>
        <v>-1559.6</v>
      </c>
      <c r="L1351" s="35">
        <f t="shared" si="288"/>
        <v>0</v>
      </c>
      <c r="M1351" s="7">
        <f t="shared" si="300"/>
        <v>0</v>
      </c>
      <c r="N1351" s="35">
        <f t="shared" si="289"/>
        <v>0</v>
      </c>
      <c r="O1351" s="7">
        <f t="shared" si="300"/>
        <v>0</v>
      </c>
      <c r="P1351" s="35">
        <f t="shared" si="296"/>
        <v>0</v>
      </c>
      <c r="Q1351" s="7">
        <f t="shared" si="300"/>
        <v>0</v>
      </c>
      <c r="R1351" s="35">
        <f t="shared" si="293"/>
        <v>0</v>
      </c>
      <c r="S1351" s="7">
        <f t="shared" si="300"/>
        <v>0</v>
      </c>
      <c r="T1351" s="35">
        <f t="shared" si="292"/>
        <v>0</v>
      </c>
      <c r="U1351" s="20" t="s">
        <v>706</v>
      </c>
    </row>
    <row r="1352" spans="1:21" hidden="1">
      <c r="A1352" s="61" t="str">
        <f ca="1">IF(ISERROR(MATCH(C1352,Код_Раздел,0)),"",INDIRECT(ADDRESS(MATCH(C1352,Код_Раздел,0)+1,2,,,"Раздел")))</f>
        <v>Национальная безопасность и правоохранительная  деятельность</v>
      </c>
      <c r="B1352" s="45" t="s">
        <v>118</v>
      </c>
      <c r="C1352" s="8" t="s">
        <v>213</v>
      </c>
      <c r="D1352" s="1"/>
      <c r="E1352" s="89"/>
      <c r="F1352" s="7">
        <f t="shared" si="300"/>
        <v>1559.6</v>
      </c>
      <c r="G1352" s="7">
        <f t="shared" si="300"/>
        <v>0</v>
      </c>
      <c r="H1352" s="35">
        <f t="shared" si="299"/>
        <v>1559.6</v>
      </c>
      <c r="I1352" s="7">
        <f t="shared" si="300"/>
        <v>0</v>
      </c>
      <c r="J1352" s="35">
        <f t="shared" si="298"/>
        <v>1559.6</v>
      </c>
      <c r="K1352" s="7">
        <f t="shared" si="300"/>
        <v>-1559.6</v>
      </c>
      <c r="L1352" s="35">
        <f t="shared" si="288"/>
        <v>0</v>
      </c>
      <c r="M1352" s="7">
        <f t="shared" si="300"/>
        <v>0</v>
      </c>
      <c r="N1352" s="35">
        <f t="shared" si="289"/>
        <v>0</v>
      </c>
      <c r="O1352" s="7">
        <f t="shared" si="300"/>
        <v>0</v>
      </c>
      <c r="P1352" s="35">
        <f t="shared" si="296"/>
        <v>0</v>
      </c>
      <c r="Q1352" s="7">
        <f t="shared" si="300"/>
        <v>0</v>
      </c>
      <c r="R1352" s="35">
        <f t="shared" si="293"/>
        <v>0</v>
      </c>
      <c r="S1352" s="7">
        <f t="shared" si="300"/>
        <v>0</v>
      </c>
      <c r="T1352" s="35">
        <f t="shared" si="292"/>
        <v>0</v>
      </c>
      <c r="U1352" s="20" t="s">
        <v>706</v>
      </c>
    </row>
    <row r="1353" spans="1:21" ht="33" hidden="1">
      <c r="A1353" s="12" t="s">
        <v>259</v>
      </c>
      <c r="B1353" s="45" t="s">
        <v>118</v>
      </c>
      <c r="C1353" s="8" t="s">
        <v>213</v>
      </c>
      <c r="D1353" s="1" t="s">
        <v>217</v>
      </c>
      <c r="E1353" s="89"/>
      <c r="F1353" s="7">
        <f t="shared" si="300"/>
        <v>1559.6</v>
      </c>
      <c r="G1353" s="7">
        <f t="shared" si="300"/>
        <v>0</v>
      </c>
      <c r="H1353" s="35">
        <f t="shared" si="299"/>
        <v>1559.6</v>
      </c>
      <c r="I1353" s="7">
        <f t="shared" si="300"/>
        <v>0</v>
      </c>
      <c r="J1353" s="35">
        <f t="shared" si="298"/>
        <v>1559.6</v>
      </c>
      <c r="K1353" s="7">
        <f t="shared" si="300"/>
        <v>-1559.6</v>
      </c>
      <c r="L1353" s="35">
        <f t="shared" si="288"/>
        <v>0</v>
      </c>
      <c r="M1353" s="7">
        <f t="shared" si="300"/>
        <v>0</v>
      </c>
      <c r="N1353" s="35">
        <f t="shared" si="289"/>
        <v>0</v>
      </c>
      <c r="O1353" s="7">
        <f t="shared" si="300"/>
        <v>0</v>
      </c>
      <c r="P1353" s="35">
        <f t="shared" si="296"/>
        <v>0</v>
      </c>
      <c r="Q1353" s="7">
        <f t="shared" si="300"/>
        <v>0</v>
      </c>
      <c r="R1353" s="35">
        <f t="shared" si="293"/>
        <v>0</v>
      </c>
      <c r="S1353" s="7">
        <f t="shared" si="300"/>
        <v>0</v>
      </c>
      <c r="T1353" s="35">
        <f t="shared" si="292"/>
        <v>0</v>
      </c>
      <c r="U1353" s="20" t="s">
        <v>706</v>
      </c>
    </row>
    <row r="1354" spans="1:21" ht="33" hidden="1">
      <c r="A1354" s="61" t="str">
        <f ca="1">IF(ISERROR(MATCH(E1354,Код_КВР,0)),"",INDIRECT(ADDRESS(MATCH(E1354,Код_КВР,0)+1,2,,,"КВР")))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4" s="45" t="s">
        <v>118</v>
      </c>
      <c r="C1354" s="8" t="s">
        <v>213</v>
      </c>
      <c r="D1354" s="1" t="s">
        <v>217</v>
      </c>
      <c r="E1354" s="89">
        <v>100</v>
      </c>
      <c r="F1354" s="7">
        <f t="shared" si="300"/>
        <v>1559.6</v>
      </c>
      <c r="G1354" s="7">
        <f t="shared" si="300"/>
        <v>0</v>
      </c>
      <c r="H1354" s="35">
        <f t="shared" si="299"/>
        <v>1559.6</v>
      </c>
      <c r="I1354" s="7">
        <f t="shared" si="300"/>
        <v>0</v>
      </c>
      <c r="J1354" s="35">
        <f t="shared" si="298"/>
        <v>1559.6</v>
      </c>
      <c r="K1354" s="7">
        <f t="shared" si="300"/>
        <v>-1559.6</v>
      </c>
      <c r="L1354" s="35">
        <f t="shared" si="288"/>
        <v>0</v>
      </c>
      <c r="M1354" s="7">
        <f t="shared" si="300"/>
        <v>0</v>
      </c>
      <c r="N1354" s="35">
        <f t="shared" si="289"/>
        <v>0</v>
      </c>
      <c r="O1354" s="7">
        <f t="shared" si="300"/>
        <v>0</v>
      </c>
      <c r="P1354" s="35">
        <f t="shared" si="296"/>
        <v>0</v>
      </c>
      <c r="Q1354" s="7">
        <f t="shared" si="300"/>
        <v>0</v>
      </c>
      <c r="R1354" s="35">
        <f t="shared" si="293"/>
        <v>0</v>
      </c>
      <c r="S1354" s="7">
        <f t="shared" si="300"/>
        <v>0</v>
      </c>
      <c r="T1354" s="35">
        <f t="shared" si="292"/>
        <v>0</v>
      </c>
      <c r="U1354" s="20" t="s">
        <v>706</v>
      </c>
    </row>
    <row r="1355" spans="1:21" hidden="1">
      <c r="A1355" s="61" t="str">
        <f ca="1">IF(ISERROR(MATCH(E1355,Код_КВР,0)),"",INDIRECT(ADDRESS(MATCH(E1355,Код_КВР,0)+1,2,,,"КВР")))</f>
        <v>Расходы на выплаты персоналу казенных учреждений</v>
      </c>
      <c r="B1355" s="45" t="s">
        <v>118</v>
      </c>
      <c r="C1355" s="8" t="s">
        <v>213</v>
      </c>
      <c r="D1355" s="1" t="s">
        <v>217</v>
      </c>
      <c r="E1355" s="89">
        <v>110</v>
      </c>
      <c r="F1355" s="7">
        <f>прил.6!G208</f>
        <v>1559.6</v>
      </c>
      <c r="G1355" s="7">
        <f>прил.6!H208</f>
        <v>0</v>
      </c>
      <c r="H1355" s="35">
        <f t="shared" si="299"/>
        <v>1559.6</v>
      </c>
      <c r="I1355" s="7">
        <f>прил.6!J208</f>
        <v>0</v>
      </c>
      <c r="J1355" s="35">
        <f t="shared" si="298"/>
        <v>1559.6</v>
      </c>
      <c r="K1355" s="7">
        <f>прил.6!L208</f>
        <v>-1559.6</v>
      </c>
      <c r="L1355" s="35">
        <f t="shared" si="288"/>
        <v>0</v>
      </c>
      <c r="M1355" s="7">
        <f>прил.6!N208</f>
        <v>0</v>
      </c>
      <c r="N1355" s="35">
        <f t="shared" si="289"/>
        <v>0</v>
      </c>
      <c r="O1355" s="7">
        <f>прил.6!P208</f>
        <v>0</v>
      </c>
      <c r="P1355" s="35">
        <f t="shared" si="296"/>
        <v>0</v>
      </c>
      <c r="Q1355" s="7">
        <f>прил.6!R208</f>
        <v>0</v>
      </c>
      <c r="R1355" s="35">
        <f t="shared" si="293"/>
        <v>0</v>
      </c>
      <c r="S1355" s="7">
        <f>прил.6!T208</f>
        <v>0</v>
      </c>
      <c r="T1355" s="35">
        <f t="shared" si="292"/>
        <v>0</v>
      </c>
      <c r="U1355" s="20" t="s">
        <v>706</v>
      </c>
    </row>
    <row r="1356" spans="1:21">
      <c r="A1356" s="61" t="str">
        <f ca="1">IF(ISERROR(MATCH(B1356,Код_КЦСР,0)),"",INDIRECT(ADDRESS(MATCH(B1356,Код_КЦСР,0)+1,2,,,"КЦСР")))</f>
        <v xml:space="preserve">Обеспечение создания условий для реализации подпрограммы 2 </v>
      </c>
      <c r="B1356" s="45" t="s">
        <v>120</v>
      </c>
      <c r="C1356" s="8"/>
      <c r="D1356" s="1"/>
      <c r="E1356" s="113"/>
      <c r="F1356" s="7">
        <f>F1357</f>
        <v>46645.7</v>
      </c>
      <c r="G1356" s="7">
        <f>G1357</f>
        <v>0</v>
      </c>
      <c r="H1356" s="35">
        <f t="shared" si="299"/>
        <v>46645.7</v>
      </c>
      <c r="I1356" s="7">
        <f>I1357</f>
        <v>653.29999999999927</v>
      </c>
      <c r="J1356" s="35">
        <f t="shared" si="298"/>
        <v>47299</v>
      </c>
      <c r="K1356" s="7">
        <f>K1357</f>
        <v>-1650.6000000000001</v>
      </c>
      <c r="L1356" s="35">
        <f t="shared" si="288"/>
        <v>45648.4</v>
      </c>
      <c r="M1356" s="7">
        <f>M1357</f>
        <v>0</v>
      </c>
      <c r="N1356" s="35">
        <f t="shared" si="289"/>
        <v>45648.4</v>
      </c>
      <c r="O1356" s="7">
        <f>O1357</f>
        <v>0</v>
      </c>
      <c r="P1356" s="35">
        <f t="shared" si="296"/>
        <v>45648.4</v>
      </c>
      <c r="Q1356" s="7">
        <f>Q1357</f>
        <v>80.099999999999994</v>
      </c>
      <c r="R1356" s="35">
        <f t="shared" si="293"/>
        <v>45728.5</v>
      </c>
      <c r="S1356" s="7">
        <f>S1357</f>
        <v>0</v>
      </c>
      <c r="T1356" s="35">
        <f t="shared" si="292"/>
        <v>45728.5</v>
      </c>
    </row>
    <row r="1357" spans="1:21">
      <c r="A1357" s="61" t="str">
        <f ca="1">IF(ISERROR(MATCH(C1357,Код_Раздел,0)),"",INDIRECT(ADDRESS(MATCH(C1357,Код_Раздел,0)+1,2,,,"Раздел")))</f>
        <v>Национальная безопасность и правоохранительная  деятельность</v>
      </c>
      <c r="B1357" s="45" t="s">
        <v>120</v>
      </c>
      <c r="C1357" s="8" t="s">
        <v>213</v>
      </c>
      <c r="D1357" s="1"/>
      <c r="E1357" s="113"/>
      <c r="F1357" s="7">
        <f>F1358</f>
        <v>46645.7</v>
      </c>
      <c r="G1357" s="7">
        <f>G1358</f>
        <v>0</v>
      </c>
      <c r="H1357" s="35">
        <f t="shared" si="299"/>
        <v>46645.7</v>
      </c>
      <c r="I1357" s="7">
        <f>I1358</f>
        <v>653.29999999999927</v>
      </c>
      <c r="J1357" s="35">
        <f t="shared" si="298"/>
        <v>47299</v>
      </c>
      <c r="K1357" s="7">
        <f>K1358</f>
        <v>-1650.6000000000001</v>
      </c>
      <c r="L1357" s="35">
        <f t="shared" si="288"/>
        <v>45648.4</v>
      </c>
      <c r="M1357" s="7">
        <f>M1358</f>
        <v>0</v>
      </c>
      <c r="N1357" s="35">
        <f t="shared" si="289"/>
        <v>45648.4</v>
      </c>
      <c r="O1357" s="7">
        <f>O1358</f>
        <v>0</v>
      </c>
      <c r="P1357" s="35">
        <f t="shared" si="296"/>
        <v>45648.4</v>
      </c>
      <c r="Q1357" s="7">
        <f>Q1358</f>
        <v>80.099999999999994</v>
      </c>
      <c r="R1357" s="35">
        <f t="shared" si="293"/>
        <v>45728.5</v>
      </c>
      <c r="S1357" s="7">
        <f>S1358</f>
        <v>0</v>
      </c>
      <c r="T1357" s="35">
        <f t="shared" si="292"/>
        <v>45728.5</v>
      </c>
    </row>
    <row r="1358" spans="1:21" ht="36.75" customHeight="1">
      <c r="A1358" s="12" t="s">
        <v>259</v>
      </c>
      <c r="B1358" s="45" t="s">
        <v>120</v>
      </c>
      <c r="C1358" s="8" t="s">
        <v>213</v>
      </c>
      <c r="D1358" s="1" t="s">
        <v>217</v>
      </c>
      <c r="E1358" s="113"/>
      <c r="F1358" s="7">
        <f>F1359+F1361+F1367</f>
        <v>46645.7</v>
      </c>
      <c r="G1358" s="7">
        <f>G1359+G1361+G1367</f>
        <v>0</v>
      </c>
      <c r="H1358" s="35">
        <f t="shared" si="299"/>
        <v>46645.7</v>
      </c>
      <c r="I1358" s="7">
        <f>I1359+I1361+I1367+I1364</f>
        <v>653.29999999999927</v>
      </c>
      <c r="J1358" s="35">
        <f t="shared" si="298"/>
        <v>47299</v>
      </c>
      <c r="K1358" s="7">
        <f>K1359+K1361+K1367+K1364</f>
        <v>-1650.6000000000001</v>
      </c>
      <c r="L1358" s="35">
        <f t="shared" si="288"/>
        <v>45648.4</v>
      </c>
      <c r="M1358" s="7">
        <f>M1359+M1361+M1367+M1364</f>
        <v>0</v>
      </c>
      <c r="N1358" s="35">
        <f t="shared" si="289"/>
        <v>45648.4</v>
      </c>
      <c r="O1358" s="7">
        <f>O1359+O1361+O1367+O1364</f>
        <v>0</v>
      </c>
      <c r="P1358" s="35">
        <f t="shared" si="296"/>
        <v>45648.4</v>
      </c>
      <c r="Q1358" s="7">
        <f>Q1359+Q1361+Q1367+Q1364</f>
        <v>80.099999999999994</v>
      </c>
      <c r="R1358" s="35">
        <f t="shared" si="293"/>
        <v>45728.5</v>
      </c>
      <c r="S1358" s="7">
        <f>S1359+S1361+S1367+S1364</f>
        <v>0</v>
      </c>
      <c r="T1358" s="35">
        <f t="shared" si="292"/>
        <v>45728.5</v>
      </c>
    </row>
    <row r="1359" spans="1:21" ht="33">
      <c r="A1359" s="61" t="str">
        <f t="shared" ref="A1359:A1370" ca="1" si="301">IF(ISERROR(MATCH(E1359,Код_КВР,0)),"",INDIRECT(ADDRESS(MATCH(E1359,Код_КВР,0)+1,2,,,"КВР")))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9" s="45" t="s">
        <v>120</v>
      </c>
      <c r="C1359" s="8" t="s">
        <v>213</v>
      </c>
      <c r="D1359" s="1" t="s">
        <v>217</v>
      </c>
      <c r="E1359" s="113">
        <v>100</v>
      </c>
      <c r="F1359" s="7">
        <f>F1360</f>
        <v>38954.9</v>
      </c>
      <c r="G1359" s="7">
        <f>G1360</f>
        <v>0</v>
      </c>
      <c r="H1359" s="35">
        <f t="shared" si="299"/>
        <v>38954.9</v>
      </c>
      <c r="I1359" s="7">
        <f>I1360</f>
        <v>-15942.2</v>
      </c>
      <c r="J1359" s="35">
        <f t="shared" si="298"/>
        <v>23012.7</v>
      </c>
      <c r="K1359" s="7">
        <f>K1360</f>
        <v>0</v>
      </c>
      <c r="L1359" s="35">
        <f t="shared" si="288"/>
        <v>23012.7</v>
      </c>
      <c r="M1359" s="7">
        <f>M1360</f>
        <v>0</v>
      </c>
      <c r="N1359" s="35">
        <f t="shared" si="289"/>
        <v>23012.7</v>
      </c>
      <c r="O1359" s="7">
        <f>O1360</f>
        <v>0</v>
      </c>
      <c r="P1359" s="35">
        <f t="shared" si="296"/>
        <v>23012.7</v>
      </c>
      <c r="Q1359" s="7">
        <f>Q1360</f>
        <v>-238</v>
      </c>
      <c r="R1359" s="35">
        <f t="shared" si="293"/>
        <v>22774.7</v>
      </c>
      <c r="S1359" s="7">
        <f>S1360</f>
        <v>0</v>
      </c>
      <c r="T1359" s="35">
        <f t="shared" si="292"/>
        <v>22774.7</v>
      </c>
    </row>
    <row r="1360" spans="1:21">
      <c r="A1360" s="61" t="str">
        <f t="shared" ca="1" si="301"/>
        <v>Расходы на выплаты персоналу казенных учреждений</v>
      </c>
      <c r="B1360" s="45" t="s">
        <v>120</v>
      </c>
      <c r="C1360" s="8" t="s">
        <v>213</v>
      </c>
      <c r="D1360" s="1" t="s">
        <v>217</v>
      </c>
      <c r="E1360" s="113">
        <v>110</v>
      </c>
      <c r="F1360" s="7">
        <f>прил.6!G211</f>
        <v>38954.9</v>
      </c>
      <c r="G1360" s="7">
        <f>прил.6!H211</f>
        <v>0</v>
      </c>
      <c r="H1360" s="35">
        <f t="shared" si="299"/>
        <v>38954.9</v>
      </c>
      <c r="I1360" s="7">
        <f>прил.6!J211</f>
        <v>-15942.2</v>
      </c>
      <c r="J1360" s="35">
        <f t="shared" si="298"/>
        <v>23012.7</v>
      </c>
      <c r="K1360" s="7">
        <f>прил.6!L211</f>
        <v>0</v>
      </c>
      <c r="L1360" s="35">
        <f t="shared" si="288"/>
        <v>23012.7</v>
      </c>
      <c r="M1360" s="7">
        <f>прил.6!N211</f>
        <v>0</v>
      </c>
      <c r="N1360" s="35">
        <f t="shared" si="289"/>
        <v>23012.7</v>
      </c>
      <c r="O1360" s="7">
        <f>прил.6!P211</f>
        <v>0</v>
      </c>
      <c r="P1360" s="35">
        <f t="shared" si="296"/>
        <v>23012.7</v>
      </c>
      <c r="Q1360" s="7">
        <f>прил.6!R211</f>
        <v>-238</v>
      </c>
      <c r="R1360" s="35">
        <f t="shared" si="293"/>
        <v>22774.7</v>
      </c>
      <c r="S1360" s="7">
        <f>прил.6!T211</f>
        <v>0</v>
      </c>
      <c r="T1360" s="35">
        <f t="shared" si="292"/>
        <v>22774.7</v>
      </c>
    </row>
    <row r="1361" spans="1:20">
      <c r="A1361" s="61" t="str">
        <f t="shared" ca="1" si="301"/>
        <v>Закупка товаров, работ и услуг для муниципальных нужд</v>
      </c>
      <c r="B1361" s="45" t="s">
        <v>120</v>
      </c>
      <c r="C1361" s="8" t="s">
        <v>213</v>
      </c>
      <c r="D1361" s="1" t="s">
        <v>217</v>
      </c>
      <c r="E1361" s="113">
        <v>200</v>
      </c>
      <c r="F1361" s="7">
        <f>F1362</f>
        <v>6568.2</v>
      </c>
      <c r="G1361" s="7">
        <f>G1362</f>
        <v>0</v>
      </c>
      <c r="H1361" s="35">
        <f t="shared" si="299"/>
        <v>6568.2</v>
      </c>
      <c r="I1361" s="7">
        <f>I1362</f>
        <v>-1391.1</v>
      </c>
      <c r="J1361" s="35">
        <f t="shared" si="298"/>
        <v>5177.1000000000004</v>
      </c>
      <c r="K1361" s="7">
        <f>K1362</f>
        <v>-1650.6000000000001</v>
      </c>
      <c r="L1361" s="35">
        <f t="shared" si="288"/>
        <v>3526.5</v>
      </c>
      <c r="M1361" s="7">
        <f>M1362</f>
        <v>0</v>
      </c>
      <c r="N1361" s="35">
        <f t="shared" si="289"/>
        <v>3526.5</v>
      </c>
      <c r="O1361" s="7">
        <f>O1362</f>
        <v>0</v>
      </c>
      <c r="P1361" s="35">
        <f t="shared" si="296"/>
        <v>3526.5</v>
      </c>
      <c r="Q1361" s="7">
        <f>Q1362</f>
        <v>238</v>
      </c>
      <c r="R1361" s="35">
        <f t="shared" si="293"/>
        <v>3764.5</v>
      </c>
      <c r="S1361" s="7">
        <f>S1362</f>
        <v>-11</v>
      </c>
      <c r="T1361" s="35">
        <f t="shared" si="292"/>
        <v>3753.5</v>
      </c>
    </row>
    <row r="1362" spans="1:20" ht="33">
      <c r="A1362" s="61" t="str">
        <f t="shared" ca="1" si="301"/>
        <v>Иные закупки товаров, работ и услуг для обеспечения муниципальных нужд</v>
      </c>
      <c r="B1362" s="45" t="s">
        <v>120</v>
      </c>
      <c r="C1362" s="8" t="s">
        <v>213</v>
      </c>
      <c r="D1362" s="1" t="s">
        <v>217</v>
      </c>
      <c r="E1362" s="113">
        <v>240</v>
      </c>
      <c r="F1362" s="7">
        <f>F1363</f>
        <v>6568.2</v>
      </c>
      <c r="G1362" s="7">
        <f>G1363</f>
        <v>0</v>
      </c>
      <c r="H1362" s="35">
        <f t="shared" si="299"/>
        <v>6568.2</v>
      </c>
      <c r="I1362" s="7">
        <f>I1363</f>
        <v>-1391.1</v>
      </c>
      <c r="J1362" s="35">
        <f t="shared" si="298"/>
        <v>5177.1000000000004</v>
      </c>
      <c r="K1362" s="7">
        <f>K1363</f>
        <v>-1650.6000000000001</v>
      </c>
      <c r="L1362" s="35">
        <f t="shared" si="288"/>
        <v>3526.5</v>
      </c>
      <c r="M1362" s="7">
        <f>M1363</f>
        <v>0</v>
      </c>
      <c r="N1362" s="35">
        <f t="shared" si="289"/>
        <v>3526.5</v>
      </c>
      <c r="O1362" s="7">
        <f>O1363</f>
        <v>0</v>
      </c>
      <c r="P1362" s="35">
        <f t="shared" si="296"/>
        <v>3526.5</v>
      </c>
      <c r="Q1362" s="7">
        <f>Q1363</f>
        <v>238</v>
      </c>
      <c r="R1362" s="35">
        <f t="shared" si="293"/>
        <v>3764.5</v>
      </c>
      <c r="S1362" s="7">
        <f>S1363</f>
        <v>-11</v>
      </c>
      <c r="T1362" s="35">
        <f t="shared" si="292"/>
        <v>3753.5</v>
      </c>
    </row>
    <row r="1363" spans="1:20" ht="33">
      <c r="A1363" s="61" t="str">
        <f t="shared" ca="1" si="301"/>
        <v xml:space="preserve">Прочая закупка товаров, работ и услуг для обеспечения муниципальных нужд         </v>
      </c>
      <c r="B1363" s="45" t="s">
        <v>120</v>
      </c>
      <c r="C1363" s="8" t="s">
        <v>213</v>
      </c>
      <c r="D1363" s="1" t="s">
        <v>217</v>
      </c>
      <c r="E1363" s="113">
        <v>244</v>
      </c>
      <c r="F1363" s="7">
        <f>прил.6!G214</f>
        <v>6568.2</v>
      </c>
      <c r="G1363" s="7">
        <f>прил.6!H214</f>
        <v>0</v>
      </c>
      <c r="H1363" s="35">
        <f t="shared" si="299"/>
        <v>6568.2</v>
      </c>
      <c r="I1363" s="7">
        <f>прил.6!J214</f>
        <v>-1391.1</v>
      </c>
      <c r="J1363" s="35">
        <f t="shared" si="298"/>
        <v>5177.1000000000004</v>
      </c>
      <c r="K1363" s="7">
        <f>прил.6!L214</f>
        <v>-1650.6000000000001</v>
      </c>
      <c r="L1363" s="35">
        <f t="shared" si="288"/>
        <v>3526.5</v>
      </c>
      <c r="M1363" s="7">
        <f>прил.6!N214</f>
        <v>0</v>
      </c>
      <c r="N1363" s="35">
        <f t="shared" si="289"/>
        <v>3526.5</v>
      </c>
      <c r="O1363" s="7">
        <f>прил.6!P214</f>
        <v>0</v>
      </c>
      <c r="P1363" s="35">
        <f t="shared" si="296"/>
        <v>3526.5</v>
      </c>
      <c r="Q1363" s="7">
        <f>прил.6!R214</f>
        <v>238</v>
      </c>
      <c r="R1363" s="35">
        <f t="shared" si="293"/>
        <v>3764.5</v>
      </c>
      <c r="S1363" s="7">
        <f>прил.6!T214</f>
        <v>-11</v>
      </c>
      <c r="T1363" s="35">
        <f t="shared" si="292"/>
        <v>3753.5</v>
      </c>
    </row>
    <row r="1364" spans="1:20" ht="33">
      <c r="A1364" s="61" t="str">
        <f t="shared" ref="A1364:A1366" ca="1" si="302">IF(ISERROR(MATCH(E1364,Код_КВР,0)),"",INDIRECT(ADDRESS(MATCH(E1364,Код_КВР,0)+1,2,,,"КВР")))</f>
        <v>Предоставление субсидий бюджетным, автономным учреждениям и иным некоммерческим организациям</v>
      </c>
      <c r="B1364" s="45" t="s">
        <v>120</v>
      </c>
      <c r="C1364" s="8" t="s">
        <v>213</v>
      </c>
      <c r="D1364" s="1" t="s">
        <v>217</v>
      </c>
      <c r="E1364" s="113">
        <v>600</v>
      </c>
      <c r="F1364" s="7"/>
      <c r="G1364" s="7"/>
      <c r="H1364" s="35"/>
      <c r="I1364" s="7">
        <f>I1365</f>
        <v>18250.099999999999</v>
      </c>
      <c r="J1364" s="35">
        <f t="shared" si="298"/>
        <v>18250.099999999999</v>
      </c>
      <c r="K1364" s="7">
        <f>K1365</f>
        <v>0</v>
      </c>
      <c r="L1364" s="35">
        <f t="shared" si="288"/>
        <v>18250.099999999999</v>
      </c>
      <c r="M1364" s="7">
        <f>M1365</f>
        <v>0</v>
      </c>
      <c r="N1364" s="35">
        <f t="shared" si="289"/>
        <v>18250.099999999999</v>
      </c>
      <c r="O1364" s="7">
        <f>O1365</f>
        <v>0</v>
      </c>
      <c r="P1364" s="35">
        <f t="shared" si="296"/>
        <v>18250.099999999999</v>
      </c>
      <c r="Q1364" s="7">
        <f>Q1365</f>
        <v>68.699999999999989</v>
      </c>
      <c r="R1364" s="35">
        <f t="shared" si="293"/>
        <v>18318.8</v>
      </c>
      <c r="S1364" s="7">
        <f>S1365</f>
        <v>0</v>
      </c>
      <c r="T1364" s="35">
        <f t="shared" si="292"/>
        <v>18318.8</v>
      </c>
    </row>
    <row r="1365" spans="1:20">
      <c r="A1365" s="61" t="str">
        <f t="shared" ca="1" si="302"/>
        <v>Субсидии бюджетным учреждениям</v>
      </c>
      <c r="B1365" s="45" t="s">
        <v>120</v>
      </c>
      <c r="C1365" s="8" t="s">
        <v>213</v>
      </c>
      <c r="D1365" s="1" t="s">
        <v>217</v>
      </c>
      <c r="E1365" s="113">
        <v>610</v>
      </c>
      <c r="F1365" s="7"/>
      <c r="G1365" s="7"/>
      <c r="H1365" s="35"/>
      <c r="I1365" s="7">
        <f>I1366</f>
        <v>18250.099999999999</v>
      </c>
      <c r="J1365" s="35">
        <f t="shared" si="298"/>
        <v>18250.099999999999</v>
      </c>
      <c r="K1365" s="7">
        <f>K1366</f>
        <v>0</v>
      </c>
      <c r="L1365" s="35">
        <f t="shared" si="288"/>
        <v>18250.099999999999</v>
      </c>
      <c r="M1365" s="7">
        <f>M1366</f>
        <v>0</v>
      </c>
      <c r="N1365" s="35">
        <f t="shared" si="289"/>
        <v>18250.099999999999</v>
      </c>
      <c r="O1365" s="7">
        <f>O1366</f>
        <v>0</v>
      </c>
      <c r="P1365" s="35">
        <f t="shared" si="296"/>
        <v>18250.099999999999</v>
      </c>
      <c r="Q1365" s="7">
        <f>Q1366</f>
        <v>68.699999999999989</v>
      </c>
      <c r="R1365" s="35">
        <f t="shared" si="293"/>
        <v>18318.8</v>
      </c>
      <c r="S1365" s="7">
        <f>S1366</f>
        <v>0</v>
      </c>
      <c r="T1365" s="35">
        <f t="shared" si="292"/>
        <v>18318.8</v>
      </c>
    </row>
    <row r="1366" spans="1:20" ht="49.5">
      <c r="A1366" s="61" t="str">
        <f t="shared" ca="1" si="30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66" s="45" t="s">
        <v>120</v>
      </c>
      <c r="C1366" s="8" t="s">
        <v>213</v>
      </c>
      <c r="D1366" s="1" t="s">
        <v>217</v>
      </c>
      <c r="E1366" s="113">
        <v>611</v>
      </c>
      <c r="F1366" s="7"/>
      <c r="G1366" s="7"/>
      <c r="H1366" s="35"/>
      <c r="I1366" s="7">
        <f>прил.6!J217</f>
        <v>18250.099999999999</v>
      </c>
      <c r="J1366" s="35">
        <f t="shared" si="298"/>
        <v>18250.099999999999</v>
      </c>
      <c r="K1366" s="7">
        <f>прил.6!L217</f>
        <v>0</v>
      </c>
      <c r="L1366" s="35">
        <f t="shared" si="288"/>
        <v>18250.099999999999</v>
      </c>
      <c r="M1366" s="7">
        <f>прил.6!N217</f>
        <v>0</v>
      </c>
      <c r="N1366" s="35">
        <f t="shared" si="289"/>
        <v>18250.099999999999</v>
      </c>
      <c r="O1366" s="7">
        <f>прил.6!P217</f>
        <v>0</v>
      </c>
      <c r="P1366" s="35">
        <f t="shared" si="296"/>
        <v>18250.099999999999</v>
      </c>
      <c r="Q1366" s="7">
        <f>прил.6!R217</f>
        <v>68.699999999999989</v>
      </c>
      <c r="R1366" s="35">
        <f t="shared" si="293"/>
        <v>18318.8</v>
      </c>
      <c r="S1366" s="7">
        <f>прил.6!T217</f>
        <v>0</v>
      </c>
      <c r="T1366" s="35">
        <f t="shared" si="292"/>
        <v>18318.8</v>
      </c>
    </row>
    <row r="1367" spans="1:20">
      <c r="A1367" s="61" t="str">
        <f t="shared" ca="1" si="301"/>
        <v>Иные бюджетные ассигнования</v>
      </c>
      <c r="B1367" s="45" t="s">
        <v>120</v>
      </c>
      <c r="C1367" s="8" t="s">
        <v>213</v>
      </c>
      <c r="D1367" s="1" t="s">
        <v>217</v>
      </c>
      <c r="E1367" s="113">
        <v>800</v>
      </c>
      <c r="F1367" s="7">
        <f>F1368</f>
        <v>1122.5999999999999</v>
      </c>
      <c r="G1367" s="7">
        <f>G1368</f>
        <v>0</v>
      </c>
      <c r="H1367" s="35">
        <f t="shared" si="299"/>
        <v>1122.5999999999999</v>
      </c>
      <c r="I1367" s="7">
        <f>I1368</f>
        <v>-263.5</v>
      </c>
      <c r="J1367" s="35">
        <f t="shared" si="298"/>
        <v>859.09999999999991</v>
      </c>
      <c r="K1367" s="7">
        <f>K1368</f>
        <v>0</v>
      </c>
      <c r="L1367" s="35">
        <f t="shared" si="288"/>
        <v>859.09999999999991</v>
      </c>
      <c r="M1367" s="7">
        <f>M1368</f>
        <v>0</v>
      </c>
      <c r="N1367" s="35">
        <f t="shared" si="289"/>
        <v>859.09999999999991</v>
      </c>
      <c r="O1367" s="7">
        <f>O1368</f>
        <v>0</v>
      </c>
      <c r="P1367" s="35">
        <f t="shared" si="296"/>
        <v>859.09999999999991</v>
      </c>
      <c r="Q1367" s="7">
        <f>Q1368</f>
        <v>11.4</v>
      </c>
      <c r="R1367" s="35">
        <f t="shared" si="293"/>
        <v>870.49999999999989</v>
      </c>
      <c r="S1367" s="7">
        <f>S1368</f>
        <v>11</v>
      </c>
      <c r="T1367" s="35">
        <f t="shared" si="292"/>
        <v>881.49999999999989</v>
      </c>
    </row>
    <row r="1368" spans="1:20">
      <c r="A1368" s="61" t="str">
        <f t="shared" ca="1" si="301"/>
        <v>Уплата налогов, сборов и иных платежей</v>
      </c>
      <c r="B1368" s="45" t="s">
        <v>120</v>
      </c>
      <c r="C1368" s="8" t="s">
        <v>213</v>
      </c>
      <c r="D1368" s="1" t="s">
        <v>217</v>
      </c>
      <c r="E1368" s="113">
        <v>850</v>
      </c>
      <c r="F1368" s="7">
        <f>SUM(F1369:F1370)</f>
        <v>1122.5999999999999</v>
      </c>
      <c r="G1368" s="7">
        <f>SUM(G1369:G1370)</f>
        <v>0</v>
      </c>
      <c r="H1368" s="35">
        <f t="shared" si="299"/>
        <v>1122.5999999999999</v>
      </c>
      <c r="I1368" s="7">
        <f>SUM(I1369:I1370)</f>
        <v>-263.5</v>
      </c>
      <c r="J1368" s="35">
        <f t="shared" si="298"/>
        <v>859.09999999999991</v>
      </c>
      <c r="K1368" s="7">
        <f>SUM(K1369:K1370)</f>
        <v>0</v>
      </c>
      <c r="L1368" s="35">
        <f t="shared" si="288"/>
        <v>859.09999999999991</v>
      </c>
      <c r="M1368" s="7">
        <f>SUM(M1369:M1370)</f>
        <v>0</v>
      </c>
      <c r="N1368" s="35">
        <f t="shared" si="289"/>
        <v>859.09999999999991</v>
      </c>
      <c r="O1368" s="7">
        <f>SUM(O1369:O1370)</f>
        <v>0</v>
      </c>
      <c r="P1368" s="35">
        <f t="shared" si="296"/>
        <v>859.09999999999991</v>
      </c>
      <c r="Q1368" s="7">
        <f>SUM(Q1369:Q1370)</f>
        <v>11.4</v>
      </c>
      <c r="R1368" s="35">
        <f t="shared" si="293"/>
        <v>870.49999999999989</v>
      </c>
      <c r="S1368" s="7">
        <f>SUM(S1369:S1370)</f>
        <v>11</v>
      </c>
      <c r="T1368" s="35">
        <f t="shared" si="292"/>
        <v>881.49999999999989</v>
      </c>
    </row>
    <row r="1369" spans="1:20">
      <c r="A1369" s="61" t="str">
        <f t="shared" ca="1" si="301"/>
        <v>Уплата налога на имущество организаций и земельного налога</v>
      </c>
      <c r="B1369" s="45" t="s">
        <v>120</v>
      </c>
      <c r="C1369" s="8" t="s">
        <v>213</v>
      </c>
      <c r="D1369" s="1" t="s">
        <v>217</v>
      </c>
      <c r="E1369" s="113">
        <v>851</v>
      </c>
      <c r="F1369" s="7">
        <f>прил.6!G220</f>
        <v>984.9</v>
      </c>
      <c r="G1369" s="7">
        <f>прил.6!H220</f>
        <v>0</v>
      </c>
      <c r="H1369" s="35">
        <f t="shared" si="299"/>
        <v>984.9</v>
      </c>
      <c r="I1369" s="7">
        <f>прил.6!J220</f>
        <v>-219.1</v>
      </c>
      <c r="J1369" s="35">
        <f t="shared" si="298"/>
        <v>765.8</v>
      </c>
      <c r="K1369" s="7">
        <f>прил.6!L220</f>
        <v>0</v>
      </c>
      <c r="L1369" s="35">
        <f t="shared" si="288"/>
        <v>765.8</v>
      </c>
      <c r="M1369" s="7">
        <f>прил.6!N220</f>
        <v>0</v>
      </c>
      <c r="N1369" s="35">
        <f t="shared" si="289"/>
        <v>765.8</v>
      </c>
      <c r="O1369" s="7">
        <f>прил.6!P220</f>
        <v>0</v>
      </c>
      <c r="P1369" s="35">
        <f t="shared" si="296"/>
        <v>765.8</v>
      </c>
      <c r="Q1369" s="7">
        <f>прил.6!R220</f>
        <v>0</v>
      </c>
      <c r="R1369" s="35">
        <f t="shared" si="293"/>
        <v>765.8</v>
      </c>
      <c r="S1369" s="7">
        <f>прил.6!T220</f>
        <v>0</v>
      </c>
      <c r="T1369" s="35">
        <f t="shared" si="292"/>
        <v>765.8</v>
      </c>
    </row>
    <row r="1370" spans="1:20">
      <c r="A1370" s="61" t="str">
        <f t="shared" ca="1" si="301"/>
        <v>Уплата прочих налогов, сборов и иных платежей</v>
      </c>
      <c r="B1370" s="45" t="s">
        <v>120</v>
      </c>
      <c r="C1370" s="8" t="s">
        <v>213</v>
      </c>
      <c r="D1370" s="1" t="s">
        <v>217</v>
      </c>
      <c r="E1370" s="113">
        <v>852</v>
      </c>
      <c r="F1370" s="7">
        <f>прил.6!G221</f>
        <v>137.69999999999999</v>
      </c>
      <c r="G1370" s="7">
        <f>прил.6!H221</f>
        <v>0</v>
      </c>
      <c r="H1370" s="35">
        <f t="shared" si="299"/>
        <v>137.69999999999999</v>
      </c>
      <c r="I1370" s="7">
        <f>прил.6!J221</f>
        <v>-44.400000000000006</v>
      </c>
      <c r="J1370" s="35">
        <f t="shared" si="298"/>
        <v>93.299999999999983</v>
      </c>
      <c r="K1370" s="7">
        <f>прил.6!L221</f>
        <v>0</v>
      </c>
      <c r="L1370" s="35">
        <f t="shared" si="288"/>
        <v>93.299999999999983</v>
      </c>
      <c r="M1370" s="7">
        <f>прил.6!N221</f>
        <v>0</v>
      </c>
      <c r="N1370" s="35">
        <f t="shared" si="289"/>
        <v>93.299999999999983</v>
      </c>
      <c r="O1370" s="7">
        <f>прил.6!P221</f>
        <v>0</v>
      </c>
      <c r="P1370" s="35">
        <f t="shared" si="296"/>
        <v>93.299999999999983</v>
      </c>
      <c r="Q1370" s="7">
        <f>прил.6!R221</f>
        <v>11.4</v>
      </c>
      <c r="R1370" s="35">
        <f t="shared" si="293"/>
        <v>104.69999999999999</v>
      </c>
      <c r="S1370" s="7">
        <f>прил.6!T221</f>
        <v>11</v>
      </c>
      <c r="T1370" s="35">
        <f t="shared" si="292"/>
        <v>115.69999999999999</v>
      </c>
    </row>
    <row r="1371" spans="1:20" ht="33">
      <c r="A1371" s="61" t="str">
        <f ca="1">IF(ISERROR(MATCH(B1371,Код_КЦСР,0)),"",INDIRECT(ADDRESS(MATCH(B1371,Код_КЦСР,0)+1,2,,,"КЦСР")))</f>
        <v>Муниципальная программа «Совершенствование муниципального управления в городе Череповце» на 2014-2018 годы</v>
      </c>
      <c r="B1371" s="45" t="s">
        <v>121</v>
      </c>
      <c r="C1371" s="8"/>
      <c r="D1371" s="1"/>
      <c r="E1371" s="113"/>
      <c r="F1371" s="7">
        <f>F1372+F1391+F1405</f>
        <v>122171.1</v>
      </c>
      <c r="G1371" s="7">
        <f>G1372+G1391+G1405</f>
        <v>0</v>
      </c>
      <c r="H1371" s="35">
        <f t="shared" si="299"/>
        <v>122171.1</v>
      </c>
      <c r="I1371" s="7">
        <f>I1372+I1391+I1405</f>
        <v>864.5</v>
      </c>
      <c r="J1371" s="35">
        <f t="shared" si="298"/>
        <v>123035.6</v>
      </c>
      <c r="K1371" s="7">
        <f>K1372+K1391+K1405</f>
        <v>-207</v>
      </c>
      <c r="L1371" s="35">
        <f t="shared" si="288"/>
        <v>122828.6</v>
      </c>
      <c r="M1371" s="7">
        <f>M1372+M1391+M1405</f>
        <v>0</v>
      </c>
      <c r="N1371" s="35">
        <f t="shared" si="289"/>
        <v>122828.6</v>
      </c>
      <c r="O1371" s="7">
        <f>O1372+O1391+O1405</f>
        <v>-1200</v>
      </c>
      <c r="P1371" s="35">
        <f t="shared" si="296"/>
        <v>121628.6</v>
      </c>
      <c r="Q1371" s="7">
        <f>Q1372+Q1391+Q1405</f>
        <v>-2093.8000000000002</v>
      </c>
      <c r="R1371" s="35">
        <f t="shared" si="293"/>
        <v>119534.8</v>
      </c>
      <c r="S1371" s="7">
        <f>S1372+S1391+S1405</f>
        <v>4797.3999999999996</v>
      </c>
      <c r="T1371" s="35">
        <f t="shared" si="292"/>
        <v>124332.2</v>
      </c>
    </row>
    <row r="1372" spans="1:20" ht="33">
      <c r="A1372" s="61" t="str">
        <f ca="1">IF(ISERROR(MATCH(B1372,Код_КЦСР,0)),"",INDIRECT(ADDRESS(MATCH(B1372,Код_КЦСР,0)+1,2,,,"КЦСР")))</f>
        <v>Создание условий для обеспечения выполнения органами муниципальной власти своих полномочий</v>
      </c>
      <c r="B1372" s="45" t="s">
        <v>122</v>
      </c>
      <c r="C1372" s="8"/>
      <c r="D1372" s="1"/>
      <c r="E1372" s="113"/>
      <c r="F1372" s="7">
        <f>F1373+F1379</f>
        <v>74643.199999999997</v>
      </c>
      <c r="G1372" s="7">
        <f>G1373+G1379</f>
        <v>0</v>
      </c>
      <c r="H1372" s="35">
        <f t="shared" si="299"/>
        <v>74643.199999999997</v>
      </c>
      <c r="I1372" s="7">
        <f>I1373+I1379</f>
        <v>1364.5</v>
      </c>
      <c r="J1372" s="35">
        <f t="shared" si="298"/>
        <v>76007.7</v>
      </c>
      <c r="K1372" s="7">
        <f>K1373+K1379</f>
        <v>0</v>
      </c>
      <c r="L1372" s="35">
        <f t="shared" si="288"/>
        <v>76007.7</v>
      </c>
      <c r="M1372" s="7">
        <f>M1373+M1379</f>
        <v>0</v>
      </c>
      <c r="N1372" s="35">
        <f t="shared" si="289"/>
        <v>76007.7</v>
      </c>
      <c r="O1372" s="7">
        <f>O1373+O1379</f>
        <v>0</v>
      </c>
      <c r="P1372" s="35">
        <f t="shared" si="296"/>
        <v>76007.7</v>
      </c>
      <c r="Q1372" s="7">
        <f>Q1373+Q1379</f>
        <v>1343.2</v>
      </c>
      <c r="R1372" s="35">
        <f t="shared" si="293"/>
        <v>77350.899999999994</v>
      </c>
      <c r="S1372" s="7">
        <f>S1373+S1379</f>
        <v>200</v>
      </c>
      <c r="T1372" s="35">
        <f t="shared" si="292"/>
        <v>77550.899999999994</v>
      </c>
    </row>
    <row r="1373" spans="1:20">
      <c r="A1373" s="61" t="str">
        <f ca="1">IF(ISERROR(MATCH(B1373,Код_КЦСР,0)),"",INDIRECT(ADDRESS(MATCH(B1373,Код_КЦСР,0)+1,2,,,"КЦСР")))</f>
        <v>Обеспечение работы СЭД «Летограф»</v>
      </c>
      <c r="B1373" s="45" t="s">
        <v>124</v>
      </c>
      <c r="C1373" s="8"/>
      <c r="D1373" s="1"/>
      <c r="E1373" s="113"/>
      <c r="F1373" s="7">
        <f t="shared" ref="F1373:S1377" si="303">F1374</f>
        <v>290</v>
      </c>
      <c r="G1373" s="7">
        <f t="shared" si="303"/>
        <v>0</v>
      </c>
      <c r="H1373" s="35">
        <f t="shared" si="299"/>
        <v>290</v>
      </c>
      <c r="I1373" s="7">
        <f t="shared" si="303"/>
        <v>0</v>
      </c>
      <c r="J1373" s="35">
        <f t="shared" si="298"/>
        <v>290</v>
      </c>
      <c r="K1373" s="7">
        <f t="shared" si="303"/>
        <v>0</v>
      </c>
      <c r="L1373" s="35">
        <f t="shared" si="288"/>
        <v>290</v>
      </c>
      <c r="M1373" s="7">
        <f t="shared" si="303"/>
        <v>0</v>
      </c>
      <c r="N1373" s="35">
        <f t="shared" si="289"/>
        <v>290</v>
      </c>
      <c r="O1373" s="7">
        <f t="shared" si="303"/>
        <v>0</v>
      </c>
      <c r="P1373" s="35">
        <f t="shared" si="296"/>
        <v>290</v>
      </c>
      <c r="Q1373" s="7">
        <f t="shared" si="303"/>
        <v>-12.7</v>
      </c>
      <c r="R1373" s="35">
        <f t="shared" si="293"/>
        <v>277.3</v>
      </c>
      <c r="S1373" s="7">
        <f t="shared" si="303"/>
        <v>0</v>
      </c>
      <c r="T1373" s="35">
        <f t="shared" si="292"/>
        <v>277.3</v>
      </c>
    </row>
    <row r="1374" spans="1:20">
      <c r="A1374" s="61" t="str">
        <f ca="1">IF(ISERROR(MATCH(C1374,Код_Раздел,0)),"",INDIRECT(ADDRESS(MATCH(C1374,Код_Раздел,0)+1,2,,,"Раздел")))</f>
        <v>Национальная экономика</v>
      </c>
      <c r="B1374" s="45" t="s">
        <v>124</v>
      </c>
      <c r="C1374" s="8" t="s">
        <v>214</v>
      </c>
      <c r="D1374" s="1"/>
      <c r="E1374" s="113"/>
      <c r="F1374" s="7">
        <f t="shared" si="303"/>
        <v>290</v>
      </c>
      <c r="G1374" s="7">
        <f t="shared" si="303"/>
        <v>0</v>
      </c>
      <c r="H1374" s="35">
        <f t="shared" si="299"/>
        <v>290</v>
      </c>
      <c r="I1374" s="7">
        <f t="shared" si="303"/>
        <v>0</v>
      </c>
      <c r="J1374" s="35">
        <f t="shared" si="298"/>
        <v>290</v>
      </c>
      <c r="K1374" s="7">
        <f t="shared" si="303"/>
        <v>0</v>
      </c>
      <c r="L1374" s="35">
        <f t="shared" ref="L1374:L1444" si="304">J1374+K1374</f>
        <v>290</v>
      </c>
      <c r="M1374" s="7">
        <f t="shared" si="303"/>
        <v>0</v>
      </c>
      <c r="N1374" s="35">
        <f t="shared" ref="N1374:N1411" si="305">L1374+M1374</f>
        <v>290</v>
      </c>
      <c r="O1374" s="7">
        <f t="shared" si="303"/>
        <v>0</v>
      </c>
      <c r="P1374" s="35">
        <f t="shared" si="296"/>
        <v>290</v>
      </c>
      <c r="Q1374" s="7">
        <f t="shared" si="303"/>
        <v>-12.7</v>
      </c>
      <c r="R1374" s="35">
        <f t="shared" si="293"/>
        <v>277.3</v>
      </c>
      <c r="S1374" s="7">
        <f t="shared" si="303"/>
        <v>0</v>
      </c>
      <c r="T1374" s="35">
        <f t="shared" si="292"/>
        <v>277.3</v>
      </c>
    </row>
    <row r="1375" spans="1:20">
      <c r="A1375" s="12" t="s">
        <v>228</v>
      </c>
      <c r="B1375" s="45" t="s">
        <v>124</v>
      </c>
      <c r="C1375" s="8" t="s">
        <v>214</v>
      </c>
      <c r="D1375" s="1" t="s">
        <v>186</v>
      </c>
      <c r="E1375" s="113"/>
      <c r="F1375" s="7">
        <f t="shared" si="303"/>
        <v>290</v>
      </c>
      <c r="G1375" s="7">
        <f t="shared" si="303"/>
        <v>0</v>
      </c>
      <c r="H1375" s="35">
        <f t="shared" si="299"/>
        <v>290</v>
      </c>
      <c r="I1375" s="7">
        <f t="shared" si="303"/>
        <v>0</v>
      </c>
      <c r="J1375" s="35">
        <f t="shared" si="298"/>
        <v>290</v>
      </c>
      <c r="K1375" s="7">
        <f t="shared" si="303"/>
        <v>0</v>
      </c>
      <c r="L1375" s="35">
        <f t="shared" si="304"/>
        <v>290</v>
      </c>
      <c r="M1375" s="7">
        <f t="shared" si="303"/>
        <v>0</v>
      </c>
      <c r="N1375" s="35">
        <f t="shared" si="305"/>
        <v>290</v>
      </c>
      <c r="O1375" s="7">
        <f t="shared" si="303"/>
        <v>0</v>
      </c>
      <c r="P1375" s="35">
        <f t="shared" si="296"/>
        <v>290</v>
      </c>
      <c r="Q1375" s="7">
        <f t="shared" si="303"/>
        <v>-12.7</v>
      </c>
      <c r="R1375" s="35">
        <f t="shared" si="293"/>
        <v>277.3</v>
      </c>
      <c r="S1375" s="7">
        <f t="shared" si="303"/>
        <v>0</v>
      </c>
      <c r="T1375" s="35">
        <f t="shared" si="292"/>
        <v>277.3</v>
      </c>
    </row>
    <row r="1376" spans="1:20" ht="33">
      <c r="A1376" s="61" t="str">
        <f ca="1">IF(ISERROR(MATCH(E1376,Код_КВР,0)),"",INDIRECT(ADDRESS(MATCH(E1376,Код_КВР,0)+1,2,,,"КВР")))</f>
        <v>Предоставление субсидий бюджетным, автономным учреждениям и иным некоммерческим организациям</v>
      </c>
      <c r="B1376" s="45" t="s">
        <v>124</v>
      </c>
      <c r="C1376" s="8" t="s">
        <v>214</v>
      </c>
      <c r="D1376" s="1" t="s">
        <v>186</v>
      </c>
      <c r="E1376" s="113">
        <v>600</v>
      </c>
      <c r="F1376" s="7">
        <f t="shared" si="303"/>
        <v>290</v>
      </c>
      <c r="G1376" s="7">
        <f t="shared" si="303"/>
        <v>0</v>
      </c>
      <c r="H1376" s="35">
        <f t="shared" si="299"/>
        <v>290</v>
      </c>
      <c r="I1376" s="7">
        <f t="shared" si="303"/>
        <v>0</v>
      </c>
      <c r="J1376" s="35">
        <f t="shared" si="298"/>
        <v>290</v>
      </c>
      <c r="K1376" s="7">
        <f t="shared" si="303"/>
        <v>0</v>
      </c>
      <c r="L1376" s="35">
        <f t="shared" si="304"/>
        <v>290</v>
      </c>
      <c r="M1376" s="7">
        <f t="shared" si="303"/>
        <v>0</v>
      </c>
      <c r="N1376" s="35">
        <f t="shared" si="305"/>
        <v>290</v>
      </c>
      <c r="O1376" s="7">
        <f t="shared" si="303"/>
        <v>0</v>
      </c>
      <c r="P1376" s="35">
        <f t="shared" si="296"/>
        <v>290</v>
      </c>
      <c r="Q1376" s="7">
        <f t="shared" si="303"/>
        <v>-12.7</v>
      </c>
      <c r="R1376" s="35">
        <f t="shared" si="293"/>
        <v>277.3</v>
      </c>
      <c r="S1376" s="7">
        <f t="shared" si="303"/>
        <v>0</v>
      </c>
      <c r="T1376" s="35">
        <f t="shared" si="292"/>
        <v>277.3</v>
      </c>
    </row>
    <row r="1377" spans="1:20">
      <c r="A1377" s="61" t="str">
        <f ca="1">IF(ISERROR(MATCH(E1377,Код_КВР,0)),"",INDIRECT(ADDRESS(MATCH(E1377,Код_КВР,0)+1,2,,,"КВР")))</f>
        <v>Субсидии бюджетным учреждениям</v>
      </c>
      <c r="B1377" s="45" t="s">
        <v>124</v>
      </c>
      <c r="C1377" s="8" t="s">
        <v>214</v>
      </c>
      <c r="D1377" s="1" t="s">
        <v>186</v>
      </c>
      <c r="E1377" s="113">
        <v>610</v>
      </c>
      <c r="F1377" s="7">
        <f t="shared" si="303"/>
        <v>290</v>
      </c>
      <c r="G1377" s="7">
        <f t="shared" si="303"/>
        <v>0</v>
      </c>
      <c r="H1377" s="35">
        <f t="shared" si="299"/>
        <v>290</v>
      </c>
      <c r="I1377" s="7">
        <f t="shared" si="303"/>
        <v>0</v>
      </c>
      <c r="J1377" s="35">
        <f t="shared" si="298"/>
        <v>290</v>
      </c>
      <c r="K1377" s="7">
        <f t="shared" si="303"/>
        <v>0</v>
      </c>
      <c r="L1377" s="35">
        <f t="shared" si="304"/>
        <v>290</v>
      </c>
      <c r="M1377" s="7">
        <f t="shared" si="303"/>
        <v>0</v>
      </c>
      <c r="N1377" s="35">
        <f t="shared" si="305"/>
        <v>290</v>
      </c>
      <c r="O1377" s="7">
        <f t="shared" si="303"/>
        <v>0</v>
      </c>
      <c r="P1377" s="35">
        <f t="shared" si="296"/>
        <v>290</v>
      </c>
      <c r="Q1377" s="7">
        <f t="shared" si="303"/>
        <v>-12.7</v>
      </c>
      <c r="R1377" s="35">
        <f t="shared" si="293"/>
        <v>277.3</v>
      </c>
      <c r="S1377" s="7">
        <f t="shared" si="303"/>
        <v>0</v>
      </c>
      <c r="T1377" s="35">
        <f t="shared" si="292"/>
        <v>277.3</v>
      </c>
    </row>
    <row r="1378" spans="1:20">
      <c r="A1378" s="61" t="str">
        <f ca="1">IF(ISERROR(MATCH(E1378,Код_КВР,0)),"",INDIRECT(ADDRESS(MATCH(E1378,Код_КВР,0)+1,2,,,"КВР")))</f>
        <v>Субсидии бюджетным учреждениям на иные цели</v>
      </c>
      <c r="B1378" s="45" t="s">
        <v>124</v>
      </c>
      <c r="C1378" s="8" t="s">
        <v>214</v>
      </c>
      <c r="D1378" s="1" t="s">
        <v>186</v>
      </c>
      <c r="E1378" s="113">
        <v>612</v>
      </c>
      <c r="F1378" s="7">
        <f>прил.6!G261</f>
        <v>290</v>
      </c>
      <c r="G1378" s="7">
        <f>прил.6!H261</f>
        <v>0</v>
      </c>
      <c r="H1378" s="35">
        <f t="shared" si="299"/>
        <v>290</v>
      </c>
      <c r="I1378" s="7">
        <f>прил.6!J261</f>
        <v>0</v>
      </c>
      <c r="J1378" s="35">
        <f t="shared" si="298"/>
        <v>290</v>
      </c>
      <c r="K1378" s="7">
        <f>прил.6!L261</f>
        <v>0</v>
      </c>
      <c r="L1378" s="35">
        <f t="shared" si="304"/>
        <v>290</v>
      </c>
      <c r="M1378" s="7">
        <f>прил.6!N261</f>
        <v>0</v>
      </c>
      <c r="N1378" s="35">
        <f t="shared" si="305"/>
        <v>290</v>
      </c>
      <c r="O1378" s="7">
        <f>прил.6!P261</f>
        <v>0</v>
      </c>
      <c r="P1378" s="35">
        <f t="shared" si="296"/>
        <v>290</v>
      </c>
      <c r="Q1378" s="7">
        <f>прил.6!R261</f>
        <v>-12.7</v>
      </c>
      <c r="R1378" s="35">
        <f t="shared" si="293"/>
        <v>277.3</v>
      </c>
      <c r="S1378" s="7">
        <f>прил.6!T261</f>
        <v>0</v>
      </c>
      <c r="T1378" s="35">
        <f t="shared" si="292"/>
        <v>277.3</v>
      </c>
    </row>
    <row r="1379" spans="1:20" ht="33">
      <c r="A1379" s="61" t="str">
        <f ca="1">IF(ISERROR(MATCH(B1379,Код_КЦСР,0)),"",INDIRECT(ADDRESS(MATCH(B1379,Код_КЦСР,0)+1,2,,,"КЦСР")))</f>
        <v>Материально-техническое обеспечение деятельности работников местного самоуправления</v>
      </c>
      <c r="B1379" s="45" t="s">
        <v>126</v>
      </c>
      <c r="C1379" s="8"/>
      <c r="D1379" s="1"/>
      <c r="E1379" s="113"/>
      <c r="F1379" s="7">
        <f>F1380</f>
        <v>74353.2</v>
      </c>
      <c r="G1379" s="7">
        <f>G1380</f>
        <v>0</v>
      </c>
      <c r="H1379" s="35">
        <f t="shared" si="299"/>
        <v>74353.2</v>
      </c>
      <c r="I1379" s="7">
        <f>I1380</f>
        <v>1364.5</v>
      </c>
      <c r="J1379" s="35">
        <f t="shared" si="298"/>
        <v>75717.7</v>
      </c>
      <c r="K1379" s="7">
        <f>K1380</f>
        <v>0</v>
      </c>
      <c r="L1379" s="35">
        <f t="shared" si="304"/>
        <v>75717.7</v>
      </c>
      <c r="M1379" s="7">
        <f>M1380</f>
        <v>0</v>
      </c>
      <c r="N1379" s="35">
        <f t="shared" si="305"/>
        <v>75717.7</v>
      </c>
      <c r="O1379" s="7">
        <f>O1380</f>
        <v>0</v>
      </c>
      <c r="P1379" s="35">
        <f t="shared" si="296"/>
        <v>75717.7</v>
      </c>
      <c r="Q1379" s="7">
        <f>Q1380</f>
        <v>1355.9</v>
      </c>
      <c r="R1379" s="35">
        <f t="shared" si="293"/>
        <v>77073.599999999991</v>
      </c>
      <c r="S1379" s="7">
        <f>S1380</f>
        <v>200</v>
      </c>
      <c r="T1379" s="35">
        <f t="shared" si="292"/>
        <v>77273.599999999991</v>
      </c>
    </row>
    <row r="1380" spans="1:20">
      <c r="A1380" s="61" t="str">
        <f ca="1">IF(ISERROR(MATCH(C1380,Код_Раздел,0)),"",INDIRECT(ADDRESS(MATCH(C1380,Код_Раздел,0)+1,2,,,"Раздел")))</f>
        <v>Общегосударственные  вопросы</v>
      </c>
      <c r="B1380" s="45" t="s">
        <v>126</v>
      </c>
      <c r="C1380" s="8" t="s">
        <v>211</v>
      </c>
      <c r="D1380" s="1"/>
      <c r="E1380" s="113"/>
      <c r="F1380" s="7">
        <f>F1381</f>
        <v>74353.2</v>
      </c>
      <c r="G1380" s="7">
        <f>G1381</f>
        <v>0</v>
      </c>
      <c r="H1380" s="35">
        <f t="shared" si="299"/>
        <v>74353.2</v>
      </c>
      <c r="I1380" s="7">
        <f>I1381</f>
        <v>1364.5</v>
      </c>
      <c r="J1380" s="35">
        <f t="shared" si="298"/>
        <v>75717.7</v>
      </c>
      <c r="K1380" s="7">
        <f>K1381</f>
        <v>0</v>
      </c>
      <c r="L1380" s="35">
        <f t="shared" si="304"/>
        <v>75717.7</v>
      </c>
      <c r="M1380" s="7">
        <f>M1381</f>
        <v>0</v>
      </c>
      <c r="N1380" s="35">
        <f t="shared" si="305"/>
        <v>75717.7</v>
      </c>
      <c r="O1380" s="7">
        <f>O1381</f>
        <v>0</v>
      </c>
      <c r="P1380" s="35">
        <f t="shared" si="296"/>
        <v>75717.7</v>
      </c>
      <c r="Q1380" s="7">
        <f>Q1381</f>
        <v>1355.9</v>
      </c>
      <c r="R1380" s="35">
        <f t="shared" si="293"/>
        <v>77073.599999999991</v>
      </c>
      <c r="S1380" s="7">
        <f>S1381</f>
        <v>200</v>
      </c>
      <c r="T1380" s="35">
        <f t="shared" si="292"/>
        <v>77273.599999999991</v>
      </c>
    </row>
    <row r="1381" spans="1:20">
      <c r="A1381" s="12" t="s">
        <v>235</v>
      </c>
      <c r="B1381" s="45" t="s">
        <v>126</v>
      </c>
      <c r="C1381" s="8" t="s">
        <v>211</v>
      </c>
      <c r="D1381" s="1" t="s">
        <v>188</v>
      </c>
      <c r="E1381" s="113"/>
      <c r="F1381" s="7">
        <f>F1382+F1384+F1387</f>
        <v>74353.2</v>
      </c>
      <c r="G1381" s="7">
        <f>G1382+G1384+G1387</f>
        <v>0</v>
      </c>
      <c r="H1381" s="35">
        <f t="shared" si="299"/>
        <v>74353.2</v>
      </c>
      <c r="I1381" s="7">
        <f>I1382+I1384+I1387</f>
        <v>1364.5</v>
      </c>
      <c r="J1381" s="35">
        <f t="shared" si="298"/>
        <v>75717.7</v>
      </c>
      <c r="K1381" s="7">
        <f>K1382+K1384+K1387</f>
        <v>0</v>
      </c>
      <c r="L1381" s="35">
        <f t="shared" si="304"/>
        <v>75717.7</v>
      </c>
      <c r="M1381" s="7">
        <f>M1382+M1384+M1387</f>
        <v>0</v>
      </c>
      <c r="N1381" s="35">
        <f t="shared" si="305"/>
        <v>75717.7</v>
      </c>
      <c r="O1381" s="7">
        <f>O1382+O1384+O1387</f>
        <v>0</v>
      </c>
      <c r="P1381" s="35">
        <f t="shared" si="296"/>
        <v>75717.7</v>
      </c>
      <c r="Q1381" s="7">
        <f>Q1382+Q1384+Q1387</f>
        <v>1355.9</v>
      </c>
      <c r="R1381" s="35">
        <f t="shared" si="293"/>
        <v>77073.599999999991</v>
      </c>
      <c r="S1381" s="7">
        <f>S1382+S1384+S1387</f>
        <v>200</v>
      </c>
      <c r="T1381" s="35">
        <f t="shared" si="292"/>
        <v>77273.599999999991</v>
      </c>
    </row>
    <row r="1382" spans="1:20" ht="33">
      <c r="A1382" s="61" t="str">
        <f t="shared" ref="A1382:A1390" ca="1" si="306">IF(ISERROR(MATCH(E1382,Код_КВР,0)),"",INDIRECT(ADDRESS(MATCH(E1382,Код_КВР,0)+1,2,,,"КВР")))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2" s="45" t="s">
        <v>126</v>
      </c>
      <c r="C1382" s="8" t="s">
        <v>211</v>
      </c>
      <c r="D1382" s="1" t="s">
        <v>188</v>
      </c>
      <c r="E1382" s="113">
        <v>100</v>
      </c>
      <c r="F1382" s="7">
        <f>F1383</f>
        <v>37037.1</v>
      </c>
      <c r="G1382" s="7">
        <f>G1383</f>
        <v>0</v>
      </c>
      <c r="H1382" s="35">
        <f t="shared" si="299"/>
        <v>37037.1</v>
      </c>
      <c r="I1382" s="7">
        <f>I1383</f>
        <v>431.7</v>
      </c>
      <c r="J1382" s="35">
        <f t="shared" si="298"/>
        <v>37468.799999999996</v>
      </c>
      <c r="K1382" s="7">
        <f>K1383</f>
        <v>0</v>
      </c>
      <c r="L1382" s="35">
        <f t="shared" si="304"/>
        <v>37468.799999999996</v>
      </c>
      <c r="M1382" s="7">
        <f>M1383</f>
        <v>0</v>
      </c>
      <c r="N1382" s="35">
        <f t="shared" si="305"/>
        <v>37468.799999999996</v>
      </c>
      <c r="O1382" s="7">
        <f>O1383</f>
        <v>0</v>
      </c>
      <c r="P1382" s="35">
        <f t="shared" si="296"/>
        <v>37468.799999999996</v>
      </c>
      <c r="Q1382" s="7">
        <f>Q1383</f>
        <v>0</v>
      </c>
      <c r="R1382" s="35">
        <f t="shared" si="293"/>
        <v>37468.799999999996</v>
      </c>
      <c r="S1382" s="7">
        <f>S1383</f>
        <v>0</v>
      </c>
      <c r="T1382" s="35">
        <f t="shared" ref="T1382:T1453" si="307">R1382+S1382</f>
        <v>37468.799999999996</v>
      </c>
    </row>
    <row r="1383" spans="1:20">
      <c r="A1383" s="61" t="str">
        <f t="shared" ca="1" si="306"/>
        <v>Расходы на выплаты персоналу казенных учреждений</v>
      </c>
      <c r="B1383" s="45" t="s">
        <v>126</v>
      </c>
      <c r="C1383" s="8" t="s">
        <v>211</v>
      </c>
      <c r="D1383" s="1" t="s">
        <v>188</v>
      </c>
      <c r="E1383" s="113">
        <v>110</v>
      </c>
      <c r="F1383" s="7">
        <f>прил.6!G118</f>
        <v>37037.1</v>
      </c>
      <c r="G1383" s="7">
        <f>прил.6!H118</f>
        <v>0</v>
      </c>
      <c r="H1383" s="35">
        <f t="shared" si="299"/>
        <v>37037.1</v>
      </c>
      <c r="I1383" s="7">
        <f>прил.6!J118</f>
        <v>431.7</v>
      </c>
      <c r="J1383" s="35">
        <f t="shared" si="298"/>
        <v>37468.799999999996</v>
      </c>
      <c r="K1383" s="7">
        <f>прил.6!L118</f>
        <v>0</v>
      </c>
      <c r="L1383" s="35">
        <f t="shared" si="304"/>
        <v>37468.799999999996</v>
      </c>
      <c r="M1383" s="7">
        <f>прил.6!N118</f>
        <v>0</v>
      </c>
      <c r="N1383" s="35">
        <f t="shared" si="305"/>
        <v>37468.799999999996</v>
      </c>
      <c r="O1383" s="7">
        <f>прил.6!P118</f>
        <v>0</v>
      </c>
      <c r="P1383" s="35">
        <f t="shared" si="296"/>
        <v>37468.799999999996</v>
      </c>
      <c r="Q1383" s="7">
        <f>прил.6!R118</f>
        <v>0</v>
      </c>
      <c r="R1383" s="35">
        <f t="shared" si="293"/>
        <v>37468.799999999996</v>
      </c>
      <c r="S1383" s="7">
        <f>прил.6!T118</f>
        <v>0</v>
      </c>
      <c r="T1383" s="35">
        <f t="shared" si="307"/>
        <v>37468.799999999996</v>
      </c>
    </row>
    <row r="1384" spans="1:20">
      <c r="A1384" s="61" t="str">
        <f t="shared" ca="1" si="306"/>
        <v>Закупка товаров, работ и услуг для муниципальных нужд</v>
      </c>
      <c r="B1384" s="45" t="s">
        <v>126</v>
      </c>
      <c r="C1384" s="8" t="s">
        <v>211</v>
      </c>
      <c r="D1384" s="1" t="s">
        <v>188</v>
      </c>
      <c r="E1384" s="113">
        <v>200</v>
      </c>
      <c r="F1384" s="7">
        <f>F1385</f>
        <v>34357.800000000003</v>
      </c>
      <c r="G1384" s="7">
        <f>G1385</f>
        <v>0</v>
      </c>
      <c r="H1384" s="35">
        <f t="shared" si="299"/>
        <v>34357.800000000003</v>
      </c>
      <c r="I1384" s="7">
        <f>I1385</f>
        <v>932.8</v>
      </c>
      <c r="J1384" s="35">
        <f t="shared" si="298"/>
        <v>35290.600000000006</v>
      </c>
      <c r="K1384" s="7">
        <f>K1385</f>
        <v>0</v>
      </c>
      <c r="L1384" s="35">
        <f t="shared" si="304"/>
        <v>35290.600000000006</v>
      </c>
      <c r="M1384" s="7">
        <f>M1385</f>
        <v>0</v>
      </c>
      <c r="N1384" s="35">
        <f t="shared" si="305"/>
        <v>35290.600000000006</v>
      </c>
      <c r="O1384" s="7">
        <f>O1385</f>
        <v>0</v>
      </c>
      <c r="P1384" s="35">
        <f t="shared" si="296"/>
        <v>35290.600000000006</v>
      </c>
      <c r="Q1384" s="7">
        <f>Q1385</f>
        <v>1355.9</v>
      </c>
      <c r="R1384" s="35">
        <f t="shared" si="293"/>
        <v>36646.500000000007</v>
      </c>
      <c r="S1384" s="7">
        <f>S1385</f>
        <v>200</v>
      </c>
      <c r="T1384" s="35">
        <f t="shared" si="307"/>
        <v>36846.500000000007</v>
      </c>
    </row>
    <row r="1385" spans="1:20" ht="33">
      <c r="A1385" s="61" t="str">
        <f t="shared" ca="1" si="306"/>
        <v>Иные закупки товаров, работ и услуг для обеспечения муниципальных нужд</v>
      </c>
      <c r="B1385" s="45" t="s">
        <v>126</v>
      </c>
      <c r="C1385" s="8" t="s">
        <v>211</v>
      </c>
      <c r="D1385" s="1" t="s">
        <v>188</v>
      </c>
      <c r="E1385" s="113">
        <v>240</v>
      </c>
      <c r="F1385" s="7">
        <f>F1386</f>
        <v>34357.800000000003</v>
      </c>
      <c r="G1385" s="7">
        <f>G1386</f>
        <v>0</v>
      </c>
      <c r="H1385" s="35">
        <f t="shared" si="299"/>
        <v>34357.800000000003</v>
      </c>
      <c r="I1385" s="7">
        <f>I1386</f>
        <v>932.8</v>
      </c>
      <c r="J1385" s="35">
        <f t="shared" si="298"/>
        <v>35290.600000000006</v>
      </c>
      <c r="K1385" s="7">
        <f>K1386</f>
        <v>0</v>
      </c>
      <c r="L1385" s="35">
        <f t="shared" si="304"/>
        <v>35290.600000000006</v>
      </c>
      <c r="M1385" s="7">
        <f>M1386</f>
        <v>0</v>
      </c>
      <c r="N1385" s="35">
        <f t="shared" si="305"/>
        <v>35290.600000000006</v>
      </c>
      <c r="O1385" s="7">
        <f>O1386</f>
        <v>0</v>
      </c>
      <c r="P1385" s="35">
        <f t="shared" si="296"/>
        <v>35290.600000000006</v>
      </c>
      <c r="Q1385" s="7">
        <f>Q1386</f>
        <v>1355.9</v>
      </c>
      <c r="R1385" s="35">
        <f t="shared" si="293"/>
        <v>36646.500000000007</v>
      </c>
      <c r="S1385" s="7">
        <f>S1386</f>
        <v>200</v>
      </c>
      <c r="T1385" s="35">
        <f t="shared" si="307"/>
        <v>36846.500000000007</v>
      </c>
    </row>
    <row r="1386" spans="1:20" ht="33">
      <c r="A1386" s="61" t="str">
        <f t="shared" ca="1" si="306"/>
        <v xml:space="preserve">Прочая закупка товаров, работ и услуг для обеспечения муниципальных нужд         </v>
      </c>
      <c r="B1386" s="45" t="s">
        <v>126</v>
      </c>
      <c r="C1386" s="8" t="s">
        <v>211</v>
      </c>
      <c r="D1386" s="1" t="s">
        <v>188</v>
      </c>
      <c r="E1386" s="113">
        <v>244</v>
      </c>
      <c r="F1386" s="7">
        <f>прил.6!G121</f>
        <v>34357.800000000003</v>
      </c>
      <c r="G1386" s="7">
        <f>прил.6!H121</f>
        <v>0</v>
      </c>
      <c r="H1386" s="35">
        <f t="shared" si="299"/>
        <v>34357.800000000003</v>
      </c>
      <c r="I1386" s="7">
        <f>прил.6!J121</f>
        <v>932.8</v>
      </c>
      <c r="J1386" s="35">
        <f t="shared" si="298"/>
        <v>35290.600000000006</v>
      </c>
      <c r="K1386" s="7">
        <f>прил.6!L121</f>
        <v>0</v>
      </c>
      <c r="L1386" s="35">
        <f t="shared" si="304"/>
        <v>35290.600000000006</v>
      </c>
      <c r="M1386" s="7">
        <f>прил.6!N121</f>
        <v>0</v>
      </c>
      <c r="N1386" s="35">
        <f t="shared" si="305"/>
        <v>35290.600000000006</v>
      </c>
      <c r="O1386" s="7">
        <f>прил.6!P121</f>
        <v>0</v>
      </c>
      <c r="P1386" s="35">
        <f t="shared" si="296"/>
        <v>35290.600000000006</v>
      </c>
      <c r="Q1386" s="7">
        <f>прил.6!R121</f>
        <v>1355.9</v>
      </c>
      <c r="R1386" s="35">
        <f t="shared" si="293"/>
        <v>36646.500000000007</v>
      </c>
      <c r="S1386" s="7">
        <f>прил.6!T121</f>
        <v>200</v>
      </c>
      <c r="T1386" s="35">
        <f t="shared" si="307"/>
        <v>36846.500000000007</v>
      </c>
    </row>
    <row r="1387" spans="1:20">
      <c r="A1387" s="61" t="str">
        <f t="shared" ca="1" si="306"/>
        <v>Иные бюджетные ассигнования</v>
      </c>
      <c r="B1387" s="45" t="s">
        <v>126</v>
      </c>
      <c r="C1387" s="8" t="s">
        <v>211</v>
      </c>
      <c r="D1387" s="1" t="s">
        <v>188</v>
      </c>
      <c r="E1387" s="113">
        <v>800</v>
      </c>
      <c r="F1387" s="7">
        <f>F1388</f>
        <v>2958.2999999999997</v>
      </c>
      <c r="G1387" s="7">
        <f>G1388</f>
        <v>0</v>
      </c>
      <c r="H1387" s="35">
        <f t="shared" si="299"/>
        <v>2958.2999999999997</v>
      </c>
      <c r="I1387" s="7">
        <f>I1388</f>
        <v>0</v>
      </c>
      <c r="J1387" s="35">
        <f t="shared" si="298"/>
        <v>2958.2999999999997</v>
      </c>
      <c r="K1387" s="7">
        <f>K1388</f>
        <v>0</v>
      </c>
      <c r="L1387" s="35">
        <f t="shared" si="304"/>
        <v>2958.2999999999997</v>
      </c>
      <c r="M1387" s="7">
        <f>M1388</f>
        <v>0</v>
      </c>
      <c r="N1387" s="35">
        <f t="shared" si="305"/>
        <v>2958.2999999999997</v>
      </c>
      <c r="O1387" s="7">
        <f>O1388</f>
        <v>0</v>
      </c>
      <c r="P1387" s="35">
        <f t="shared" si="296"/>
        <v>2958.2999999999997</v>
      </c>
      <c r="Q1387" s="7">
        <f>Q1388</f>
        <v>0</v>
      </c>
      <c r="R1387" s="35">
        <f t="shared" si="293"/>
        <v>2958.2999999999997</v>
      </c>
      <c r="S1387" s="7">
        <f>S1388</f>
        <v>0</v>
      </c>
      <c r="T1387" s="35">
        <f t="shared" si="307"/>
        <v>2958.2999999999997</v>
      </c>
    </row>
    <row r="1388" spans="1:20">
      <c r="A1388" s="61" t="str">
        <f t="shared" ca="1" si="306"/>
        <v>Уплата налогов, сборов и иных платежей</v>
      </c>
      <c r="B1388" s="45" t="s">
        <v>126</v>
      </c>
      <c r="C1388" s="8" t="s">
        <v>211</v>
      </c>
      <c r="D1388" s="1" t="s">
        <v>188</v>
      </c>
      <c r="E1388" s="113">
        <v>850</v>
      </c>
      <c r="F1388" s="7">
        <f>SUM(F1389:F1390)</f>
        <v>2958.2999999999997</v>
      </c>
      <c r="G1388" s="7">
        <f>SUM(G1389:G1390)</f>
        <v>0</v>
      </c>
      <c r="H1388" s="35">
        <f t="shared" si="299"/>
        <v>2958.2999999999997</v>
      </c>
      <c r="I1388" s="7">
        <f>SUM(I1389:I1390)</f>
        <v>0</v>
      </c>
      <c r="J1388" s="35">
        <f t="shared" si="298"/>
        <v>2958.2999999999997</v>
      </c>
      <c r="K1388" s="7">
        <f>SUM(K1389:K1390)</f>
        <v>0</v>
      </c>
      <c r="L1388" s="35">
        <f t="shared" si="304"/>
        <v>2958.2999999999997</v>
      </c>
      <c r="M1388" s="7">
        <f>SUM(M1389:M1390)</f>
        <v>0</v>
      </c>
      <c r="N1388" s="35">
        <f t="shared" si="305"/>
        <v>2958.2999999999997</v>
      </c>
      <c r="O1388" s="7">
        <f>SUM(O1389:O1390)</f>
        <v>0</v>
      </c>
      <c r="P1388" s="35">
        <f t="shared" si="296"/>
        <v>2958.2999999999997</v>
      </c>
      <c r="Q1388" s="7">
        <f>SUM(Q1389:Q1390)</f>
        <v>0</v>
      </c>
      <c r="R1388" s="35">
        <f t="shared" si="293"/>
        <v>2958.2999999999997</v>
      </c>
      <c r="S1388" s="7">
        <f>SUM(S1389:S1390)</f>
        <v>0</v>
      </c>
      <c r="T1388" s="35">
        <f t="shared" si="307"/>
        <v>2958.2999999999997</v>
      </c>
    </row>
    <row r="1389" spans="1:20">
      <c r="A1389" s="61" t="str">
        <f t="shared" ca="1" si="306"/>
        <v>Уплата налога на имущество организаций и земельного налога</v>
      </c>
      <c r="B1389" s="45" t="s">
        <v>126</v>
      </c>
      <c r="C1389" s="8" t="s">
        <v>211</v>
      </c>
      <c r="D1389" s="1" t="s">
        <v>188</v>
      </c>
      <c r="E1389" s="113">
        <v>851</v>
      </c>
      <c r="F1389" s="7">
        <f>прил.6!G124</f>
        <v>2591.6</v>
      </c>
      <c r="G1389" s="7">
        <f>прил.6!H124</f>
        <v>0</v>
      </c>
      <c r="H1389" s="35">
        <f t="shared" si="299"/>
        <v>2591.6</v>
      </c>
      <c r="I1389" s="7">
        <f>прил.6!J124</f>
        <v>0</v>
      </c>
      <c r="J1389" s="35">
        <f t="shared" si="298"/>
        <v>2591.6</v>
      </c>
      <c r="K1389" s="7">
        <f>прил.6!L124</f>
        <v>0</v>
      </c>
      <c r="L1389" s="35">
        <f t="shared" si="304"/>
        <v>2591.6</v>
      </c>
      <c r="M1389" s="7">
        <f>прил.6!N124</f>
        <v>0</v>
      </c>
      <c r="N1389" s="35">
        <f t="shared" si="305"/>
        <v>2591.6</v>
      </c>
      <c r="O1389" s="7">
        <f>прил.6!P124</f>
        <v>0</v>
      </c>
      <c r="P1389" s="35">
        <f t="shared" si="296"/>
        <v>2591.6</v>
      </c>
      <c r="Q1389" s="7">
        <f>прил.6!R124</f>
        <v>30</v>
      </c>
      <c r="R1389" s="35">
        <f t="shared" si="293"/>
        <v>2621.6</v>
      </c>
      <c r="S1389" s="7">
        <f>прил.6!T124</f>
        <v>0</v>
      </c>
      <c r="T1389" s="35">
        <f t="shared" si="307"/>
        <v>2621.6</v>
      </c>
    </row>
    <row r="1390" spans="1:20">
      <c r="A1390" s="61" t="str">
        <f t="shared" ca="1" si="306"/>
        <v>Уплата прочих налогов, сборов и иных платежей</v>
      </c>
      <c r="B1390" s="45" t="s">
        <v>126</v>
      </c>
      <c r="C1390" s="8" t="s">
        <v>211</v>
      </c>
      <c r="D1390" s="1" t="s">
        <v>188</v>
      </c>
      <c r="E1390" s="113">
        <v>852</v>
      </c>
      <c r="F1390" s="7">
        <f>прил.6!G125</f>
        <v>366.7</v>
      </c>
      <c r="G1390" s="7">
        <f>прил.6!H125</f>
        <v>0</v>
      </c>
      <c r="H1390" s="35">
        <f t="shared" si="299"/>
        <v>366.7</v>
      </c>
      <c r="I1390" s="7">
        <f>прил.6!J125</f>
        <v>0</v>
      </c>
      <c r="J1390" s="35">
        <f t="shared" si="298"/>
        <v>366.7</v>
      </c>
      <c r="K1390" s="7">
        <f>прил.6!L125</f>
        <v>0</v>
      </c>
      <c r="L1390" s="35">
        <f t="shared" si="304"/>
        <v>366.7</v>
      </c>
      <c r="M1390" s="7">
        <f>прил.6!N125</f>
        <v>0</v>
      </c>
      <c r="N1390" s="35">
        <f t="shared" si="305"/>
        <v>366.7</v>
      </c>
      <c r="O1390" s="7">
        <f>прил.6!P125</f>
        <v>0</v>
      </c>
      <c r="P1390" s="35">
        <f t="shared" si="296"/>
        <v>366.7</v>
      </c>
      <c r="Q1390" s="7">
        <f>прил.6!R125</f>
        <v>-30</v>
      </c>
      <c r="R1390" s="35">
        <f t="shared" si="293"/>
        <v>336.7</v>
      </c>
      <c r="S1390" s="7">
        <f>прил.6!T125</f>
        <v>0</v>
      </c>
      <c r="T1390" s="35">
        <f t="shared" si="307"/>
        <v>336.7</v>
      </c>
    </row>
    <row r="1391" spans="1:20">
      <c r="A1391" s="61" t="str">
        <f ca="1">IF(ISERROR(MATCH(B1391,Код_КЦСР,0)),"",INDIRECT(ADDRESS(MATCH(B1391,Код_КЦСР,0)+1,2,,,"КЦСР")))</f>
        <v>Развитие муниципальной службы в мэрии города Череповца</v>
      </c>
      <c r="B1391" s="45" t="s">
        <v>128</v>
      </c>
      <c r="C1391" s="8"/>
      <c r="D1391" s="1"/>
      <c r="E1391" s="113"/>
      <c r="F1391" s="7">
        <f>F1392+F1398</f>
        <v>13790</v>
      </c>
      <c r="G1391" s="7">
        <f>G1392+G1398</f>
        <v>0</v>
      </c>
      <c r="H1391" s="35">
        <f t="shared" si="299"/>
        <v>13790</v>
      </c>
      <c r="I1391" s="7">
        <f>I1392+I1398</f>
        <v>0</v>
      </c>
      <c r="J1391" s="35">
        <f t="shared" si="298"/>
        <v>13790</v>
      </c>
      <c r="K1391" s="7">
        <f>K1392+K1398</f>
        <v>-77</v>
      </c>
      <c r="L1391" s="35">
        <f t="shared" si="304"/>
        <v>13713</v>
      </c>
      <c r="M1391" s="7">
        <f>M1392+M1398</f>
        <v>0</v>
      </c>
      <c r="N1391" s="35">
        <f t="shared" si="305"/>
        <v>13713</v>
      </c>
      <c r="O1391" s="7">
        <f>O1392+O1398</f>
        <v>0</v>
      </c>
      <c r="P1391" s="35">
        <f t="shared" si="296"/>
        <v>13713</v>
      </c>
      <c r="Q1391" s="7">
        <f>Q1392+Q1398</f>
        <v>20</v>
      </c>
      <c r="R1391" s="35">
        <f t="shared" si="293"/>
        <v>13733</v>
      </c>
      <c r="S1391" s="7">
        <f>S1392+S1398</f>
        <v>0</v>
      </c>
      <c r="T1391" s="35">
        <f t="shared" si="307"/>
        <v>13733</v>
      </c>
    </row>
    <row r="1392" spans="1:20" ht="49.5">
      <c r="A1392" s="61" t="str">
        <f ca="1">IF(ISERROR(MATCH(B1392,Код_КЦСР,0)),"",INDIRECT(ADDRESS(MATCH(B1392,Код_КЦСР,0)+1,2,,,"КЦСР")))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392" s="45" t="s">
        <v>130</v>
      </c>
      <c r="C1392" s="8"/>
      <c r="D1392" s="1"/>
      <c r="E1392" s="113"/>
      <c r="F1392" s="7">
        <f t="shared" ref="F1392:S1396" si="308">F1393</f>
        <v>350</v>
      </c>
      <c r="G1392" s="7">
        <f t="shared" si="308"/>
        <v>0</v>
      </c>
      <c r="H1392" s="35">
        <f t="shared" si="299"/>
        <v>350</v>
      </c>
      <c r="I1392" s="7">
        <f t="shared" si="308"/>
        <v>0</v>
      </c>
      <c r="J1392" s="35">
        <f t="shared" si="298"/>
        <v>350</v>
      </c>
      <c r="K1392" s="7">
        <f t="shared" si="308"/>
        <v>-77</v>
      </c>
      <c r="L1392" s="35">
        <f t="shared" si="304"/>
        <v>273</v>
      </c>
      <c r="M1392" s="7">
        <f t="shared" si="308"/>
        <v>0</v>
      </c>
      <c r="N1392" s="35">
        <f t="shared" si="305"/>
        <v>273</v>
      </c>
      <c r="O1392" s="7">
        <f t="shared" si="308"/>
        <v>0</v>
      </c>
      <c r="P1392" s="35">
        <f t="shared" si="296"/>
        <v>273</v>
      </c>
      <c r="Q1392" s="7">
        <f t="shared" si="308"/>
        <v>20</v>
      </c>
      <c r="R1392" s="35">
        <f t="shared" si="293"/>
        <v>293</v>
      </c>
      <c r="S1392" s="7">
        <f t="shared" si="308"/>
        <v>0</v>
      </c>
      <c r="T1392" s="35">
        <f t="shared" si="307"/>
        <v>293</v>
      </c>
    </row>
    <row r="1393" spans="1:21">
      <c r="A1393" s="61" t="str">
        <f ca="1">IF(ISERROR(MATCH(C1393,Код_Раздел,0)),"",INDIRECT(ADDRESS(MATCH(C1393,Код_Раздел,0)+1,2,,,"Раздел")))</f>
        <v>Общегосударственные  вопросы</v>
      </c>
      <c r="B1393" s="45" t="s">
        <v>130</v>
      </c>
      <c r="C1393" s="8" t="s">
        <v>211</v>
      </c>
      <c r="D1393" s="1"/>
      <c r="E1393" s="113"/>
      <c r="F1393" s="7">
        <f t="shared" si="308"/>
        <v>350</v>
      </c>
      <c r="G1393" s="7">
        <f t="shared" si="308"/>
        <v>0</v>
      </c>
      <c r="H1393" s="35">
        <f t="shared" si="299"/>
        <v>350</v>
      </c>
      <c r="I1393" s="7">
        <f t="shared" si="308"/>
        <v>0</v>
      </c>
      <c r="J1393" s="35">
        <f t="shared" si="298"/>
        <v>350</v>
      </c>
      <c r="K1393" s="7">
        <f t="shared" si="308"/>
        <v>-77</v>
      </c>
      <c r="L1393" s="35">
        <f t="shared" si="304"/>
        <v>273</v>
      </c>
      <c r="M1393" s="7">
        <f t="shared" si="308"/>
        <v>0</v>
      </c>
      <c r="N1393" s="35">
        <f t="shared" si="305"/>
        <v>273</v>
      </c>
      <c r="O1393" s="7">
        <f t="shared" si="308"/>
        <v>0</v>
      </c>
      <c r="P1393" s="35">
        <f t="shared" si="296"/>
        <v>273</v>
      </c>
      <c r="Q1393" s="7">
        <f t="shared" si="308"/>
        <v>20</v>
      </c>
      <c r="R1393" s="35">
        <f t="shared" si="293"/>
        <v>293</v>
      </c>
      <c r="S1393" s="7">
        <f t="shared" si="308"/>
        <v>0</v>
      </c>
      <c r="T1393" s="35">
        <f t="shared" si="307"/>
        <v>293</v>
      </c>
    </row>
    <row r="1394" spans="1:21">
      <c r="A1394" s="12" t="s">
        <v>235</v>
      </c>
      <c r="B1394" s="45" t="s">
        <v>130</v>
      </c>
      <c r="C1394" s="8" t="s">
        <v>211</v>
      </c>
      <c r="D1394" s="1" t="s">
        <v>188</v>
      </c>
      <c r="E1394" s="113"/>
      <c r="F1394" s="7">
        <f t="shared" si="308"/>
        <v>350</v>
      </c>
      <c r="G1394" s="7">
        <f t="shared" si="308"/>
        <v>0</v>
      </c>
      <c r="H1394" s="35">
        <f t="shared" si="299"/>
        <v>350</v>
      </c>
      <c r="I1394" s="7">
        <f t="shared" si="308"/>
        <v>0</v>
      </c>
      <c r="J1394" s="35">
        <f t="shared" si="298"/>
        <v>350</v>
      </c>
      <c r="K1394" s="7">
        <f t="shared" si="308"/>
        <v>-77</v>
      </c>
      <c r="L1394" s="35">
        <f t="shared" si="304"/>
        <v>273</v>
      </c>
      <c r="M1394" s="7">
        <f t="shared" si="308"/>
        <v>0</v>
      </c>
      <c r="N1394" s="35">
        <f t="shared" si="305"/>
        <v>273</v>
      </c>
      <c r="O1394" s="7">
        <f t="shared" si="308"/>
        <v>0</v>
      </c>
      <c r="P1394" s="35">
        <f t="shared" si="296"/>
        <v>273</v>
      </c>
      <c r="Q1394" s="7">
        <f t="shared" si="308"/>
        <v>20</v>
      </c>
      <c r="R1394" s="35">
        <f t="shared" si="293"/>
        <v>293</v>
      </c>
      <c r="S1394" s="7">
        <f t="shared" si="308"/>
        <v>0</v>
      </c>
      <c r="T1394" s="35">
        <f t="shared" si="307"/>
        <v>293</v>
      </c>
    </row>
    <row r="1395" spans="1:21">
      <c r="A1395" s="61" t="str">
        <f ca="1">IF(ISERROR(MATCH(E1395,Код_КВР,0)),"",INDIRECT(ADDRESS(MATCH(E1395,Код_КВР,0)+1,2,,,"КВР")))</f>
        <v>Закупка товаров, работ и услуг для муниципальных нужд</v>
      </c>
      <c r="B1395" s="45" t="s">
        <v>130</v>
      </c>
      <c r="C1395" s="8" t="s">
        <v>211</v>
      </c>
      <c r="D1395" s="1" t="s">
        <v>188</v>
      </c>
      <c r="E1395" s="113">
        <v>200</v>
      </c>
      <c r="F1395" s="7">
        <f t="shared" si="308"/>
        <v>350</v>
      </c>
      <c r="G1395" s="7">
        <f t="shared" si="308"/>
        <v>0</v>
      </c>
      <c r="H1395" s="35">
        <f t="shared" si="299"/>
        <v>350</v>
      </c>
      <c r="I1395" s="7">
        <f t="shared" si="308"/>
        <v>0</v>
      </c>
      <c r="J1395" s="35">
        <f t="shared" si="298"/>
        <v>350</v>
      </c>
      <c r="K1395" s="7">
        <f t="shared" si="308"/>
        <v>-77</v>
      </c>
      <c r="L1395" s="35">
        <f t="shared" si="304"/>
        <v>273</v>
      </c>
      <c r="M1395" s="7">
        <f t="shared" si="308"/>
        <v>0</v>
      </c>
      <c r="N1395" s="35">
        <f t="shared" si="305"/>
        <v>273</v>
      </c>
      <c r="O1395" s="7">
        <f t="shared" si="308"/>
        <v>0</v>
      </c>
      <c r="P1395" s="35">
        <f t="shared" si="296"/>
        <v>273</v>
      </c>
      <c r="Q1395" s="7">
        <f t="shared" si="308"/>
        <v>20</v>
      </c>
      <c r="R1395" s="35">
        <f t="shared" si="293"/>
        <v>293</v>
      </c>
      <c r="S1395" s="7">
        <f t="shared" si="308"/>
        <v>0</v>
      </c>
      <c r="T1395" s="35">
        <f t="shared" si="307"/>
        <v>293</v>
      </c>
    </row>
    <row r="1396" spans="1:21" ht="33">
      <c r="A1396" s="61" t="str">
        <f ca="1">IF(ISERROR(MATCH(E1396,Код_КВР,0)),"",INDIRECT(ADDRESS(MATCH(E1396,Код_КВР,0)+1,2,,,"КВР")))</f>
        <v>Иные закупки товаров, работ и услуг для обеспечения муниципальных нужд</v>
      </c>
      <c r="B1396" s="45" t="s">
        <v>130</v>
      </c>
      <c r="C1396" s="8" t="s">
        <v>211</v>
      </c>
      <c r="D1396" s="1" t="s">
        <v>188</v>
      </c>
      <c r="E1396" s="113">
        <v>240</v>
      </c>
      <c r="F1396" s="7">
        <f t="shared" si="308"/>
        <v>350</v>
      </c>
      <c r="G1396" s="7">
        <f t="shared" si="308"/>
        <v>0</v>
      </c>
      <c r="H1396" s="35">
        <f t="shared" si="299"/>
        <v>350</v>
      </c>
      <c r="I1396" s="7">
        <f t="shared" si="308"/>
        <v>0</v>
      </c>
      <c r="J1396" s="35">
        <f t="shared" si="298"/>
        <v>350</v>
      </c>
      <c r="K1396" s="7">
        <f t="shared" si="308"/>
        <v>-77</v>
      </c>
      <c r="L1396" s="35">
        <f t="shared" si="304"/>
        <v>273</v>
      </c>
      <c r="M1396" s="7">
        <f t="shared" si="308"/>
        <v>0</v>
      </c>
      <c r="N1396" s="35">
        <f t="shared" si="305"/>
        <v>273</v>
      </c>
      <c r="O1396" s="7">
        <f t="shared" si="308"/>
        <v>0</v>
      </c>
      <c r="P1396" s="35">
        <f t="shared" si="296"/>
        <v>273</v>
      </c>
      <c r="Q1396" s="7">
        <f t="shared" si="308"/>
        <v>20</v>
      </c>
      <c r="R1396" s="35">
        <f t="shared" si="293"/>
        <v>293</v>
      </c>
      <c r="S1396" s="7">
        <f t="shared" si="308"/>
        <v>0</v>
      </c>
      <c r="T1396" s="35">
        <f t="shared" si="307"/>
        <v>293</v>
      </c>
    </row>
    <row r="1397" spans="1:21" ht="33">
      <c r="A1397" s="61" t="str">
        <f ca="1">IF(ISERROR(MATCH(E1397,Код_КВР,0)),"",INDIRECT(ADDRESS(MATCH(E1397,Код_КВР,0)+1,2,,,"КВР")))</f>
        <v xml:space="preserve">Прочая закупка товаров, работ и услуг для обеспечения муниципальных нужд         </v>
      </c>
      <c r="B1397" s="45" t="s">
        <v>130</v>
      </c>
      <c r="C1397" s="8" t="s">
        <v>211</v>
      </c>
      <c r="D1397" s="1" t="s">
        <v>188</v>
      </c>
      <c r="E1397" s="113">
        <v>244</v>
      </c>
      <c r="F1397" s="7">
        <f>прил.6!G130</f>
        <v>350</v>
      </c>
      <c r="G1397" s="7">
        <f>прил.6!H130</f>
        <v>0</v>
      </c>
      <c r="H1397" s="35">
        <f t="shared" si="299"/>
        <v>350</v>
      </c>
      <c r="I1397" s="7">
        <f>прил.6!J130</f>
        <v>0</v>
      </c>
      <c r="J1397" s="35">
        <f t="shared" si="298"/>
        <v>350</v>
      </c>
      <c r="K1397" s="7">
        <f>прил.6!L130</f>
        <v>-77</v>
      </c>
      <c r="L1397" s="35">
        <f t="shared" si="304"/>
        <v>273</v>
      </c>
      <c r="M1397" s="7">
        <f>прил.6!N130</f>
        <v>0</v>
      </c>
      <c r="N1397" s="35">
        <f t="shared" si="305"/>
        <v>273</v>
      </c>
      <c r="O1397" s="7">
        <f>прил.6!P130</f>
        <v>0</v>
      </c>
      <c r="P1397" s="35">
        <f t="shared" si="296"/>
        <v>273</v>
      </c>
      <c r="Q1397" s="7">
        <f>прил.6!R130</f>
        <v>20</v>
      </c>
      <c r="R1397" s="35">
        <f t="shared" si="293"/>
        <v>293</v>
      </c>
      <c r="S1397" s="7">
        <f>прил.6!T130</f>
        <v>0</v>
      </c>
      <c r="T1397" s="35">
        <f t="shared" si="307"/>
        <v>293</v>
      </c>
    </row>
    <row r="1398" spans="1:21">
      <c r="A1398" s="61" t="str">
        <f ca="1">IF(ISERROR(MATCH(B1398,Код_КЦСР,0)),"",INDIRECT(ADDRESS(MATCH(B1398,Код_КЦСР,0)+1,2,,,"КЦСР")))</f>
        <v>Повышение престижа муниципальной службы в городе</v>
      </c>
      <c r="B1398" s="45" t="s">
        <v>131</v>
      </c>
      <c r="C1398" s="8"/>
      <c r="D1398" s="1"/>
      <c r="E1398" s="113"/>
      <c r="F1398" s="7">
        <f t="shared" ref="F1398:S1400" si="309">F1399</f>
        <v>13440</v>
      </c>
      <c r="G1398" s="7">
        <f t="shared" si="309"/>
        <v>0</v>
      </c>
      <c r="H1398" s="35">
        <f t="shared" si="299"/>
        <v>13440</v>
      </c>
      <c r="I1398" s="7">
        <f t="shared" si="309"/>
        <v>0</v>
      </c>
      <c r="J1398" s="35">
        <f t="shared" si="298"/>
        <v>13440</v>
      </c>
      <c r="K1398" s="7">
        <f t="shared" si="309"/>
        <v>0</v>
      </c>
      <c r="L1398" s="35">
        <f t="shared" si="304"/>
        <v>13440</v>
      </c>
      <c r="M1398" s="7">
        <f t="shared" si="309"/>
        <v>0</v>
      </c>
      <c r="N1398" s="35">
        <f t="shared" si="305"/>
        <v>13440</v>
      </c>
      <c r="O1398" s="7">
        <f t="shared" si="309"/>
        <v>0</v>
      </c>
      <c r="P1398" s="35">
        <f t="shared" si="296"/>
        <v>13440</v>
      </c>
      <c r="Q1398" s="7">
        <f t="shared" si="309"/>
        <v>0</v>
      </c>
      <c r="R1398" s="35">
        <f t="shared" si="293"/>
        <v>13440</v>
      </c>
      <c r="S1398" s="7">
        <f t="shared" si="309"/>
        <v>0</v>
      </c>
      <c r="T1398" s="35">
        <f t="shared" si="307"/>
        <v>13440</v>
      </c>
    </row>
    <row r="1399" spans="1:21">
      <c r="A1399" s="61" t="str">
        <f ca="1">IF(ISERROR(MATCH(C1399,Код_Раздел,0)),"",INDIRECT(ADDRESS(MATCH(C1399,Код_Раздел,0)+1,2,,,"Раздел")))</f>
        <v>Социальная политика</v>
      </c>
      <c r="B1399" s="45" t="s">
        <v>131</v>
      </c>
      <c r="C1399" s="8" t="s">
        <v>186</v>
      </c>
      <c r="D1399" s="1"/>
      <c r="E1399" s="113"/>
      <c r="F1399" s="7">
        <f t="shared" si="309"/>
        <v>13440</v>
      </c>
      <c r="G1399" s="7">
        <f t="shared" si="309"/>
        <v>0</v>
      </c>
      <c r="H1399" s="35">
        <f t="shared" si="299"/>
        <v>13440</v>
      </c>
      <c r="I1399" s="7">
        <f t="shared" si="309"/>
        <v>0</v>
      </c>
      <c r="J1399" s="35">
        <f t="shared" si="298"/>
        <v>13440</v>
      </c>
      <c r="K1399" s="7">
        <f t="shared" si="309"/>
        <v>0</v>
      </c>
      <c r="L1399" s="35">
        <f t="shared" si="304"/>
        <v>13440</v>
      </c>
      <c r="M1399" s="7">
        <f t="shared" si="309"/>
        <v>0</v>
      </c>
      <c r="N1399" s="35">
        <f t="shared" si="305"/>
        <v>13440</v>
      </c>
      <c r="O1399" s="7">
        <f t="shared" si="309"/>
        <v>0</v>
      </c>
      <c r="P1399" s="35">
        <f t="shared" si="296"/>
        <v>13440</v>
      </c>
      <c r="Q1399" s="7">
        <f t="shared" si="309"/>
        <v>0</v>
      </c>
      <c r="R1399" s="35">
        <f t="shared" si="293"/>
        <v>13440</v>
      </c>
      <c r="S1399" s="7">
        <f t="shared" si="309"/>
        <v>0</v>
      </c>
      <c r="T1399" s="35">
        <f t="shared" si="307"/>
        <v>13440</v>
      </c>
    </row>
    <row r="1400" spans="1:21">
      <c r="A1400" s="12" t="s">
        <v>183</v>
      </c>
      <c r="B1400" s="45" t="s">
        <v>131</v>
      </c>
      <c r="C1400" s="8" t="s">
        <v>186</v>
      </c>
      <c r="D1400" s="1" t="s">
        <v>211</v>
      </c>
      <c r="E1400" s="113"/>
      <c r="F1400" s="7">
        <f t="shared" si="309"/>
        <v>13440</v>
      </c>
      <c r="G1400" s="7">
        <f t="shared" si="309"/>
        <v>0</v>
      </c>
      <c r="H1400" s="35">
        <f t="shared" si="299"/>
        <v>13440</v>
      </c>
      <c r="I1400" s="7">
        <f t="shared" si="309"/>
        <v>0</v>
      </c>
      <c r="J1400" s="35">
        <f t="shared" si="298"/>
        <v>13440</v>
      </c>
      <c r="K1400" s="7">
        <f t="shared" si="309"/>
        <v>0</v>
      </c>
      <c r="L1400" s="35">
        <f t="shared" si="304"/>
        <v>13440</v>
      </c>
      <c r="M1400" s="7">
        <f t="shared" si="309"/>
        <v>0</v>
      </c>
      <c r="N1400" s="35">
        <f t="shared" si="305"/>
        <v>13440</v>
      </c>
      <c r="O1400" s="7">
        <f t="shared" si="309"/>
        <v>0</v>
      </c>
      <c r="P1400" s="35">
        <f t="shared" si="296"/>
        <v>13440</v>
      </c>
      <c r="Q1400" s="7">
        <f t="shared" si="309"/>
        <v>0</v>
      </c>
      <c r="R1400" s="35">
        <f t="shared" ref="R1400:R1471" si="310">P1400+Q1400</f>
        <v>13440</v>
      </c>
      <c r="S1400" s="7">
        <f t="shared" si="309"/>
        <v>0</v>
      </c>
      <c r="T1400" s="35">
        <f t="shared" si="307"/>
        <v>13440</v>
      </c>
    </row>
    <row r="1401" spans="1:21">
      <c r="A1401" s="61" t="str">
        <f ca="1">IF(ISERROR(MATCH(E1401,Код_КВР,0)),"",INDIRECT(ADDRESS(MATCH(E1401,Код_КВР,0)+1,2,,,"КВР")))</f>
        <v>Социальное обеспечение и иные выплаты населению</v>
      </c>
      <c r="B1401" s="45" t="s">
        <v>131</v>
      </c>
      <c r="C1401" s="8" t="s">
        <v>186</v>
      </c>
      <c r="D1401" s="1" t="s">
        <v>211</v>
      </c>
      <c r="E1401" s="113">
        <v>300</v>
      </c>
      <c r="F1401" s="7">
        <f>F1404</f>
        <v>13440</v>
      </c>
      <c r="G1401" s="7">
        <f>G1404</f>
        <v>0</v>
      </c>
      <c r="H1401" s="35">
        <f t="shared" si="299"/>
        <v>13440</v>
      </c>
      <c r="I1401" s="7">
        <f>I1404</f>
        <v>0</v>
      </c>
      <c r="J1401" s="35">
        <f t="shared" si="298"/>
        <v>13440</v>
      </c>
      <c r="K1401" s="7">
        <f>K1404</f>
        <v>0</v>
      </c>
      <c r="L1401" s="35">
        <f t="shared" si="304"/>
        <v>13440</v>
      </c>
      <c r="M1401" s="7">
        <f>M1404</f>
        <v>0</v>
      </c>
      <c r="N1401" s="35">
        <f t="shared" si="305"/>
        <v>13440</v>
      </c>
      <c r="O1401" s="7">
        <f>O1404</f>
        <v>0</v>
      </c>
      <c r="P1401" s="35">
        <f t="shared" si="296"/>
        <v>13440</v>
      </c>
      <c r="Q1401" s="7">
        <f>Q1404</f>
        <v>0</v>
      </c>
      <c r="R1401" s="35">
        <f t="shared" si="310"/>
        <v>13440</v>
      </c>
      <c r="S1401" s="7">
        <f>S1402+S1404</f>
        <v>0</v>
      </c>
      <c r="T1401" s="35">
        <f t="shared" si="307"/>
        <v>13440</v>
      </c>
    </row>
    <row r="1402" spans="1:21" ht="33">
      <c r="A1402" s="61" t="str">
        <f ca="1">IF(ISERROR(MATCH(E1402,Код_КВР,0)),"",INDIRECT(ADDRESS(MATCH(E1402,Код_КВР,0)+1,2,,,"КВР")))</f>
        <v>Социальные выплаты гражданам, кроме публичных нормативных социальных выплат</v>
      </c>
      <c r="B1402" s="45" t="s">
        <v>131</v>
      </c>
      <c r="C1402" s="8" t="s">
        <v>186</v>
      </c>
      <c r="D1402" s="1" t="s">
        <v>211</v>
      </c>
      <c r="E1402" s="113">
        <v>320</v>
      </c>
      <c r="F1402" s="7"/>
      <c r="G1402" s="7"/>
      <c r="H1402" s="35"/>
      <c r="I1402" s="7"/>
      <c r="J1402" s="35"/>
      <c r="K1402" s="7"/>
      <c r="L1402" s="35"/>
      <c r="M1402" s="7"/>
      <c r="N1402" s="35"/>
      <c r="O1402" s="7"/>
      <c r="P1402" s="35"/>
      <c r="Q1402" s="7"/>
      <c r="R1402" s="35"/>
      <c r="S1402" s="7">
        <f>S1403</f>
        <v>13440</v>
      </c>
      <c r="T1402" s="35">
        <f t="shared" si="307"/>
        <v>13440</v>
      </c>
    </row>
    <row r="1403" spans="1:21" ht="33">
      <c r="A1403" s="61" t="str">
        <f ca="1">IF(ISERROR(MATCH(E1403,Код_КВР,0)),"",INDIRECT(ADDRESS(MATCH(E1403,Код_КВР,0)+1,2,,,"КВР")))</f>
        <v>Пособия, компенсации и иные социальные выплаты гражданам, кроме публичных нормативных обязательств</v>
      </c>
      <c r="B1403" s="45" t="s">
        <v>131</v>
      </c>
      <c r="C1403" s="8" t="s">
        <v>186</v>
      </c>
      <c r="D1403" s="1" t="s">
        <v>211</v>
      </c>
      <c r="E1403" s="113">
        <v>321</v>
      </c>
      <c r="F1403" s="7"/>
      <c r="G1403" s="7"/>
      <c r="H1403" s="35"/>
      <c r="I1403" s="7"/>
      <c r="J1403" s="35"/>
      <c r="K1403" s="7"/>
      <c r="L1403" s="35"/>
      <c r="M1403" s="7"/>
      <c r="N1403" s="35"/>
      <c r="O1403" s="7"/>
      <c r="P1403" s="35"/>
      <c r="Q1403" s="7"/>
      <c r="R1403" s="35"/>
      <c r="S1403" s="7">
        <f>прил.6!T340</f>
        <v>13440</v>
      </c>
      <c r="T1403" s="35">
        <f t="shared" si="307"/>
        <v>13440</v>
      </c>
    </row>
    <row r="1404" spans="1:21" hidden="1">
      <c r="A1404" s="61" t="str">
        <f ca="1">IF(ISERROR(MATCH(E1404,Код_КВР,0)),"",INDIRECT(ADDRESS(MATCH(E1404,Код_КВР,0)+1,2,,,"КВР")))</f>
        <v>Иные выплаты населению</v>
      </c>
      <c r="B1404" s="45" t="s">
        <v>131</v>
      </c>
      <c r="C1404" s="8" t="s">
        <v>186</v>
      </c>
      <c r="D1404" s="1" t="s">
        <v>211</v>
      </c>
      <c r="E1404" s="113">
        <v>360</v>
      </c>
      <c r="F1404" s="7">
        <f>прил.6!G341</f>
        <v>13440</v>
      </c>
      <c r="G1404" s="7">
        <f>прил.6!H341</f>
        <v>0</v>
      </c>
      <c r="H1404" s="35">
        <f t="shared" si="299"/>
        <v>13440</v>
      </c>
      <c r="I1404" s="7">
        <f>прил.6!J341</f>
        <v>0</v>
      </c>
      <c r="J1404" s="35">
        <f t="shared" si="298"/>
        <v>13440</v>
      </c>
      <c r="K1404" s="7">
        <f>прил.6!L341</f>
        <v>0</v>
      </c>
      <c r="L1404" s="35">
        <f t="shared" si="304"/>
        <v>13440</v>
      </c>
      <c r="M1404" s="7">
        <f>прил.6!N341</f>
        <v>0</v>
      </c>
      <c r="N1404" s="35">
        <f t="shared" si="305"/>
        <v>13440</v>
      </c>
      <c r="O1404" s="7">
        <f>прил.6!P341</f>
        <v>0</v>
      </c>
      <c r="P1404" s="35">
        <f t="shared" si="296"/>
        <v>13440</v>
      </c>
      <c r="Q1404" s="7">
        <f>прил.6!R341</f>
        <v>0</v>
      </c>
      <c r="R1404" s="35">
        <f t="shared" si="310"/>
        <v>13440</v>
      </c>
      <c r="S1404" s="7">
        <f>прил.6!T341</f>
        <v>-13440</v>
      </c>
      <c r="T1404" s="35">
        <f t="shared" si="307"/>
        <v>0</v>
      </c>
      <c r="U1404" s="20" t="s">
        <v>706</v>
      </c>
    </row>
    <row r="1405" spans="1:21" ht="68.25" customHeight="1">
      <c r="A1405" s="61" t="str">
        <f ca="1">IF(ISERROR(MATCH(B1405,Код_КЦСР,0)),"",INDIRECT(ADDRESS(MATCH(B1405,Код_КЦСР,0)+1,2,,,"КЦСР")))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405" s="45" t="s">
        <v>133</v>
      </c>
      <c r="C1405" s="8"/>
      <c r="D1405" s="1"/>
      <c r="E1405" s="113"/>
      <c r="F1405" s="7">
        <f>F1406+F1412</f>
        <v>33737.9</v>
      </c>
      <c r="G1405" s="7">
        <f>G1406+G1412</f>
        <v>0</v>
      </c>
      <c r="H1405" s="35">
        <f t="shared" si="299"/>
        <v>33737.9</v>
      </c>
      <c r="I1405" s="7">
        <f>I1406+I1412</f>
        <v>-500</v>
      </c>
      <c r="J1405" s="35">
        <f t="shared" si="298"/>
        <v>33237.9</v>
      </c>
      <c r="K1405" s="7">
        <f>K1406+K1412</f>
        <v>-130</v>
      </c>
      <c r="L1405" s="35">
        <f t="shared" si="304"/>
        <v>33107.9</v>
      </c>
      <c r="M1405" s="7">
        <f>M1406+M1412</f>
        <v>0</v>
      </c>
      <c r="N1405" s="35">
        <f t="shared" si="305"/>
        <v>33107.9</v>
      </c>
      <c r="O1405" s="7">
        <f>O1406+O1412</f>
        <v>-1200</v>
      </c>
      <c r="P1405" s="35">
        <f t="shared" si="296"/>
        <v>31907.9</v>
      </c>
      <c r="Q1405" s="7">
        <f>Q1406+Q1412</f>
        <v>-3457</v>
      </c>
      <c r="R1405" s="35">
        <f t="shared" si="310"/>
        <v>28450.9</v>
      </c>
      <c r="S1405" s="7">
        <f>S1406+S1412+S1419</f>
        <v>4597.3999999999996</v>
      </c>
      <c r="T1405" s="35">
        <f t="shared" si="307"/>
        <v>33048.300000000003</v>
      </c>
    </row>
    <row r="1406" spans="1:21">
      <c r="A1406" s="61" t="str">
        <f ca="1">IF(ISERROR(MATCH(B1406,Код_КЦСР,0)),"",INDIRECT(ADDRESS(MATCH(B1406,Код_КЦСР,0)+1,2,,,"КЦСР")))</f>
        <v>Совершенствование предоставления муниципальных услуг</v>
      </c>
      <c r="B1406" s="45" t="s">
        <v>135</v>
      </c>
      <c r="C1406" s="8"/>
      <c r="D1406" s="1"/>
      <c r="E1406" s="113"/>
      <c r="F1406" s="7">
        <f t="shared" ref="F1406:S1410" si="311">F1407</f>
        <v>5880</v>
      </c>
      <c r="G1406" s="7">
        <f t="shared" si="311"/>
        <v>0</v>
      </c>
      <c r="H1406" s="35">
        <f t="shared" si="299"/>
        <v>5880</v>
      </c>
      <c r="I1406" s="7">
        <f t="shared" si="311"/>
        <v>-500</v>
      </c>
      <c r="J1406" s="35">
        <f t="shared" si="298"/>
        <v>5380</v>
      </c>
      <c r="K1406" s="7">
        <f t="shared" si="311"/>
        <v>0</v>
      </c>
      <c r="L1406" s="35">
        <f t="shared" si="304"/>
        <v>5380</v>
      </c>
      <c r="M1406" s="7">
        <f t="shared" si="311"/>
        <v>0</v>
      </c>
      <c r="N1406" s="35">
        <f t="shared" si="305"/>
        <v>5380</v>
      </c>
      <c r="O1406" s="7">
        <f t="shared" si="311"/>
        <v>-1200</v>
      </c>
      <c r="P1406" s="35">
        <f t="shared" si="296"/>
        <v>4180</v>
      </c>
      <c r="Q1406" s="7">
        <f t="shared" si="311"/>
        <v>-3457</v>
      </c>
      <c r="R1406" s="35">
        <f t="shared" si="310"/>
        <v>723</v>
      </c>
      <c r="S1406" s="7">
        <f t="shared" si="311"/>
        <v>0</v>
      </c>
      <c r="T1406" s="35">
        <f t="shared" si="307"/>
        <v>723</v>
      </c>
    </row>
    <row r="1407" spans="1:21">
      <c r="A1407" s="61" t="str">
        <f ca="1">IF(ISERROR(MATCH(C1407,Код_Раздел,0)),"",INDIRECT(ADDRESS(MATCH(C1407,Код_Раздел,0)+1,2,,,"Раздел")))</f>
        <v>Национальная экономика</v>
      </c>
      <c r="B1407" s="45" t="s">
        <v>135</v>
      </c>
      <c r="C1407" s="8" t="s">
        <v>214</v>
      </c>
      <c r="D1407" s="1"/>
      <c r="E1407" s="113"/>
      <c r="F1407" s="7">
        <f t="shared" si="311"/>
        <v>5880</v>
      </c>
      <c r="G1407" s="7">
        <f t="shared" si="311"/>
        <v>0</v>
      </c>
      <c r="H1407" s="35">
        <f t="shared" si="299"/>
        <v>5880</v>
      </c>
      <c r="I1407" s="7">
        <f t="shared" si="311"/>
        <v>-500</v>
      </c>
      <c r="J1407" s="35">
        <f t="shared" si="298"/>
        <v>5380</v>
      </c>
      <c r="K1407" s="7">
        <f t="shared" si="311"/>
        <v>0</v>
      </c>
      <c r="L1407" s="35">
        <f t="shared" si="304"/>
        <v>5380</v>
      </c>
      <c r="M1407" s="7">
        <f t="shared" si="311"/>
        <v>0</v>
      </c>
      <c r="N1407" s="35">
        <f t="shared" si="305"/>
        <v>5380</v>
      </c>
      <c r="O1407" s="7">
        <f t="shared" si="311"/>
        <v>-1200</v>
      </c>
      <c r="P1407" s="35">
        <f t="shared" si="296"/>
        <v>4180</v>
      </c>
      <c r="Q1407" s="7">
        <f t="shared" si="311"/>
        <v>-3457</v>
      </c>
      <c r="R1407" s="35">
        <f t="shared" si="310"/>
        <v>723</v>
      </c>
      <c r="S1407" s="7">
        <f t="shared" si="311"/>
        <v>0</v>
      </c>
      <c r="T1407" s="35">
        <f t="shared" si="307"/>
        <v>723</v>
      </c>
    </row>
    <row r="1408" spans="1:21">
      <c r="A1408" s="12" t="s">
        <v>228</v>
      </c>
      <c r="B1408" s="45" t="s">
        <v>135</v>
      </c>
      <c r="C1408" s="8" t="s">
        <v>214</v>
      </c>
      <c r="D1408" s="8" t="s">
        <v>186</v>
      </c>
      <c r="E1408" s="113"/>
      <c r="F1408" s="7">
        <f t="shared" si="311"/>
        <v>5880</v>
      </c>
      <c r="G1408" s="7">
        <f t="shared" si="311"/>
        <v>0</v>
      </c>
      <c r="H1408" s="35">
        <f t="shared" si="299"/>
        <v>5880</v>
      </c>
      <c r="I1408" s="7">
        <f t="shared" si="311"/>
        <v>-500</v>
      </c>
      <c r="J1408" s="35">
        <f t="shared" si="298"/>
        <v>5380</v>
      </c>
      <c r="K1408" s="7">
        <f t="shared" si="311"/>
        <v>0</v>
      </c>
      <c r="L1408" s="35">
        <f t="shared" si="304"/>
        <v>5380</v>
      </c>
      <c r="M1408" s="7">
        <f t="shared" si="311"/>
        <v>0</v>
      </c>
      <c r="N1408" s="35">
        <f t="shared" si="305"/>
        <v>5380</v>
      </c>
      <c r="O1408" s="7">
        <f t="shared" si="311"/>
        <v>-1200</v>
      </c>
      <c r="P1408" s="35">
        <f t="shared" si="296"/>
        <v>4180</v>
      </c>
      <c r="Q1408" s="7">
        <f t="shared" si="311"/>
        <v>-3457</v>
      </c>
      <c r="R1408" s="35">
        <f t="shared" si="310"/>
        <v>723</v>
      </c>
      <c r="S1408" s="7">
        <f t="shared" si="311"/>
        <v>0</v>
      </c>
      <c r="T1408" s="35">
        <f t="shared" si="307"/>
        <v>723</v>
      </c>
    </row>
    <row r="1409" spans="1:20" ht="33">
      <c r="A1409" s="61" t="str">
        <f ca="1">IF(ISERROR(MATCH(E1409,Код_КВР,0)),"",INDIRECT(ADDRESS(MATCH(E1409,Код_КВР,0)+1,2,,,"КВР")))</f>
        <v>Предоставление субсидий бюджетным, автономным учреждениям и иным некоммерческим организациям</v>
      </c>
      <c r="B1409" s="45" t="s">
        <v>135</v>
      </c>
      <c r="C1409" s="8" t="s">
        <v>214</v>
      </c>
      <c r="D1409" s="8" t="s">
        <v>186</v>
      </c>
      <c r="E1409" s="113">
        <v>600</v>
      </c>
      <c r="F1409" s="7">
        <f t="shared" si="311"/>
        <v>5880</v>
      </c>
      <c r="G1409" s="7">
        <f t="shared" si="311"/>
        <v>0</v>
      </c>
      <c r="H1409" s="35">
        <f t="shared" si="299"/>
        <v>5880</v>
      </c>
      <c r="I1409" s="7">
        <f t="shared" si="311"/>
        <v>-500</v>
      </c>
      <c r="J1409" s="35">
        <f t="shared" si="298"/>
        <v>5380</v>
      </c>
      <c r="K1409" s="7">
        <f t="shared" si="311"/>
        <v>0</v>
      </c>
      <c r="L1409" s="35">
        <f t="shared" si="304"/>
        <v>5380</v>
      </c>
      <c r="M1409" s="7">
        <f t="shared" si="311"/>
        <v>0</v>
      </c>
      <c r="N1409" s="35">
        <f t="shared" si="305"/>
        <v>5380</v>
      </c>
      <c r="O1409" s="7">
        <f t="shared" si="311"/>
        <v>-1200</v>
      </c>
      <c r="P1409" s="35">
        <f t="shared" si="296"/>
        <v>4180</v>
      </c>
      <c r="Q1409" s="7">
        <f t="shared" si="311"/>
        <v>-3457</v>
      </c>
      <c r="R1409" s="35">
        <f t="shared" si="310"/>
        <v>723</v>
      </c>
      <c r="S1409" s="7">
        <f t="shared" si="311"/>
        <v>0</v>
      </c>
      <c r="T1409" s="35">
        <f t="shared" si="307"/>
        <v>723</v>
      </c>
    </row>
    <row r="1410" spans="1:20">
      <c r="A1410" s="61" t="str">
        <f ca="1">IF(ISERROR(MATCH(E1410,Код_КВР,0)),"",INDIRECT(ADDRESS(MATCH(E1410,Код_КВР,0)+1,2,,,"КВР")))</f>
        <v>Субсидии бюджетным учреждениям</v>
      </c>
      <c r="B1410" s="45" t="s">
        <v>135</v>
      </c>
      <c r="C1410" s="8" t="s">
        <v>214</v>
      </c>
      <c r="D1410" s="8" t="s">
        <v>186</v>
      </c>
      <c r="E1410" s="113">
        <v>610</v>
      </c>
      <c r="F1410" s="7">
        <f t="shared" si="311"/>
        <v>5880</v>
      </c>
      <c r="G1410" s="7">
        <f t="shared" si="311"/>
        <v>0</v>
      </c>
      <c r="H1410" s="35">
        <f t="shared" si="299"/>
        <v>5880</v>
      </c>
      <c r="I1410" s="7">
        <f t="shared" si="311"/>
        <v>-500</v>
      </c>
      <c r="J1410" s="35">
        <f t="shared" si="298"/>
        <v>5380</v>
      </c>
      <c r="K1410" s="7">
        <f t="shared" si="311"/>
        <v>0</v>
      </c>
      <c r="L1410" s="35">
        <f t="shared" si="304"/>
        <v>5380</v>
      </c>
      <c r="M1410" s="7">
        <f t="shared" si="311"/>
        <v>0</v>
      </c>
      <c r="N1410" s="35">
        <f t="shared" si="305"/>
        <v>5380</v>
      </c>
      <c r="O1410" s="7">
        <f t="shared" si="311"/>
        <v>-1200</v>
      </c>
      <c r="P1410" s="35">
        <f t="shared" ref="P1410:P1479" si="312">N1410+O1410</f>
        <v>4180</v>
      </c>
      <c r="Q1410" s="7">
        <f t="shared" si="311"/>
        <v>-3457</v>
      </c>
      <c r="R1410" s="35">
        <f t="shared" si="310"/>
        <v>723</v>
      </c>
      <c r="S1410" s="7">
        <f t="shared" si="311"/>
        <v>0</v>
      </c>
      <c r="T1410" s="35">
        <f t="shared" si="307"/>
        <v>723</v>
      </c>
    </row>
    <row r="1411" spans="1:20">
      <c r="A1411" s="61" t="str">
        <f ca="1">IF(ISERROR(MATCH(E1411,Код_КВР,0)),"",INDIRECT(ADDRESS(MATCH(E1411,Код_КВР,0)+1,2,,,"КВР")))</f>
        <v>Субсидии бюджетным учреждениям на иные цели</v>
      </c>
      <c r="B1411" s="45" t="s">
        <v>135</v>
      </c>
      <c r="C1411" s="8" t="s">
        <v>214</v>
      </c>
      <c r="D1411" s="8" t="s">
        <v>186</v>
      </c>
      <c r="E1411" s="113">
        <v>612</v>
      </c>
      <c r="F1411" s="7">
        <f>прил.6!G266</f>
        <v>5880</v>
      </c>
      <c r="G1411" s="7">
        <f>прил.6!H266</f>
        <v>0</v>
      </c>
      <c r="H1411" s="35">
        <f t="shared" si="299"/>
        <v>5880</v>
      </c>
      <c r="I1411" s="7">
        <f>прил.6!J266</f>
        <v>-500</v>
      </c>
      <c r="J1411" s="35">
        <f t="shared" ref="J1411:J1479" si="313">H1411+I1411</f>
        <v>5380</v>
      </c>
      <c r="K1411" s="7">
        <f>прил.6!L266</f>
        <v>0</v>
      </c>
      <c r="L1411" s="35">
        <f t="shared" si="304"/>
        <v>5380</v>
      </c>
      <c r="M1411" s="7">
        <f>прил.6!N266</f>
        <v>0</v>
      </c>
      <c r="N1411" s="35">
        <f t="shared" si="305"/>
        <v>5380</v>
      </c>
      <c r="O1411" s="7">
        <f>прил.6!P266</f>
        <v>-1200</v>
      </c>
      <c r="P1411" s="35">
        <f t="shared" si="312"/>
        <v>4180</v>
      </c>
      <c r="Q1411" s="7">
        <f>прил.6!R266</f>
        <v>-3457</v>
      </c>
      <c r="R1411" s="35">
        <f t="shared" si="310"/>
        <v>723</v>
      </c>
      <c r="S1411" s="7">
        <f>прил.6!T266</f>
        <v>0</v>
      </c>
      <c r="T1411" s="35">
        <f t="shared" si="307"/>
        <v>723</v>
      </c>
    </row>
    <row r="1412" spans="1:20" ht="33">
      <c r="A1412" s="61" t="str">
        <f ca="1">IF(ISERROR(MATCH(B1412,Код_КЦСР,0)),"",INDIRECT(ADDRESS(MATCH(B1412,Код_КЦСР,0)+1,2,,,"КЦСР")))</f>
        <v>Создание и организация деятельности многофункционального центра</v>
      </c>
      <c r="B1412" s="45" t="s">
        <v>137</v>
      </c>
      <c r="C1412" s="8"/>
      <c r="D1412" s="1"/>
      <c r="E1412" s="113"/>
      <c r="F1412" s="7">
        <f>F1413</f>
        <v>27857.9</v>
      </c>
      <c r="G1412" s="7">
        <f t="shared" ref="G1412:S1412" si="314">G1413</f>
        <v>0</v>
      </c>
      <c r="H1412" s="7">
        <f t="shared" si="314"/>
        <v>27857.9</v>
      </c>
      <c r="I1412" s="7">
        <f t="shared" si="314"/>
        <v>0</v>
      </c>
      <c r="J1412" s="7">
        <f t="shared" si="314"/>
        <v>27857.9</v>
      </c>
      <c r="K1412" s="7">
        <f t="shared" si="314"/>
        <v>-130</v>
      </c>
      <c r="L1412" s="7">
        <f t="shared" si="314"/>
        <v>27727.9</v>
      </c>
      <c r="M1412" s="7">
        <f t="shared" si="314"/>
        <v>0</v>
      </c>
      <c r="N1412" s="7">
        <f t="shared" si="314"/>
        <v>27727.9</v>
      </c>
      <c r="O1412" s="7">
        <f t="shared" si="314"/>
        <v>0</v>
      </c>
      <c r="P1412" s="35">
        <f t="shared" si="312"/>
        <v>27727.9</v>
      </c>
      <c r="Q1412" s="7">
        <f t="shared" si="314"/>
        <v>0</v>
      </c>
      <c r="R1412" s="35">
        <f t="shared" si="310"/>
        <v>27727.9</v>
      </c>
      <c r="S1412" s="7">
        <f t="shared" si="314"/>
        <v>0</v>
      </c>
      <c r="T1412" s="35">
        <f t="shared" si="307"/>
        <v>27727.9</v>
      </c>
    </row>
    <row r="1413" spans="1:20">
      <c r="A1413" s="61" t="str">
        <f ca="1">IF(ISERROR(MATCH(C1413,Код_Раздел,0)),"",INDIRECT(ADDRESS(MATCH(C1413,Код_Раздел,0)+1,2,,,"Раздел")))</f>
        <v>Общегосударственные  вопросы</v>
      </c>
      <c r="B1413" s="45" t="s">
        <v>137</v>
      </c>
      <c r="C1413" s="8" t="s">
        <v>211</v>
      </c>
      <c r="D1413" s="1"/>
      <c r="E1413" s="113"/>
      <c r="F1413" s="7">
        <f t="shared" ref="F1413:S1415" si="315">F1414</f>
        <v>27857.9</v>
      </c>
      <c r="G1413" s="7">
        <f t="shared" si="315"/>
        <v>0</v>
      </c>
      <c r="H1413" s="35">
        <f t="shared" si="299"/>
        <v>27857.9</v>
      </c>
      <c r="I1413" s="7">
        <f t="shared" si="315"/>
        <v>0</v>
      </c>
      <c r="J1413" s="35">
        <f t="shared" si="313"/>
        <v>27857.9</v>
      </c>
      <c r="K1413" s="7">
        <f t="shared" si="315"/>
        <v>-130</v>
      </c>
      <c r="L1413" s="35">
        <f t="shared" si="304"/>
        <v>27727.9</v>
      </c>
      <c r="M1413" s="7">
        <f t="shared" si="315"/>
        <v>0</v>
      </c>
      <c r="N1413" s="35">
        <f t="shared" ref="N1413:N1482" si="316">L1413+M1413</f>
        <v>27727.9</v>
      </c>
      <c r="O1413" s="7">
        <f t="shared" si="315"/>
        <v>0</v>
      </c>
      <c r="P1413" s="35">
        <f t="shared" si="312"/>
        <v>27727.9</v>
      </c>
      <c r="Q1413" s="7">
        <f t="shared" si="315"/>
        <v>0</v>
      </c>
      <c r="R1413" s="35">
        <f t="shared" si="310"/>
        <v>27727.9</v>
      </c>
      <c r="S1413" s="7">
        <f t="shared" si="315"/>
        <v>0</v>
      </c>
      <c r="T1413" s="35">
        <f t="shared" si="307"/>
        <v>27727.9</v>
      </c>
    </row>
    <row r="1414" spans="1:20">
      <c r="A1414" s="12" t="s">
        <v>235</v>
      </c>
      <c r="B1414" s="45" t="s">
        <v>137</v>
      </c>
      <c r="C1414" s="8" t="s">
        <v>211</v>
      </c>
      <c r="D1414" s="1" t="s">
        <v>188</v>
      </c>
      <c r="E1414" s="113"/>
      <c r="F1414" s="7">
        <f t="shared" si="315"/>
        <v>27857.9</v>
      </c>
      <c r="G1414" s="7">
        <f t="shared" si="315"/>
        <v>0</v>
      </c>
      <c r="H1414" s="35">
        <f t="shared" si="299"/>
        <v>27857.9</v>
      </c>
      <c r="I1414" s="7">
        <f t="shared" si="315"/>
        <v>0</v>
      </c>
      <c r="J1414" s="35">
        <f t="shared" si="313"/>
        <v>27857.9</v>
      </c>
      <c r="K1414" s="7">
        <f t="shared" si="315"/>
        <v>-130</v>
      </c>
      <c r="L1414" s="35">
        <f t="shared" si="304"/>
        <v>27727.9</v>
      </c>
      <c r="M1414" s="7">
        <f t="shared" si="315"/>
        <v>0</v>
      </c>
      <c r="N1414" s="35">
        <f t="shared" si="316"/>
        <v>27727.9</v>
      </c>
      <c r="O1414" s="7">
        <f t="shared" si="315"/>
        <v>0</v>
      </c>
      <c r="P1414" s="35">
        <f t="shared" si="312"/>
        <v>27727.9</v>
      </c>
      <c r="Q1414" s="7">
        <f t="shared" si="315"/>
        <v>0</v>
      </c>
      <c r="R1414" s="35">
        <f t="shared" si="310"/>
        <v>27727.9</v>
      </c>
      <c r="S1414" s="7">
        <f t="shared" si="315"/>
        <v>0</v>
      </c>
      <c r="T1414" s="35">
        <f t="shared" si="307"/>
        <v>27727.9</v>
      </c>
    </row>
    <row r="1415" spans="1:20" ht="33">
      <c r="A1415" s="61" t="str">
        <f ca="1">IF(ISERROR(MATCH(E1415,Код_КВР,0)),"",INDIRECT(ADDRESS(MATCH(E1415,Код_КВР,0)+1,2,,,"КВР")))</f>
        <v>Предоставление субсидий бюджетным, автономным учреждениям и иным некоммерческим организациям</v>
      </c>
      <c r="B1415" s="45" t="s">
        <v>137</v>
      </c>
      <c r="C1415" s="8" t="s">
        <v>211</v>
      </c>
      <c r="D1415" s="1" t="s">
        <v>188</v>
      </c>
      <c r="E1415" s="113">
        <v>600</v>
      </c>
      <c r="F1415" s="7">
        <f t="shared" si="315"/>
        <v>27857.9</v>
      </c>
      <c r="G1415" s="7">
        <f t="shared" si="315"/>
        <v>0</v>
      </c>
      <c r="H1415" s="35">
        <f t="shared" si="299"/>
        <v>27857.9</v>
      </c>
      <c r="I1415" s="7">
        <f t="shared" si="315"/>
        <v>0</v>
      </c>
      <c r="J1415" s="35">
        <f t="shared" si="313"/>
        <v>27857.9</v>
      </c>
      <c r="K1415" s="7">
        <f t="shared" si="315"/>
        <v>-130</v>
      </c>
      <c r="L1415" s="35">
        <f t="shared" si="304"/>
        <v>27727.9</v>
      </c>
      <c r="M1415" s="7">
        <f t="shared" si="315"/>
        <v>0</v>
      </c>
      <c r="N1415" s="35">
        <f t="shared" si="316"/>
        <v>27727.9</v>
      </c>
      <c r="O1415" s="7">
        <f t="shared" si="315"/>
        <v>0</v>
      </c>
      <c r="P1415" s="35">
        <f t="shared" si="312"/>
        <v>27727.9</v>
      </c>
      <c r="Q1415" s="7">
        <f t="shared" si="315"/>
        <v>0</v>
      </c>
      <c r="R1415" s="35">
        <f t="shared" si="310"/>
        <v>27727.9</v>
      </c>
      <c r="S1415" s="7">
        <f t="shared" si="315"/>
        <v>0</v>
      </c>
      <c r="T1415" s="35">
        <f t="shared" si="307"/>
        <v>27727.9</v>
      </c>
    </row>
    <row r="1416" spans="1:20">
      <c r="A1416" s="61" t="str">
        <f ca="1">IF(ISERROR(MATCH(E1416,Код_КВР,0)),"",INDIRECT(ADDRESS(MATCH(E1416,Код_КВР,0)+1,2,,,"КВР")))</f>
        <v>Субсидии бюджетным учреждениям</v>
      </c>
      <c r="B1416" s="45" t="s">
        <v>137</v>
      </c>
      <c r="C1416" s="8" t="s">
        <v>211</v>
      </c>
      <c r="D1416" s="1" t="s">
        <v>188</v>
      </c>
      <c r="E1416" s="113">
        <v>610</v>
      </c>
      <c r="F1416" s="7">
        <f>SUM(F1417:F1418)</f>
        <v>27857.9</v>
      </c>
      <c r="G1416" s="7">
        <f>SUM(G1417:G1418)</f>
        <v>0</v>
      </c>
      <c r="H1416" s="35">
        <f t="shared" si="299"/>
        <v>27857.9</v>
      </c>
      <c r="I1416" s="7">
        <f>SUM(I1417:I1418)</f>
        <v>0</v>
      </c>
      <c r="J1416" s="35">
        <f t="shared" si="313"/>
        <v>27857.9</v>
      </c>
      <c r="K1416" s="7">
        <f>SUM(K1417:K1418)</f>
        <v>-130</v>
      </c>
      <c r="L1416" s="35">
        <f t="shared" si="304"/>
        <v>27727.9</v>
      </c>
      <c r="M1416" s="7">
        <f>SUM(M1417:M1418)</f>
        <v>0</v>
      </c>
      <c r="N1416" s="35">
        <f t="shared" si="316"/>
        <v>27727.9</v>
      </c>
      <c r="O1416" s="7">
        <f>SUM(O1417:O1418)</f>
        <v>0</v>
      </c>
      <c r="P1416" s="35">
        <f t="shared" si="312"/>
        <v>27727.9</v>
      </c>
      <c r="Q1416" s="7">
        <f>SUM(Q1417:Q1418)</f>
        <v>0</v>
      </c>
      <c r="R1416" s="35">
        <f t="shared" si="310"/>
        <v>27727.9</v>
      </c>
      <c r="S1416" s="7">
        <f>SUM(S1417:S1418)</f>
        <v>0</v>
      </c>
      <c r="T1416" s="35">
        <f t="shared" si="307"/>
        <v>27727.9</v>
      </c>
    </row>
    <row r="1417" spans="1:20" ht="49.5">
      <c r="A1417" s="61" t="str">
        <f ca="1">IF(ISERROR(MATCH(E1417,Код_КВР,0)),"",INDIRECT(ADDRESS(MATCH(E1417,Код_КВР,0)+1,2,,,"КВР")))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417" s="45" t="s">
        <v>137</v>
      </c>
      <c r="C1417" s="8" t="s">
        <v>211</v>
      </c>
      <c r="D1417" s="1" t="s">
        <v>188</v>
      </c>
      <c r="E1417" s="113">
        <v>611</v>
      </c>
      <c r="F1417" s="7">
        <f>прил.6!G135</f>
        <v>27757.9</v>
      </c>
      <c r="G1417" s="7">
        <f>прил.6!H135</f>
        <v>0</v>
      </c>
      <c r="H1417" s="35">
        <f t="shared" si="299"/>
        <v>27757.9</v>
      </c>
      <c r="I1417" s="7">
        <f>прил.6!J135</f>
        <v>0</v>
      </c>
      <c r="J1417" s="35">
        <f t="shared" si="313"/>
        <v>27757.9</v>
      </c>
      <c r="K1417" s="7">
        <f>прил.6!L135</f>
        <v>-130</v>
      </c>
      <c r="L1417" s="35">
        <f t="shared" si="304"/>
        <v>27627.9</v>
      </c>
      <c r="M1417" s="7">
        <f>прил.6!N135</f>
        <v>0</v>
      </c>
      <c r="N1417" s="35">
        <f t="shared" si="316"/>
        <v>27627.9</v>
      </c>
      <c r="O1417" s="7">
        <f>прил.6!P135</f>
        <v>0</v>
      </c>
      <c r="P1417" s="35">
        <f t="shared" si="312"/>
        <v>27627.9</v>
      </c>
      <c r="Q1417" s="7">
        <f>прил.6!R135</f>
        <v>0</v>
      </c>
      <c r="R1417" s="35">
        <f t="shared" si="310"/>
        <v>27627.9</v>
      </c>
      <c r="S1417" s="7">
        <f>прил.6!T135</f>
        <v>0</v>
      </c>
      <c r="T1417" s="35">
        <f t="shared" si="307"/>
        <v>27627.9</v>
      </c>
    </row>
    <row r="1418" spans="1:20">
      <c r="A1418" s="61" t="str">
        <f ca="1">IF(ISERROR(MATCH(E1418,Код_КВР,0)),"",INDIRECT(ADDRESS(MATCH(E1418,Код_КВР,0)+1,2,,,"КВР")))</f>
        <v>Субсидии бюджетным учреждениям на иные цели</v>
      </c>
      <c r="B1418" s="45" t="s">
        <v>137</v>
      </c>
      <c r="C1418" s="8" t="s">
        <v>211</v>
      </c>
      <c r="D1418" s="1" t="s">
        <v>188</v>
      </c>
      <c r="E1418" s="113">
        <v>612</v>
      </c>
      <c r="F1418" s="7">
        <f>прил.6!G136</f>
        <v>100</v>
      </c>
      <c r="G1418" s="7">
        <f>прил.6!H136</f>
        <v>0</v>
      </c>
      <c r="H1418" s="35">
        <f t="shared" ref="H1418:H1487" si="317">F1418+G1418</f>
        <v>100</v>
      </c>
      <c r="I1418" s="7">
        <f>прил.6!J136</f>
        <v>0</v>
      </c>
      <c r="J1418" s="35">
        <f t="shared" si="313"/>
        <v>100</v>
      </c>
      <c r="K1418" s="7">
        <f>прил.6!L136</f>
        <v>0</v>
      </c>
      <c r="L1418" s="35">
        <f t="shared" si="304"/>
        <v>100</v>
      </c>
      <c r="M1418" s="7">
        <f>прил.6!N136</f>
        <v>0</v>
      </c>
      <c r="N1418" s="35">
        <f t="shared" si="316"/>
        <v>100</v>
      </c>
      <c r="O1418" s="7">
        <f>прил.6!P136</f>
        <v>0</v>
      </c>
      <c r="P1418" s="35">
        <f t="shared" si="312"/>
        <v>100</v>
      </c>
      <c r="Q1418" s="7">
        <f>прил.6!R136</f>
        <v>0</v>
      </c>
      <c r="R1418" s="35">
        <f t="shared" si="310"/>
        <v>100</v>
      </c>
      <c r="S1418" s="7">
        <f>прил.6!T136</f>
        <v>0</v>
      </c>
      <c r="T1418" s="35">
        <f t="shared" si="307"/>
        <v>100</v>
      </c>
    </row>
    <row r="1419" spans="1:20" ht="60.75" customHeight="1">
      <c r="A1419" s="61" t="str">
        <f ca="1">IF(ISERROR(MATCH(B1419,Код_КЦСР,0)),"",INDIRECT(ADDRESS(MATCH(B1419,Код_КЦСР,0)+1,2,,,"КЦСР")))</f>
        <v>Создание и развитие сети многофункциональных центров предоставления государственных и муниципальных услуг за счет иных межбюджетных трасфертов из федерального бюджета</v>
      </c>
      <c r="B1419" s="45" t="s">
        <v>680</v>
      </c>
      <c r="C1419" s="8"/>
      <c r="D1419" s="1"/>
      <c r="E1419" s="113"/>
      <c r="F1419" s="7"/>
      <c r="G1419" s="7"/>
      <c r="H1419" s="35"/>
      <c r="I1419" s="7"/>
      <c r="J1419" s="35"/>
      <c r="K1419" s="7"/>
      <c r="L1419" s="35"/>
      <c r="M1419" s="7"/>
      <c r="N1419" s="35"/>
      <c r="O1419" s="7"/>
      <c r="P1419" s="35"/>
      <c r="Q1419" s="7"/>
      <c r="R1419" s="35"/>
      <c r="S1419" s="7">
        <f>S1420</f>
        <v>4597.3999999999996</v>
      </c>
      <c r="T1419" s="35">
        <f t="shared" si="307"/>
        <v>4597.3999999999996</v>
      </c>
    </row>
    <row r="1420" spans="1:20">
      <c r="A1420" s="61" t="str">
        <f ca="1">IF(ISERROR(MATCH(C1420,Код_Раздел,0)),"",INDIRECT(ADDRESS(MATCH(C1420,Код_Раздел,0)+1,2,,,"Раздел")))</f>
        <v>Общегосударственные  вопросы</v>
      </c>
      <c r="B1420" s="45" t="s">
        <v>680</v>
      </c>
      <c r="C1420" s="8" t="s">
        <v>211</v>
      </c>
      <c r="D1420" s="1"/>
      <c r="E1420" s="113"/>
      <c r="F1420" s="7"/>
      <c r="G1420" s="7"/>
      <c r="H1420" s="35"/>
      <c r="I1420" s="7"/>
      <c r="J1420" s="35"/>
      <c r="K1420" s="7"/>
      <c r="L1420" s="35"/>
      <c r="M1420" s="7"/>
      <c r="N1420" s="35"/>
      <c r="O1420" s="7"/>
      <c r="P1420" s="35"/>
      <c r="Q1420" s="7"/>
      <c r="R1420" s="35"/>
      <c r="S1420" s="7">
        <f>S1421</f>
        <v>4597.3999999999996</v>
      </c>
      <c r="T1420" s="35">
        <f t="shared" si="307"/>
        <v>4597.3999999999996</v>
      </c>
    </row>
    <row r="1421" spans="1:20">
      <c r="A1421" s="12" t="s">
        <v>235</v>
      </c>
      <c r="B1421" s="45" t="s">
        <v>680</v>
      </c>
      <c r="C1421" s="8" t="s">
        <v>211</v>
      </c>
      <c r="D1421" s="1" t="s">
        <v>188</v>
      </c>
      <c r="E1421" s="113"/>
      <c r="F1421" s="7"/>
      <c r="G1421" s="7"/>
      <c r="H1421" s="35"/>
      <c r="I1421" s="7"/>
      <c r="J1421" s="35"/>
      <c r="K1421" s="7"/>
      <c r="L1421" s="35"/>
      <c r="M1421" s="7"/>
      <c r="N1421" s="35"/>
      <c r="O1421" s="7"/>
      <c r="P1421" s="35"/>
      <c r="Q1421" s="7"/>
      <c r="R1421" s="35"/>
      <c r="S1421" s="7">
        <f>S1422</f>
        <v>4597.3999999999996</v>
      </c>
      <c r="T1421" s="35">
        <f t="shared" si="307"/>
        <v>4597.3999999999996</v>
      </c>
    </row>
    <row r="1422" spans="1:20" ht="33">
      <c r="A1422" s="61" t="str">
        <f ca="1">IF(ISERROR(MATCH(E1422,Код_КВР,0)),"",INDIRECT(ADDRESS(MATCH(E1422,Код_КВР,0)+1,2,,,"КВР")))</f>
        <v>Предоставление субсидий бюджетным, автономным учреждениям и иным некоммерческим организациям</v>
      </c>
      <c r="B1422" s="45" t="s">
        <v>680</v>
      </c>
      <c r="C1422" s="8" t="s">
        <v>211</v>
      </c>
      <c r="D1422" s="1" t="s">
        <v>188</v>
      </c>
      <c r="E1422" s="113">
        <v>600</v>
      </c>
      <c r="F1422" s="7"/>
      <c r="G1422" s="7"/>
      <c r="H1422" s="35"/>
      <c r="I1422" s="7"/>
      <c r="J1422" s="35"/>
      <c r="K1422" s="7"/>
      <c r="L1422" s="35"/>
      <c r="M1422" s="7"/>
      <c r="N1422" s="35"/>
      <c r="O1422" s="7"/>
      <c r="P1422" s="35"/>
      <c r="Q1422" s="7"/>
      <c r="R1422" s="35"/>
      <c r="S1422" s="7">
        <f>S1423</f>
        <v>4597.3999999999996</v>
      </c>
      <c r="T1422" s="35">
        <f t="shared" si="307"/>
        <v>4597.3999999999996</v>
      </c>
    </row>
    <row r="1423" spans="1:20">
      <c r="A1423" s="61" t="str">
        <f ca="1">IF(ISERROR(MATCH(E1423,Код_КВР,0)),"",INDIRECT(ADDRESS(MATCH(E1423,Код_КВР,0)+1,2,,,"КВР")))</f>
        <v>Субсидии бюджетным учреждениям</v>
      </c>
      <c r="B1423" s="45" t="s">
        <v>680</v>
      </c>
      <c r="C1423" s="8" t="s">
        <v>211</v>
      </c>
      <c r="D1423" s="1" t="s">
        <v>188</v>
      </c>
      <c r="E1423" s="113">
        <v>610</v>
      </c>
      <c r="F1423" s="7"/>
      <c r="G1423" s="7"/>
      <c r="H1423" s="35"/>
      <c r="I1423" s="7"/>
      <c r="J1423" s="35"/>
      <c r="K1423" s="7"/>
      <c r="L1423" s="35"/>
      <c r="M1423" s="7"/>
      <c r="N1423" s="35"/>
      <c r="O1423" s="7"/>
      <c r="P1423" s="35"/>
      <c r="Q1423" s="7"/>
      <c r="R1423" s="35"/>
      <c r="S1423" s="7">
        <f>S1424</f>
        <v>4597.3999999999996</v>
      </c>
      <c r="T1423" s="35">
        <f t="shared" si="307"/>
        <v>4597.3999999999996</v>
      </c>
    </row>
    <row r="1424" spans="1:20" ht="16.5" customHeight="1">
      <c r="A1424" s="61" t="str">
        <f ca="1">IF(ISERROR(MATCH(E1424,Код_КВР,0)),"",INDIRECT(ADDRESS(MATCH(E1424,Код_КВР,0)+1,2,,,"КВР")))</f>
        <v>Субсидии бюджетным учреждениям на иные цели</v>
      </c>
      <c r="B1424" s="45" t="s">
        <v>680</v>
      </c>
      <c r="C1424" s="8" t="s">
        <v>211</v>
      </c>
      <c r="D1424" s="1" t="s">
        <v>188</v>
      </c>
      <c r="E1424" s="113">
        <v>612</v>
      </c>
      <c r="F1424" s="7"/>
      <c r="G1424" s="7"/>
      <c r="H1424" s="35"/>
      <c r="I1424" s="7"/>
      <c r="J1424" s="35"/>
      <c r="K1424" s="7"/>
      <c r="L1424" s="35"/>
      <c r="M1424" s="7"/>
      <c r="N1424" s="35"/>
      <c r="O1424" s="7"/>
      <c r="P1424" s="35"/>
      <c r="Q1424" s="7"/>
      <c r="R1424" s="35"/>
      <c r="S1424" s="7">
        <f>прил.6!T140</f>
        <v>4597.3999999999996</v>
      </c>
      <c r="T1424" s="35">
        <f t="shared" si="307"/>
        <v>4597.3999999999996</v>
      </c>
    </row>
    <row r="1425" spans="1:21" ht="49.5">
      <c r="A1425" s="61" t="str">
        <f ca="1">IF(ISERROR(MATCH(B1425,Код_КЦСР,0)),"",INDIRECT(ADDRESS(MATCH(B1425,Код_КЦСР,0)+1,2,,,"КЦСР")))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425" s="45" t="s">
        <v>139</v>
      </c>
      <c r="C1425" s="8"/>
      <c r="D1425" s="1"/>
      <c r="E1425" s="113"/>
      <c r="F1425" s="7">
        <f>F1426+F1432+F1443+F1449+F1455+F1467</f>
        <v>46053.3</v>
      </c>
      <c r="G1425" s="7">
        <f>G1426+G1432+G1443+G1449+G1455+G1467</f>
        <v>0</v>
      </c>
      <c r="H1425" s="35">
        <f t="shared" si="317"/>
        <v>46053.3</v>
      </c>
      <c r="I1425" s="7">
        <f>I1426+I1432+I1443+I1449+I1455+I1467</f>
        <v>126.5</v>
      </c>
      <c r="J1425" s="35">
        <f t="shared" si="313"/>
        <v>46179.8</v>
      </c>
      <c r="K1425" s="7">
        <f>K1426+K1432+K1443+K1449+K1455+K1467</f>
        <v>-133.9</v>
      </c>
      <c r="L1425" s="35">
        <f t="shared" si="304"/>
        <v>46045.9</v>
      </c>
      <c r="M1425" s="7">
        <f>M1426+M1432+M1443+M1449+M1455+M1467</f>
        <v>240.5</v>
      </c>
      <c r="N1425" s="35">
        <f t="shared" si="316"/>
        <v>46286.400000000001</v>
      </c>
      <c r="O1425" s="7">
        <f>O1426+O1432+O1443+O1449+O1455+O1467</f>
        <v>0</v>
      </c>
      <c r="P1425" s="35">
        <f t="shared" si="312"/>
        <v>46286.400000000001</v>
      </c>
      <c r="Q1425" s="7">
        <f>Q1426+Q1432+Q1443+Q1449+Q1455+Q1467</f>
        <v>4297.7000000000007</v>
      </c>
      <c r="R1425" s="35">
        <f t="shared" si="310"/>
        <v>50584.100000000006</v>
      </c>
      <c r="S1425" s="7">
        <f>S1426+S1432+S1443+S1449+S1455+S1467</f>
        <v>400</v>
      </c>
      <c r="T1425" s="35">
        <f t="shared" si="307"/>
        <v>50984.100000000006</v>
      </c>
    </row>
    <row r="1426" spans="1:21" ht="49.5" hidden="1">
      <c r="A1426" s="61" t="str">
        <f ca="1">IF(ISERROR(MATCH(B1426,Код_КЦСР,0)),"",INDIRECT(ADDRESS(MATCH(B1426,Код_КЦСР,0)+1,2,,,"КЦСР")))</f>
        <v>Формирование положительного имиджа Череповца, как социально ориентированного города, посредством изготовления и размещения социальной рекламы</v>
      </c>
      <c r="B1426" s="45" t="s">
        <v>140</v>
      </c>
      <c r="C1426" s="8"/>
      <c r="D1426" s="1"/>
      <c r="E1426" s="89"/>
      <c r="F1426" s="7">
        <f t="shared" ref="F1426:S1430" si="318">F1427</f>
        <v>72</v>
      </c>
      <c r="G1426" s="7">
        <f t="shared" si="318"/>
        <v>0</v>
      </c>
      <c r="H1426" s="35">
        <f t="shared" si="317"/>
        <v>72</v>
      </c>
      <c r="I1426" s="7">
        <f t="shared" si="318"/>
        <v>0</v>
      </c>
      <c r="J1426" s="35">
        <f t="shared" si="313"/>
        <v>72</v>
      </c>
      <c r="K1426" s="7">
        <f t="shared" si="318"/>
        <v>-72</v>
      </c>
      <c r="L1426" s="35">
        <f t="shared" si="304"/>
        <v>0</v>
      </c>
      <c r="M1426" s="7">
        <f t="shared" si="318"/>
        <v>0</v>
      </c>
      <c r="N1426" s="35">
        <f t="shared" si="316"/>
        <v>0</v>
      </c>
      <c r="O1426" s="7">
        <f t="shared" si="318"/>
        <v>0</v>
      </c>
      <c r="P1426" s="35">
        <f t="shared" si="312"/>
        <v>0</v>
      </c>
      <c r="Q1426" s="7">
        <f t="shared" si="318"/>
        <v>0</v>
      </c>
      <c r="R1426" s="35">
        <f t="shared" si="310"/>
        <v>0</v>
      </c>
      <c r="S1426" s="7">
        <f t="shared" si="318"/>
        <v>0</v>
      </c>
      <c r="T1426" s="35">
        <f t="shared" si="307"/>
        <v>0</v>
      </c>
      <c r="U1426" s="20" t="s">
        <v>706</v>
      </c>
    </row>
    <row r="1427" spans="1:21" hidden="1">
      <c r="A1427" s="61" t="str">
        <f ca="1">IF(ISERROR(MATCH(C1427,Код_Раздел,0)),"",INDIRECT(ADDRESS(MATCH(C1427,Код_Раздел,0)+1,2,,,"Раздел")))</f>
        <v>Общегосударственные  вопросы</v>
      </c>
      <c r="B1427" s="45" t="s">
        <v>140</v>
      </c>
      <c r="C1427" s="8" t="s">
        <v>211</v>
      </c>
      <c r="D1427" s="1"/>
      <c r="E1427" s="89"/>
      <c r="F1427" s="7">
        <f t="shared" si="318"/>
        <v>72</v>
      </c>
      <c r="G1427" s="7">
        <f t="shared" si="318"/>
        <v>0</v>
      </c>
      <c r="H1427" s="35">
        <f t="shared" si="317"/>
        <v>72</v>
      </c>
      <c r="I1427" s="7">
        <f t="shared" si="318"/>
        <v>0</v>
      </c>
      <c r="J1427" s="35">
        <f t="shared" si="313"/>
        <v>72</v>
      </c>
      <c r="K1427" s="7">
        <f t="shared" si="318"/>
        <v>-72</v>
      </c>
      <c r="L1427" s="35">
        <f t="shared" si="304"/>
        <v>0</v>
      </c>
      <c r="M1427" s="7">
        <f t="shared" si="318"/>
        <v>0</v>
      </c>
      <c r="N1427" s="35">
        <f t="shared" si="316"/>
        <v>0</v>
      </c>
      <c r="O1427" s="7">
        <f t="shared" si="318"/>
        <v>0</v>
      </c>
      <c r="P1427" s="35">
        <f t="shared" si="312"/>
        <v>0</v>
      </c>
      <c r="Q1427" s="7">
        <f t="shared" si="318"/>
        <v>0</v>
      </c>
      <c r="R1427" s="35">
        <f t="shared" si="310"/>
        <v>0</v>
      </c>
      <c r="S1427" s="7">
        <f t="shared" si="318"/>
        <v>0</v>
      </c>
      <c r="T1427" s="35">
        <f t="shared" si="307"/>
        <v>0</v>
      </c>
      <c r="U1427" s="20" t="s">
        <v>706</v>
      </c>
    </row>
    <row r="1428" spans="1:21" hidden="1">
      <c r="A1428" s="12" t="s">
        <v>235</v>
      </c>
      <c r="B1428" s="45" t="s">
        <v>140</v>
      </c>
      <c r="C1428" s="8" t="s">
        <v>211</v>
      </c>
      <c r="D1428" s="1" t="s">
        <v>188</v>
      </c>
      <c r="E1428" s="89"/>
      <c r="F1428" s="7">
        <f t="shared" si="318"/>
        <v>72</v>
      </c>
      <c r="G1428" s="7">
        <f t="shared" si="318"/>
        <v>0</v>
      </c>
      <c r="H1428" s="35">
        <f t="shared" si="317"/>
        <v>72</v>
      </c>
      <c r="I1428" s="7">
        <f t="shared" si="318"/>
        <v>0</v>
      </c>
      <c r="J1428" s="35">
        <f t="shared" si="313"/>
        <v>72</v>
      </c>
      <c r="K1428" s="7">
        <f t="shared" si="318"/>
        <v>-72</v>
      </c>
      <c r="L1428" s="35">
        <f t="shared" si="304"/>
        <v>0</v>
      </c>
      <c r="M1428" s="7">
        <f t="shared" si="318"/>
        <v>0</v>
      </c>
      <c r="N1428" s="35">
        <f t="shared" si="316"/>
        <v>0</v>
      </c>
      <c r="O1428" s="7">
        <f t="shared" si="318"/>
        <v>0</v>
      </c>
      <c r="P1428" s="35">
        <f t="shared" si="312"/>
        <v>0</v>
      </c>
      <c r="Q1428" s="7">
        <f t="shared" si="318"/>
        <v>0</v>
      </c>
      <c r="R1428" s="35">
        <f t="shared" si="310"/>
        <v>0</v>
      </c>
      <c r="S1428" s="7">
        <f t="shared" si="318"/>
        <v>0</v>
      </c>
      <c r="T1428" s="35">
        <f t="shared" si="307"/>
        <v>0</v>
      </c>
      <c r="U1428" s="20" t="s">
        <v>706</v>
      </c>
    </row>
    <row r="1429" spans="1:21" hidden="1">
      <c r="A1429" s="61" t="str">
        <f ca="1">IF(ISERROR(MATCH(E1429,Код_КВР,0)),"",INDIRECT(ADDRESS(MATCH(E1429,Код_КВР,0)+1,2,,,"КВР")))</f>
        <v>Закупка товаров, работ и услуг для муниципальных нужд</v>
      </c>
      <c r="B1429" s="45" t="s">
        <v>140</v>
      </c>
      <c r="C1429" s="8" t="s">
        <v>211</v>
      </c>
      <c r="D1429" s="1" t="s">
        <v>188</v>
      </c>
      <c r="E1429" s="89">
        <v>200</v>
      </c>
      <c r="F1429" s="7">
        <f t="shared" si="318"/>
        <v>72</v>
      </c>
      <c r="G1429" s="7">
        <f t="shared" si="318"/>
        <v>0</v>
      </c>
      <c r="H1429" s="35">
        <f t="shared" si="317"/>
        <v>72</v>
      </c>
      <c r="I1429" s="7">
        <f t="shared" si="318"/>
        <v>0</v>
      </c>
      <c r="J1429" s="35">
        <f t="shared" si="313"/>
        <v>72</v>
      </c>
      <c r="K1429" s="7">
        <f t="shared" si="318"/>
        <v>-72</v>
      </c>
      <c r="L1429" s="35">
        <f t="shared" si="304"/>
        <v>0</v>
      </c>
      <c r="M1429" s="7">
        <f t="shared" si="318"/>
        <v>0</v>
      </c>
      <c r="N1429" s="35">
        <f t="shared" si="316"/>
        <v>0</v>
      </c>
      <c r="O1429" s="7">
        <f t="shared" si="318"/>
        <v>0</v>
      </c>
      <c r="P1429" s="35">
        <f t="shared" si="312"/>
        <v>0</v>
      </c>
      <c r="Q1429" s="7">
        <f t="shared" si="318"/>
        <v>0</v>
      </c>
      <c r="R1429" s="35">
        <f t="shared" si="310"/>
        <v>0</v>
      </c>
      <c r="S1429" s="7">
        <f t="shared" si="318"/>
        <v>0</v>
      </c>
      <c r="T1429" s="35">
        <f t="shared" si="307"/>
        <v>0</v>
      </c>
      <c r="U1429" s="20" t="s">
        <v>706</v>
      </c>
    </row>
    <row r="1430" spans="1:21" ht="33" hidden="1">
      <c r="A1430" s="61" t="str">
        <f ca="1">IF(ISERROR(MATCH(E1430,Код_КВР,0)),"",INDIRECT(ADDRESS(MATCH(E1430,Код_КВР,0)+1,2,,,"КВР")))</f>
        <v>Иные закупки товаров, работ и услуг для обеспечения муниципальных нужд</v>
      </c>
      <c r="B1430" s="45" t="s">
        <v>140</v>
      </c>
      <c r="C1430" s="8" t="s">
        <v>211</v>
      </c>
      <c r="D1430" s="1" t="s">
        <v>188</v>
      </c>
      <c r="E1430" s="89">
        <v>240</v>
      </c>
      <c r="F1430" s="7">
        <f t="shared" si="318"/>
        <v>72</v>
      </c>
      <c r="G1430" s="7">
        <f t="shared" si="318"/>
        <v>0</v>
      </c>
      <c r="H1430" s="35">
        <f t="shared" si="317"/>
        <v>72</v>
      </c>
      <c r="I1430" s="7">
        <f t="shared" si="318"/>
        <v>0</v>
      </c>
      <c r="J1430" s="35">
        <f t="shared" si="313"/>
        <v>72</v>
      </c>
      <c r="K1430" s="7">
        <f t="shared" si="318"/>
        <v>-72</v>
      </c>
      <c r="L1430" s="35">
        <f t="shared" si="304"/>
        <v>0</v>
      </c>
      <c r="M1430" s="7">
        <f t="shared" si="318"/>
        <v>0</v>
      </c>
      <c r="N1430" s="35">
        <f t="shared" si="316"/>
        <v>0</v>
      </c>
      <c r="O1430" s="7">
        <f t="shared" si="318"/>
        <v>0</v>
      </c>
      <c r="P1430" s="35">
        <f t="shared" si="312"/>
        <v>0</v>
      </c>
      <c r="Q1430" s="7">
        <f t="shared" si="318"/>
        <v>0</v>
      </c>
      <c r="R1430" s="35">
        <f t="shared" si="310"/>
        <v>0</v>
      </c>
      <c r="S1430" s="7">
        <f t="shared" si="318"/>
        <v>0</v>
      </c>
      <c r="T1430" s="35">
        <f t="shared" si="307"/>
        <v>0</v>
      </c>
      <c r="U1430" s="20" t="s">
        <v>706</v>
      </c>
    </row>
    <row r="1431" spans="1:21" ht="33" hidden="1">
      <c r="A1431" s="61" t="str">
        <f ca="1">IF(ISERROR(MATCH(E1431,Код_КВР,0)),"",INDIRECT(ADDRESS(MATCH(E1431,Код_КВР,0)+1,2,,,"КВР")))</f>
        <v xml:space="preserve">Прочая закупка товаров, работ и услуг для обеспечения муниципальных нужд         </v>
      </c>
      <c r="B1431" s="45" t="s">
        <v>140</v>
      </c>
      <c r="C1431" s="8" t="s">
        <v>211</v>
      </c>
      <c r="D1431" s="1" t="s">
        <v>188</v>
      </c>
      <c r="E1431" s="89">
        <v>244</v>
      </c>
      <c r="F1431" s="7">
        <f>прил.6!G145</f>
        <v>72</v>
      </c>
      <c r="G1431" s="7">
        <f>прил.6!H145</f>
        <v>0</v>
      </c>
      <c r="H1431" s="35">
        <f t="shared" si="317"/>
        <v>72</v>
      </c>
      <c r="I1431" s="7">
        <f>прил.6!J145</f>
        <v>0</v>
      </c>
      <c r="J1431" s="35">
        <f t="shared" si="313"/>
        <v>72</v>
      </c>
      <c r="K1431" s="7">
        <f>прил.6!L145</f>
        <v>-72</v>
      </c>
      <c r="L1431" s="35">
        <f t="shared" si="304"/>
        <v>0</v>
      </c>
      <c r="M1431" s="7">
        <f>прил.6!N145</f>
        <v>0</v>
      </c>
      <c r="N1431" s="35">
        <f t="shared" si="316"/>
        <v>0</v>
      </c>
      <c r="O1431" s="7">
        <f>прил.6!P145</f>
        <v>0</v>
      </c>
      <c r="P1431" s="35">
        <f t="shared" si="312"/>
        <v>0</v>
      </c>
      <c r="Q1431" s="7">
        <f>прил.6!R145</f>
        <v>0</v>
      </c>
      <c r="R1431" s="35">
        <f t="shared" si="310"/>
        <v>0</v>
      </c>
      <c r="S1431" s="7">
        <f>прил.6!T145</f>
        <v>0</v>
      </c>
      <c r="T1431" s="35">
        <f t="shared" si="307"/>
        <v>0</v>
      </c>
      <c r="U1431" s="20" t="s">
        <v>706</v>
      </c>
    </row>
    <row r="1432" spans="1:21" ht="70.5" customHeight="1">
      <c r="A1432" s="61" t="str">
        <f ca="1">IF(ISERROR(MATCH(B1432,Код_КЦСР,0)),"",INDIRECT(ADDRESS(MATCH(B1432,Код_КЦСР,0)+1,2,,,"КЦСР")))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432" s="45" t="s">
        <v>141</v>
      </c>
      <c r="C1432" s="8"/>
      <c r="D1432" s="1"/>
      <c r="E1432" s="113"/>
      <c r="F1432" s="7">
        <f>F1433+F1438</f>
        <v>495.7</v>
      </c>
      <c r="G1432" s="7">
        <f>G1433+G1438</f>
        <v>0</v>
      </c>
      <c r="H1432" s="35">
        <f t="shared" si="317"/>
        <v>495.7</v>
      </c>
      <c r="I1432" s="7">
        <f>I1433+I1438</f>
        <v>0</v>
      </c>
      <c r="J1432" s="35">
        <f t="shared" si="313"/>
        <v>495.7</v>
      </c>
      <c r="K1432" s="7">
        <f>K1433+K1438</f>
        <v>0</v>
      </c>
      <c r="L1432" s="35">
        <f t="shared" si="304"/>
        <v>495.7</v>
      </c>
      <c r="M1432" s="7">
        <f>M1433+M1438</f>
        <v>0</v>
      </c>
      <c r="N1432" s="35">
        <f t="shared" si="316"/>
        <v>495.7</v>
      </c>
      <c r="O1432" s="7">
        <f>O1433+O1438</f>
        <v>0</v>
      </c>
      <c r="P1432" s="35">
        <f t="shared" si="312"/>
        <v>495.7</v>
      </c>
      <c r="Q1432" s="7">
        <f>Q1433+Q1438</f>
        <v>59.5</v>
      </c>
      <c r="R1432" s="35">
        <f t="shared" si="310"/>
        <v>555.20000000000005</v>
      </c>
      <c r="S1432" s="7">
        <f>S1433+S1438</f>
        <v>0</v>
      </c>
      <c r="T1432" s="35">
        <f t="shared" si="307"/>
        <v>555.20000000000005</v>
      </c>
    </row>
    <row r="1433" spans="1:21">
      <c r="A1433" s="61" t="str">
        <f ca="1">IF(ISERROR(MATCH(C1433,Код_Раздел,0)),"",INDIRECT(ADDRESS(MATCH(C1433,Код_Раздел,0)+1,2,,,"Раздел")))</f>
        <v>Общегосударственные  вопросы</v>
      </c>
      <c r="B1433" s="45" t="s">
        <v>141</v>
      </c>
      <c r="C1433" s="8" t="s">
        <v>211</v>
      </c>
      <c r="D1433" s="1"/>
      <c r="E1433" s="113"/>
      <c r="F1433" s="7">
        <f t="shared" ref="F1433:S1436" si="319">F1434</f>
        <v>411.5</v>
      </c>
      <c r="G1433" s="7">
        <f t="shared" si="319"/>
        <v>0</v>
      </c>
      <c r="H1433" s="35">
        <f t="shared" si="317"/>
        <v>411.5</v>
      </c>
      <c r="I1433" s="7">
        <f t="shared" si="319"/>
        <v>0</v>
      </c>
      <c r="J1433" s="35">
        <f t="shared" si="313"/>
        <v>411.5</v>
      </c>
      <c r="K1433" s="7">
        <f t="shared" si="319"/>
        <v>0</v>
      </c>
      <c r="L1433" s="35">
        <f t="shared" si="304"/>
        <v>411.5</v>
      </c>
      <c r="M1433" s="7">
        <f t="shared" si="319"/>
        <v>0</v>
      </c>
      <c r="N1433" s="35">
        <f t="shared" si="316"/>
        <v>411.5</v>
      </c>
      <c r="O1433" s="7">
        <f t="shared" si="319"/>
        <v>0</v>
      </c>
      <c r="P1433" s="35">
        <f t="shared" si="312"/>
        <v>411.5</v>
      </c>
      <c r="Q1433" s="7">
        <f t="shared" si="319"/>
        <v>59.5</v>
      </c>
      <c r="R1433" s="35">
        <f t="shared" si="310"/>
        <v>471</v>
      </c>
      <c r="S1433" s="7">
        <f t="shared" si="319"/>
        <v>0</v>
      </c>
      <c r="T1433" s="35">
        <f t="shared" si="307"/>
        <v>471</v>
      </c>
    </row>
    <row r="1434" spans="1:21">
      <c r="A1434" s="12" t="s">
        <v>235</v>
      </c>
      <c r="B1434" s="45" t="s">
        <v>141</v>
      </c>
      <c r="C1434" s="8" t="s">
        <v>211</v>
      </c>
      <c r="D1434" s="1" t="s">
        <v>188</v>
      </c>
      <c r="E1434" s="113"/>
      <c r="F1434" s="7">
        <f t="shared" si="319"/>
        <v>411.5</v>
      </c>
      <c r="G1434" s="7">
        <f t="shared" si="319"/>
        <v>0</v>
      </c>
      <c r="H1434" s="35">
        <f t="shared" si="317"/>
        <v>411.5</v>
      </c>
      <c r="I1434" s="7">
        <f t="shared" si="319"/>
        <v>0</v>
      </c>
      <c r="J1434" s="35">
        <f t="shared" si="313"/>
        <v>411.5</v>
      </c>
      <c r="K1434" s="7">
        <f t="shared" si="319"/>
        <v>0</v>
      </c>
      <c r="L1434" s="35">
        <f t="shared" si="304"/>
        <v>411.5</v>
      </c>
      <c r="M1434" s="7">
        <f t="shared" si="319"/>
        <v>0</v>
      </c>
      <c r="N1434" s="35">
        <f t="shared" si="316"/>
        <v>411.5</v>
      </c>
      <c r="O1434" s="7">
        <f t="shared" si="319"/>
        <v>0</v>
      </c>
      <c r="P1434" s="35">
        <f t="shared" si="312"/>
        <v>411.5</v>
      </c>
      <c r="Q1434" s="7">
        <f t="shared" si="319"/>
        <v>59.5</v>
      </c>
      <c r="R1434" s="35">
        <f t="shared" si="310"/>
        <v>471</v>
      </c>
      <c r="S1434" s="7">
        <f t="shared" si="319"/>
        <v>0</v>
      </c>
      <c r="T1434" s="35">
        <f t="shared" si="307"/>
        <v>471</v>
      </c>
    </row>
    <row r="1435" spans="1:21">
      <c r="A1435" s="61" t="str">
        <f ca="1">IF(ISERROR(MATCH(E1435,Код_КВР,0)),"",INDIRECT(ADDRESS(MATCH(E1435,Код_КВР,0)+1,2,,,"КВР")))</f>
        <v>Закупка товаров, работ и услуг для муниципальных нужд</v>
      </c>
      <c r="B1435" s="45" t="s">
        <v>141</v>
      </c>
      <c r="C1435" s="8" t="s">
        <v>211</v>
      </c>
      <c r="D1435" s="1" t="s">
        <v>188</v>
      </c>
      <c r="E1435" s="113">
        <v>200</v>
      </c>
      <c r="F1435" s="7">
        <f t="shared" si="319"/>
        <v>411.5</v>
      </c>
      <c r="G1435" s="7">
        <f t="shared" si="319"/>
        <v>0</v>
      </c>
      <c r="H1435" s="35">
        <f t="shared" si="317"/>
        <v>411.5</v>
      </c>
      <c r="I1435" s="7">
        <f t="shared" si="319"/>
        <v>0</v>
      </c>
      <c r="J1435" s="35">
        <f t="shared" si="313"/>
        <v>411.5</v>
      </c>
      <c r="K1435" s="7">
        <f t="shared" si="319"/>
        <v>0</v>
      </c>
      <c r="L1435" s="35">
        <f t="shared" si="304"/>
        <v>411.5</v>
      </c>
      <c r="M1435" s="7">
        <f t="shared" si="319"/>
        <v>0</v>
      </c>
      <c r="N1435" s="35">
        <f t="shared" si="316"/>
        <v>411.5</v>
      </c>
      <c r="O1435" s="7">
        <f t="shared" si="319"/>
        <v>0</v>
      </c>
      <c r="P1435" s="35">
        <f t="shared" si="312"/>
        <v>411.5</v>
      </c>
      <c r="Q1435" s="7">
        <f t="shared" si="319"/>
        <v>59.5</v>
      </c>
      <c r="R1435" s="35">
        <f t="shared" si="310"/>
        <v>471</v>
      </c>
      <c r="S1435" s="7">
        <f t="shared" si="319"/>
        <v>0</v>
      </c>
      <c r="T1435" s="35">
        <f t="shared" si="307"/>
        <v>471</v>
      </c>
    </row>
    <row r="1436" spans="1:21" ht="33">
      <c r="A1436" s="61" t="str">
        <f ca="1">IF(ISERROR(MATCH(E1436,Код_КВР,0)),"",INDIRECT(ADDRESS(MATCH(E1436,Код_КВР,0)+1,2,,,"КВР")))</f>
        <v>Иные закупки товаров, работ и услуг для обеспечения муниципальных нужд</v>
      </c>
      <c r="B1436" s="45" t="s">
        <v>141</v>
      </c>
      <c r="C1436" s="8" t="s">
        <v>211</v>
      </c>
      <c r="D1436" s="1" t="s">
        <v>188</v>
      </c>
      <c r="E1436" s="113">
        <v>240</v>
      </c>
      <c r="F1436" s="7">
        <f t="shared" si="319"/>
        <v>411.5</v>
      </c>
      <c r="G1436" s="7">
        <f t="shared" si="319"/>
        <v>0</v>
      </c>
      <c r="H1436" s="35">
        <f t="shared" si="317"/>
        <v>411.5</v>
      </c>
      <c r="I1436" s="7">
        <f t="shared" si="319"/>
        <v>0</v>
      </c>
      <c r="J1436" s="35">
        <f t="shared" si="313"/>
        <v>411.5</v>
      </c>
      <c r="K1436" s="7">
        <f t="shared" si="319"/>
        <v>0</v>
      </c>
      <c r="L1436" s="35">
        <f t="shared" si="304"/>
        <v>411.5</v>
      </c>
      <c r="M1436" s="7">
        <f t="shared" si="319"/>
        <v>0</v>
      </c>
      <c r="N1436" s="35">
        <f t="shared" si="316"/>
        <v>411.5</v>
      </c>
      <c r="O1436" s="7">
        <f t="shared" si="319"/>
        <v>0</v>
      </c>
      <c r="P1436" s="35">
        <f t="shared" si="312"/>
        <v>411.5</v>
      </c>
      <c r="Q1436" s="7">
        <f t="shared" si="319"/>
        <v>59.5</v>
      </c>
      <c r="R1436" s="35">
        <f t="shared" si="310"/>
        <v>471</v>
      </c>
      <c r="S1436" s="7">
        <f t="shared" si="319"/>
        <v>0</v>
      </c>
      <c r="T1436" s="35">
        <f t="shared" si="307"/>
        <v>471</v>
      </c>
    </row>
    <row r="1437" spans="1:21" ht="33">
      <c r="A1437" s="61" t="str">
        <f ca="1">IF(ISERROR(MATCH(E1437,Код_КВР,0)),"",INDIRECT(ADDRESS(MATCH(E1437,Код_КВР,0)+1,2,,,"КВР")))</f>
        <v xml:space="preserve">Прочая закупка товаров, работ и услуг для обеспечения муниципальных нужд         </v>
      </c>
      <c r="B1437" s="45" t="s">
        <v>141</v>
      </c>
      <c r="C1437" s="8" t="s">
        <v>211</v>
      </c>
      <c r="D1437" s="1" t="s">
        <v>188</v>
      </c>
      <c r="E1437" s="113">
        <v>244</v>
      </c>
      <c r="F1437" s="7">
        <f>прил.6!G149</f>
        <v>411.5</v>
      </c>
      <c r="G1437" s="7">
        <f>прил.6!H149</f>
        <v>0</v>
      </c>
      <c r="H1437" s="35">
        <f t="shared" si="317"/>
        <v>411.5</v>
      </c>
      <c r="I1437" s="7">
        <f>прил.6!J149</f>
        <v>0</v>
      </c>
      <c r="J1437" s="35">
        <f t="shared" si="313"/>
        <v>411.5</v>
      </c>
      <c r="K1437" s="7">
        <f>прил.6!L149</f>
        <v>0</v>
      </c>
      <c r="L1437" s="35">
        <f t="shared" si="304"/>
        <v>411.5</v>
      </c>
      <c r="M1437" s="7">
        <f>прил.6!N149</f>
        <v>0</v>
      </c>
      <c r="N1437" s="35">
        <f t="shared" si="316"/>
        <v>411.5</v>
      </c>
      <c r="O1437" s="7">
        <f>прил.6!P149</f>
        <v>0</v>
      </c>
      <c r="P1437" s="35">
        <f t="shared" si="312"/>
        <v>411.5</v>
      </c>
      <c r="Q1437" s="7">
        <f>прил.6!R149</f>
        <v>59.5</v>
      </c>
      <c r="R1437" s="35">
        <f t="shared" si="310"/>
        <v>471</v>
      </c>
      <c r="S1437" s="7">
        <f>прил.6!T149</f>
        <v>0</v>
      </c>
      <c r="T1437" s="35">
        <f t="shared" si="307"/>
        <v>471</v>
      </c>
    </row>
    <row r="1438" spans="1:21">
      <c r="A1438" s="61" t="str">
        <f ca="1">IF(ISERROR(MATCH(C1438,Код_Раздел,0)),"",INDIRECT(ADDRESS(MATCH(C1438,Код_Раздел,0)+1,2,,,"Раздел")))</f>
        <v>Жилищно-коммунальное хозяйство</v>
      </c>
      <c r="B1438" s="45" t="s">
        <v>141</v>
      </c>
      <c r="C1438" s="8" t="s">
        <v>219</v>
      </c>
      <c r="D1438" s="1"/>
      <c r="E1438" s="113"/>
      <c r="F1438" s="7">
        <f t="shared" ref="F1438:S1441" si="320">F1439</f>
        <v>84.2</v>
      </c>
      <c r="G1438" s="7">
        <f t="shared" si="320"/>
        <v>0</v>
      </c>
      <c r="H1438" s="35">
        <f t="shared" si="317"/>
        <v>84.2</v>
      </c>
      <c r="I1438" s="7">
        <f t="shared" si="320"/>
        <v>0</v>
      </c>
      <c r="J1438" s="35">
        <f t="shared" si="313"/>
        <v>84.2</v>
      </c>
      <c r="K1438" s="7">
        <f t="shared" si="320"/>
        <v>0</v>
      </c>
      <c r="L1438" s="35">
        <f t="shared" si="304"/>
        <v>84.2</v>
      </c>
      <c r="M1438" s="7">
        <f t="shared" si="320"/>
        <v>0</v>
      </c>
      <c r="N1438" s="35">
        <f t="shared" si="316"/>
        <v>84.2</v>
      </c>
      <c r="O1438" s="7">
        <f t="shared" si="320"/>
        <v>0</v>
      </c>
      <c r="P1438" s="35">
        <f t="shared" si="312"/>
        <v>84.2</v>
      </c>
      <c r="Q1438" s="7">
        <f t="shared" si="320"/>
        <v>0</v>
      </c>
      <c r="R1438" s="35">
        <f t="shared" si="310"/>
        <v>84.2</v>
      </c>
      <c r="S1438" s="7">
        <f t="shared" si="320"/>
        <v>0</v>
      </c>
      <c r="T1438" s="35">
        <f t="shared" si="307"/>
        <v>84.2</v>
      </c>
    </row>
    <row r="1439" spans="1:21">
      <c r="A1439" s="61" t="s">
        <v>250</v>
      </c>
      <c r="B1439" s="45" t="s">
        <v>141</v>
      </c>
      <c r="C1439" s="8" t="s">
        <v>219</v>
      </c>
      <c r="D1439" s="8" t="s">
        <v>213</v>
      </c>
      <c r="E1439" s="113"/>
      <c r="F1439" s="7">
        <f t="shared" si="320"/>
        <v>84.2</v>
      </c>
      <c r="G1439" s="7">
        <f t="shared" si="320"/>
        <v>0</v>
      </c>
      <c r="H1439" s="35">
        <f t="shared" si="317"/>
        <v>84.2</v>
      </c>
      <c r="I1439" s="7">
        <f t="shared" si="320"/>
        <v>0</v>
      </c>
      <c r="J1439" s="35">
        <f t="shared" si="313"/>
        <v>84.2</v>
      </c>
      <c r="K1439" s="7">
        <f t="shared" si="320"/>
        <v>0</v>
      </c>
      <c r="L1439" s="35">
        <f t="shared" si="304"/>
        <v>84.2</v>
      </c>
      <c r="M1439" s="7">
        <f t="shared" si="320"/>
        <v>0</v>
      </c>
      <c r="N1439" s="35">
        <f t="shared" si="316"/>
        <v>84.2</v>
      </c>
      <c r="O1439" s="7">
        <f t="shared" si="320"/>
        <v>0</v>
      </c>
      <c r="P1439" s="35">
        <f t="shared" si="312"/>
        <v>84.2</v>
      </c>
      <c r="Q1439" s="7">
        <f t="shared" si="320"/>
        <v>0</v>
      </c>
      <c r="R1439" s="35">
        <f t="shared" si="310"/>
        <v>84.2</v>
      </c>
      <c r="S1439" s="7">
        <f t="shared" si="320"/>
        <v>0</v>
      </c>
      <c r="T1439" s="35">
        <f t="shared" si="307"/>
        <v>84.2</v>
      </c>
    </row>
    <row r="1440" spans="1:21">
      <c r="A1440" s="61" t="str">
        <f ca="1">IF(ISERROR(MATCH(E1440,Код_КВР,0)),"",INDIRECT(ADDRESS(MATCH(E1440,Код_КВР,0)+1,2,,,"КВР")))</f>
        <v>Закупка товаров, работ и услуг для муниципальных нужд</v>
      </c>
      <c r="B1440" s="45" t="s">
        <v>141</v>
      </c>
      <c r="C1440" s="8" t="s">
        <v>219</v>
      </c>
      <c r="D1440" s="8" t="s">
        <v>213</v>
      </c>
      <c r="E1440" s="113">
        <v>200</v>
      </c>
      <c r="F1440" s="7">
        <f t="shared" si="320"/>
        <v>84.2</v>
      </c>
      <c r="G1440" s="7">
        <f t="shared" si="320"/>
        <v>0</v>
      </c>
      <c r="H1440" s="35">
        <f t="shared" si="317"/>
        <v>84.2</v>
      </c>
      <c r="I1440" s="7">
        <f t="shared" si="320"/>
        <v>0</v>
      </c>
      <c r="J1440" s="35">
        <f t="shared" si="313"/>
        <v>84.2</v>
      </c>
      <c r="K1440" s="7">
        <f t="shared" si="320"/>
        <v>0</v>
      </c>
      <c r="L1440" s="35">
        <f t="shared" si="304"/>
        <v>84.2</v>
      </c>
      <c r="M1440" s="7">
        <f t="shared" si="320"/>
        <v>0</v>
      </c>
      <c r="N1440" s="35">
        <f t="shared" si="316"/>
        <v>84.2</v>
      </c>
      <c r="O1440" s="7">
        <f t="shared" si="320"/>
        <v>0</v>
      </c>
      <c r="P1440" s="35">
        <f t="shared" si="312"/>
        <v>84.2</v>
      </c>
      <c r="Q1440" s="7">
        <f t="shared" si="320"/>
        <v>0</v>
      </c>
      <c r="R1440" s="35">
        <f t="shared" si="310"/>
        <v>84.2</v>
      </c>
      <c r="S1440" s="7">
        <f t="shared" si="320"/>
        <v>0</v>
      </c>
      <c r="T1440" s="35">
        <f t="shared" si="307"/>
        <v>84.2</v>
      </c>
    </row>
    <row r="1441" spans="1:20" ht="33">
      <c r="A1441" s="61" t="str">
        <f ca="1">IF(ISERROR(MATCH(E1441,Код_КВР,0)),"",INDIRECT(ADDRESS(MATCH(E1441,Код_КВР,0)+1,2,,,"КВР")))</f>
        <v>Иные закупки товаров, работ и услуг для обеспечения муниципальных нужд</v>
      </c>
      <c r="B1441" s="45" t="s">
        <v>141</v>
      </c>
      <c r="C1441" s="8" t="s">
        <v>219</v>
      </c>
      <c r="D1441" s="8" t="s">
        <v>213</v>
      </c>
      <c r="E1441" s="113">
        <v>240</v>
      </c>
      <c r="F1441" s="7">
        <f t="shared" si="320"/>
        <v>84.2</v>
      </c>
      <c r="G1441" s="7">
        <f t="shared" si="320"/>
        <v>0</v>
      </c>
      <c r="H1441" s="35">
        <f t="shared" si="317"/>
        <v>84.2</v>
      </c>
      <c r="I1441" s="7">
        <f t="shared" si="320"/>
        <v>0</v>
      </c>
      <c r="J1441" s="35">
        <f t="shared" si="313"/>
        <v>84.2</v>
      </c>
      <c r="K1441" s="7">
        <f t="shared" si="320"/>
        <v>0</v>
      </c>
      <c r="L1441" s="35">
        <f t="shared" si="304"/>
        <v>84.2</v>
      </c>
      <c r="M1441" s="7">
        <f t="shared" si="320"/>
        <v>0</v>
      </c>
      <c r="N1441" s="35">
        <f t="shared" si="316"/>
        <v>84.2</v>
      </c>
      <c r="O1441" s="7">
        <f t="shared" si="320"/>
        <v>0</v>
      </c>
      <c r="P1441" s="35">
        <f t="shared" si="312"/>
        <v>84.2</v>
      </c>
      <c r="Q1441" s="7">
        <f t="shared" si="320"/>
        <v>0</v>
      </c>
      <c r="R1441" s="35">
        <f t="shared" si="310"/>
        <v>84.2</v>
      </c>
      <c r="S1441" s="7">
        <f t="shared" si="320"/>
        <v>0</v>
      </c>
      <c r="T1441" s="35">
        <f t="shared" si="307"/>
        <v>84.2</v>
      </c>
    </row>
    <row r="1442" spans="1:20" ht="33">
      <c r="A1442" s="61" t="str">
        <f ca="1">IF(ISERROR(MATCH(E1442,Код_КВР,0)),"",INDIRECT(ADDRESS(MATCH(E1442,Код_КВР,0)+1,2,,,"КВР")))</f>
        <v xml:space="preserve">Прочая закупка товаров, работ и услуг для обеспечения муниципальных нужд         </v>
      </c>
      <c r="B1442" s="45" t="s">
        <v>141</v>
      </c>
      <c r="C1442" s="8" t="s">
        <v>219</v>
      </c>
      <c r="D1442" s="8" t="s">
        <v>213</v>
      </c>
      <c r="E1442" s="113">
        <v>244</v>
      </c>
      <c r="F1442" s="7">
        <f>прил.6!G514</f>
        <v>84.2</v>
      </c>
      <c r="G1442" s="7">
        <f>прил.6!H514</f>
        <v>0</v>
      </c>
      <c r="H1442" s="35">
        <f t="shared" si="317"/>
        <v>84.2</v>
      </c>
      <c r="I1442" s="7">
        <f>прил.6!J514</f>
        <v>0</v>
      </c>
      <c r="J1442" s="35">
        <f t="shared" si="313"/>
        <v>84.2</v>
      </c>
      <c r="K1442" s="7">
        <f>прил.6!L514</f>
        <v>0</v>
      </c>
      <c r="L1442" s="35">
        <f t="shared" si="304"/>
        <v>84.2</v>
      </c>
      <c r="M1442" s="7">
        <f>прил.6!N514</f>
        <v>0</v>
      </c>
      <c r="N1442" s="35">
        <f t="shared" si="316"/>
        <v>84.2</v>
      </c>
      <c r="O1442" s="7">
        <f>прил.6!P514</f>
        <v>0</v>
      </c>
      <c r="P1442" s="35">
        <f t="shared" si="312"/>
        <v>84.2</v>
      </c>
      <c r="Q1442" s="7">
        <f>прил.6!R514</f>
        <v>0</v>
      </c>
      <c r="R1442" s="35">
        <f t="shared" si="310"/>
        <v>84.2</v>
      </c>
      <c r="S1442" s="7">
        <f>прил.6!T514</f>
        <v>0</v>
      </c>
      <c r="T1442" s="35">
        <f t="shared" si="307"/>
        <v>84.2</v>
      </c>
    </row>
    <row r="1443" spans="1:20" ht="72" customHeight="1">
      <c r="A1443" s="61" t="str">
        <f ca="1">IF(ISERROR(MATCH(B1443,Код_КЦСР,0)),"",INDIRECT(ADDRESS(MATCH(B1443,Код_КЦСР,0)+1,2,,,"КЦСР")))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443" s="45" t="s">
        <v>142</v>
      </c>
      <c r="C1443" s="8"/>
      <c r="D1443" s="1"/>
      <c r="E1443" s="113"/>
      <c r="F1443" s="7">
        <f t="shared" ref="F1443:S1447" si="321">F1444</f>
        <v>720</v>
      </c>
      <c r="G1443" s="7">
        <f t="shared" si="321"/>
        <v>0</v>
      </c>
      <c r="H1443" s="35">
        <f t="shared" si="317"/>
        <v>720</v>
      </c>
      <c r="I1443" s="7">
        <f t="shared" si="321"/>
        <v>0</v>
      </c>
      <c r="J1443" s="35">
        <f t="shared" si="313"/>
        <v>720</v>
      </c>
      <c r="K1443" s="7">
        <f t="shared" si="321"/>
        <v>0</v>
      </c>
      <c r="L1443" s="35">
        <f t="shared" si="304"/>
        <v>720</v>
      </c>
      <c r="M1443" s="7">
        <f t="shared" si="321"/>
        <v>205.6</v>
      </c>
      <c r="N1443" s="35">
        <f t="shared" si="316"/>
        <v>925.6</v>
      </c>
      <c r="O1443" s="7">
        <f t="shared" si="321"/>
        <v>0</v>
      </c>
      <c r="P1443" s="35">
        <f t="shared" si="312"/>
        <v>925.6</v>
      </c>
      <c r="Q1443" s="7">
        <f t="shared" si="321"/>
        <v>115.2</v>
      </c>
      <c r="R1443" s="35">
        <f t="shared" si="310"/>
        <v>1040.8</v>
      </c>
      <c r="S1443" s="7">
        <f t="shared" si="321"/>
        <v>0</v>
      </c>
      <c r="T1443" s="35">
        <f t="shared" si="307"/>
        <v>1040.8</v>
      </c>
    </row>
    <row r="1444" spans="1:20">
      <c r="A1444" s="61" t="str">
        <f ca="1">IF(ISERROR(MATCH(C1444,Код_Раздел,0)),"",INDIRECT(ADDRESS(MATCH(C1444,Код_Раздел,0)+1,2,,,"Раздел")))</f>
        <v>Общегосударственные  вопросы</v>
      </c>
      <c r="B1444" s="45" t="s">
        <v>142</v>
      </c>
      <c r="C1444" s="8" t="s">
        <v>211</v>
      </c>
      <c r="D1444" s="1"/>
      <c r="E1444" s="113"/>
      <c r="F1444" s="7">
        <f t="shared" si="321"/>
        <v>720</v>
      </c>
      <c r="G1444" s="7">
        <f t="shared" si="321"/>
        <v>0</v>
      </c>
      <c r="H1444" s="35">
        <f t="shared" si="317"/>
        <v>720</v>
      </c>
      <c r="I1444" s="7">
        <f t="shared" si="321"/>
        <v>0</v>
      </c>
      <c r="J1444" s="35">
        <f t="shared" si="313"/>
        <v>720</v>
      </c>
      <c r="K1444" s="7">
        <f t="shared" si="321"/>
        <v>0</v>
      </c>
      <c r="L1444" s="35">
        <f t="shared" si="304"/>
        <v>720</v>
      </c>
      <c r="M1444" s="7">
        <f t="shared" si="321"/>
        <v>205.6</v>
      </c>
      <c r="N1444" s="35">
        <f t="shared" si="316"/>
        <v>925.6</v>
      </c>
      <c r="O1444" s="7">
        <f t="shared" si="321"/>
        <v>0</v>
      </c>
      <c r="P1444" s="35">
        <f t="shared" si="312"/>
        <v>925.6</v>
      </c>
      <c r="Q1444" s="7">
        <f t="shared" si="321"/>
        <v>115.2</v>
      </c>
      <c r="R1444" s="35">
        <f t="shared" si="310"/>
        <v>1040.8</v>
      </c>
      <c r="S1444" s="7">
        <f t="shared" si="321"/>
        <v>0</v>
      </c>
      <c r="T1444" s="35">
        <f t="shared" si="307"/>
        <v>1040.8</v>
      </c>
    </row>
    <row r="1445" spans="1:20">
      <c r="A1445" s="12" t="s">
        <v>235</v>
      </c>
      <c r="B1445" s="45" t="s">
        <v>142</v>
      </c>
      <c r="C1445" s="8" t="s">
        <v>211</v>
      </c>
      <c r="D1445" s="1" t="s">
        <v>188</v>
      </c>
      <c r="E1445" s="113"/>
      <c r="F1445" s="7">
        <f t="shared" si="321"/>
        <v>720</v>
      </c>
      <c r="G1445" s="7">
        <f t="shared" si="321"/>
        <v>0</v>
      </c>
      <c r="H1445" s="35">
        <f t="shared" si="317"/>
        <v>720</v>
      </c>
      <c r="I1445" s="7">
        <f t="shared" si="321"/>
        <v>0</v>
      </c>
      <c r="J1445" s="35">
        <f t="shared" si="313"/>
        <v>720</v>
      </c>
      <c r="K1445" s="7">
        <f t="shared" si="321"/>
        <v>0</v>
      </c>
      <c r="L1445" s="35">
        <f t="shared" ref="L1445:L1508" si="322">J1445+K1445</f>
        <v>720</v>
      </c>
      <c r="M1445" s="7">
        <f t="shared" si="321"/>
        <v>205.6</v>
      </c>
      <c r="N1445" s="35">
        <f t="shared" si="316"/>
        <v>925.6</v>
      </c>
      <c r="O1445" s="7">
        <f t="shared" si="321"/>
        <v>0</v>
      </c>
      <c r="P1445" s="35">
        <f t="shared" si="312"/>
        <v>925.6</v>
      </c>
      <c r="Q1445" s="7">
        <f t="shared" si="321"/>
        <v>115.2</v>
      </c>
      <c r="R1445" s="35">
        <f t="shared" si="310"/>
        <v>1040.8</v>
      </c>
      <c r="S1445" s="7">
        <f t="shared" si="321"/>
        <v>0</v>
      </c>
      <c r="T1445" s="35">
        <f t="shared" si="307"/>
        <v>1040.8</v>
      </c>
    </row>
    <row r="1446" spans="1:20">
      <c r="A1446" s="61" t="str">
        <f ca="1">IF(ISERROR(MATCH(E1446,Код_КВР,0)),"",INDIRECT(ADDRESS(MATCH(E1446,Код_КВР,0)+1,2,,,"КВР")))</f>
        <v>Закупка товаров, работ и услуг для муниципальных нужд</v>
      </c>
      <c r="B1446" s="45" t="s">
        <v>142</v>
      </c>
      <c r="C1446" s="8" t="s">
        <v>211</v>
      </c>
      <c r="D1446" s="1" t="s">
        <v>188</v>
      </c>
      <c r="E1446" s="113">
        <v>200</v>
      </c>
      <c r="F1446" s="7">
        <f t="shared" si="321"/>
        <v>720</v>
      </c>
      <c r="G1446" s="7">
        <f t="shared" si="321"/>
        <v>0</v>
      </c>
      <c r="H1446" s="35">
        <f t="shared" si="317"/>
        <v>720</v>
      </c>
      <c r="I1446" s="7">
        <f t="shared" si="321"/>
        <v>0</v>
      </c>
      <c r="J1446" s="35">
        <f t="shared" si="313"/>
        <v>720</v>
      </c>
      <c r="K1446" s="7">
        <f t="shared" si="321"/>
        <v>0</v>
      </c>
      <c r="L1446" s="35">
        <f t="shared" si="322"/>
        <v>720</v>
      </c>
      <c r="M1446" s="7">
        <f t="shared" si="321"/>
        <v>205.6</v>
      </c>
      <c r="N1446" s="35">
        <f t="shared" si="316"/>
        <v>925.6</v>
      </c>
      <c r="O1446" s="7">
        <f t="shared" si="321"/>
        <v>0</v>
      </c>
      <c r="P1446" s="35">
        <f t="shared" si="312"/>
        <v>925.6</v>
      </c>
      <c r="Q1446" s="7">
        <f t="shared" si="321"/>
        <v>115.2</v>
      </c>
      <c r="R1446" s="35">
        <f t="shared" si="310"/>
        <v>1040.8</v>
      </c>
      <c r="S1446" s="7">
        <f t="shared" si="321"/>
        <v>0</v>
      </c>
      <c r="T1446" s="35">
        <f t="shared" si="307"/>
        <v>1040.8</v>
      </c>
    </row>
    <row r="1447" spans="1:20" ht="33">
      <c r="A1447" s="61" t="str">
        <f ca="1">IF(ISERROR(MATCH(E1447,Код_КВР,0)),"",INDIRECT(ADDRESS(MATCH(E1447,Код_КВР,0)+1,2,,,"КВР")))</f>
        <v>Иные закупки товаров, работ и услуг для обеспечения муниципальных нужд</v>
      </c>
      <c r="B1447" s="45" t="s">
        <v>142</v>
      </c>
      <c r="C1447" s="8" t="s">
        <v>211</v>
      </c>
      <c r="D1447" s="1" t="s">
        <v>188</v>
      </c>
      <c r="E1447" s="113">
        <v>240</v>
      </c>
      <c r="F1447" s="7">
        <f t="shared" si="321"/>
        <v>720</v>
      </c>
      <c r="G1447" s="7">
        <f t="shared" si="321"/>
        <v>0</v>
      </c>
      <c r="H1447" s="35">
        <f t="shared" si="317"/>
        <v>720</v>
      </c>
      <c r="I1447" s="7">
        <f t="shared" si="321"/>
        <v>0</v>
      </c>
      <c r="J1447" s="35">
        <f t="shared" si="313"/>
        <v>720</v>
      </c>
      <c r="K1447" s="7">
        <f t="shared" si="321"/>
        <v>0</v>
      </c>
      <c r="L1447" s="35">
        <f t="shared" si="322"/>
        <v>720</v>
      </c>
      <c r="M1447" s="7">
        <f t="shared" si="321"/>
        <v>205.6</v>
      </c>
      <c r="N1447" s="35">
        <f t="shared" si="316"/>
        <v>925.6</v>
      </c>
      <c r="O1447" s="7">
        <f t="shared" si="321"/>
        <v>0</v>
      </c>
      <c r="P1447" s="35">
        <f t="shared" si="312"/>
        <v>925.6</v>
      </c>
      <c r="Q1447" s="7">
        <f t="shared" si="321"/>
        <v>115.2</v>
      </c>
      <c r="R1447" s="35">
        <f t="shared" si="310"/>
        <v>1040.8</v>
      </c>
      <c r="S1447" s="7">
        <f t="shared" si="321"/>
        <v>0</v>
      </c>
      <c r="T1447" s="35">
        <f t="shared" si="307"/>
        <v>1040.8</v>
      </c>
    </row>
    <row r="1448" spans="1:20" ht="33">
      <c r="A1448" s="61" t="str">
        <f ca="1">IF(ISERROR(MATCH(E1448,Код_КВР,0)),"",INDIRECT(ADDRESS(MATCH(E1448,Код_КВР,0)+1,2,,,"КВР")))</f>
        <v xml:space="preserve">Прочая закупка товаров, работ и услуг для обеспечения муниципальных нужд         </v>
      </c>
      <c r="B1448" s="45" t="s">
        <v>142</v>
      </c>
      <c r="C1448" s="8" t="s">
        <v>211</v>
      </c>
      <c r="D1448" s="1" t="s">
        <v>188</v>
      </c>
      <c r="E1448" s="113">
        <v>244</v>
      </c>
      <c r="F1448" s="7">
        <f>прил.6!G153</f>
        <v>720</v>
      </c>
      <c r="G1448" s="7">
        <f>прил.6!H153</f>
        <v>0</v>
      </c>
      <c r="H1448" s="35">
        <f t="shared" si="317"/>
        <v>720</v>
      </c>
      <c r="I1448" s="7">
        <f>прил.6!J153</f>
        <v>0</v>
      </c>
      <c r="J1448" s="35">
        <f t="shared" si="313"/>
        <v>720</v>
      </c>
      <c r="K1448" s="7">
        <f>прил.6!L153</f>
        <v>0</v>
      </c>
      <c r="L1448" s="35">
        <f t="shared" si="322"/>
        <v>720</v>
      </c>
      <c r="M1448" s="7">
        <f>прил.6!N153</f>
        <v>205.6</v>
      </c>
      <c r="N1448" s="35">
        <f t="shared" si="316"/>
        <v>925.6</v>
      </c>
      <c r="O1448" s="7">
        <f>прил.6!P153</f>
        <v>0</v>
      </c>
      <c r="P1448" s="35">
        <f t="shared" si="312"/>
        <v>925.6</v>
      </c>
      <c r="Q1448" s="7">
        <f>прил.6!R153</f>
        <v>115.2</v>
      </c>
      <c r="R1448" s="35">
        <f t="shared" si="310"/>
        <v>1040.8</v>
      </c>
      <c r="S1448" s="7">
        <f>прил.6!T153</f>
        <v>0</v>
      </c>
      <c r="T1448" s="35">
        <f t="shared" si="307"/>
        <v>1040.8</v>
      </c>
    </row>
    <row r="1449" spans="1:20" ht="54" customHeight="1">
      <c r="A1449" s="61" t="str">
        <f ca="1">IF(ISERROR(MATCH(B1449,Код_КЦСР,0)),"",INDIRECT(ADDRESS(MATCH(B1449,Код_КЦСР,0)+1,2,,,"КЦСР")))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449" s="45" t="s">
        <v>143</v>
      </c>
      <c r="C1449" s="8"/>
      <c r="D1449" s="1"/>
      <c r="E1449" s="113"/>
      <c r="F1449" s="7">
        <f t="shared" ref="F1449:S1453" si="323">F1450</f>
        <v>479.7</v>
      </c>
      <c r="G1449" s="7">
        <f t="shared" si="323"/>
        <v>0</v>
      </c>
      <c r="H1449" s="35">
        <f t="shared" si="317"/>
        <v>479.7</v>
      </c>
      <c r="I1449" s="7">
        <f t="shared" si="323"/>
        <v>0</v>
      </c>
      <c r="J1449" s="35">
        <f t="shared" si="313"/>
        <v>479.7</v>
      </c>
      <c r="K1449" s="7">
        <f t="shared" si="323"/>
        <v>0</v>
      </c>
      <c r="L1449" s="35">
        <f t="shared" si="322"/>
        <v>479.7</v>
      </c>
      <c r="M1449" s="7">
        <f t="shared" si="323"/>
        <v>0</v>
      </c>
      <c r="N1449" s="35">
        <f t="shared" si="316"/>
        <v>479.7</v>
      </c>
      <c r="O1449" s="7">
        <f t="shared" si="323"/>
        <v>0</v>
      </c>
      <c r="P1449" s="35">
        <f t="shared" si="312"/>
        <v>479.7</v>
      </c>
      <c r="Q1449" s="7">
        <f t="shared" si="323"/>
        <v>14.2</v>
      </c>
      <c r="R1449" s="35">
        <f t="shared" si="310"/>
        <v>493.9</v>
      </c>
      <c r="S1449" s="7">
        <f t="shared" si="323"/>
        <v>0</v>
      </c>
      <c r="T1449" s="35">
        <f t="shared" si="307"/>
        <v>493.9</v>
      </c>
    </row>
    <row r="1450" spans="1:20">
      <c r="A1450" s="61" t="str">
        <f ca="1">IF(ISERROR(MATCH(C1450,Код_Раздел,0)),"",INDIRECT(ADDRESS(MATCH(C1450,Код_Раздел,0)+1,2,,,"Раздел")))</f>
        <v>Общегосударственные  вопросы</v>
      </c>
      <c r="B1450" s="45" t="s">
        <v>143</v>
      </c>
      <c r="C1450" s="8" t="s">
        <v>211</v>
      </c>
      <c r="D1450" s="1"/>
      <c r="E1450" s="113"/>
      <c r="F1450" s="7">
        <f t="shared" si="323"/>
        <v>479.7</v>
      </c>
      <c r="G1450" s="7">
        <f t="shared" si="323"/>
        <v>0</v>
      </c>
      <c r="H1450" s="35">
        <f t="shared" si="317"/>
        <v>479.7</v>
      </c>
      <c r="I1450" s="7">
        <f t="shared" si="323"/>
        <v>0</v>
      </c>
      <c r="J1450" s="35">
        <f t="shared" si="313"/>
        <v>479.7</v>
      </c>
      <c r="K1450" s="7">
        <f t="shared" si="323"/>
        <v>0</v>
      </c>
      <c r="L1450" s="35">
        <f t="shared" si="322"/>
        <v>479.7</v>
      </c>
      <c r="M1450" s="7">
        <f t="shared" si="323"/>
        <v>0</v>
      </c>
      <c r="N1450" s="35">
        <f t="shared" si="316"/>
        <v>479.7</v>
      </c>
      <c r="O1450" s="7">
        <f t="shared" si="323"/>
        <v>0</v>
      </c>
      <c r="P1450" s="35">
        <f t="shared" si="312"/>
        <v>479.7</v>
      </c>
      <c r="Q1450" s="7">
        <f t="shared" si="323"/>
        <v>14.2</v>
      </c>
      <c r="R1450" s="35">
        <f t="shared" si="310"/>
        <v>493.9</v>
      </c>
      <c r="S1450" s="7">
        <f t="shared" si="323"/>
        <v>0</v>
      </c>
      <c r="T1450" s="35">
        <f t="shared" si="307"/>
        <v>493.9</v>
      </c>
    </row>
    <row r="1451" spans="1:20">
      <c r="A1451" s="12" t="s">
        <v>235</v>
      </c>
      <c r="B1451" s="45" t="s">
        <v>143</v>
      </c>
      <c r="C1451" s="8" t="s">
        <v>211</v>
      </c>
      <c r="D1451" s="1" t="s">
        <v>188</v>
      </c>
      <c r="E1451" s="113"/>
      <c r="F1451" s="7">
        <f t="shared" si="323"/>
        <v>479.7</v>
      </c>
      <c r="G1451" s="7">
        <f t="shared" si="323"/>
        <v>0</v>
      </c>
      <c r="H1451" s="35">
        <f t="shared" si="317"/>
        <v>479.7</v>
      </c>
      <c r="I1451" s="7">
        <f t="shared" si="323"/>
        <v>0</v>
      </c>
      <c r="J1451" s="35">
        <f t="shared" si="313"/>
        <v>479.7</v>
      </c>
      <c r="K1451" s="7">
        <f t="shared" si="323"/>
        <v>0</v>
      </c>
      <c r="L1451" s="35">
        <f t="shared" si="322"/>
        <v>479.7</v>
      </c>
      <c r="M1451" s="7">
        <f t="shared" si="323"/>
        <v>0</v>
      </c>
      <c r="N1451" s="35">
        <f t="shared" si="316"/>
        <v>479.7</v>
      </c>
      <c r="O1451" s="7">
        <f t="shared" si="323"/>
        <v>0</v>
      </c>
      <c r="P1451" s="35">
        <f t="shared" si="312"/>
        <v>479.7</v>
      </c>
      <c r="Q1451" s="7">
        <f t="shared" si="323"/>
        <v>14.2</v>
      </c>
      <c r="R1451" s="35">
        <f t="shared" si="310"/>
        <v>493.9</v>
      </c>
      <c r="S1451" s="7">
        <f t="shared" si="323"/>
        <v>0</v>
      </c>
      <c r="T1451" s="35">
        <f t="shared" si="307"/>
        <v>493.9</v>
      </c>
    </row>
    <row r="1452" spans="1:20">
      <c r="A1452" s="61" t="str">
        <f ca="1">IF(ISERROR(MATCH(E1452,Код_КВР,0)),"",INDIRECT(ADDRESS(MATCH(E1452,Код_КВР,0)+1,2,,,"КВР")))</f>
        <v>Иные бюджетные ассигнования</v>
      </c>
      <c r="B1452" s="45" t="s">
        <v>143</v>
      </c>
      <c r="C1452" s="8" t="s">
        <v>211</v>
      </c>
      <c r="D1452" s="1" t="s">
        <v>188</v>
      </c>
      <c r="E1452" s="113">
        <v>800</v>
      </c>
      <c r="F1452" s="7">
        <f t="shared" si="323"/>
        <v>479.7</v>
      </c>
      <c r="G1452" s="7">
        <f t="shared" si="323"/>
        <v>0</v>
      </c>
      <c r="H1452" s="35">
        <f t="shared" si="317"/>
        <v>479.7</v>
      </c>
      <c r="I1452" s="7">
        <f t="shared" si="323"/>
        <v>0</v>
      </c>
      <c r="J1452" s="35">
        <f t="shared" si="313"/>
        <v>479.7</v>
      </c>
      <c r="K1452" s="7">
        <f t="shared" si="323"/>
        <v>0</v>
      </c>
      <c r="L1452" s="35">
        <f t="shared" si="322"/>
        <v>479.7</v>
      </c>
      <c r="M1452" s="7">
        <f t="shared" si="323"/>
        <v>0</v>
      </c>
      <c r="N1452" s="35">
        <f t="shared" si="316"/>
        <v>479.7</v>
      </c>
      <c r="O1452" s="7">
        <f t="shared" si="323"/>
        <v>0</v>
      </c>
      <c r="P1452" s="35">
        <f t="shared" si="312"/>
        <v>479.7</v>
      </c>
      <c r="Q1452" s="7">
        <f t="shared" si="323"/>
        <v>14.2</v>
      </c>
      <c r="R1452" s="35">
        <f t="shared" si="310"/>
        <v>493.9</v>
      </c>
      <c r="S1452" s="7">
        <f t="shared" si="323"/>
        <v>0</v>
      </c>
      <c r="T1452" s="35">
        <f t="shared" si="307"/>
        <v>493.9</v>
      </c>
    </row>
    <row r="1453" spans="1:20">
      <c r="A1453" s="61" t="str">
        <f ca="1">IF(ISERROR(MATCH(E1453,Код_КВР,0)),"",INDIRECT(ADDRESS(MATCH(E1453,Код_КВР,0)+1,2,,,"КВР")))</f>
        <v>Уплата налогов, сборов и иных платежей</v>
      </c>
      <c r="B1453" s="45" t="s">
        <v>143</v>
      </c>
      <c r="C1453" s="8" t="s">
        <v>211</v>
      </c>
      <c r="D1453" s="1" t="s">
        <v>188</v>
      </c>
      <c r="E1453" s="113">
        <v>850</v>
      </c>
      <c r="F1453" s="7">
        <f t="shared" si="323"/>
        <v>479.7</v>
      </c>
      <c r="G1453" s="7">
        <f t="shared" si="323"/>
        <v>0</v>
      </c>
      <c r="H1453" s="35">
        <f t="shared" si="317"/>
        <v>479.7</v>
      </c>
      <c r="I1453" s="7">
        <f t="shared" si="323"/>
        <v>0</v>
      </c>
      <c r="J1453" s="35">
        <f t="shared" si="313"/>
        <v>479.7</v>
      </c>
      <c r="K1453" s="7">
        <f t="shared" si="323"/>
        <v>0</v>
      </c>
      <c r="L1453" s="35">
        <f t="shared" si="322"/>
        <v>479.7</v>
      </c>
      <c r="M1453" s="7">
        <f t="shared" si="323"/>
        <v>0</v>
      </c>
      <c r="N1453" s="35">
        <f t="shared" si="316"/>
        <v>479.7</v>
      </c>
      <c r="O1453" s="7">
        <f t="shared" si="323"/>
        <v>0</v>
      </c>
      <c r="P1453" s="35">
        <f t="shared" si="312"/>
        <v>479.7</v>
      </c>
      <c r="Q1453" s="7">
        <f t="shared" si="323"/>
        <v>14.2</v>
      </c>
      <c r="R1453" s="35">
        <f t="shared" si="310"/>
        <v>493.9</v>
      </c>
      <c r="S1453" s="7">
        <f t="shared" si="323"/>
        <v>0</v>
      </c>
      <c r="T1453" s="35">
        <f t="shared" si="307"/>
        <v>493.9</v>
      </c>
    </row>
    <row r="1454" spans="1:20">
      <c r="A1454" s="61" t="str">
        <f ca="1">IF(ISERROR(MATCH(E1454,Код_КВР,0)),"",INDIRECT(ADDRESS(MATCH(E1454,Код_КВР,0)+1,2,,,"КВР")))</f>
        <v>Уплата прочих налогов, сборов и иных платежей</v>
      </c>
      <c r="B1454" s="45" t="s">
        <v>143</v>
      </c>
      <c r="C1454" s="8" t="s">
        <v>211</v>
      </c>
      <c r="D1454" s="1" t="s">
        <v>188</v>
      </c>
      <c r="E1454" s="113">
        <v>852</v>
      </c>
      <c r="F1454" s="7">
        <f>прил.6!G157</f>
        <v>479.7</v>
      </c>
      <c r="G1454" s="7">
        <f>прил.6!H157</f>
        <v>0</v>
      </c>
      <c r="H1454" s="35">
        <f t="shared" si="317"/>
        <v>479.7</v>
      </c>
      <c r="I1454" s="7">
        <f>прил.6!J157</f>
        <v>0</v>
      </c>
      <c r="J1454" s="35">
        <f t="shared" si="313"/>
        <v>479.7</v>
      </c>
      <c r="K1454" s="7">
        <f>прил.6!L157</f>
        <v>0</v>
      </c>
      <c r="L1454" s="35">
        <f t="shared" si="322"/>
        <v>479.7</v>
      </c>
      <c r="M1454" s="7">
        <f>прил.6!N157</f>
        <v>0</v>
      </c>
      <c r="N1454" s="35">
        <f t="shared" si="316"/>
        <v>479.7</v>
      </c>
      <c r="O1454" s="7">
        <f>прил.6!P157</f>
        <v>0</v>
      </c>
      <c r="P1454" s="35">
        <f t="shared" si="312"/>
        <v>479.7</v>
      </c>
      <c r="Q1454" s="7">
        <f>прил.6!R157</f>
        <v>14.2</v>
      </c>
      <c r="R1454" s="35">
        <f t="shared" si="310"/>
        <v>493.9</v>
      </c>
      <c r="S1454" s="7">
        <f>прил.6!T157</f>
        <v>0</v>
      </c>
      <c r="T1454" s="35">
        <f t="shared" ref="T1454:T1524" si="324">R1454+S1454</f>
        <v>493.9</v>
      </c>
    </row>
    <row r="1455" spans="1:20" ht="52.5" customHeight="1">
      <c r="A1455" s="61" t="str">
        <f ca="1">IF(ISERROR(MATCH(B1455,Код_КЦСР,0)),"",INDIRECT(ADDRESS(MATCH(B1455,Код_КЦСР,0)+1,2,,,"КЦСР")))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455" s="45" t="s">
        <v>144</v>
      </c>
      <c r="C1455" s="8"/>
      <c r="D1455" s="1"/>
      <c r="E1455" s="113"/>
      <c r="F1455" s="7">
        <f>F1456</f>
        <v>23381.1</v>
      </c>
      <c r="G1455" s="7">
        <f>G1456</f>
        <v>0</v>
      </c>
      <c r="H1455" s="35">
        <f t="shared" si="317"/>
        <v>23381.1</v>
      </c>
      <c r="I1455" s="7">
        <f>I1456</f>
        <v>126.5</v>
      </c>
      <c r="J1455" s="35">
        <f t="shared" si="313"/>
        <v>23507.599999999999</v>
      </c>
      <c r="K1455" s="7">
        <f>K1456</f>
        <v>-61.9</v>
      </c>
      <c r="L1455" s="35">
        <f t="shared" si="322"/>
        <v>23445.699999999997</v>
      </c>
      <c r="M1455" s="7">
        <f>M1456</f>
        <v>34.9</v>
      </c>
      <c r="N1455" s="35">
        <f t="shared" si="316"/>
        <v>23480.6</v>
      </c>
      <c r="O1455" s="7">
        <f>O1456</f>
        <v>0</v>
      </c>
      <c r="P1455" s="35">
        <f t="shared" si="312"/>
        <v>23480.6</v>
      </c>
      <c r="Q1455" s="7">
        <f>Q1456</f>
        <v>1063.4000000000001</v>
      </c>
      <c r="R1455" s="35">
        <f t="shared" si="310"/>
        <v>24544</v>
      </c>
      <c r="S1455" s="7">
        <f>S1456</f>
        <v>400</v>
      </c>
      <c r="T1455" s="35">
        <f t="shared" si="324"/>
        <v>24944</v>
      </c>
    </row>
    <row r="1456" spans="1:20">
      <c r="A1456" s="61" t="str">
        <f ca="1">IF(ISERROR(MATCH(C1456,Код_Раздел,0)),"",INDIRECT(ADDRESS(MATCH(C1456,Код_Раздел,0)+1,2,,,"Раздел")))</f>
        <v>Средства массовой информации</v>
      </c>
      <c r="B1456" s="45" t="s">
        <v>144</v>
      </c>
      <c r="C1456" s="8" t="s">
        <v>194</v>
      </c>
      <c r="D1456" s="1"/>
      <c r="E1456" s="113"/>
      <c r="F1456" s="7">
        <f>F1457</f>
        <v>23381.1</v>
      </c>
      <c r="G1456" s="7">
        <f>G1457</f>
        <v>0</v>
      </c>
      <c r="H1456" s="35">
        <f t="shared" si="317"/>
        <v>23381.1</v>
      </c>
      <c r="I1456" s="7">
        <f>I1457</f>
        <v>126.5</v>
      </c>
      <c r="J1456" s="35">
        <f t="shared" si="313"/>
        <v>23507.599999999999</v>
      </c>
      <c r="K1456" s="7">
        <f>K1457</f>
        <v>-61.9</v>
      </c>
      <c r="L1456" s="35">
        <f t="shared" si="322"/>
        <v>23445.699999999997</v>
      </c>
      <c r="M1456" s="7">
        <f>M1457</f>
        <v>34.9</v>
      </c>
      <c r="N1456" s="35">
        <f t="shared" si="316"/>
        <v>23480.6</v>
      </c>
      <c r="O1456" s="7">
        <f>O1457</f>
        <v>0</v>
      </c>
      <c r="P1456" s="35">
        <f t="shared" si="312"/>
        <v>23480.6</v>
      </c>
      <c r="Q1456" s="7">
        <f>Q1457</f>
        <v>1063.4000000000001</v>
      </c>
      <c r="R1456" s="35">
        <f t="shared" si="310"/>
        <v>24544</v>
      </c>
      <c r="S1456" s="7">
        <f>S1457</f>
        <v>400</v>
      </c>
      <c r="T1456" s="35">
        <f t="shared" si="324"/>
        <v>24944</v>
      </c>
    </row>
    <row r="1457" spans="1:20">
      <c r="A1457" s="12" t="s">
        <v>196</v>
      </c>
      <c r="B1457" s="45" t="s">
        <v>144</v>
      </c>
      <c r="C1457" s="8" t="s">
        <v>194</v>
      </c>
      <c r="D1457" s="1" t="s">
        <v>212</v>
      </c>
      <c r="E1457" s="113"/>
      <c r="F1457" s="7">
        <f>F1458+F1460+F1463</f>
        <v>23381.1</v>
      </c>
      <c r="G1457" s="7">
        <f>G1458+G1460+G1463</f>
        <v>0</v>
      </c>
      <c r="H1457" s="35">
        <f t="shared" si="317"/>
        <v>23381.1</v>
      </c>
      <c r="I1457" s="7">
        <f>I1458+I1460+I1463</f>
        <v>126.5</v>
      </c>
      <c r="J1457" s="35">
        <f t="shared" si="313"/>
        <v>23507.599999999999</v>
      </c>
      <c r="K1457" s="7">
        <f>K1458+K1460+K1463</f>
        <v>-61.9</v>
      </c>
      <c r="L1457" s="35">
        <f t="shared" si="322"/>
        <v>23445.699999999997</v>
      </c>
      <c r="M1457" s="7">
        <f>M1458+M1460+M1463</f>
        <v>34.9</v>
      </c>
      <c r="N1457" s="35">
        <f t="shared" si="316"/>
        <v>23480.6</v>
      </c>
      <c r="O1457" s="7">
        <f>O1458+O1460+O1463</f>
        <v>0</v>
      </c>
      <c r="P1457" s="35">
        <f t="shared" si="312"/>
        <v>23480.6</v>
      </c>
      <c r="Q1457" s="7">
        <f>Q1458+Q1460+Q1463</f>
        <v>1063.4000000000001</v>
      </c>
      <c r="R1457" s="35">
        <f t="shared" si="310"/>
        <v>24544</v>
      </c>
      <c r="S1457" s="7">
        <f>S1458+S1460+S1463</f>
        <v>400</v>
      </c>
      <c r="T1457" s="35">
        <f t="shared" si="324"/>
        <v>24944</v>
      </c>
    </row>
    <row r="1458" spans="1:20" ht="33">
      <c r="A1458" s="61" t="str">
        <f t="shared" ref="A1458:A1466" ca="1" si="325">IF(ISERROR(MATCH(E1458,Код_КВР,0)),"",INDIRECT(ADDRESS(MATCH(E1458,Код_КВР,0)+1,2,,,"КВР")))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58" s="45" t="s">
        <v>144</v>
      </c>
      <c r="C1458" s="8" t="s">
        <v>194</v>
      </c>
      <c r="D1458" s="1" t="s">
        <v>212</v>
      </c>
      <c r="E1458" s="113">
        <v>100</v>
      </c>
      <c r="F1458" s="7">
        <f>F1459</f>
        <v>19202.599999999999</v>
      </c>
      <c r="G1458" s="7">
        <f>G1459</f>
        <v>0</v>
      </c>
      <c r="H1458" s="35">
        <f t="shared" si="317"/>
        <v>19202.599999999999</v>
      </c>
      <c r="I1458" s="7">
        <f>I1459</f>
        <v>0</v>
      </c>
      <c r="J1458" s="35">
        <f t="shared" si="313"/>
        <v>19202.599999999999</v>
      </c>
      <c r="K1458" s="7">
        <f>K1459</f>
        <v>0</v>
      </c>
      <c r="L1458" s="35">
        <f t="shared" si="322"/>
        <v>19202.599999999999</v>
      </c>
      <c r="M1458" s="7">
        <f>M1459</f>
        <v>0</v>
      </c>
      <c r="N1458" s="35">
        <f t="shared" si="316"/>
        <v>19202.599999999999</v>
      </c>
      <c r="O1458" s="7">
        <f>O1459</f>
        <v>0</v>
      </c>
      <c r="P1458" s="35">
        <f t="shared" si="312"/>
        <v>19202.599999999999</v>
      </c>
      <c r="Q1458" s="7">
        <f>Q1459</f>
        <v>0</v>
      </c>
      <c r="R1458" s="35">
        <f t="shared" si="310"/>
        <v>19202.599999999999</v>
      </c>
      <c r="S1458" s="7">
        <f>S1459</f>
        <v>15</v>
      </c>
      <c r="T1458" s="35">
        <f t="shared" si="324"/>
        <v>19217.599999999999</v>
      </c>
    </row>
    <row r="1459" spans="1:20">
      <c r="A1459" s="61" t="str">
        <f t="shared" ca="1" si="325"/>
        <v>Расходы на выплаты персоналу казенных учреждений</v>
      </c>
      <c r="B1459" s="45" t="s">
        <v>144</v>
      </c>
      <c r="C1459" s="8" t="s">
        <v>194</v>
      </c>
      <c r="D1459" s="1" t="s">
        <v>212</v>
      </c>
      <c r="E1459" s="113">
        <v>110</v>
      </c>
      <c r="F1459" s="7">
        <f>прил.6!G382</f>
        <v>19202.599999999999</v>
      </c>
      <c r="G1459" s="7">
        <f>прил.6!H382</f>
        <v>0</v>
      </c>
      <c r="H1459" s="35">
        <f t="shared" si="317"/>
        <v>19202.599999999999</v>
      </c>
      <c r="I1459" s="7">
        <f>прил.6!J382</f>
        <v>0</v>
      </c>
      <c r="J1459" s="35">
        <f t="shared" si="313"/>
        <v>19202.599999999999</v>
      </c>
      <c r="K1459" s="7">
        <f>прил.6!L382</f>
        <v>0</v>
      </c>
      <c r="L1459" s="35">
        <f t="shared" si="322"/>
        <v>19202.599999999999</v>
      </c>
      <c r="M1459" s="7">
        <f>прил.6!N382</f>
        <v>0</v>
      </c>
      <c r="N1459" s="35">
        <f t="shared" si="316"/>
        <v>19202.599999999999</v>
      </c>
      <c r="O1459" s="7">
        <f>прил.6!P382</f>
        <v>0</v>
      </c>
      <c r="P1459" s="35">
        <f t="shared" si="312"/>
        <v>19202.599999999999</v>
      </c>
      <c r="Q1459" s="7">
        <f>прил.6!R382</f>
        <v>0</v>
      </c>
      <c r="R1459" s="35">
        <f t="shared" si="310"/>
        <v>19202.599999999999</v>
      </c>
      <c r="S1459" s="7">
        <f>прил.6!T382</f>
        <v>15</v>
      </c>
      <c r="T1459" s="35">
        <f t="shared" si="324"/>
        <v>19217.599999999999</v>
      </c>
    </row>
    <row r="1460" spans="1:20">
      <c r="A1460" s="61" t="str">
        <f t="shared" ca="1" si="325"/>
        <v>Закупка товаров, работ и услуг для муниципальных нужд</v>
      </c>
      <c r="B1460" s="45" t="s">
        <v>144</v>
      </c>
      <c r="C1460" s="8" t="s">
        <v>194</v>
      </c>
      <c r="D1460" s="1" t="s">
        <v>212</v>
      </c>
      <c r="E1460" s="113">
        <v>200</v>
      </c>
      <c r="F1460" s="7">
        <f>F1461</f>
        <v>4028.5</v>
      </c>
      <c r="G1460" s="7">
        <f>G1461</f>
        <v>0</v>
      </c>
      <c r="H1460" s="35">
        <f t="shared" si="317"/>
        <v>4028.5</v>
      </c>
      <c r="I1460" s="7">
        <f>I1461</f>
        <v>124.5</v>
      </c>
      <c r="J1460" s="35">
        <f t="shared" si="313"/>
        <v>4153</v>
      </c>
      <c r="K1460" s="7">
        <f>K1461</f>
        <v>-61.9</v>
      </c>
      <c r="L1460" s="35">
        <f t="shared" si="322"/>
        <v>4091.1</v>
      </c>
      <c r="M1460" s="7">
        <f>M1461</f>
        <v>30.099999999999998</v>
      </c>
      <c r="N1460" s="35">
        <f t="shared" si="316"/>
        <v>4121.2</v>
      </c>
      <c r="O1460" s="7">
        <f>O1461</f>
        <v>-18</v>
      </c>
      <c r="P1460" s="35">
        <f t="shared" si="312"/>
        <v>4103.2</v>
      </c>
      <c r="Q1460" s="7">
        <f>Q1461</f>
        <v>1063.4000000000001</v>
      </c>
      <c r="R1460" s="35">
        <f t="shared" si="310"/>
        <v>5166.6000000000004</v>
      </c>
      <c r="S1460" s="7">
        <f>S1461</f>
        <v>385</v>
      </c>
      <c r="T1460" s="35">
        <f t="shared" si="324"/>
        <v>5551.6</v>
      </c>
    </row>
    <row r="1461" spans="1:20" ht="33">
      <c r="A1461" s="61" t="str">
        <f t="shared" ca="1" si="325"/>
        <v>Иные закупки товаров, работ и услуг для обеспечения муниципальных нужд</v>
      </c>
      <c r="B1461" s="45" t="s">
        <v>144</v>
      </c>
      <c r="C1461" s="8" t="s">
        <v>194</v>
      </c>
      <c r="D1461" s="1" t="s">
        <v>212</v>
      </c>
      <c r="E1461" s="113">
        <v>240</v>
      </c>
      <c r="F1461" s="7">
        <f>F1462</f>
        <v>4028.5</v>
      </c>
      <c r="G1461" s="7">
        <f>G1462</f>
        <v>0</v>
      </c>
      <c r="H1461" s="35">
        <f t="shared" si="317"/>
        <v>4028.5</v>
      </c>
      <c r="I1461" s="7">
        <f>I1462</f>
        <v>124.5</v>
      </c>
      <c r="J1461" s="35">
        <f t="shared" si="313"/>
        <v>4153</v>
      </c>
      <c r="K1461" s="7">
        <f>K1462</f>
        <v>-61.9</v>
      </c>
      <c r="L1461" s="35">
        <f t="shared" si="322"/>
        <v>4091.1</v>
      </c>
      <c r="M1461" s="7">
        <f>M1462</f>
        <v>30.099999999999998</v>
      </c>
      <c r="N1461" s="35">
        <f t="shared" si="316"/>
        <v>4121.2</v>
      </c>
      <c r="O1461" s="7">
        <f>O1462</f>
        <v>-18</v>
      </c>
      <c r="P1461" s="35">
        <f t="shared" si="312"/>
        <v>4103.2</v>
      </c>
      <c r="Q1461" s="7">
        <f>Q1462</f>
        <v>1063.4000000000001</v>
      </c>
      <c r="R1461" s="35">
        <f t="shared" si="310"/>
        <v>5166.6000000000004</v>
      </c>
      <c r="S1461" s="7">
        <f>S1462</f>
        <v>385</v>
      </c>
      <c r="T1461" s="35">
        <f t="shared" si="324"/>
        <v>5551.6</v>
      </c>
    </row>
    <row r="1462" spans="1:20" ht="33">
      <c r="A1462" s="61" t="str">
        <f t="shared" ca="1" si="325"/>
        <v xml:space="preserve">Прочая закупка товаров, работ и услуг для обеспечения муниципальных нужд         </v>
      </c>
      <c r="B1462" s="45" t="s">
        <v>144</v>
      </c>
      <c r="C1462" s="8" t="s">
        <v>194</v>
      </c>
      <c r="D1462" s="1" t="s">
        <v>212</v>
      </c>
      <c r="E1462" s="113">
        <v>244</v>
      </c>
      <c r="F1462" s="7">
        <f>прил.6!G385</f>
        <v>4028.5</v>
      </c>
      <c r="G1462" s="7">
        <f>прил.6!H385</f>
        <v>0</v>
      </c>
      <c r="H1462" s="35">
        <f t="shared" si="317"/>
        <v>4028.5</v>
      </c>
      <c r="I1462" s="7">
        <f>прил.6!J385</f>
        <v>124.5</v>
      </c>
      <c r="J1462" s="35">
        <f t="shared" si="313"/>
        <v>4153</v>
      </c>
      <c r="K1462" s="7">
        <f>прил.6!L385</f>
        <v>-61.9</v>
      </c>
      <c r="L1462" s="35">
        <f t="shared" si="322"/>
        <v>4091.1</v>
      </c>
      <c r="M1462" s="7">
        <f>прил.6!N385</f>
        <v>30.099999999999998</v>
      </c>
      <c r="N1462" s="35">
        <f t="shared" si="316"/>
        <v>4121.2</v>
      </c>
      <c r="O1462" s="7">
        <f>прил.6!P385</f>
        <v>-18</v>
      </c>
      <c r="P1462" s="35">
        <f t="shared" si="312"/>
        <v>4103.2</v>
      </c>
      <c r="Q1462" s="7">
        <f>прил.6!R385</f>
        <v>1063.4000000000001</v>
      </c>
      <c r="R1462" s="35">
        <f t="shared" si="310"/>
        <v>5166.6000000000004</v>
      </c>
      <c r="S1462" s="7">
        <f>прил.6!T385</f>
        <v>385</v>
      </c>
      <c r="T1462" s="35">
        <f t="shared" si="324"/>
        <v>5551.6</v>
      </c>
    </row>
    <row r="1463" spans="1:20">
      <c r="A1463" s="61" t="str">
        <f t="shared" ca="1" si="325"/>
        <v>Иные бюджетные ассигнования</v>
      </c>
      <c r="B1463" s="45" t="s">
        <v>144</v>
      </c>
      <c r="C1463" s="8" t="s">
        <v>194</v>
      </c>
      <c r="D1463" s="1" t="s">
        <v>212</v>
      </c>
      <c r="E1463" s="113">
        <v>800</v>
      </c>
      <c r="F1463" s="7">
        <f>F1464</f>
        <v>150</v>
      </c>
      <c r="G1463" s="7">
        <f>G1464</f>
        <v>0</v>
      </c>
      <c r="H1463" s="35">
        <f t="shared" si="317"/>
        <v>150</v>
      </c>
      <c r="I1463" s="7">
        <f>I1464</f>
        <v>2</v>
      </c>
      <c r="J1463" s="35">
        <f t="shared" si="313"/>
        <v>152</v>
      </c>
      <c r="K1463" s="7">
        <f>K1464</f>
        <v>0</v>
      </c>
      <c r="L1463" s="35">
        <f t="shared" si="322"/>
        <v>152</v>
      </c>
      <c r="M1463" s="7">
        <f>M1464</f>
        <v>4.8</v>
      </c>
      <c r="N1463" s="35">
        <f t="shared" si="316"/>
        <v>156.80000000000001</v>
      </c>
      <c r="O1463" s="7">
        <f>O1464</f>
        <v>18</v>
      </c>
      <c r="P1463" s="35">
        <f t="shared" si="312"/>
        <v>174.8</v>
      </c>
      <c r="Q1463" s="7">
        <f>Q1464</f>
        <v>0</v>
      </c>
      <c r="R1463" s="35">
        <f t="shared" si="310"/>
        <v>174.8</v>
      </c>
      <c r="S1463" s="7">
        <f>S1464</f>
        <v>0</v>
      </c>
      <c r="T1463" s="35">
        <f t="shared" si="324"/>
        <v>174.8</v>
      </c>
    </row>
    <row r="1464" spans="1:20">
      <c r="A1464" s="61" t="str">
        <f t="shared" ca="1" si="325"/>
        <v>Уплата налогов, сборов и иных платежей</v>
      </c>
      <c r="B1464" s="45" t="s">
        <v>144</v>
      </c>
      <c r="C1464" s="8" t="s">
        <v>194</v>
      </c>
      <c r="D1464" s="1" t="s">
        <v>212</v>
      </c>
      <c r="E1464" s="113">
        <v>850</v>
      </c>
      <c r="F1464" s="7">
        <f>SUM(F1465:F1466)</f>
        <v>150</v>
      </c>
      <c r="G1464" s="7">
        <f>SUM(G1465:G1466)</f>
        <v>0</v>
      </c>
      <c r="H1464" s="35">
        <f t="shared" si="317"/>
        <v>150</v>
      </c>
      <c r="I1464" s="7">
        <f>SUM(I1465:I1466)</f>
        <v>2</v>
      </c>
      <c r="J1464" s="35">
        <f t="shared" si="313"/>
        <v>152</v>
      </c>
      <c r="K1464" s="7">
        <f>SUM(K1465:K1466)</f>
        <v>0</v>
      </c>
      <c r="L1464" s="35">
        <f t="shared" si="322"/>
        <v>152</v>
      </c>
      <c r="M1464" s="7">
        <f>SUM(M1465:M1466)</f>
        <v>4.8</v>
      </c>
      <c r="N1464" s="35">
        <f t="shared" si="316"/>
        <v>156.80000000000001</v>
      </c>
      <c r="O1464" s="7">
        <f>SUM(O1465:O1466)</f>
        <v>18</v>
      </c>
      <c r="P1464" s="35">
        <f t="shared" si="312"/>
        <v>174.8</v>
      </c>
      <c r="Q1464" s="7">
        <f>SUM(Q1465:Q1466)</f>
        <v>0</v>
      </c>
      <c r="R1464" s="35">
        <f t="shared" si="310"/>
        <v>174.8</v>
      </c>
      <c r="S1464" s="7">
        <f>SUM(S1465:S1466)</f>
        <v>0</v>
      </c>
      <c r="T1464" s="35">
        <f t="shared" si="324"/>
        <v>174.8</v>
      </c>
    </row>
    <row r="1465" spans="1:20">
      <c r="A1465" s="61" t="str">
        <f t="shared" ca="1" si="325"/>
        <v>Уплата налога на имущество организаций и земельного налога</v>
      </c>
      <c r="B1465" s="45" t="s">
        <v>144</v>
      </c>
      <c r="C1465" s="8" t="s">
        <v>194</v>
      </c>
      <c r="D1465" s="1" t="s">
        <v>212</v>
      </c>
      <c r="E1465" s="113">
        <v>851</v>
      </c>
      <c r="F1465" s="7">
        <f>прил.6!G388</f>
        <v>142</v>
      </c>
      <c r="G1465" s="7">
        <f>прил.6!H388</f>
        <v>0</v>
      </c>
      <c r="H1465" s="35">
        <f t="shared" si="317"/>
        <v>142</v>
      </c>
      <c r="I1465" s="7">
        <f>прил.6!J388</f>
        <v>0</v>
      </c>
      <c r="J1465" s="35">
        <f t="shared" si="313"/>
        <v>142</v>
      </c>
      <c r="K1465" s="7">
        <f>прил.6!L388</f>
        <v>0</v>
      </c>
      <c r="L1465" s="35">
        <f t="shared" si="322"/>
        <v>142</v>
      </c>
      <c r="M1465" s="7">
        <f>прил.6!N388</f>
        <v>0</v>
      </c>
      <c r="N1465" s="35">
        <f t="shared" si="316"/>
        <v>142</v>
      </c>
      <c r="O1465" s="7">
        <f>прил.6!P388</f>
        <v>0</v>
      </c>
      <c r="P1465" s="35">
        <f t="shared" si="312"/>
        <v>142</v>
      </c>
      <c r="Q1465" s="7">
        <f>прил.6!R388</f>
        <v>0</v>
      </c>
      <c r="R1465" s="35">
        <f t="shared" si="310"/>
        <v>142</v>
      </c>
      <c r="S1465" s="7">
        <f>прил.6!T388</f>
        <v>0</v>
      </c>
      <c r="T1465" s="35">
        <f t="shared" si="324"/>
        <v>142</v>
      </c>
    </row>
    <row r="1466" spans="1:20">
      <c r="A1466" s="61" t="str">
        <f t="shared" ca="1" si="325"/>
        <v>Уплата прочих налогов, сборов и иных платежей</v>
      </c>
      <c r="B1466" s="45" t="s">
        <v>144</v>
      </c>
      <c r="C1466" s="8" t="s">
        <v>194</v>
      </c>
      <c r="D1466" s="1" t="s">
        <v>212</v>
      </c>
      <c r="E1466" s="113">
        <v>852</v>
      </c>
      <c r="F1466" s="7">
        <f>прил.6!G389</f>
        <v>8</v>
      </c>
      <c r="G1466" s="7">
        <f>прил.6!H389</f>
        <v>0</v>
      </c>
      <c r="H1466" s="35">
        <f t="shared" si="317"/>
        <v>8</v>
      </c>
      <c r="I1466" s="7">
        <f>прил.6!J389</f>
        <v>2</v>
      </c>
      <c r="J1466" s="35">
        <f t="shared" si="313"/>
        <v>10</v>
      </c>
      <c r="K1466" s="7">
        <f>прил.6!L389</f>
        <v>0</v>
      </c>
      <c r="L1466" s="35">
        <f t="shared" si="322"/>
        <v>10</v>
      </c>
      <c r="M1466" s="7">
        <f>прил.6!N389</f>
        <v>4.8</v>
      </c>
      <c r="N1466" s="35">
        <f t="shared" si="316"/>
        <v>14.8</v>
      </c>
      <c r="O1466" s="7">
        <f>прил.6!P389</f>
        <v>18</v>
      </c>
      <c r="P1466" s="35">
        <f t="shared" si="312"/>
        <v>32.799999999999997</v>
      </c>
      <c r="Q1466" s="7">
        <f>прил.6!R389</f>
        <v>0</v>
      </c>
      <c r="R1466" s="35">
        <f t="shared" si="310"/>
        <v>32.799999999999997</v>
      </c>
      <c r="S1466" s="7">
        <f>прил.6!T389</f>
        <v>0</v>
      </c>
      <c r="T1466" s="35">
        <f t="shared" si="324"/>
        <v>32.799999999999997</v>
      </c>
    </row>
    <row r="1467" spans="1:20" ht="68.25" customHeight="1">
      <c r="A1467" s="61" t="str">
        <f ca="1">IF(ISERROR(MATCH(B1467,Код_КЦСР,0)),"",INDIRECT(ADDRESS(MATCH(B1467,Код_КЦСР,0)+1,2,,,"КЦСР")))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467" s="45" t="s">
        <v>146</v>
      </c>
      <c r="C1467" s="8"/>
      <c r="D1467" s="1"/>
      <c r="E1467" s="113"/>
      <c r="F1467" s="7">
        <f t="shared" ref="F1467:S1471" si="326">F1468</f>
        <v>20904.8</v>
      </c>
      <c r="G1467" s="7">
        <f t="shared" si="326"/>
        <v>0</v>
      </c>
      <c r="H1467" s="35">
        <f t="shared" si="317"/>
        <v>20904.8</v>
      </c>
      <c r="I1467" s="7">
        <f t="shared" si="326"/>
        <v>0</v>
      </c>
      <c r="J1467" s="35">
        <f t="shared" si="313"/>
        <v>20904.8</v>
      </c>
      <c r="K1467" s="7">
        <f t="shared" si="326"/>
        <v>0</v>
      </c>
      <c r="L1467" s="35">
        <f t="shared" si="322"/>
        <v>20904.8</v>
      </c>
      <c r="M1467" s="7">
        <f t="shared" si="326"/>
        <v>0</v>
      </c>
      <c r="N1467" s="35">
        <f t="shared" si="316"/>
        <v>20904.8</v>
      </c>
      <c r="O1467" s="7">
        <f t="shared" si="326"/>
        <v>0</v>
      </c>
      <c r="P1467" s="35">
        <f t="shared" si="312"/>
        <v>20904.8</v>
      </c>
      <c r="Q1467" s="7">
        <f t="shared" si="326"/>
        <v>3045.4</v>
      </c>
      <c r="R1467" s="35">
        <f t="shared" si="310"/>
        <v>23950.2</v>
      </c>
      <c r="S1467" s="7">
        <f t="shared" si="326"/>
        <v>0</v>
      </c>
      <c r="T1467" s="35">
        <f t="shared" si="324"/>
        <v>23950.2</v>
      </c>
    </row>
    <row r="1468" spans="1:20">
      <c r="A1468" s="61" t="str">
        <f ca="1">IF(ISERROR(MATCH(C1468,Код_Раздел,0)),"",INDIRECT(ADDRESS(MATCH(C1468,Код_Раздел,0)+1,2,,,"Раздел")))</f>
        <v>Средства массовой информации</v>
      </c>
      <c r="B1468" s="45" t="s">
        <v>146</v>
      </c>
      <c r="C1468" s="8" t="s">
        <v>194</v>
      </c>
      <c r="D1468" s="1"/>
      <c r="E1468" s="113"/>
      <c r="F1468" s="7">
        <f t="shared" si="326"/>
        <v>20904.8</v>
      </c>
      <c r="G1468" s="7">
        <f t="shared" si="326"/>
        <v>0</v>
      </c>
      <c r="H1468" s="35">
        <f t="shared" si="317"/>
        <v>20904.8</v>
      </c>
      <c r="I1468" s="7">
        <f t="shared" si="326"/>
        <v>0</v>
      </c>
      <c r="J1468" s="35">
        <f t="shared" si="313"/>
        <v>20904.8</v>
      </c>
      <c r="K1468" s="7">
        <f t="shared" si="326"/>
        <v>0</v>
      </c>
      <c r="L1468" s="35">
        <f t="shared" si="322"/>
        <v>20904.8</v>
      </c>
      <c r="M1468" s="7">
        <f t="shared" si="326"/>
        <v>0</v>
      </c>
      <c r="N1468" s="35">
        <f t="shared" si="316"/>
        <v>20904.8</v>
      </c>
      <c r="O1468" s="7">
        <f t="shared" si="326"/>
        <v>0</v>
      </c>
      <c r="P1468" s="35">
        <f t="shared" si="312"/>
        <v>20904.8</v>
      </c>
      <c r="Q1468" s="7">
        <f t="shared" si="326"/>
        <v>3045.4</v>
      </c>
      <c r="R1468" s="35">
        <f t="shared" si="310"/>
        <v>23950.2</v>
      </c>
      <c r="S1468" s="7">
        <f t="shared" si="326"/>
        <v>0</v>
      </c>
      <c r="T1468" s="35">
        <f t="shared" si="324"/>
        <v>23950.2</v>
      </c>
    </row>
    <row r="1469" spans="1:20">
      <c r="A1469" s="12" t="s">
        <v>196</v>
      </c>
      <c r="B1469" s="45" t="s">
        <v>146</v>
      </c>
      <c r="C1469" s="8" t="s">
        <v>194</v>
      </c>
      <c r="D1469" s="1" t="s">
        <v>212</v>
      </c>
      <c r="E1469" s="113"/>
      <c r="F1469" s="7">
        <f t="shared" si="326"/>
        <v>20904.8</v>
      </c>
      <c r="G1469" s="7">
        <f t="shared" si="326"/>
        <v>0</v>
      </c>
      <c r="H1469" s="35">
        <f t="shared" si="317"/>
        <v>20904.8</v>
      </c>
      <c r="I1469" s="7">
        <f t="shared" si="326"/>
        <v>0</v>
      </c>
      <c r="J1469" s="35">
        <f t="shared" si="313"/>
        <v>20904.8</v>
      </c>
      <c r="K1469" s="7">
        <f t="shared" si="326"/>
        <v>0</v>
      </c>
      <c r="L1469" s="35">
        <f t="shared" si="322"/>
        <v>20904.8</v>
      </c>
      <c r="M1469" s="7">
        <f t="shared" si="326"/>
        <v>0</v>
      </c>
      <c r="N1469" s="35">
        <f t="shared" si="316"/>
        <v>20904.8</v>
      </c>
      <c r="O1469" s="7">
        <f t="shared" si="326"/>
        <v>0</v>
      </c>
      <c r="P1469" s="35">
        <f t="shared" si="312"/>
        <v>20904.8</v>
      </c>
      <c r="Q1469" s="7">
        <f t="shared" si="326"/>
        <v>3045.4</v>
      </c>
      <c r="R1469" s="35">
        <f t="shared" si="310"/>
        <v>23950.2</v>
      </c>
      <c r="S1469" s="7">
        <f t="shared" si="326"/>
        <v>0</v>
      </c>
      <c r="T1469" s="35">
        <f t="shared" si="324"/>
        <v>23950.2</v>
      </c>
    </row>
    <row r="1470" spans="1:20">
      <c r="A1470" s="61" t="str">
        <f ca="1">IF(ISERROR(MATCH(E1470,Код_КВР,0)),"",INDIRECT(ADDRESS(MATCH(E1470,Код_КВР,0)+1,2,,,"КВР")))</f>
        <v>Закупка товаров, работ и услуг для муниципальных нужд</v>
      </c>
      <c r="B1470" s="45" t="s">
        <v>146</v>
      </c>
      <c r="C1470" s="8" t="s">
        <v>194</v>
      </c>
      <c r="D1470" s="1" t="s">
        <v>212</v>
      </c>
      <c r="E1470" s="113">
        <v>200</v>
      </c>
      <c r="F1470" s="7">
        <f t="shared" si="326"/>
        <v>20904.8</v>
      </c>
      <c r="G1470" s="7">
        <f t="shared" si="326"/>
        <v>0</v>
      </c>
      <c r="H1470" s="35">
        <f t="shared" si="317"/>
        <v>20904.8</v>
      </c>
      <c r="I1470" s="7">
        <f t="shared" si="326"/>
        <v>0</v>
      </c>
      <c r="J1470" s="35">
        <f t="shared" si="313"/>
        <v>20904.8</v>
      </c>
      <c r="K1470" s="7">
        <f t="shared" si="326"/>
        <v>0</v>
      </c>
      <c r="L1470" s="35">
        <f t="shared" si="322"/>
        <v>20904.8</v>
      </c>
      <c r="M1470" s="7">
        <f t="shared" si="326"/>
        <v>0</v>
      </c>
      <c r="N1470" s="35">
        <f t="shared" si="316"/>
        <v>20904.8</v>
      </c>
      <c r="O1470" s="7">
        <f t="shared" si="326"/>
        <v>0</v>
      </c>
      <c r="P1470" s="35">
        <f t="shared" si="312"/>
        <v>20904.8</v>
      </c>
      <c r="Q1470" s="7">
        <f t="shared" si="326"/>
        <v>3045.4</v>
      </c>
      <c r="R1470" s="35">
        <f t="shared" si="310"/>
        <v>23950.2</v>
      </c>
      <c r="S1470" s="7">
        <f t="shared" si="326"/>
        <v>0</v>
      </c>
      <c r="T1470" s="35">
        <f t="shared" si="324"/>
        <v>23950.2</v>
      </c>
    </row>
    <row r="1471" spans="1:20" ht="33">
      <c r="A1471" s="61" t="str">
        <f ca="1">IF(ISERROR(MATCH(E1471,Код_КВР,0)),"",INDIRECT(ADDRESS(MATCH(E1471,Код_КВР,0)+1,2,,,"КВР")))</f>
        <v>Иные закупки товаров, работ и услуг для обеспечения муниципальных нужд</v>
      </c>
      <c r="B1471" s="45" t="s">
        <v>146</v>
      </c>
      <c r="C1471" s="8" t="s">
        <v>194</v>
      </c>
      <c r="D1471" s="1" t="s">
        <v>212</v>
      </c>
      <c r="E1471" s="113">
        <v>240</v>
      </c>
      <c r="F1471" s="7">
        <f t="shared" si="326"/>
        <v>20904.8</v>
      </c>
      <c r="G1471" s="7">
        <f t="shared" si="326"/>
        <v>0</v>
      </c>
      <c r="H1471" s="35">
        <f t="shared" si="317"/>
        <v>20904.8</v>
      </c>
      <c r="I1471" s="7">
        <f t="shared" si="326"/>
        <v>0</v>
      </c>
      <c r="J1471" s="35">
        <f t="shared" si="313"/>
        <v>20904.8</v>
      </c>
      <c r="K1471" s="7">
        <f t="shared" si="326"/>
        <v>0</v>
      </c>
      <c r="L1471" s="35">
        <f t="shared" si="322"/>
        <v>20904.8</v>
      </c>
      <c r="M1471" s="7">
        <f t="shared" si="326"/>
        <v>0</v>
      </c>
      <c r="N1471" s="35">
        <f t="shared" si="316"/>
        <v>20904.8</v>
      </c>
      <c r="O1471" s="7">
        <f t="shared" si="326"/>
        <v>0</v>
      </c>
      <c r="P1471" s="35">
        <f t="shared" si="312"/>
        <v>20904.8</v>
      </c>
      <c r="Q1471" s="7">
        <f t="shared" si="326"/>
        <v>3045.4</v>
      </c>
      <c r="R1471" s="35">
        <f t="shared" si="310"/>
        <v>23950.2</v>
      </c>
      <c r="S1471" s="7">
        <f t="shared" si="326"/>
        <v>0</v>
      </c>
      <c r="T1471" s="35">
        <f t="shared" si="324"/>
        <v>23950.2</v>
      </c>
    </row>
    <row r="1472" spans="1:20" ht="33">
      <c r="A1472" s="61" t="str">
        <f ca="1">IF(ISERROR(MATCH(E1472,Код_КВР,0)),"",INDIRECT(ADDRESS(MATCH(E1472,Код_КВР,0)+1,2,,,"КВР")))</f>
        <v xml:space="preserve">Прочая закупка товаров, работ и услуг для обеспечения муниципальных нужд         </v>
      </c>
      <c r="B1472" s="45" t="s">
        <v>146</v>
      </c>
      <c r="C1472" s="8" t="s">
        <v>194</v>
      </c>
      <c r="D1472" s="1" t="s">
        <v>212</v>
      </c>
      <c r="E1472" s="113">
        <v>244</v>
      </c>
      <c r="F1472" s="7">
        <f>прил.6!G393</f>
        <v>20904.8</v>
      </c>
      <c r="G1472" s="7">
        <f>прил.6!H393</f>
        <v>0</v>
      </c>
      <c r="H1472" s="35">
        <f t="shared" si="317"/>
        <v>20904.8</v>
      </c>
      <c r="I1472" s="7">
        <f>прил.6!J393</f>
        <v>0</v>
      </c>
      <c r="J1472" s="35">
        <f t="shared" si="313"/>
        <v>20904.8</v>
      </c>
      <c r="K1472" s="7">
        <f>прил.6!L393</f>
        <v>0</v>
      </c>
      <c r="L1472" s="35">
        <f t="shared" si="322"/>
        <v>20904.8</v>
      </c>
      <c r="M1472" s="7">
        <f>прил.6!N393</f>
        <v>0</v>
      </c>
      <c r="N1472" s="35">
        <f t="shared" si="316"/>
        <v>20904.8</v>
      </c>
      <c r="O1472" s="7">
        <f>прил.6!P393</f>
        <v>0</v>
      </c>
      <c r="P1472" s="35">
        <f t="shared" si="312"/>
        <v>20904.8</v>
      </c>
      <c r="Q1472" s="7">
        <f>прил.6!R393</f>
        <v>3045.4</v>
      </c>
      <c r="R1472" s="35">
        <f t="shared" ref="R1472:R1542" si="327">P1472+Q1472</f>
        <v>23950.2</v>
      </c>
      <c r="S1472" s="7">
        <f>прил.6!T393</f>
        <v>0</v>
      </c>
      <c r="T1472" s="35">
        <f t="shared" si="324"/>
        <v>23950.2</v>
      </c>
    </row>
    <row r="1473" spans="1:20" ht="49.5">
      <c r="A1473" s="61" t="str">
        <f ca="1">IF(ISERROR(MATCH(B1473,Код_КЦСР,0)),"",INDIRECT(ADDRESS(MATCH(B1473,Код_КЦСР,0)+1,2,,,"КЦСР")))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473" s="45" t="s">
        <v>148</v>
      </c>
      <c r="C1473" s="8"/>
      <c r="D1473" s="1"/>
      <c r="E1473" s="113"/>
      <c r="F1473" s="7">
        <f>F1474+F1507</f>
        <v>10864.400000000001</v>
      </c>
      <c r="G1473" s="7">
        <f>G1474+G1507</f>
        <v>0</v>
      </c>
      <c r="H1473" s="35">
        <f t="shared" si="317"/>
        <v>10864.400000000001</v>
      </c>
      <c r="I1473" s="7">
        <f>I1474+I1507</f>
        <v>0</v>
      </c>
      <c r="J1473" s="35">
        <f t="shared" si="313"/>
        <v>10864.400000000001</v>
      </c>
      <c r="K1473" s="7">
        <f>K1474+K1507</f>
        <v>-17.5</v>
      </c>
      <c r="L1473" s="35">
        <f t="shared" si="322"/>
        <v>10846.900000000001</v>
      </c>
      <c r="M1473" s="7">
        <f>M1474+M1507</f>
        <v>0</v>
      </c>
      <c r="N1473" s="35">
        <f t="shared" si="316"/>
        <v>10846.900000000001</v>
      </c>
      <c r="O1473" s="7">
        <f>O1474+O1507</f>
        <v>0</v>
      </c>
      <c r="P1473" s="35">
        <f t="shared" si="312"/>
        <v>10846.900000000001</v>
      </c>
      <c r="Q1473" s="7">
        <f>Q1474+Q1507</f>
        <v>0</v>
      </c>
      <c r="R1473" s="35">
        <f t="shared" si="327"/>
        <v>10846.900000000001</v>
      </c>
      <c r="S1473" s="7">
        <f>S1474+S1507</f>
        <v>0</v>
      </c>
      <c r="T1473" s="35">
        <f t="shared" si="324"/>
        <v>10846.900000000001</v>
      </c>
    </row>
    <row r="1474" spans="1:20" ht="33">
      <c r="A1474" s="61" t="str">
        <f ca="1">IF(ISERROR(MATCH(B1474,Код_КЦСР,0)),"",INDIRECT(ADDRESS(MATCH(B1474,Код_КЦСР,0)+1,2,,,"КЦСР")))</f>
        <v>Профилактика преступлений и иных правонарушений в городе Череповце</v>
      </c>
      <c r="B1474" s="45" t="s">
        <v>150</v>
      </c>
      <c r="C1474" s="8"/>
      <c r="D1474" s="1"/>
      <c r="E1474" s="113"/>
      <c r="F1474" s="7">
        <f>F1475+F1481+F1501</f>
        <v>10834.400000000001</v>
      </c>
      <c r="G1474" s="7">
        <f>G1475+G1481+G1501</f>
        <v>0</v>
      </c>
      <c r="H1474" s="35">
        <f t="shared" si="317"/>
        <v>10834.400000000001</v>
      </c>
      <c r="I1474" s="7">
        <f>I1475+I1481+I1501</f>
        <v>0</v>
      </c>
      <c r="J1474" s="35">
        <f t="shared" si="313"/>
        <v>10834.400000000001</v>
      </c>
      <c r="K1474" s="7">
        <f>K1475+K1481+K1501</f>
        <v>-17.5</v>
      </c>
      <c r="L1474" s="35">
        <f t="shared" si="322"/>
        <v>10816.900000000001</v>
      </c>
      <c r="M1474" s="7">
        <f>M1475+M1481+M1501</f>
        <v>0</v>
      </c>
      <c r="N1474" s="35">
        <f t="shared" si="316"/>
        <v>10816.900000000001</v>
      </c>
      <c r="O1474" s="7">
        <f>O1475+O1481+O1501</f>
        <v>0</v>
      </c>
      <c r="P1474" s="35">
        <f t="shared" si="312"/>
        <v>10816.900000000001</v>
      </c>
      <c r="Q1474" s="7">
        <f>Q1475+Q1481+Q1501</f>
        <v>0</v>
      </c>
      <c r="R1474" s="35">
        <f t="shared" si="327"/>
        <v>10816.900000000001</v>
      </c>
      <c r="S1474" s="7">
        <f>S1475+S1481+S1501</f>
        <v>0</v>
      </c>
      <c r="T1474" s="35">
        <f t="shared" si="324"/>
        <v>10816.900000000001</v>
      </c>
    </row>
    <row r="1475" spans="1:20" ht="49.5">
      <c r="A1475" s="61" t="str">
        <f ca="1">IF(ISERROR(MATCH(B1475,Код_КЦСР,0)),"",INDIRECT(ADDRESS(MATCH(B1475,Код_КЦСР,0)+1,2,,,"КЦСР")))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475" s="113" t="s">
        <v>382</v>
      </c>
      <c r="C1475" s="8"/>
      <c r="D1475" s="1"/>
      <c r="E1475" s="113"/>
      <c r="F1475" s="7">
        <f t="shared" ref="F1475:S1479" si="328">F1476</f>
        <v>65</v>
      </c>
      <c r="G1475" s="7">
        <f t="shared" si="328"/>
        <v>0</v>
      </c>
      <c r="H1475" s="35">
        <f t="shared" si="317"/>
        <v>65</v>
      </c>
      <c r="I1475" s="7">
        <f t="shared" si="328"/>
        <v>0</v>
      </c>
      <c r="J1475" s="35">
        <f t="shared" si="313"/>
        <v>65</v>
      </c>
      <c r="K1475" s="7">
        <f t="shared" si="328"/>
        <v>0</v>
      </c>
      <c r="L1475" s="35">
        <f t="shared" si="322"/>
        <v>65</v>
      </c>
      <c r="M1475" s="7">
        <f t="shared" si="328"/>
        <v>0</v>
      </c>
      <c r="N1475" s="35">
        <f t="shared" si="316"/>
        <v>65</v>
      </c>
      <c r="O1475" s="7">
        <f t="shared" si="328"/>
        <v>0</v>
      </c>
      <c r="P1475" s="35">
        <f t="shared" si="312"/>
        <v>65</v>
      </c>
      <c r="Q1475" s="7">
        <f t="shared" si="328"/>
        <v>0</v>
      </c>
      <c r="R1475" s="35">
        <f t="shared" si="327"/>
        <v>65</v>
      </c>
      <c r="S1475" s="7">
        <f t="shared" si="328"/>
        <v>0</v>
      </c>
      <c r="T1475" s="35">
        <f t="shared" si="324"/>
        <v>65</v>
      </c>
    </row>
    <row r="1476" spans="1:20">
      <c r="A1476" s="61" t="str">
        <f ca="1">IF(ISERROR(MATCH(C1476,Код_Раздел,0)),"",INDIRECT(ADDRESS(MATCH(C1476,Код_Раздел,0)+1,2,,,"Раздел")))</f>
        <v>Национальная экономика</v>
      </c>
      <c r="B1476" s="113" t="s">
        <v>382</v>
      </c>
      <c r="C1476" s="8" t="s">
        <v>214</v>
      </c>
      <c r="D1476" s="1"/>
      <c r="E1476" s="113"/>
      <c r="F1476" s="7">
        <f t="shared" si="328"/>
        <v>65</v>
      </c>
      <c r="G1476" s="7">
        <f t="shared" si="328"/>
        <v>0</v>
      </c>
      <c r="H1476" s="35">
        <f t="shared" si="317"/>
        <v>65</v>
      </c>
      <c r="I1476" s="7">
        <f t="shared" si="328"/>
        <v>0</v>
      </c>
      <c r="J1476" s="35">
        <f t="shared" si="313"/>
        <v>65</v>
      </c>
      <c r="K1476" s="7">
        <f t="shared" si="328"/>
        <v>0</v>
      </c>
      <c r="L1476" s="35">
        <f t="shared" si="322"/>
        <v>65</v>
      </c>
      <c r="M1476" s="7">
        <f t="shared" si="328"/>
        <v>0</v>
      </c>
      <c r="N1476" s="35">
        <f t="shared" si="316"/>
        <v>65</v>
      </c>
      <c r="O1476" s="7">
        <f t="shared" si="328"/>
        <v>0</v>
      </c>
      <c r="P1476" s="35">
        <f t="shared" si="312"/>
        <v>65</v>
      </c>
      <c r="Q1476" s="7">
        <f t="shared" si="328"/>
        <v>0</v>
      </c>
      <c r="R1476" s="35">
        <f t="shared" si="327"/>
        <v>65</v>
      </c>
      <c r="S1476" s="7">
        <f t="shared" si="328"/>
        <v>0</v>
      </c>
      <c r="T1476" s="35">
        <f t="shared" si="324"/>
        <v>65</v>
      </c>
    </row>
    <row r="1477" spans="1:20">
      <c r="A1477" s="12" t="s">
        <v>228</v>
      </c>
      <c r="B1477" s="113" t="s">
        <v>382</v>
      </c>
      <c r="C1477" s="8" t="s">
        <v>214</v>
      </c>
      <c r="D1477" s="1" t="s">
        <v>186</v>
      </c>
      <c r="E1477" s="113"/>
      <c r="F1477" s="7">
        <f t="shared" si="328"/>
        <v>65</v>
      </c>
      <c r="G1477" s="7">
        <f t="shared" si="328"/>
        <v>0</v>
      </c>
      <c r="H1477" s="35">
        <f t="shared" si="317"/>
        <v>65</v>
      </c>
      <c r="I1477" s="7">
        <f t="shared" si="328"/>
        <v>0</v>
      </c>
      <c r="J1477" s="35">
        <f t="shared" si="313"/>
        <v>65</v>
      </c>
      <c r="K1477" s="7">
        <f t="shared" si="328"/>
        <v>0</v>
      </c>
      <c r="L1477" s="35">
        <f t="shared" si="322"/>
        <v>65</v>
      </c>
      <c r="M1477" s="7">
        <f t="shared" si="328"/>
        <v>0</v>
      </c>
      <c r="N1477" s="35">
        <f t="shared" si="316"/>
        <v>65</v>
      </c>
      <c r="O1477" s="7">
        <f t="shared" si="328"/>
        <v>0</v>
      </c>
      <c r="P1477" s="35">
        <f t="shared" si="312"/>
        <v>65</v>
      </c>
      <c r="Q1477" s="7">
        <f t="shared" si="328"/>
        <v>0</v>
      </c>
      <c r="R1477" s="35">
        <f t="shared" si="327"/>
        <v>65</v>
      </c>
      <c r="S1477" s="7">
        <f t="shared" si="328"/>
        <v>0</v>
      </c>
      <c r="T1477" s="35">
        <f t="shared" si="324"/>
        <v>65</v>
      </c>
    </row>
    <row r="1478" spans="1:20" ht="33">
      <c r="A1478" s="61" t="str">
        <f ca="1">IF(ISERROR(MATCH(E1478,Код_КВР,0)),"",INDIRECT(ADDRESS(MATCH(E1478,Код_КВР,0)+1,2,,,"КВР")))</f>
        <v>Предоставление субсидий бюджетным, автономным учреждениям и иным некоммерческим организациям</v>
      </c>
      <c r="B1478" s="113" t="s">
        <v>382</v>
      </c>
      <c r="C1478" s="8" t="s">
        <v>214</v>
      </c>
      <c r="D1478" s="1" t="s">
        <v>186</v>
      </c>
      <c r="E1478" s="113">
        <v>600</v>
      </c>
      <c r="F1478" s="7">
        <f t="shared" si="328"/>
        <v>65</v>
      </c>
      <c r="G1478" s="7">
        <f t="shared" si="328"/>
        <v>0</v>
      </c>
      <c r="H1478" s="35">
        <f t="shared" si="317"/>
        <v>65</v>
      </c>
      <c r="I1478" s="7">
        <f t="shared" si="328"/>
        <v>0</v>
      </c>
      <c r="J1478" s="35">
        <f t="shared" si="313"/>
        <v>65</v>
      </c>
      <c r="K1478" s="7">
        <f t="shared" si="328"/>
        <v>0</v>
      </c>
      <c r="L1478" s="35">
        <f t="shared" si="322"/>
        <v>65</v>
      </c>
      <c r="M1478" s="7">
        <f t="shared" si="328"/>
        <v>0</v>
      </c>
      <c r="N1478" s="35">
        <f t="shared" si="316"/>
        <v>65</v>
      </c>
      <c r="O1478" s="7">
        <f t="shared" si="328"/>
        <v>0</v>
      </c>
      <c r="P1478" s="35">
        <f t="shared" si="312"/>
        <v>65</v>
      </c>
      <c r="Q1478" s="7">
        <f t="shared" si="328"/>
        <v>0</v>
      </c>
      <c r="R1478" s="35">
        <f t="shared" si="327"/>
        <v>65</v>
      </c>
      <c r="S1478" s="7">
        <f t="shared" si="328"/>
        <v>0</v>
      </c>
      <c r="T1478" s="35">
        <f t="shared" si="324"/>
        <v>65</v>
      </c>
    </row>
    <row r="1479" spans="1:20">
      <c r="A1479" s="61" t="str">
        <f ca="1">IF(ISERROR(MATCH(E1479,Код_КВР,0)),"",INDIRECT(ADDRESS(MATCH(E1479,Код_КВР,0)+1,2,,,"КВР")))</f>
        <v>Субсидии бюджетным учреждениям</v>
      </c>
      <c r="B1479" s="113" t="s">
        <v>382</v>
      </c>
      <c r="C1479" s="8" t="s">
        <v>214</v>
      </c>
      <c r="D1479" s="1" t="s">
        <v>186</v>
      </c>
      <c r="E1479" s="113">
        <v>610</v>
      </c>
      <c r="F1479" s="7">
        <f t="shared" si="328"/>
        <v>65</v>
      </c>
      <c r="G1479" s="7">
        <f t="shared" si="328"/>
        <v>0</v>
      </c>
      <c r="H1479" s="35">
        <f t="shared" si="317"/>
        <v>65</v>
      </c>
      <c r="I1479" s="7">
        <f t="shared" si="328"/>
        <v>0</v>
      </c>
      <c r="J1479" s="35">
        <f t="shared" si="313"/>
        <v>65</v>
      </c>
      <c r="K1479" s="7">
        <f t="shared" si="328"/>
        <v>0</v>
      </c>
      <c r="L1479" s="35">
        <f t="shared" si="322"/>
        <v>65</v>
      </c>
      <c r="M1479" s="7">
        <f t="shared" si="328"/>
        <v>0</v>
      </c>
      <c r="N1479" s="35">
        <f t="shared" si="316"/>
        <v>65</v>
      </c>
      <c r="O1479" s="7">
        <f t="shared" si="328"/>
        <v>0</v>
      </c>
      <c r="P1479" s="35">
        <f t="shared" si="312"/>
        <v>65</v>
      </c>
      <c r="Q1479" s="7">
        <f t="shared" si="328"/>
        <v>0</v>
      </c>
      <c r="R1479" s="35">
        <f t="shared" si="327"/>
        <v>65</v>
      </c>
      <c r="S1479" s="7">
        <f t="shared" si="328"/>
        <v>0</v>
      </c>
      <c r="T1479" s="35">
        <f t="shared" si="324"/>
        <v>65</v>
      </c>
    </row>
    <row r="1480" spans="1:20">
      <c r="A1480" s="61" t="str">
        <f ca="1">IF(ISERROR(MATCH(E1480,Код_КВР,0)),"",INDIRECT(ADDRESS(MATCH(E1480,Код_КВР,0)+1,2,,,"КВР")))</f>
        <v>Субсидии бюджетным учреждениям на иные цели</v>
      </c>
      <c r="B1480" s="113" t="s">
        <v>382</v>
      </c>
      <c r="C1480" s="8" t="s">
        <v>214</v>
      </c>
      <c r="D1480" s="1" t="s">
        <v>186</v>
      </c>
      <c r="E1480" s="113">
        <v>612</v>
      </c>
      <c r="F1480" s="7">
        <f>прил.6!G272</f>
        <v>65</v>
      </c>
      <c r="G1480" s="7">
        <f>прил.6!H272</f>
        <v>0</v>
      </c>
      <c r="H1480" s="35">
        <f t="shared" si="317"/>
        <v>65</v>
      </c>
      <c r="I1480" s="7">
        <f>прил.6!J272</f>
        <v>0</v>
      </c>
      <c r="J1480" s="35">
        <f t="shared" ref="J1480:J1551" si="329">H1480+I1480</f>
        <v>65</v>
      </c>
      <c r="K1480" s="7">
        <f>прил.6!L272</f>
        <v>0</v>
      </c>
      <c r="L1480" s="35">
        <f t="shared" si="322"/>
        <v>65</v>
      </c>
      <c r="M1480" s="7">
        <f>прил.6!N272</f>
        <v>0</v>
      </c>
      <c r="N1480" s="35">
        <f t="shared" si="316"/>
        <v>65</v>
      </c>
      <c r="O1480" s="7">
        <f>прил.6!P272</f>
        <v>0</v>
      </c>
      <c r="P1480" s="35">
        <f t="shared" ref="P1480:P1550" si="330">N1480+O1480</f>
        <v>65</v>
      </c>
      <c r="Q1480" s="7">
        <f>прил.6!R272</f>
        <v>0</v>
      </c>
      <c r="R1480" s="35">
        <f t="shared" si="327"/>
        <v>65</v>
      </c>
      <c r="S1480" s="7">
        <f>прил.6!T272</f>
        <v>0</v>
      </c>
      <c r="T1480" s="35">
        <f t="shared" si="324"/>
        <v>65</v>
      </c>
    </row>
    <row r="1481" spans="1:20">
      <c r="A1481" s="61" t="str">
        <f ca="1">IF(ISERROR(MATCH(B1481,Код_КЦСР,0)),"",INDIRECT(ADDRESS(MATCH(B1481,Код_КЦСР,0)+1,2,,,"КЦСР")))</f>
        <v>Привлечение общественности к охране общественного порядка</v>
      </c>
      <c r="B1481" s="45" t="s">
        <v>152</v>
      </c>
      <c r="C1481" s="8"/>
      <c r="D1481" s="1"/>
      <c r="E1481" s="113"/>
      <c r="F1481" s="7">
        <f>F1482+F1487+F1497</f>
        <v>9534.2000000000007</v>
      </c>
      <c r="G1481" s="7">
        <f>G1482+G1487+G1497</f>
        <v>0</v>
      </c>
      <c r="H1481" s="35">
        <f t="shared" si="317"/>
        <v>9534.2000000000007</v>
      </c>
      <c r="I1481" s="7">
        <f>I1482+I1487+I1497</f>
        <v>0</v>
      </c>
      <c r="J1481" s="35">
        <f t="shared" si="329"/>
        <v>9534.2000000000007</v>
      </c>
      <c r="K1481" s="7">
        <f>K1482+K1487+K1497</f>
        <v>-17.5</v>
      </c>
      <c r="L1481" s="35">
        <f t="shared" si="322"/>
        <v>9516.7000000000007</v>
      </c>
      <c r="M1481" s="7">
        <f>M1482+M1487+M1497</f>
        <v>0</v>
      </c>
      <c r="N1481" s="35">
        <f t="shared" si="316"/>
        <v>9516.7000000000007</v>
      </c>
      <c r="O1481" s="7">
        <f>O1482+O1487+O1497</f>
        <v>0</v>
      </c>
      <c r="P1481" s="35">
        <f t="shared" si="330"/>
        <v>9516.7000000000007</v>
      </c>
      <c r="Q1481" s="7">
        <f>Q1482+Q1487+Q1497</f>
        <v>0</v>
      </c>
      <c r="R1481" s="35">
        <f t="shared" si="327"/>
        <v>9516.7000000000007</v>
      </c>
      <c r="S1481" s="7">
        <f>S1482+S1487+S1497</f>
        <v>0</v>
      </c>
      <c r="T1481" s="35">
        <f t="shared" si="324"/>
        <v>9516.7000000000007</v>
      </c>
    </row>
    <row r="1482" spans="1:20">
      <c r="A1482" s="61" t="str">
        <f ca="1">IF(ISERROR(MATCH(C1482,Код_Раздел,0)),"",INDIRECT(ADDRESS(MATCH(C1482,Код_Раздел,0)+1,2,,,"Раздел")))</f>
        <v>Общегосударственные  вопросы</v>
      </c>
      <c r="B1482" s="45" t="s">
        <v>152</v>
      </c>
      <c r="C1482" s="8" t="s">
        <v>211</v>
      </c>
      <c r="D1482" s="1"/>
      <c r="E1482" s="113"/>
      <c r="F1482" s="7">
        <f t="shared" ref="F1482:S1485" si="331">F1483</f>
        <v>20</v>
      </c>
      <c r="G1482" s="7">
        <f t="shared" si="331"/>
        <v>0</v>
      </c>
      <c r="H1482" s="35">
        <f t="shared" si="317"/>
        <v>20</v>
      </c>
      <c r="I1482" s="7">
        <f t="shared" si="331"/>
        <v>0</v>
      </c>
      <c r="J1482" s="35">
        <f t="shared" si="329"/>
        <v>20</v>
      </c>
      <c r="K1482" s="7">
        <f t="shared" si="331"/>
        <v>0</v>
      </c>
      <c r="L1482" s="35">
        <f t="shared" si="322"/>
        <v>20</v>
      </c>
      <c r="M1482" s="7">
        <f t="shared" si="331"/>
        <v>0</v>
      </c>
      <c r="N1482" s="35">
        <f t="shared" si="316"/>
        <v>20</v>
      </c>
      <c r="O1482" s="7">
        <f t="shared" si="331"/>
        <v>0</v>
      </c>
      <c r="P1482" s="35">
        <f t="shared" si="330"/>
        <v>20</v>
      </c>
      <c r="Q1482" s="7">
        <f t="shared" si="331"/>
        <v>0</v>
      </c>
      <c r="R1482" s="35">
        <f t="shared" si="327"/>
        <v>20</v>
      </c>
      <c r="S1482" s="7">
        <f t="shared" si="331"/>
        <v>0</v>
      </c>
      <c r="T1482" s="35">
        <f t="shared" si="324"/>
        <v>20</v>
      </c>
    </row>
    <row r="1483" spans="1:20">
      <c r="A1483" s="12" t="s">
        <v>235</v>
      </c>
      <c r="B1483" s="45" t="s">
        <v>152</v>
      </c>
      <c r="C1483" s="8" t="s">
        <v>211</v>
      </c>
      <c r="D1483" s="1" t="s">
        <v>188</v>
      </c>
      <c r="E1483" s="113"/>
      <c r="F1483" s="7">
        <f t="shared" si="331"/>
        <v>20</v>
      </c>
      <c r="G1483" s="7">
        <f t="shared" si="331"/>
        <v>0</v>
      </c>
      <c r="H1483" s="35">
        <f t="shared" si="317"/>
        <v>20</v>
      </c>
      <c r="I1483" s="7">
        <f t="shared" si="331"/>
        <v>0</v>
      </c>
      <c r="J1483" s="35">
        <f t="shared" si="329"/>
        <v>20</v>
      </c>
      <c r="K1483" s="7">
        <f t="shared" si="331"/>
        <v>0</v>
      </c>
      <c r="L1483" s="35">
        <f t="shared" si="322"/>
        <v>20</v>
      </c>
      <c r="M1483" s="7">
        <f t="shared" si="331"/>
        <v>0</v>
      </c>
      <c r="N1483" s="35">
        <f t="shared" ref="N1483:N1553" si="332">L1483+M1483</f>
        <v>20</v>
      </c>
      <c r="O1483" s="7">
        <f t="shared" si="331"/>
        <v>0</v>
      </c>
      <c r="P1483" s="35">
        <f t="shared" si="330"/>
        <v>20</v>
      </c>
      <c r="Q1483" s="7">
        <f t="shared" si="331"/>
        <v>0</v>
      </c>
      <c r="R1483" s="35">
        <f t="shared" si="327"/>
        <v>20</v>
      </c>
      <c r="S1483" s="7">
        <f t="shared" si="331"/>
        <v>0</v>
      </c>
      <c r="T1483" s="35">
        <f t="shared" si="324"/>
        <v>20</v>
      </c>
    </row>
    <row r="1484" spans="1:20">
      <c r="A1484" s="61" t="str">
        <f ca="1">IF(ISERROR(MATCH(E1484,Код_КВР,0)),"",INDIRECT(ADDRESS(MATCH(E1484,Код_КВР,0)+1,2,,,"КВР")))</f>
        <v>Закупка товаров, работ и услуг для муниципальных нужд</v>
      </c>
      <c r="B1484" s="45" t="s">
        <v>152</v>
      </c>
      <c r="C1484" s="8" t="s">
        <v>211</v>
      </c>
      <c r="D1484" s="1" t="s">
        <v>188</v>
      </c>
      <c r="E1484" s="113">
        <v>200</v>
      </c>
      <c r="F1484" s="7">
        <f t="shared" si="331"/>
        <v>20</v>
      </c>
      <c r="G1484" s="7">
        <f t="shared" si="331"/>
        <v>0</v>
      </c>
      <c r="H1484" s="35">
        <f t="shared" si="317"/>
        <v>20</v>
      </c>
      <c r="I1484" s="7">
        <f t="shared" si="331"/>
        <v>0</v>
      </c>
      <c r="J1484" s="35">
        <f t="shared" si="329"/>
        <v>20</v>
      </c>
      <c r="K1484" s="7">
        <f t="shared" si="331"/>
        <v>0</v>
      </c>
      <c r="L1484" s="35">
        <f t="shared" si="322"/>
        <v>20</v>
      </c>
      <c r="M1484" s="7">
        <f t="shared" si="331"/>
        <v>0</v>
      </c>
      <c r="N1484" s="35">
        <f t="shared" si="332"/>
        <v>20</v>
      </c>
      <c r="O1484" s="7">
        <f t="shared" si="331"/>
        <v>0</v>
      </c>
      <c r="P1484" s="35">
        <f t="shared" si="330"/>
        <v>20</v>
      </c>
      <c r="Q1484" s="7">
        <f t="shared" si="331"/>
        <v>0</v>
      </c>
      <c r="R1484" s="35">
        <f t="shared" si="327"/>
        <v>20</v>
      </c>
      <c r="S1484" s="7">
        <f t="shared" si="331"/>
        <v>0</v>
      </c>
      <c r="T1484" s="35">
        <f t="shared" si="324"/>
        <v>20</v>
      </c>
    </row>
    <row r="1485" spans="1:20" ht="33">
      <c r="A1485" s="61" t="str">
        <f ca="1">IF(ISERROR(MATCH(E1485,Код_КВР,0)),"",INDIRECT(ADDRESS(MATCH(E1485,Код_КВР,0)+1,2,,,"КВР")))</f>
        <v>Иные закупки товаров, работ и услуг для обеспечения муниципальных нужд</v>
      </c>
      <c r="B1485" s="45" t="s">
        <v>152</v>
      </c>
      <c r="C1485" s="8" t="s">
        <v>211</v>
      </c>
      <c r="D1485" s="1" t="s">
        <v>188</v>
      </c>
      <c r="E1485" s="113">
        <v>240</v>
      </c>
      <c r="F1485" s="7">
        <f t="shared" si="331"/>
        <v>20</v>
      </c>
      <c r="G1485" s="7">
        <f t="shared" si="331"/>
        <v>0</v>
      </c>
      <c r="H1485" s="35">
        <f t="shared" si="317"/>
        <v>20</v>
      </c>
      <c r="I1485" s="7">
        <f t="shared" si="331"/>
        <v>0</v>
      </c>
      <c r="J1485" s="35">
        <f t="shared" si="329"/>
        <v>20</v>
      </c>
      <c r="K1485" s="7">
        <f t="shared" si="331"/>
        <v>0</v>
      </c>
      <c r="L1485" s="35">
        <f t="shared" si="322"/>
        <v>20</v>
      </c>
      <c r="M1485" s="7">
        <f t="shared" si="331"/>
        <v>0</v>
      </c>
      <c r="N1485" s="35">
        <f t="shared" si="332"/>
        <v>20</v>
      </c>
      <c r="O1485" s="7">
        <f t="shared" si="331"/>
        <v>0</v>
      </c>
      <c r="P1485" s="35">
        <f t="shared" si="330"/>
        <v>20</v>
      </c>
      <c r="Q1485" s="7">
        <f t="shared" si="331"/>
        <v>0</v>
      </c>
      <c r="R1485" s="35">
        <f t="shared" si="327"/>
        <v>20</v>
      </c>
      <c r="S1485" s="7">
        <f t="shared" si="331"/>
        <v>0</v>
      </c>
      <c r="T1485" s="35">
        <f t="shared" si="324"/>
        <v>20</v>
      </c>
    </row>
    <row r="1486" spans="1:20" ht="33">
      <c r="A1486" s="61" t="str">
        <f ca="1">IF(ISERROR(MATCH(E1486,Код_КВР,0)),"",INDIRECT(ADDRESS(MATCH(E1486,Код_КВР,0)+1,2,,,"КВР")))</f>
        <v xml:space="preserve">Прочая закупка товаров, работ и услуг для обеспечения муниципальных нужд         </v>
      </c>
      <c r="B1486" s="45" t="s">
        <v>152</v>
      </c>
      <c r="C1486" s="8" t="s">
        <v>211</v>
      </c>
      <c r="D1486" s="1" t="s">
        <v>188</v>
      </c>
      <c r="E1486" s="113">
        <v>244</v>
      </c>
      <c r="F1486" s="7">
        <f>прил.6!G163</f>
        <v>20</v>
      </c>
      <c r="G1486" s="7">
        <f>прил.6!H163</f>
        <v>0</v>
      </c>
      <c r="H1486" s="35">
        <f t="shared" si="317"/>
        <v>20</v>
      </c>
      <c r="I1486" s="7">
        <f>прил.6!J163</f>
        <v>0</v>
      </c>
      <c r="J1486" s="35">
        <f t="shared" si="329"/>
        <v>20</v>
      </c>
      <c r="K1486" s="7">
        <f>прил.6!L163</f>
        <v>0</v>
      </c>
      <c r="L1486" s="35">
        <f t="shared" si="322"/>
        <v>20</v>
      </c>
      <c r="M1486" s="7">
        <f>прил.6!N163</f>
        <v>0</v>
      </c>
      <c r="N1486" s="35">
        <f t="shared" si="332"/>
        <v>20</v>
      </c>
      <c r="O1486" s="7">
        <f>прил.6!P163</f>
        <v>0</v>
      </c>
      <c r="P1486" s="35">
        <f t="shared" si="330"/>
        <v>20</v>
      </c>
      <c r="Q1486" s="7">
        <f>прил.6!R163</f>
        <v>0</v>
      </c>
      <c r="R1486" s="35">
        <f t="shared" si="327"/>
        <v>20</v>
      </c>
      <c r="S1486" s="7">
        <f>прил.6!T163</f>
        <v>0</v>
      </c>
      <c r="T1486" s="35">
        <f t="shared" si="324"/>
        <v>20</v>
      </c>
    </row>
    <row r="1487" spans="1:20">
      <c r="A1487" s="61" t="str">
        <f ca="1">IF(ISERROR(MATCH(C1487,Код_Раздел,0)),"",INDIRECT(ADDRESS(MATCH(C1487,Код_Раздел,0)+1,2,,,"Раздел")))</f>
        <v>Национальная безопасность и правоохранительная  деятельность</v>
      </c>
      <c r="B1487" s="45" t="s">
        <v>152</v>
      </c>
      <c r="C1487" s="8" t="s">
        <v>213</v>
      </c>
      <c r="D1487" s="1"/>
      <c r="E1487" s="113"/>
      <c r="F1487" s="7">
        <f>F1488</f>
        <v>9414.2000000000007</v>
      </c>
      <c r="G1487" s="7">
        <f>G1488</f>
        <v>0</v>
      </c>
      <c r="H1487" s="35">
        <f t="shared" si="317"/>
        <v>9414.2000000000007</v>
      </c>
      <c r="I1487" s="7">
        <f>I1488</f>
        <v>0</v>
      </c>
      <c r="J1487" s="35">
        <f t="shared" si="329"/>
        <v>9414.2000000000007</v>
      </c>
      <c r="K1487" s="7">
        <f>K1488</f>
        <v>-17.5</v>
      </c>
      <c r="L1487" s="35">
        <f t="shared" si="322"/>
        <v>9396.7000000000007</v>
      </c>
      <c r="M1487" s="7">
        <f>M1488</f>
        <v>0</v>
      </c>
      <c r="N1487" s="35">
        <f t="shared" si="332"/>
        <v>9396.7000000000007</v>
      </c>
      <c r="O1487" s="7">
        <f>O1488</f>
        <v>0</v>
      </c>
      <c r="P1487" s="35">
        <f t="shared" si="330"/>
        <v>9396.7000000000007</v>
      </c>
      <c r="Q1487" s="7">
        <f>Q1488</f>
        <v>0</v>
      </c>
      <c r="R1487" s="35">
        <f t="shared" si="327"/>
        <v>9396.7000000000007</v>
      </c>
      <c r="S1487" s="7">
        <f>S1488</f>
        <v>0</v>
      </c>
      <c r="T1487" s="35">
        <f t="shared" si="324"/>
        <v>9396.7000000000007</v>
      </c>
    </row>
    <row r="1488" spans="1:20" ht="37.5" customHeight="1">
      <c r="A1488" s="12" t="s">
        <v>259</v>
      </c>
      <c r="B1488" s="45" t="s">
        <v>152</v>
      </c>
      <c r="C1488" s="8" t="s">
        <v>213</v>
      </c>
      <c r="D1488" s="1" t="s">
        <v>217</v>
      </c>
      <c r="E1488" s="113"/>
      <c r="F1488" s="7">
        <f>F1489+F1491+F1494</f>
        <v>9414.2000000000007</v>
      </c>
      <c r="G1488" s="7">
        <f>G1489+G1491+G1494</f>
        <v>0</v>
      </c>
      <c r="H1488" s="35">
        <f t="shared" ref="H1488:H1559" si="333">F1488+G1488</f>
        <v>9414.2000000000007</v>
      </c>
      <c r="I1488" s="7">
        <f>I1489+I1491+I1494</f>
        <v>0</v>
      </c>
      <c r="J1488" s="35">
        <f t="shared" si="329"/>
        <v>9414.2000000000007</v>
      </c>
      <c r="K1488" s="7">
        <f>K1489+K1491+K1494</f>
        <v>-17.5</v>
      </c>
      <c r="L1488" s="35">
        <f t="shared" si="322"/>
        <v>9396.7000000000007</v>
      </c>
      <c r="M1488" s="7">
        <f>M1489+M1491+M1494</f>
        <v>0</v>
      </c>
      <c r="N1488" s="35">
        <f t="shared" si="332"/>
        <v>9396.7000000000007</v>
      </c>
      <c r="O1488" s="7">
        <f>O1489+O1491+O1494</f>
        <v>0</v>
      </c>
      <c r="P1488" s="35">
        <f t="shared" si="330"/>
        <v>9396.7000000000007</v>
      </c>
      <c r="Q1488" s="7">
        <f>Q1489+Q1491+Q1494</f>
        <v>0</v>
      </c>
      <c r="R1488" s="35">
        <f t="shared" si="327"/>
        <v>9396.7000000000007</v>
      </c>
      <c r="S1488" s="7">
        <f>S1489+S1491+S1494</f>
        <v>0</v>
      </c>
      <c r="T1488" s="35">
        <f t="shared" si="324"/>
        <v>9396.7000000000007</v>
      </c>
    </row>
    <row r="1489" spans="1:20" ht="39" customHeight="1">
      <c r="A1489" s="61" t="str">
        <f t="shared" ref="A1489:A1496" ca="1" si="334">IF(ISERROR(MATCH(E1489,Код_КВР,0)),"",INDIRECT(ADDRESS(MATCH(E1489,Код_КВР,0)+1,2,,,"КВР")))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9" s="45" t="s">
        <v>152</v>
      </c>
      <c r="C1489" s="8" t="s">
        <v>213</v>
      </c>
      <c r="D1489" s="1" t="s">
        <v>217</v>
      </c>
      <c r="E1489" s="113">
        <v>100</v>
      </c>
      <c r="F1489" s="7">
        <f>F1490</f>
        <v>7465.6</v>
      </c>
      <c r="G1489" s="7">
        <f>G1490</f>
        <v>0</v>
      </c>
      <c r="H1489" s="35">
        <f t="shared" si="333"/>
        <v>7465.6</v>
      </c>
      <c r="I1489" s="7">
        <f>I1490</f>
        <v>0</v>
      </c>
      <c r="J1489" s="35">
        <f t="shared" si="329"/>
        <v>7465.6</v>
      </c>
      <c r="K1489" s="7">
        <f>K1490</f>
        <v>0</v>
      </c>
      <c r="L1489" s="35">
        <f t="shared" si="322"/>
        <v>7465.6</v>
      </c>
      <c r="M1489" s="7">
        <f>M1490</f>
        <v>0</v>
      </c>
      <c r="N1489" s="35">
        <f t="shared" si="332"/>
        <v>7465.6</v>
      </c>
      <c r="O1489" s="7">
        <f>O1490</f>
        <v>0</v>
      </c>
      <c r="P1489" s="35">
        <f t="shared" si="330"/>
        <v>7465.6</v>
      </c>
      <c r="Q1489" s="7">
        <f>Q1490</f>
        <v>-68.400000000000006</v>
      </c>
      <c r="R1489" s="35">
        <f t="shared" si="327"/>
        <v>7397.2000000000007</v>
      </c>
      <c r="S1489" s="7">
        <f>S1490</f>
        <v>0</v>
      </c>
      <c r="T1489" s="35">
        <f t="shared" si="324"/>
        <v>7397.2000000000007</v>
      </c>
    </row>
    <row r="1490" spans="1:20">
      <c r="A1490" s="61" t="str">
        <f t="shared" ca="1" si="334"/>
        <v>Расходы на выплаты персоналу казенных учреждений</v>
      </c>
      <c r="B1490" s="45" t="s">
        <v>152</v>
      </c>
      <c r="C1490" s="8" t="s">
        <v>213</v>
      </c>
      <c r="D1490" s="1" t="s">
        <v>217</v>
      </c>
      <c r="E1490" s="113">
        <v>110</v>
      </c>
      <c r="F1490" s="7">
        <f>прил.6!G226</f>
        <v>7465.6</v>
      </c>
      <c r="G1490" s="7">
        <f>прил.6!H226</f>
        <v>0</v>
      </c>
      <c r="H1490" s="35">
        <f t="shared" si="333"/>
        <v>7465.6</v>
      </c>
      <c r="I1490" s="7">
        <f>прил.6!J226</f>
        <v>0</v>
      </c>
      <c r="J1490" s="35">
        <f t="shared" si="329"/>
        <v>7465.6</v>
      </c>
      <c r="K1490" s="7">
        <f>прил.6!L226</f>
        <v>0</v>
      </c>
      <c r="L1490" s="35">
        <f t="shared" si="322"/>
        <v>7465.6</v>
      </c>
      <c r="M1490" s="7">
        <f>прил.6!N226</f>
        <v>0</v>
      </c>
      <c r="N1490" s="35">
        <f t="shared" si="332"/>
        <v>7465.6</v>
      </c>
      <c r="O1490" s="7">
        <f>прил.6!P226</f>
        <v>0</v>
      </c>
      <c r="P1490" s="35">
        <f t="shared" si="330"/>
        <v>7465.6</v>
      </c>
      <c r="Q1490" s="7">
        <f>прил.6!R226</f>
        <v>-68.400000000000006</v>
      </c>
      <c r="R1490" s="35">
        <f t="shared" si="327"/>
        <v>7397.2000000000007</v>
      </c>
      <c r="S1490" s="7">
        <f>прил.6!T226</f>
        <v>0</v>
      </c>
      <c r="T1490" s="35">
        <f t="shared" si="324"/>
        <v>7397.2000000000007</v>
      </c>
    </row>
    <row r="1491" spans="1:20">
      <c r="A1491" s="61" t="str">
        <f t="shared" ca="1" si="334"/>
        <v>Закупка товаров, работ и услуг для муниципальных нужд</v>
      </c>
      <c r="B1491" s="45" t="s">
        <v>152</v>
      </c>
      <c r="C1491" s="8" t="s">
        <v>213</v>
      </c>
      <c r="D1491" s="1" t="s">
        <v>217</v>
      </c>
      <c r="E1491" s="113">
        <v>200</v>
      </c>
      <c r="F1491" s="7">
        <f>F1492</f>
        <v>1688.6</v>
      </c>
      <c r="G1491" s="7">
        <f>G1492</f>
        <v>0</v>
      </c>
      <c r="H1491" s="35">
        <f t="shared" si="333"/>
        <v>1688.6</v>
      </c>
      <c r="I1491" s="7">
        <f>I1492</f>
        <v>0</v>
      </c>
      <c r="J1491" s="35">
        <f t="shared" si="329"/>
        <v>1688.6</v>
      </c>
      <c r="K1491" s="7">
        <f>K1492</f>
        <v>-17.5</v>
      </c>
      <c r="L1491" s="35">
        <f t="shared" si="322"/>
        <v>1671.1</v>
      </c>
      <c r="M1491" s="7">
        <f>M1492</f>
        <v>0</v>
      </c>
      <c r="N1491" s="35">
        <f t="shared" si="332"/>
        <v>1671.1</v>
      </c>
      <c r="O1491" s="7">
        <f>O1492</f>
        <v>0</v>
      </c>
      <c r="P1491" s="35">
        <f t="shared" si="330"/>
        <v>1671.1</v>
      </c>
      <c r="Q1491" s="7">
        <f>Q1492</f>
        <v>68.400000000000006</v>
      </c>
      <c r="R1491" s="35">
        <f t="shared" si="327"/>
        <v>1739.5</v>
      </c>
      <c r="S1491" s="7">
        <f>S1492</f>
        <v>0</v>
      </c>
      <c r="T1491" s="35">
        <f t="shared" si="324"/>
        <v>1739.5</v>
      </c>
    </row>
    <row r="1492" spans="1:20" ht="33">
      <c r="A1492" s="61" t="str">
        <f t="shared" ca="1" si="334"/>
        <v>Иные закупки товаров, работ и услуг для обеспечения муниципальных нужд</v>
      </c>
      <c r="B1492" s="45" t="s">
        <v>152</v>
      </c>
      <c r="C1492" s="8" t="s">
        <v>213</v>
      </c>
      <c r="D1492" s="1" t="s">
        <v>217</v>
      </c>
      <c r="E1492" s="113">
        <v>240</v>
      </c>
      <c r="F1492" s="7">
        <f>F1493</f>
        <v>1688.6</v>
      </c>
      <c r="G1492" s="7">
        <f>G1493</f>
        <v>0</v>
      </c>
      <c r="H1492" s="35">
        <f t="shared" si="333"/>
        <v>1688.6</v>
      </c>
      <c r="I1492" s="7">
        <f>I1493</f>
        <v>0</v>
      </c>
      <c r="J1492" s="35">
        <f t="shared" si="329"/>
        <v>1688.6</v>
      </c>
      <c r="K1492" s="7">
        <f>K1493</f>
        <v>-17.5</v>
      </c>
      <c r="L1492" s="35">
        <f t="shared" si="322"/>
        <v>1671.1</v>
      </c>
      <c r="M1492" s="7">
        <f>M1493</f>
        <v>0</v>
      </c>
      <c r="N1492" s="35">
        <f t="shared" si="332"/>
        <v>1671.1</v>
      </c>
      <c r="O1492" s="7">
        <f>O1493</f>
        <v>0</v>
      </c>
      <c r="P1492" s="35">
        <f t="shared" si="330"/>
        <v>1671.1</v>
      </c>
      <c r="Q1492" s="7">
        <f>Q1493</f>
        <v>68.400000000000006</v>
      </c>
      <c r="R1492" s="35">
        <f t="shared" si="327"/>
        <v>1739.5</v>
      </c>
      <c r="S1492" s="7">
        <f>S1493</f>
        <v>0</v>
      </c>
      <c r="T1492" s="35">
        <f t="shared" si="324"/>
        <v>1739.5</v>
      </c>
    </row>
    <row r="1493" spans="1:20" ht="33">
      <c r="A1493" s="61" t="str">
        <f t="shared" ca="1" si="334"/>
        <v xml:space="preserve">Прочая закупка товаров, работ и услуг для обеспечения муниципальных нужд         </v>
      </c>
      <c r="B1493" s="45" t="s">
        <v>152</v>
      </c>
      <c r="C1493" s="8" t="s">
        <v>213</v>
      </c>
      <c r="D1493" s="1" t="s">
        <v>217</v>
      </c>
      <c r="E1493" s="113">
        <v>244</v>
      </c>
      <c r="F1493" s="7">
        <f>прил.6!G229</f>
        <v>1688.6</v>
      </c>
      <c r="G1493" s="7">
        <f>прил.6!H229</f>
        <v>0</v>
      </c>
      <c r="H1493" s="35">
        <f t="shared" si="333"/>
        <v>1688.6</v>
      </c>
      <c r="I1493" s="7">
        <f>прил.6!J229</f>
        <v>0</v>
      </c>
      <c r="J1493" s="35">
        <f t="shared" si="329"/>
        <v>1688.6</v>
      </c>
      <c r="K1493" s="7">
        <f>прил.6!L229</f>
        <v>-17.5</v>
      </c>
      <c r="L1493" s="35">
        <f t="shared" si="322"/>
        <v>1671.1</v>
      </c>
      <c r="M1493" s="7">
        <f>прил.6!N229</f>
        <v>0</v>
      </c>
      <c r="N1493" s="35">
        <f t="shared" si="332"/>
        <v>1671.1</v>
      </c>
      <c r="O1493" s="7">
        <f>прил.6!P229</f>
        <v>0</v>
      </c>
      <c r="P1493" s="35">
        <f t="shared" si="330"/>
        <v>1671.1</v>
      </c>
      <c r="Q1493" s="7">
        <f>прил.6!R229</f>
        <v>68.400000000000006</v>
      </c>
      <c r="R1493" s="35">
        <f t="shared" si="327"/>
        <v>1739.5</v>
      </c>
      <c r="S1493" s="7">
        <f>прил.6!T229</f>
        <v>0</v>
      </c>
      <c r="T1493" s="35">
        <f t="shared" si="324"/>
        <v>1739.5</v>
      </c>
    </row>
    <row r="1494" spans="1:20">
      <c r="A1494" s="61" t="str">
        <f t="shared" ca="1" si="334"/>
        <v>Иные бюджетные ассигнования</v>
      </c>
      <c r="B1494" s="45" t="s">
        <v>152</v>
      </c>
      <c r="C1494" s="8" t="s">
        <v>213</v>
      </c>
      <c r="D1494" s="1" t="s">
        <v>217</v>
      </c>
      <c r="E1494" s="113">
        <v>800</v>
      </c>
      <c r="F1494" s="7">
        <f>F1495</f>
        <v>260</v>
      </c>
      <c r="G1494" s="7">
        <f>G1495</f>
        <v>0</v>
      </c>
      <c r="H1494" s="35">
        <f t="shared" si="333"/>
        <v>260</v>
      </c>
      <c r="I1494" s="7">
        <f>I1495</f>
        <v>0</v>
      </c>
      <c r="J1494" s="35">
        <f t="shared" si="329"/>
        <v>260</v>
      </c>
      <c r="K1494" s="7">
        <f>K1495</f>
        <v>0</v>
      </c>
      <c r="L1494" s="35">
        <f t="shared" si="322"/>
        <v>260</v>
      </c>
      <c r="M1494" s="7">
        <f>M1495</f>
        <v>0</v>
      </c>
      <c r="N1494" s="35">
        <f t="shared" si="332"/>
        <v>260</v>
      </c>
      <c r="O1494" s="7">
        <f>O1495</f>
        <v>0</v>
      </c>
      <c r="P1494" s="35">
        <f t="shared" si="330"/>
        <v>260</v>
      </c>
      <c r="Q1494" s="7">
        <f>Q1495</f>
        <v>0</v>
      </c>
      <c r="R1494" s="35">
        <f t="shared" si="327"/>
        <v>260</v>
      </c>
      <c r="S1494" s="7">
        <f>S1495</f>
        <v>0</v>
      </c>
      <c r="T1494" s="35">
        <f t="shared" si="324"/>
        <v>260</v>
      </c>
    </row>
    <row r="1495" spans="1:20">
      <c r="A1495" s="61" t="str">
        <f t="shared" ca="1" si="334"/>
        <v>Уплата налогов, сборов и иных платежей</v>
      </c>
      <c r="B1495" s="45" t="s">
        <v>152</v>
      </c>
      <c r="C1495" s="8" t="s">
        <v>213</v>
      </c>
      <c r="D1495" s="1" t="s">
        <v>217</v>
      </c>
      <c r="E1495" s="113">
        <v>850</v>
      </c>
      <c r="F1495" s="7">
        <f>F1496</f>
        <v>260</v>
      </c>
      <c r="G1495" s="7">
        <f>G1496</f>
        <v>0</v>
      </c>
      <c r="H1495" s="35">
        <f t="shared" si="333"/>
        <v>260</v>
      </c>
      <c r="I1495" s="7">
        <f>I1496</f>
        <v>0</v>
      </c>
      <c r="J1495" s="35">
        <f t="shared" si="329"/>
        <v>260</v>
      </c>
      <c r="K1495" s="7">
        <f>K1496</f>
        <v>0</v>
      </c>
      <c r="L1495" s="35">
        <f t="shared" si="322"/>
        <v>260</v>
      </c>
      <c r="M1495" s="7">
        <f>M1496</f>
        <v>0</v>
      </c>
      <c r="N1495" s="35">
        <f t="shared" si="332"/>
        <v>260</v>
      </c>
      <c r="O1495" s="7">
        <f>O1496</f>
        <v>0</v>
      </c>
      <c r="P1495" s="35">
        <f t="shared" si="330"/>
        <v>260</v>
      </c>
      <c r="Q1495" s="7">
        <f>Q1496</f>
        <v>0</v>
      </c>
      <c r="R1495" s="35">
        <f t="shared" si="327"/>
        <v>260</v>
      </c>
      <c r="S1495" s="7">
        <f>S1496</f>
        <v>0</v>
      </c>
      <c r="T1495" s="35">
        <f t="shared" si="324"/>
        <v>260</v>
      </c>
    </row>
    <row r="1496" spans="1:20">
      <c r="A1496" s="61" t="str">
        <f t="shared" ca="1" si="334"/>
        <v>Уплата налога на имущество организаций и земельного налога</v>
      </c>
      <c r="B1496" s="45" t="s">
        <v>152</v>
      </c>
      <c r="C1496" s="8" t="s">
        <v>213</v>
      </c>
      <c r="D1496" s="1" t="s">
        <v>217</v>
      </c>
      <c r="E1496" s="113">
        <v>851</v>
      </c>
      <c r="F1496" s="7">
        <f>прил.6!G232</f>
        <v>260</v>
      </c>
      <c r="G1496" s="7">
        <f>прил.6!H232</f>
        <v>0</v>
      </c>
      <c r="H1496" s="35">
        <f t="shared" si="333"/>
        <v>260</v>
      </c>
      <c r="I1496" s="7">
        <f>прил.6!J232</f>
        <v>0</v>
      </c>
      <c r="J1496" s="35">
        <f t="shared" si="329"/>
        <v>260</v>
      </c>
      <c r="K1496" s="7">
        <f>прил.6!L232</f>
        <v>0</v>
      </c>
      <c r="L1496" s="35">
        <f t="shared" si="322"/>
        <v>260</v>
      </c>
      <c r="M1496" s="7">
        <f>прил.6!N232</f>
        <v>0</v>
      </c>
      <c r="N1496" s="35">
        <f t="shared" si="332"/>
        <v>260</v>
      </c>
      <c r="O1496" s="7">
        <f>прил.6!P232</f>
        <v>0</v>
      </c>
      <c r="P1496" s="35">
        <f t="shared" si="330"/>
        <v>260</v>
      </c>
      <c r="Q1496" s="7">
        <f>прил.6!R232</f>
        <v>0</v>
      </c>
      <c r="R1496" s="35">
        <f t="shared" si="327"/>
        <v>260</v>
      </c>
      <c r="S1496" s="7">
        <f>прил.6!T232</f>
        <v>0</v>
      </c>
      <c r="T1496" s="35">
        <f t="shared" si="324"/>
        <v>260</v>
      </c>
    </row>
    <row r="1497" spans="1:20">
      <c r="A1497" s="61" t="str">
        <f ca="1">IF(ISERROR(MATCH(C1497,Код_Раздел,0)),"",INDIRECT(ADDRESS(MATCH(C1497,Код_Раздел,0)+1,2,,,"Раздел")))</f>
        <v>Социальная политика</v>
      </c>
      <c r="B1497" s="45" t="s">
        <v>152</v>
      </c>
      <c r="C1497" s="8" t="s">
        <v>186</v>
      </c>
      <c r="D1497" s="1"/>
      <c r="E1497" s="113"/>
      <c r="F1497" s="7">
        <f t="shared" ref="F1497:S1499" si="335">F1498</f>
        <v>100</v>
      </c>
      <c r="G1497" s="7">
        <f t="shared" si="335"/>
        <v>0</v>
      </c>
      <c r="H1497" s="35">
        <f t="shared" si="333"/>
        <v>100</v>
      </c>
      <c r="I1497" s="7">
        <f t="shared" si="335"/>
        <v>0</v>
      </c>
      <c r="J1497" s="35">
        <f t="shared" si="329"/>
        <v>100</v>
      </c>
      <c r="K1497" s="7">
        <f t="shared" si="335"/>
        <v>0</v>
      </c>
      <c r="L1497" s="35">
        <f t="shared" si="322"/>
        <v>100</v>
      </c>
      <c r="M1497" s="7">
        <f t="shared" si="335"/>
        <v>0</v>
      </c>
      <c r="N1497" s="35">
        <f t="shared" si="332"/>
        <v>100</v>
      </c>
      <c r="O1497" s="7">
        <f t="shared" si="335"/>
        <v>0</v>
      </c>
      <c r="P1497" s="35">
        <f t="shared" si="330"/>
        <v>100</v>
      </c>
      <c r="Q1497" s="7">
        <f t="shared" si="335"/>
        <v>0</v>
      </c>
      <c r="R1497" s="35">
        <f t="shared" si="327"/>
        <v>100</v>
      </c>
      <c r="S1497" s="7">
        <f t="shared" si="335"/>
        <v>0</v>
      </c>
      <c r="T1497" s="35">
        <f t="shared" si="324"/>
        <v>100</v>
      </c>
    </row>
    <row r="1498" spans="1:20">
      <c r="A1498" s="12" t="s">
        <v>177</v>
      </c>
      <c r="B1498" s="45" t="s">
        <v>152</v>
      </c>
      <c r="C1498" s="8" t="s">
        <v>186</v>
      </c>
      <c r="D1498" s="1" t="s">
        <v>213</v>
      </c>
      <c r="E1498" s="113"/>
      <c r="F1498" s="7">
        <f t="shared" si="335"/>
        <v>100</v>
      </c>
      <c r="G1498" s="7">
        <f t="shared" si="335"/>
        <v>0</v>
      </c>
      <c r="H1498" s="35">
        <f t="shared" si="333"/>
        <v>100</v>
      </c>
      <c r="I1498" s="7">
        <f t="shared" si="335"/>
        <v>0</v>
      </c>
      <c r="J1498" s="35">
        <f t="shared" si="329"/>
        <v>100</v>
      </c>
      <c r="K1498" s="7">
        <f t="shared" si="335"/>
        <v>0</v>
      </c>
      <c r="L1498" s="35">
        <f t="shared" si="322"/>
        <v>100</v>
      </c>
      <c r="M1498" s="7">
        <f t="shared" si="335"/>
        <v>0</v>
      </c>
      <c r="N1498" s="35">
        <f t="shared" si="332"/>
        <v>100</v>
      </c>
      <c r="O1498" s="7">
        <f t="shared" si="335"/>
        <v>0</v>
      </c>
      <c r="P1498" s="35">
        <f t="shared" si="330"/>
        <v>100</v>
      </c>
      <c r="Q1498" s="7">
        <f t="shared" si="335"/>
        <v>0</v>
      </c>
      <c r="R1498" s="35">
        <f t="shared" si="327"/>
        <v>100</v>
      </c>
      <c r="S1498" s="7">
        <f t="shared" si="335"/>
        <v>0</v>
      </c>
      <c r="T1498" s="35">
        <f t="shared" si="324"/>
        <v>100</v>
      </c>
    </row>
    <row r="1499" spans="1:20">
      <c r="A1499" s="61" t="str">
        <f ca="1">IF(ISERROR(MATCH(E1499,Код_КВР,0)),"",INDIRECT(ADDRESS(MATCH(E1499,Код_КВР,0)+1,2,,,"КВР")))</f>
        <v>Социальное обеспечение и иные выплаты населению</v>
      </c>
      <c r="B1499" s="45" t="s">
        <v>152</v>
      </c>
      <c r="C1499" s="8" t="s">
        <v>186</v>
      </c>
      <c r="D1499" s="1" t="s">
        <v>213</v>
      </c>
      <c r="E1499" s="113">
        <v>300</v>
      </c>
      <c r="F1499" s="7">
        <f t="shared" si="335"/>
        <v>100</v>
      </c>
      <c r="G1499" s="7">
        <f t="shared" si="335"/>
        <v>0</v>
      </c>
      <c r="H1499" s="35">
        <f t="shared" si="333"/>
        <v>100</v>
      </c>
      <c r="I1499" s="7">
        <f t="shared" si="335"/>
        <v>0</v>
      </c>
      <c r="J1499" s="35">
        <f t="shared" si="329"/>
        <v>100</v>
      </c>
      <c r="K1499" s="7">
        <f t="shared" si="335"/>
        <v>0</v>
      </c>
      <c r="L1499" s="35">
        <f t="shared" si="322"/>
        <v>100</v>
      </c>
      <c r="M1499" s="7">
        <f t="shared" si="335"/>
        <v>0</v>
      </c>
      <c r="N1499" s="35">
        <f t="shared" si="332"/>
        <v>100</v>
      </c>
      <c r="O1499" s="7">
        <f t="shared" si="335"/>
        <v>0</v>
      </c>
      <c r="P1499" s="35">
        <f t="shared" si="330"/>
        <v>100</v>
      </c>
      <c r="Q1499" s="7">
        <f t="shared" si="335"/>
        <v>0</v>
      </c>
      <c r="R1499" s="35">
        <f t="shared" si="327"/>
        <v>100</v>
      </c>
      <c r="S1499" s="7">
        <f t="shared" si="335"/>
        <v>0</v>
      </c>
      <c r="T1499" s="35">
        <f t="shared" si="324"/>
        <v>100</v>
      </c>
    </row>
    <row r="1500" spans="1:20">
      <c r="A1500" s="61" t="str">
        <f ca="1">IF(ISERROR(MATCH(E1500,Код_КВР,0)),"",INDIRECT(ADDRESS(MATCH(E1500,Код_КВР,0)+1,2,,,"КВР")))</f>
        <v>Иные выплаты населению</v>
      </c>
      <c r="B1500" s="45" t="s">
        <v>152</v>
      </c>
      <c r="C1500" s="8" t="s">
        <v>186</v>
      </c>
      <c r="D1500" s="1" t="s">
        <v>213</v>
      </c>
      <c r="E1500" s="113">
        <v>360</v>
      </c>
      <c r="F1500" s="7">
        <f>прил.6!G370</f>
        <v>100</v>
      </c>
      <c r="G1500" s="7">
        <f>прил.6!H370</f>
        <v>0</v>
      </c>
      <c r="H1500" s="35">
        <f t="shared" si="333"/>
        <v>100</v>
      </c>
      <c r="I1500" s="7">
        <f>прил.6!J370</f>
        <v>0</v>
      </c>
      <c r="J1500" s="35">
        <f t="shared" si="329"/>
        <v>100</v>
      </c>
      <c r="K1500" s="7">
        <f>прил.6!L370</f>
        <v>0</v>
      </c>
      <c r="L1500" s="35">
        <f t="shared" si="322"/>
        <v>100</v>
      </c>
      <c r="M1500" s="7">
        <f>прил.6!N370</f>
        <v>0</v>
      </c>
      <c r="N1500" s="35">
        <f t="shared" si="332"/>
        <v>100</v>
      </c>
      <c r="O1500" s="7">
        <f>прил.6!P370</f>
        <v>0</v>
      </c>
      <c r="P1500" s="35">
        <f t="shared" si="330"/>
        <v>100</v>
      </c>
      <c r="Q1500" s="7">
        <f>прил.6!R370</f>
        <v>0</v>
      </c>
      <c r="R1500" s="35">
        <f t="shared" si="327"/>
        <v>100</v>
      </c>
      <c r="S1500" s="7">
        <f>прил.6!T370</f>
        <v>0</v>
      </c>
      <c r="T1500" s="35">
        <f t="shared" si="324"/>
        <v>100</v>
      </c>
    </row>
    <row r="1501" spans="1:20" ht="49.5">
      <c r="A1501" s="61" t="str">
        <f ca="1">IF(ISERROR(MATCH(B1501,Код_КЦСР,0)),"",INDIRECT(ADDRESS(MATCH(B1501,Код_КЦСР,0)+1,2,,,"КЦСР")))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501" s="113" t="s">
        <v>384</v>
      </c>
      <c r="C1501" s="8"/>
      <c r="D1501" s="1"/>
      <c r="E1501" s="113"/>
      <c r="F1501" s="7">
        <f t="shared" ref="F1501:S1505" si="336">F1502</f>
        <v>1235.2</v>
      </c>
      <c r="G1501" s="7">
        <f t="shared" si="336"/>
        <v>0</v>
      </c>
      <c r="H1501" s="35">
        <f t="shared" si="333"/>
        <v>1235.2</v>
      </c>
      <c r="I1501" s="7">
        <f t="shared" si="336"/>
        <v>0</v>
      </c>
      <c r="J1501" s="35">
        <f t="shared" si="329"/>
        <v>1235.2</v>
      </c>
      <c r="K1501" s="7">
        <f t="shared" si="336"/>
        <v>0</v>
      </c>
      <c r="L1501" s="35">
        <f t="shared" si="322"/>
        <v>1235.2</v>
      </c>
      <c r="M1501" s="7">
        <f t="shared" si="336"/>
        <v>0</v>
      </c>
      <c r="N1501" s="35">
        <f t="shared" si="332"/>
        <v>1235.2</v>
      </c>
      <c r="O1501" s="7">
        <f t="shared" si="336"/>
        <v>0</v>
      </c>
      <c r="P1501" s="35">
        <f t="shared" si="330"/>
        <v>1235.2</v>
      </c>
      <c r="Q1501" s="7">
        <f t="shared" si="336"/>
        <v>0</v>
      </c>
      <c r="R1501" s="35">
        <f t="shared" si="327"/>
        <v>1235.2</v>
      </c>
      <c r="S1501" s="7">
        <f t="shared" si="336"/>
        <v>0</v>
      </c>
      <c r="T1501" s="35">
        <f t="shared" si="324"/>
        <v>1235.2</v>
      </c>
    </row>
    <row r="1502" spans="1:20">
      <c r="A1502" s="61" t="str">
        <f ca="1">IF(ISERROR(MATCH(C1502,Код_Раздел,0)),"",INDIRECT(ADDRESS(MATCH(C1502,Код_Раздел,0)+1,2,,,"Раздел")))</f>
        <v>Национальная экономика</v>
      </c>
      <c r="B1502" s="113" t="s">
        <v>384</v>
      </c>
      <c r="C1502" s="8" t="s">
        <v>214</v>
      </c>
      <c r="D1502" s="1"/>
      <c r="E1502" s="113"/>
      <c r="F1502" s="7">
        <f t="shared" si="336"/>
        <v>1235.2</v>
      </c>
      <c r="G1502" s="7">
        <f t="shared" si="336"/>
        <v>0</v>
      </c>
      <c r="H1502" s="35">
        <f t="shared" si="333"/>
        <v>1235.2</v>
      </c>
      <c r="I1502" s="7">
        <f t="shared" si="336"/>
        <v>0</v>
      </c>
      <c r="J1502" s="35">
        <f t="shared" si="329"/>
        <v>1235.2</v>
      </c>
      <c r="K1502" s="7">
        <f t="shared" si="336"/>
        <v>0</v>
      </c>
      <c r="L1502" s="35">
        <f t="shared" si="322"/>
        <v>1235.2</v>
      </c>
      <c r="M1502" s="7">
        <f t="shared" si="336"/>
        <v>0</v>
      </c>
      <c r="N1502" s="35">
        <f t="shared" si="332"/>
        <v>1235.2</v>
      </c>
      <c r="O1502" s="7">
        <f t="shared" si="336"/>
        <v>0</v>
      </c>
      <c r="P1502" s="35">
        <f t="shared" si="330"/>
        <v>1235.2</v>
      </c>
      <c r="Q1502" s="7">
        <f t="shared" si="336"/>
        <v>0</v>
      </c>
      <c r="R1502" s="35">
        <f t="shared" si="327"/>
        <v>1235.2</v>
      </c>
      <c r="S1502" s="7">
        <f t="shared" si="336"/>
        <v>0</v>
      </c>
      <c r="T1502" s="35">
        <f t="shared" si="324"/>
        <v>1235.2</v>
      </c>
    </row>
    <row r="1503" spans="1:20">
      <c r="A1503" s="12" t="s">
        <v>228</v>
      </c>
      <c r="B1503" s="113" t="s">
        <v>384</v>
      </c>
      <c r="C1503" s="8" t="s">
        <v>214</v>
      </c>
      <c r="D1503" s="1" t="s">
        <v>186</v>
      </c>
      <c r="E1503" s="113"/>
      <c r="F1503" s="7">
        <f t="shared" si="336"/>
        <v>1235.2</v>
      </c>
      <c r="G1503" s="7">
        <f t="shared" si="336"/>
        <v>0</v>
      </c>
      <c r="H1503" s="35">
        <f t="shared" si="333"/>
        <v>1235.2</v>
      </c>
      <c r="I1503" s="7">
        <f t="shared" si="336"/>
        <v>0</v>
      </c>
      <c r="J1503" s="35">
        <f t="shared" si="329"/>
        <v>1235.2</v>
      </c>
      <c r="K1503" s="7">
        <f t="shared" si="336"/>
        <v>0</v>
      </c>
      <c r="L1503" s="35">
        <f t="shared" si="322"/>
        <v>1235.2</v>
      </c>
      <c r="M1503" s="7">
        <f t="shared" si="336"/>
        <v>0</v>
      </c>
      <c r="N1503" s="35">
        <f t="shared" si="332"/>
        <v>1235.2</v>
      </c>
      <c r="O1503" s="7">
        <f t="shared" si="336"/>
        <v>0</v>
      </c>
      <c r="P1503" s="35">
        <f t="shared" si="330"/>
        <v>1235.2</v>
      </c>
      <c r="Q1503" s="7">
        <f t="shared" si="336"/>
        <v>0</v>
      </c>
      <c r="R1503" s="35">
        <f t="shared" si="327"/>
        <v>1235.2</v>
      </c>
      <c r="S1503" s="7">
        <f t="shared" si="336"/>
        <v>0</v>
      </c>
      <c r="T1503" s="35">
        <f t="shared" si="324"/>
        <v>1235.2</v>
      </c>
    </row>
    <row r="1504" spans="1:20" ht="33">
      <c r="A1504" s="61" t="str">
        <f ca="1">IF(ISERROR(MATCH(E1504,Код_КВР,0)),"",INDIRECT(ADDRESS(MATCH(E1504,Код_КВР,0)+1,2,,,"КВР")))</f>
        <v>Предоставление субсидий бюджетным, автономным учреждениям и иным некоммерческим организациям</v>
      </c>
      <c r="B1504" s="113" t="s">
        <v>384</v>
      </c>
      <c r="C1504" s="8" t="s">
        <v>214</v>
      </c>
      <c r="D1504" s="1" t="s">
        <v>186</v>
      </c>
      <c r="E1504" s="113">
        <v>600</v>
      </c>
      <c r="F1504" s="7">
        <f t="shared" si="336"/>
        <v>1235.2</v>
      </c>
      <c r="G1504" s="7">
        <f t="shared" si="336"/>
        <v>0</v>
      </c>
      <c r="H1504" s="35">
        <f t="shared" si="333"/>
        <v>1235.2</v>
      </c>
      <c r="I1504" s="7">
        <f t="shared" si="336"/>
        <v>0</v>
      </c>
      <c r="J1504" s="35">
        <f t="shared" si="329"/>
        <v>1235.2</v>
      </c>
      <c r="K1504" s="7">
        <f t="shared" si="336"/>
        <v>0</v>
      </c>
      <c r="L1504" s="35">
        <f t="shared" si="322"/>
        <v>1235.2</v>
      </c>
      <c r="M1504" s="7">
        <f t="shared" si="336"/>
        <v>0</v>
      </c>
      <c r="N1504" s="35">
        <f t="shared" si="332"/>
        <v>1235.2</v>
      </c>
      <c r="O1504" s="7">
        <f t="shared" si="336"/>
        <v>0</v>
      </c>
      <c r="P1504" s="35">
        <f t="shared" si="330"/>
        <v>1235.2</v>
      </c>
      <c r="Q1504" s="7">
        <f t="shared" si="336"/>
        <v>0</v>
      </c>
      <c r="R1504" s="35">
        <f t="shared" si="327"/>
        <v>1235.2</v>
      </c>
      <c r="S1504" s="7">
        <f t="shared" si="336"/>
        <v>0</v>
      </c>
      <c r="T1504" s="35">
        <f t="shared" si="324"/>
        <v>1235.2</v>
      </c>
    </row>
    <row r="1505" spans="1:20">
      <c r="A1505" s="61" t="str">
        <f ca="1">IF(ISERROR(MATCH(E1505,Код_КВР,0)),"",INDIRECT(ADDRESS(MATCH(E1505,Код_КВР,0)+1,2,,,"КВР")))</f>
        <v>Субсидии бюджетным учреждениям</v>
      </c>
      <c r="B1505" s="113" t="s">
        <v>384</v>
      </c>
      <c r="C1505" s="8" t="s">
        <v>214</v>
      </c>
      <c r="D1505" s="1" t="s">
        <v>186</v>
      </c>
      <c r="E1505" s="113">
        <v>610</v>
      </c>
      <c r="F1505" s="7">
        <f t="shared" si="336"/>
        <v>1235.2</v>
      </c>
      <c r="G1505" s="7">
        <f t="shared" si="336"/>
        <v>0</v>
      </c>
      <c r="H1505" s="35">
        <f t="shared" si="333"/>
        <v>1235.2</v>
      </c>
      <c r="I1505" s="7">
        <f t="shared" si="336"/>
        <v>0</v>
      </c>
      <c r="J1505" s="35">
        <f t="shared" si="329"/>
        <v>1235.2</v>
      </c>
      <c r="K1505" s="7">
        <f t="shared" si="336"/>
        <v>0</v>
      </c>
      <c r="L1505" s="35">
        <f t="shared" si="322"/>
        <v>1235.2</v>
      </c>
      <c r="M1505" s="7">
        <f t="shared" si="336"/>
        <v>0</v>
      </c>
      <c r="N1505" s="35">
        <f t="shared" si="332"/>
        <v>1235.2</v>
      </c>
      <c r="O1505" s="7">
        <f t="shared" si="336"/>
        <v>0</v>
      </c>
      <c r="P1505" s="35">
        <f t="shared" si="330"/>
        <v>1235.2</v>
      </c>
      <c r="Q1505" s="7">
        <f t="shared" si="336"/>
        <v>0</v>
      </c>
      <c r="R1505" s="35">
        <f t="shared" si="327"/>
        <v>1235.2</v>
      </c>
      <c r="S1505" s="7">
        <f t="shared" si="336"/>
        <v>0</v>
      </c>
      <c r="T1505" s="35">
        <f t="shared" si="324"/>
        <v>1235.2</v>
      </c>
    </row>
    <row r="1506" spans="1:20">
      <c r="A1506" s="61" t="str">
        <f ca="1">IF(ISERROR(MATCH(E1506,Код_КВР,0)),"",INDIRECT(ADDRESS(MATCH(E1506,Код_КВР,0)+1,2,,,"КВР")))</f>
        <v>Субсидии бюджетным учреждениям на иные цели</v>
      </c>
      <c r="B1506" s="113" t="s">
        <v>384</v>
      </c>
      <c r="C1506" s="8" t="s">
        <v>214</v>
      </c>
      <c r="D1506" s="1" t="s">
        <v>186</v>
      </c>
      <c r="E1506" s="113">
        <v>612</v>
      </c>
      <c r="F1506" s="7">
        <f>прил.6!G276</f>
        <v>1235.2</v>
      </c>
      <c r="G1506" s="7">
        <f>прил.6!H276</f>
        <v>0</v>
      </c>
      <c r="H1506" s="35">
        <f t="shared" si="333"/>
        <v>1235.2</v>
      </c>
      <c r="I1506" s="7">
        <f>прил.6!J276</f>
        <v>0</v>
      </c>
      <c r="J1506" s="35">
        <f t="shared" si="329"/>
        <v>1235.2</v>
      </c>
      <c r="K1506" s="7">
        <f>прил.6!L276</f>
        <v>0</v>
      </c>
      <c r="L1506" s="35">
        <f t="shared" si="322"/>
        <v>1235.2</v>
      </c>
      <c r="M1506" s="7">
        <f>прил.6!N276</f>
        <v>0</v>
      </c>
      <c r="N1506" s="35">
        <f t="shared" si="332"/>
        <v>1235.2</v>
      </c>
      <c r="O1506" s="7">
        <f>прил.6!P276</f>
        <v>0</v>
      </c>
      <c r="P1506" s="35">
        <f t="shared" si="330"/>
        <v>1235.2</v>
      </c>
      <c r="Q1506" s="7">
        <f>прил.6!R276</f>
        <v>0</v>
      </c>
      <c r="R1506" s="35">
        <f t="shared" si="327"/>
        <v>1235.2</v>
      </c>
      <c r="S1506" s="7">
        <f>прил.6!T276</f>
        <v>0</v>
      </c>
      <c r="T1506" s="35">
        <f t="shared" si="324"/>
        <v>1235.2</v>
      </c>
    </row>
    <row r="1507" spans="1:20" ht="33">
      <c r="A1507" s="61" t="str">
        <f t="shared" ref="A1507:A1524" ca="1" si="337">IF(ISERROR(MATCH(B1507,Код_КЦСР,0)),"",INDIRECT(ADDRESS(MATCH(B1507,Код_КЦСР,0)+1,2,,,"КЦСР")))</f>
        <v>Повышение безопасности дорожного движения в городе Череповце</v>
      </c>
      <c r="B1507" s="43" t="s">
        <v>154</v>
      </c>
      <c r="C1507" s="8"/>
      <c r="D1507" s="1"/>
      <c r="E1507" s="113"/>
      <c r="F1507" s="7">
        <f t="shared" ref="F1507:S1519" si="338">F1508</f>
        <v>30</v>
      </c>
      <c r="G1507" s="7">
        <f t="shared" si="338"/>
        <v>0</v>
      </c>
      <c r="H1507" s="35">
        <f t="shared" si="333"/>
        <v>30</v>
      </c>
      <c r="I1507" s="7">
        <f t="shared" si="338"/>
        <v>0</v>
      </c>
      <c r="J1507" s="35">
        <f t="shared" si="329"/>
        <v>30</v>
      </c>
      <c r="K1507" s="7">
        <f t="shared" si="338"/>
        <v>0</v>
      </c>
      <c r="L1507" s="35">
        <f t="shared" si="322"/>
        <v>30</v>
      </c>
      <c r="M1507" s="7">
        <f t="shared" si="338"/>
        <v>0</v>
      </c>
      <c r="N1507" s="35">
        <f t="shared" si="332"/>
        <v>30</v>
      </c>
      <c r="O1507" s="7">
        <f t="shared" si="338"/>
        <v>0</v>
      </c>
      <c r="P1507" s="35">
        <f t="shared" si="330"/>
        <v>30</v>
      </c>
      <c r="Q1507" s="7">
        <f t="shared" si="338"/>
        <v>0</v>
      </c>
      <c r="R1507" s="35">
        <f t="shared" si="327"/>
        <v>30</v>
      </c>
      <c r="S1507" s="7">
        <f t="shared" si="338"/>
        <v>0</v>
      </c>
      <c r="T1507" s="35">
        <f t="shared" si="324"/>
        <v>30</v>
      </c>
    </row>
    <row r="1508" spans="1:20" ht="49.5">
      <c r="A1508" s="61" t="str">
        <f t="shared" ca="1" si="337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508" s="43" t="s">
        <v>156</v>
      </c>
      <c r="C1508" s="8"/>
      <c r="D1508" s="1"/>
      <c r="E1508" s="113"/>
      <c r="F1508" s="7">
        <f t="shared" si="338"/>
        <v>30</v>
      </c>
      <c r="G1508" s="7">
        <f t="shared" si="338"/>
        <v>0</v>
      </c>
      <c r="H1508" s="35">
        <f t="shared" si="333"/>
        <v>30</v>
      </c>
      <c r="I1508" s="7">
        <f t="shared" si="338"/>
        <v>0</v>
      </c>
      <c r="J1508" s="35">
        <f t="shared" si="329"/>
        <v>30</v>
      </c>
      <c r="K1508" s="7">
        <f t="shared" si="338"/>
        <v>0</v>
      </c>
      <c r="L1508" s="35">
        <f t="shared" si="322"/>
        <v>30</v>
      </c>
      <c r="M1508" s="7">
        <f t="shared" si="338"/>
        <v>0</v>
      </c>
      <c r="N1508" s="35">
        <f t="shared" si="332"/>
        <v>30</v>
      </c>
      <c r="O1508" s="7">
        <f t="shared" si="338"/>
        <v>0</v>
      </c>
      <c r="P1508" s="35">
        <f t="shared" si="330"/>
        <v>30</v>
      </c>
      <c r="Q1508" s="7">
        <f t="shared" si="338"/>
        <v>0</v>
      </c>
      <c r="R1508" s="35">
        <f t="shared" si="327"/>
        <v>30</v>
      </c>
      <c r="S1508" s="7">
        <f t="shared" si="338"/>
        <v>0</v>
      </c>
      <c r="T1508" s="35">
        <f t="shared" si="324"/>
        <v>30</v>
      </c>
    </row>
    <row r="1509" spans="1:20">
      <c r="A1509" s="61" t="str">
        <f ca="1">IF(ISERROR(MATCH(C1509,Код_Раздел,0)),"",INDIRECT(ADDRESS(MATCH(C1509,Код_Раздел,0)+1,2,,,"Раздел")))</f>
        <v>Образование</v>
      </c>
      <c r="B1509" s="43" t="s">
        <v>156</v>
      </c>
      <c r="C1509" s="8" t="s">
        <v>193</v>
      </c>
      <c r="D1509" s="1"/>
      <c r="E1509" s="113"/>
      <c r="F1509" s="7">
        <f t="shared" si="338"/>
        <v>30</v>
      </c>
      <c r="G1509" s="7">
        <f t="shared" si="338"/>
        <v>0</v>
      </c>
      <c r="H1509" s="35">
        <f t="shared" si="333"/>
        <v>30</v>
      </c>
      <c r="I1509" s="7">
        <f t="shared" si="338"/>
        <v>0</v>
      </c>
      <c r="J1509" s="35">
        <f t="shared" si="329"/>
        <v>30</v>
      </c>
      <c r="K1509" s="7">
        <f t="shared" si="338"/>
        <v>0</v>
      </c>
      <c r="L1509" s="35">
        <f t="shared" ref="L1509:L1580" si="339">J1509+K1509</f>
        <v>30</v>
      </c>
      <c r="M1509" s="7">
        <f t="shared" si="338"/>
        <v>0</v>
      </c>
      <c r="N1509" s="35">
        <f t="shared" si="332"/>
        <v>30</v>
      </c>
      <c r="O1509" s="7">
        <f t="shared" si="338"/>
        <v>0</v>
      </c>
      <c r="P1509" s="35">
        <f t="shared" si="330"/>
        <v>30</v>
      </c>
      <c r="Q1509" s="7">
        <f t="shared" si="338"/>
        <v>0</v>
      </c>
      <c r="R1509" s="35">
        <f t="shared" si="327"/>
        <v>30</v>
      </c>
      <c r="S1509" s="7">
        <f t="shared" si="338"/>
        <v>0</v>
      </c>
      <c r="T1509" s="35">
        <f t="shared" si="324"/>
        <v>30</v>
      </c>
    </row>
    <row r="1510" spans="1:20">
      <c r="A1510" s="12" t="s">
        <v>249</v>
      </c>
      <c r="B1510" s="43" t="s">
        <v>156</v>
      </c>
      <c r="C1510" s="8" t="s">
        <v>193</v>
      </c>
      <c r="D1510" s="1" t="s">
        <v>217</v>
      </c>
      <c r="E1510" s="113"/>
      <c r="F1510" s="7">
        <f t="shared" si="338"/>
        <v>30</v>
      </c>
      <c r="G1510" s="7">
        <f t="shared" si="338"/>
        <v>0</v>
      </c>
      <c r="H1510" s="35">
        <f t="shared" si="333"/>
        <v>30</v>
      </c>
      <c r="I1510" s="7">
        <f t="shared" si="338"/>
        <v>0</v>
      </c>
      <c r="J1510" s="35">
        <f t="shared" si="329"/>
        <v>30</v>
      </c>
      <c r="K1510" s="7">
        <f t="shared" si="338"/>
        <v>0</v>
      </c>
      <c r="L1510" s="35">
        <f t="shared" si="339"/>
        <v>30</v>
      </c>
      <c r="M1510" s="7">
        <f t="shared" si="338"/>
        <v>0</v>
      </c>
      <c r="N1510" s="35">
        <f t="shared" si="332"/>
        <v>30</v>
      </c>
      <c r="O1510" s="7">
        <f t="shared" si="338"/>
        <v>0</v>
      </c>
      <c r="P1510" s="35">
        <f t="shared" si="330"/>
        <v>30</v>
      </c>
      <c r="Q1510" s="7">
        <f t="shared" si="338"/>
        <v>0</v>
      </c>
      <c r="R1510" s="35">
        <f t="shared" si="327"/>
        <v>30</v>
      </c>
      <c r="S1510" s="7">
        <f t="shared" si="338"/>
        <v>0</v>
      </c>
      <c r="T1510" s="35">
        <f t="shared" si="324"/>
        <v>30</v>
      </c>
    </row>
    <row r="1511" spans="1:20" ht="33">
      <c r="A1511" s="61" t="str">
        <f ca="1">IF(ISERROR(MATCH(E1511,Код_КВР,0)),"",INDIRECT(ADDRESS(MATCH(E1511,Код_КВР,0)+1,2,,,"КВР")))</f>
        <v>Предоставление субсидий бюджетным, автономным учреждениям и иным некоммерческим организациям</v>
      </c>
      <c r="B1511" s="43" t="s">
        <v>156</v>
      </c>
      <c r="C1511" s="8" t="s">
        <v>193</v>
      </c>
      <c r="D1511" s="1" t="s">
        <v>217</v>
      </c>
      <c r="E1511" s="113">
        <v>600</v>
      </c>
      <c r="F1511" s="7">
        <f t="shared" si="338"/>
        <v>30</v>
      </c>
      <c r="G1511" s="7">
        <f t="shared" si="338"/>
        <v>0</v>
      </c>
      <c r="H1511" s="35">
        <f t="shared" si="333"/>
        <v>30</v>
      </c>
      <c r="I1511" s="7">
        <f t="shared" si="338"/>
        <v>0</v>
      </c>
      <c r="J1511" s="35">
        <f t="shared" si="329"/>
        <v>30</v>
      </c>
      <c r="K1511" s="7">
        <f t="shared" si="338"/>
        <v>0</v>
      </c>
      <c r="L1511" s="35">
        <f t="shared" si="339"/>
        <v>30</v>
      </c>
      <c r="M1511" s="7">
        <f t="shared" si="338"/>
        <v>0</v>
      </c>
      <c r="N1511" s="35">
        <f t="shared" si="332"/>
        <v>30</v>
      </c>
      <c r="O1511" s="7">
        <f t="shared" si="338"/>
        <v>0</v>
      </c>
      <c r="P1511" s="35">
        <f t="shared" si="330"/>
        <v>30</v>
      </c>
      <c r="Q1511" s="7">
        <f t="shared" si="338"/>
        <v>0</v>
      </c>
      <c r="R1511" s="35">
        <f t="shared" si="327"/>
        <v>30</v>
      </c>
      <c r="S1511" s="7">
        <f t="shared" si="338"/>
        <v>0</v>
      </c>
      <c r="T1511" s="35">
        <f t="shared" si="324"/>
        <v>30</v>
      </c>
    </row>
    <row r="1512" spans="1:20">
      <c r="A1512" s="61" t="str">
        <f ca="1">IF(ISERROR(MATCH(E1512,Код_КВР,0)),"",INDIRECT(ADDRESS(MATCH(E1512,Код_КВР,0)+1,2,,,"КВР")))</f>
        <v>Субсидии бюджетным учреждениям</v>
      </c>
      <c r="B1512" s="43" t="s">
        <v>156</v>
      </c>
      <c r="C1512" s="8" t="s">
        <v>193</v>
      </c>
      <c r="D1512" s="1" t="s">
        <v>217</v>
      </c>
      <c r="E1512" s="113">
        <v>610</v>
      </c>
      <c r="F1512" s="7">
        <f t="shared" si="338"/>
        <v>30</v>
      </c>
      <c r="G1512" s="7">
        <f t="shared" si="338"/>
        <v>0</v>
      </c>
      <c r="H1512" s="35">
        <f t="shared" si="333"/>
        <v>30</v>
      </c>
      <c r="I1512" s="7">
        <f t="shared" si="338"/>
        <v>0</v>
      </c>
      <c r="J1512" s="35">
        <f t="shared" si="329"/>
        <v>30</v>
      </c>
      <c r="K1512" s="7">
        <f t="shared" si="338"/>
        <v>0</v>
      </c>
      <c r="L1512" s="35">
        <f t="shared" si="339"/>
        <v>30</v>
      </c>
      <c r="M1512" s="7">
        <f t="shared" si="338"/>
        <v>0</v>
      </c>
      <c r="N1512" s="35">
        <f t="shared" si="332"/>
        <v>30</v>
      </c>
      <c r="O1512" s="7">
        <f t="shared" si="338"/>
        <v>0</v>
      </c>
      <c r="P1512" s="35">
        <f t="shared" si="330"/>
        <v>30</v>
      </c>
      <c r="Q1512" s="7">
        <f t="shared" si="338"/>
        <v>0</v>
      </c>
      <c r="R1512" s="35">
        <f t="shared" si="327"/>
        <v>30</v>
      </c>
      <c r="S1512" s="7">
        <f t="shared" si="338"/>
        <v>0</v>
      </c>
      <c r="T1512" s="35">
        <f t="shared" si="324"/>
        <v>30</v>
      </c>
    </row>
    <row r="1513" spans="1:20">
      <c r="A1513" s="61" t="str">
        <f ca="1">IF(ISERROR(MATCH(E1513,Код_КВР,0)),"",INDIRECT(ADDRESS(MATCH(E1513,Код_КВР,0)+1,2,,,"КВР")))</f>
        <v>Субсидии бюджетным учреждениям на иные цели</v>
      </c>
      <c r="B1513" s="43" t="s">
        <v>156</v>
      </c>
      <c r="C1513" s="8" t="s">
        <v>193</v>
      </c>
      <c r="D1513" s="1" t="s">
        <v>217</v>
      </c>
      <c r="E1513" s="113">
        <v>612</v>
      </c>
      <c r="F1513" s="7">
        <f>прил.6!G804</f>
        <v>30</v>
      </c>
      <c r="G1513" s="7">
        <f>прил.6!H804</f>
        <v>0</v>
      </c>
      <c r="H1513" s="35">
        <f t="shared" si="333"/>
        <v>30</v>
      </c>
      <c r="I1513" s="7">
        <f>прил.6!J804</f>
        <v>0</v>
      </c>
      <c r="J1513" s="35">
        <f t="shared" si="329"/>
        <v>30</v>
      </c>
      <c r="K1513" s="7">
        <f>прил.6!L804</f>
        <v>0</v>
      </c>
      <c r="L1513" s="35">
        <f t="shared" si="339"/>
        <v>30</v>
      </c>
      <c r="M1513" s="7">
        <f>прил.6!N804</f>
        <v>0</v>
      </c>
      <c r="N1513" s="35">
        <f t="shared" si="332"/>
        <v>30</v>
      </c>
      <c r="O1513" s="7">
        <f>прил.6!P804</f>
        <v>0</v>
      </c>
      <c r="P1513" s="35">
        <f t="shared" si="330"/>
        <v>30</v>
      </c>
      <c r="Q1513" s="7">
        <f>прил.6!R804</f>
        <v>0</v>
      </c>
      <c r="R1513" s="35">
        <f t="shared" si="327"/>
        <v>30</v>
      </c>
      <c r="S1513" s="7">
        <f>прил.6!T804</f>
        <v>0</v>
      </c>
      <c r="T1513" s="35">
        <f t="shared" si="324"/>
        <v>30</v>
      </c>
    </row>
    <row r="1514" spans="1:20" ht="21.75" customHeight="1">
      <c r="A1514" s="61" t="str">
        <f t="shared" ca="1" si="337"/>
        <v>Резервные фонды Правительства области</v>
      </c>
      <c r="B1514" s="43" t="s">
        <v>686</v>
      </c>
      <c r="C1514" s="8"/>
      <c r="D1514" s="1"/>
      <c r="E1514" s="113"/>
      <c r="F1514" s="7"/>
      <c r="G1514" s="7"/>
      <c r="H1514" s="35"/>
      <c r="I1514" s="7"/>
      <c r="J1514" s="35"/>
      <c r="K1514" s="7"/>
      <c r="L1514" s="35"/>
      <c r="M1514" s="7"/>
      <c r="N1514" s="35"/>
      <c r="O1514" s="7"/>
      <c r="P1514" s="35"/>
      <c r="Q1514" s="7"/>
      <c r="R1514" s="35"/>
      <c r="S1514" s="7">
        <f t="shared" si="338"/>
        <v>200</v>
      </c>
      <c r="T1514" s="35">
        <f t="shared" si="324"/>
        <v>200</v>
      </c>
    </row>
    <row r="1515" spans="1:20" ht="69" customHeight="1">
      <c r="A1515" s="61" t="str">
        <f t="shared" ca="1" si="337"/>
        <v>Резервные фонды исполнительных органов государственной власти субъектов Российской Федерации (на частичное финансирование непредвиденных расходов по созданию детских музейных центров)</v>
      </c>
      <c r="B1515" s="43" t="s">
        <v>688</v>
      </c>
      <c r="C1515" s="8"/>
      <c r="D1515" s="1"/>
      <c r="E1515" s="113"/>
      <c r="F1515" s="7"/>
      <c r="G1515" s="7"/>
      <c r="H1515" s="35"/>
      <c r="I1515" s="7"/>
      <c r="J1515" s="35"/>
      <c r="K1515" s="7"/>
      <c r="L1515" s="35"/>
      <c r="M1515" s="7"/>
      <c r="N1515" s="35"/>
      <c r="O1515" s="7"/>
      <c r="P1515" s="35"/>
      <c r="Q1515" s="7"/>
      <c r="R1515" s="35"/>
      <c r="S1515" s="7">
        <f t="shared" si="338"/>
        <v>200</v>
      </c>
      <c r="T1515" s="35">
        <f t="shared" si="324"/>
        <v>200</v>
      </c>
    </row>
    <row r="1516" spans="1:20">
      <c r="A1516" s="61" t="str">
        <f ca="1">IF(ISERROR(MATCH(C1516,Код_Раздел,0)),"",INDIRECT(ADDRESS(MATCH(C1516,Код_Раздел,0)+1,2,,,"Раздел")))</f>
        <v>Культура, кинематография</v>
      </c>
      <c r="B1516" s="43" t="s">
        <v>688</v>
      </c>
      <c r="C1516" s="8" t="s">
        <v>220</v>
      </c>
      <c r="D1516" s="1"/>
      <c r="E1516" s="113"/>
      <c r="F1516" s="7"/>
      <c r="G1516" s="7"/>
      <c r="H1516" s="35"/>
      <c r="I1516" s="7"/>
      <c r="J1516" s="35"/>
      <c r="K1516" s="7"/>
      <c r="L1516" s="35"/>
      <c r="M1516" s="7"/>
      <c r="N1516" s="35"/>
      <c r="O1516" s="7"/>
      <c r="P1516" s="35"/>
      <c r="Q1516" s="7"/>
      <c r="R1516" s="35"/>
      <c r="S1516" s="7">
        <f t="shared" si="338"/>
        <v>200</v>
      </c>
      <c r="T1516" s="35">
        <f t="shared" si="324"/>
        <v>200</v>
      </c>
    </row>
    <row r="1517" spans="1:20">
      <c r="A1517" s="12" t="s">
        <v>161</v>
      </c>
      <c r="B1517" s="43" t="s">
        <v>688</v>
      </c>
      <c r="C1517" s="8" t="s">
        <v>220</v>
      </c>
      <c r="D1517" s="1" t="s">
        <v>214</v>
      </c>
      <c r="E1517" s="113"/>
      <c r="F1517" s="7"/>
      <c r="G1517" s="7"/>
      <c r="H1517" s="35"/>
      <c r="I1517" s="7"/>
      <c r="J1517" s="35"/>
      <c r="K1517" s="7"/>
      <c r="L1517" s="35"/>
      <c r="M1517" s="7"/>
      <c r="N1517" s="35"/>
      <c r="O1517" s="7"/>
      <c r="P1517" s="35"/>
      <c r="Q1517" s="7"/>
      <c r="R1517" s="35"/>
      <c r="S1517" s="7">
        <f t="shared" si="338"/>
        <v>200</v>
      </c>
      <c r="T1517" s="35">
        <f t="shared" si="324"/>
        <v>200</v>
      </c>
    </row>
    <row r="1518" spans="1:20" ht="36.75" customHeight="1">
      <c r="A1518" s="61" t="str">
        <f ca="1">IF(ISERROR(MATCH(E1518,Код_КВР,0)),"",INDIRECT(ADDRESS(MATCH(E1518,Код_КВР,0)+1,2,,,"КВР")))</f>
        <v>Предоставление субсидий бюджетным, автономным учреждениям и иным некоммерческим организациям</v>
      </c>
      <c r="B1518" s="43" t="s">
        <v>688</v>
      </c>
      <c r="C1518" s="8" t="s">
        <v>220</v>
      </c>
      <c r="D1518" s="1" t="s">
        <v>214</v>
      </c>
      <c r="E1518" s="113">
        <v>600</v>
      </c>
      <c r="F1518" s="7"/>
      <c r="G1518" s="7"/>
      <c r="H1518" s="35"/>
      <c r="I1518" s="7"/>
      <c r="J1518" s="35"/>
      <c r="K1518" s="7"/>
      <c r="L1518" s="35"/>
      <c r="M1518" s="7"/>
      <c r="N1518" s="35"/>
      <c r="O1518" s="7"/>
      <c r="P1518" s="35"/>
      <c r="Q1518" s="7"/>
      <c r="R1518" s="35"/>
      <c r="S1518" s="7">
        <f t="shared" si="338"/>
        <v>200</v>
      </c>
      <c r="T1518" s="35">
        <f t="shared" si="324"/>
        <v>200</v>
      </c>
    </row>
    <row r="1519" spans="1:20">
      <c r="A1519" s="61" t="str">
        <f ca="1">IF(ISERROR(MATCH(E1519,Код_КВР,0)),"",INDIRECT(ADDRESS(MATCH(E1519,Код_КВР,0)+1,2,,,"КВР")))</f>
        <v>Субсидии бюджетным учреждениям</v>
      </c>
      <c r="B1519" s="43" t="s">
        <v>688</v>
      </c>
      <c r="C1519" s="8" t="s">
        <v>220</v>
      </c>
      <c r="D1519" s="1" t="s">
        <v>214</v>
      </c>
      <c r="E1519" s="113">
        <v>610</v>
      </c>
      <c r="F1519" s="7"/>
      <c r="G1519" s="7"/>
      <c r="H1519" s="35"/>
      <c r="I1519" s="7"/>
      <c r="J1519" s="35"/>
      <c r="K1519" s="7"/>
      <c r="L1519" s="35"/>
      <c r="M1519" s="7"/>
      <c r="N1519" s="35"/>
      <c r="O1519" s="7"/>
      <c r="P1519" s="35"/>
      <c r="Q1519" s="7"/>
      <c r="R1519" s="35"/>
      <c r="S1519" s="7">
        <f t="shared" si="338"/>
        <v>200</v>
      </c>
      <c r="T1519" s="35">
        <f t="shared" si="324"/>
        <v>200</v>
      </c>
    </row>
    <row r="1520" spans="1:20">
      <c r="A1520" s="61" t="str">
        <f ca="1">IF(ISERROR(MATCH(E1520,Код_КВР,0)),"",INDIRECT(ADDRESS(MATCH(E1520,Код_КВР,0)+1,2,,,"КВР")))</f>
        <v>Субсидии бюджетным учреждениям на иные цели</v>
      </c>
      <c r="B1520" s="43" t="s">
        <v>688</v>
      </c>
      <c r="C1520" s="8" t="s">
        <v>220</v>
      </c>
      <c r="D1520" s="1" t="s">
        <v>214</v>
      </c>
      <c r="E1520" s="113">
        <v>612</v>
      </c>
      <c r="F1520" s="7"/>
      <c r="G1520" s="7"/>
      <c r="H1520" s="35"/>
      <c r="I1520" s="7"/>
      <c r="J1520" s="35"/>
      <c r="K1520" s="7"/>
      <c r="L1520" s="35"/>
      <c r="M1520" s="7"/>
      <c r="N1520" s="35"/>
      <c r="O1520" s="7"/>
      <c r="P1520" s="35"/>
      <c r="Q1520" s="7"/>
      <c r="R1520" s="35"/>
      <c r="S1520" s="7">
        <f>прил.6!T1183</f>
        <v>200</v>
      </c>
      <c r="T1520" s="35">
        <f t="shared" si="324"/>
        <v>200</v>
      </c>
    </row>
    <row r="1521" spans="1:20" ht="33">
      <c r="A1521" s="61" t="str">
        <f t="shared" ca="1" si="337"/>
        <v>Непрограммные направления деятельности органов местного самоуправления</v>
      </c>
      <c r="B1521" s="43" t="s">
        <v>295</v>
      </c>
      <c r="C1521" s="8"/>
      <c r="D1521" s="1"/>
      <c r="E1521" s="113"/>
      <c r="F1521" s="7">
        <f>F1522</f>
        <v>648834.49999999988</v>
      </c>
      <c r="G1521" s="7">
        <f>G1522</f>
        <v>-73691.899999999994</v>
      </c>
      <c r="H1521" s="35">
        <f t="shared" si="333"/>
        <v>575142.59999999986</v>
      </c>
      <c r="I1521" s="7">
        <f>I1522</f>
        <v>-1678.800000000002</v>
      </c>
      <c r="J1521" s="35">
        <f t="shared" si="329"/>
        <v>573463.79999999981</v>
      </c>
      <c r="K1521" s="7">
        <f>K1522</f>
        <v>-45776.7</v>
      </c>
      <c r="L1521" s="35">
        <f t="shared" si="339"/>
        <v>527687.09999999986</v>
      </c>
      <c r="M1521" s="7">
        <f>M1522</f>
        <v>-3849.2</v>
      </c>
      <c r="N1521" s="35">
        <f t="shared" si="332"/>
        <v>523837.89999999985</v>
      </c>
      <c r="O1521" s="7">
        <f>O1522</f>
        <v>0</v>
      </c>
      <c r="P1521" s="35">
        <f t="shared" si="330"/>
        <v>523837.89999999985</v>
      </c>
      <c r="Q1521" s="7">
        <f>Q1522</f>
        <v>3860.4</v>
      </c>
      <c r="R1521" s="35">
        <f>P1521+Q1521</f>
        <v>527698.29999999981</v>
      </c>
      <c r="S1521" s="7">
        <f>S1522</f>
        <v>944.2</v>
      </c>
      <c r="T1521" s="35">
        <f t="shared" si="324"/>
        <v>528642.49999999977</v>
      </c>
    </row>
    <row r="1522" spans="1:20" ht="33">
      <c r="A1522" s="61" t="str">
        <f t="shared" ca="1" si="337"/>
        <v>Расходы, не включенные в муниципальные программы города Череповца</v>
      </c>
      <c r="B1522" s="43" t="s">
        <v>297</v>
      </c>
      <c r="C1522" s="8"/>
      <c r="D1522" s="1"/>
      <c r="E1522" s="113"/>
      <c r="F1522" s="7">
        <f>F1523+F1631+F1650+F1681+F1662+F1673+F1719+F1727+F1741+F1749+F1757+F1762+F1768+F1783+F1791+F1796+F1801+F1812+F1818</f>
        <v>648834.49999999988</v>
      </c>
      <c r="G1522" s="7">
        <f>G1523+G1631+G1650+G1681+G1662+G1673+G1719+G1727+G1741+G1749+G1757+G1762+G1768+G1783+G1791+G1796+G1801+G1812+G1818</f>
        <v>-73691.899999999994</v>
      </c>
      <c r="H1522" s="35">
        <f t="shared" si="333"/>
        <v>575142.59999999986</v>
      </c>
      <c r="I1522" s="7">
        <f>I1523+I1631+I1650+I1681+I1662+I1673+I1719+I1727+I1741+I1749+I1757+I1762+I1768+I1783+I1791+I1796+I1801+I1812+I1818</f>
        <v>-1678.800000000002</v>
      </c>
      <c r="J1522" s="35">
        <f t="shared" si="329"/>
        <v>573463.79999999981</v>
      </c>
      <c r="K1522" s="7">
        <f>K1523+K1631+K1650+K1681+K1662+K1673+K1719+K1727+K1741+K1749+K1757+K1762+K1768+K1783+K1791+K1796+K1801+K1812+K1818</f>
        <v>-45776.7</v>
      </c>
      <c r="L1522" s="35">
        <f t="shared" si="339"/>
        <v>527687.09999999986</v>
      </c>
      <c r="M1522" s="7">
        <f>M1523+M1631+M1644+M1650+M1681+M1656+M1662+M1673+M1719+M1727+M1741+M1749+M1757+M1762+M1768+M1783+M1791+M1796+M1801+M1812+M1818</f>
        <v>-3849.2</v>
      </c>
      <c r="N1522" s="35">
        <f t="shared" si="332"/>
        <v>523837.89999999985</v>
      </c>
      <c r="O1522" s="7">
        <f>O1523+O1631+O1644+O1650+O1681+O1656+O1662+O1673+O1719+O1727+O1741+O1749+O1757+O1762+O1768+O1783+O1791+O1796+O1801+O1812+O1818</f>
        <v>0</v>
      </c>
      <c r="P1522" s="35">
        <f t="shared" si="330"/>
        <v>523837.89999999985</v>
      </c>
      <c r="Q1522" s="7">
        <f>Q1523+Q1631+Q1644+Q1650+Q1681+Q1656+Q1662+Q1673+Q1719+Q1727+Q1741+Q1749+Q1757+Q1762+Q1768+Q1783+Q1791+Q1796+Q1801+Q1812+Q1818</f>
        <v>3860.4</v>
      </c>
      <c r="R1522" s="35">
        <f t="shared" si="327"/>
        <v>527698.29999999981</v>
      </c>
      <c r="S1522" s="7">
        <f>S1523+S1631+S1644+S1650+S1681+S1656+S1662+S1673+S1719+S1727+S1741+S1749+S1757+S1762+S1768+S1783+S1791+S1796+S1801+S1812+S1818+S1668+S1806</f>
        <v>944.2</v>
      </c>
      <c r="T1522" s="35">
        <f t="shared" si="324"/>
        <v>528642.49999999977</v>
      </c>
    </row>
    <row r="1523" spans="1:20" ht="33">
      <c r="A1523" s="61" t="str">
        <f t="shared" ca="1" si="337"/>
        <v>Руководство и управление в сфере установленных функций органов местного самоуправления</v>
      </c>
      <c r="B1523" s="43" t="s">
        <v>299</v>
      </c>
      <c r="C1523" s="8"/>
      <c r="D1523" s="1"/>
      <c r="E1523" s="113"/>
      <c r="F1523" s="7">
        <f>F1524++F1529+F1621+F1626</f>
        <v>342834.49999999988</v>
      </c>
      <c r="G1523" s="7">
        <f>G1524++G1529+G1621+G1626</f>
        <v>0</v>
      </c>
      <c r="H1523" s="35">
        <f t="shared" si="333"/>
        <v>342834.49999999988</v>
      </c>
      <c r="I1523" s="7">
        <f>I1524++I1529+I1621+I1626</f>
        <v>-1048.7</v>
      </c>
      <c r="J1523" s="35">
        <f t="shared" si="329"/>
        <v>341785.79999999987</v>
      </c>
      <c r="K1523" s="7">
        <f>K1524++K1529+K1621+K1626</f>
        <v>0</v>
      </c>
      <c r="L1523" s="35">
        <f t="shared" si="339"/>
        <v>341785.79999999987</v>
      </c>
      <c r="M1523" s="7">
        <f>M1524++M1529+M1621+M1626</f>
        <v>222.5</v>
      </c>
      <c r="N1523" s="35">
        <f t="shared" si="332"/>
        <v>342008.29999999987</v>
      </c>
      <c r="O1523" s="7">
        <f>O1524++O1529+O1621+O1626</f>
        <v>0</v>
      </c>
      <c r="P1523" s="35">
        <f t="shared" si="330"/>
        <v>342008.29999999987</v>
      </c>
      <c r="Q1523" s="7">
        <f>Q1524++Q1529+Q1621+Q1626</f>
        <v>-502.09999999999991</v>
      </c>
      <c r="R1523" s="35">
        <f t="shared" si="327"/>
        <v>341506.1999999999</v>
      </c>
      <c r="S1523" s="7">
        <f>S1524++S1529+S1621+S1626</f>
        <v>-336.8</v>
      </c>
      <c r="T1523" s="35">
        <f t="shared" si="324"/>
        <v>341169.39999999991</v>
      </c>
    </row>
    <row r="1524" spans="1:20">
      <c r="A1524" s="61" t="str">
        <f t="shared" ca="1" si="337"/>
        <v>Глава муниципального образования</v>
      </c>
      <c r="B1524" s="43" t="s">
        <v>301</v>
      </c>
      <c r="C1524" s="8"/>
      <c r="D1524" s="1"/>
      <c r="E1524" s="113"/>
      <c r="F1524" s="7">
        <f t="shared" ref="F1524:S1527" si="340">F1525</f>
        <v>2998</v>
      </c>
      <c r="G1524" s="7">
        <f t="shared" si="340"/>
        <v>0</v>
      </c>
      <c r="H1524" s="35">
        <f t="shared" si="333"/>
        <v>2998</v>
      </c>
      <c r="I1524" s="7">
        <f t="shared" si="340"/>
        <v>0</v>
      </c>
      <c r="J1524" s="35">
        <f t="shared" si="329"/>
        <v>2998</v>
      </c>
      <c r="K1524" s="7">
        <f t="shared" si="340"/>
        <v>0</v>
      </c>
      <c r="L1524" s="35">
        <f t="shared" si="339"/>
        <v>2998</v>
      </c>
      <c r="M1524" s="7">
        <f t="shared" si="340"/>
        <v>0</v>
      </c>
      <c r="N1524" s="35">
        <f t="shared" si="332"/>
        <v>2998</v>
      </c>
      <c r="O1524" s="7">
        <f t="shared" si="340"/>
        <v>0</v>
      </c>
      <c r="P1524" s="35">
        <f t="shared" si="330"/>
        <v>2998</v>
      </c>
      <c r="Q1524" s="7">
        <f t="shared" si="340"/>
        <v>0</v>
      </c>
      <c r="R1524" s="35">
        <f t="shared" si="327"/>
        <v>2998</v>
      </c>
      <c r="S1524" s="7">
        <f t="shared" si="340"/>
        <v>0</v>
      </c>
      <c r="T1524" s="35">
        <f t="shared" si="324"/>
        <v>2998</v>
      </c>
    </row>
    <row r="1525" spans="1:20">
      <c r="A1525" s="61" t="str">
        <f ca="1">IF(ISERROR(MATCH(C1525,Код_Раздел,0)),"",INDIRECT(ADDRESS(MATCH(C1525,Код_Раздел,0)+1,2,,,"Раздел")))</f>
        <v>Общегосударственные  вопросы</v>
      </c>
      <c r="B1525" s="43" t="s">
        <v>301</v>
      </c>
      <c r="C1525" s="8" t="s">
        <v>211</v>
      </c>
      <c r="D1525" s="1"/>
      <c r="E1525" s="113"/>
      <c r="F1525" s="7">
        <f t="shared" si="340"/>
        <v>2998</v>
      </c>
      <c r="G1525" s="7">
        <f t="shared" si="340"/>
        <v>0</v>
      </c>
      <c r="H1525" s="35">
        <f t="shared" si="333"/>
        <v>2998</v>
      </c>
      <c r="I1525" s="7">
        <f t="shared" si="340"/>
        <v>0</v>
      </c>
      <c r="J1525" s="35">
        <f t="shared" si="329"/>
        <v>2998</v>
      </c>
      <c r="K1525" s="7">
        <f t="shared" si="340"/>
        <v>0</v>
      </c>
      <c r="L1525" s="35">
        <f t="shared" si="339"/>
        <v>2998</v>
      </c>
      <c r="M1525" s="7">
        <f t="shared" si="340"/>
        <v>0</v>
      </c>
      <c r="N1525" s="35">
        <f t="shared" si="332"/>
        <v>2998</v>
      </c>
      <c r="O1525" s="7">
        <f t="shared" si="340"/>
        <v>0</v>
      </c>
      <c r="P1525" s="35">
        <f t="shared" si="330"/>
        <v>2998</v>
      </c>
      <c r="Q1525" s="7">
        <f t="shared" si="340"/>
        <v>0</v>
      </c>
      <c r="R1525" s="35">
        <f t="shared" si="327"/>
        <v>2998</v>
      </c>
      <c r="S1525" s="7">
        <f t="shared" si="340"/>
        <v>0</v>
      </c>
      <c r="T1525" s="35">
        <f t="shared" ref="T1525:T1588" si="341">R1525+S1525</f>
        <v>2998</v>
      </c>
    </row>
    <row r="1526" spans="1:20" ht="33">
      <c r="A1526" s="74" t="s">
        <v>231</v>
      </c>
      <c r="B1526" s="43" t="s">
        <v>301</v>
      </c>
      <c r="C1526" s="8" t="s">
        <v>211</v>
      </c>
      <c r="D1526" s="1" t="s">
        <v>212</v>
      </c>
      <c r="E1526" s="113"/>
      <c r="F1526" s="7">
        <f t="shared" si="340"/>
        <v>2998</v>
      </c>
      <c r="G1526" s="7">
        <f t="shared" si="340"/>
        <v>0</v>
      </c>
      <c r="H1526" s="35">
        <f t="shared" si="333"/>
        <v>2998</v>
      </c>
      <c r="I1526" s="7">
        <f t="shared" si="340"/>
        <v>0</v>
      </c>
      <c r="J1526" s="35">
        <f t="shared" si="329"/>
        <v>2998</v>
      </c>
      <c r="K1526" s="7">
        <f t="shared" si="340"/>
        <v>0</v>
      </c>
      <c r="L1526" s="35">
        <f t="shared" si="339"/>
        <v>2998</v>
      </c>
      <c r="M1526" s="7">
        <f t="shared" si="340"/>
        <v>0</v>
      </c>
      <c r="N1526" s="35">
        <f t="shared" si="332"/>
        <v>2998</v>
      </c>
      <c r="O1526" s="7">
        <f t="shared" si="340"/>
        <v>0</v>
      </c>
      <c r="P1526" s="35">
        <f t="shared" si="330"/>
        <v>2998</v>
      </c>
      <c r="Q1526" s="7">
        <f t="shared" si="340"/>
        <v>0</v>
      </c>
      <c r="R1526" s="35">
        <f t="shared" si="327"/>
        <v>2998</v>
      </c>
      <c r="S1526" s="7">
        <f t="shared" si="340"/>
        <v>0</v>
      </c>
      <c r="T1526" s="35">
        <f t="shared" si="341"/>
        <v>2998</v>
      </c>
    </row>
    <row r="1527" spans="1:20" ht="33">
      <c r="A1527" s="61" t="str">
        <f ca="1">IF(ISERROR(MATCH(E1527,Код_КВР,0)),"",INDIRECT(ADDRESS(MATCH(E1527,Код_КВР,0)+1,2,,,"КВР")))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27" s="43" t="s">
        <v>301</v>
      </c>
      <c r="C1527" s="8" t="s">
        <v>211</v>
      </c>
      <c r="D1527" s="8" t="s">
        <v>212</v>
      </c>
      <c r="E1527" s="113">
        <v>100</v>
      </c>
      <c r="F1527" s="7">
        <f t="shared" si="340"/>
        <v>2998</v>
      </c>
      <c r="G1527" s="7">
        <f t="shared" si="340"/>
        <v>0</v>
      </c>
      <c r="H1527" s="35">
        <f t="shared" si="333"/>
        <v>2998</v>
      </c>
      <c r="I1527" s="7">
        <f t="shared" si="340"/>
        <v>0</v>
      </c>
      <c r="J1527" s="35">
        <f t="shared" si="329"/>
        <v>2998</v>
      </c>
      <c r="K1527" s="7">
        <f t="shared" si="340"/>
        <v>0</v>
      </c>
      <c r="L1527" s="35">
        <f t="shared" si="339"/>
        <v>2998</v>
      </c>
      <c r="M1527" s="7">
        <f t="shared" si="340"/>
        <v>0</v>
      </c>
      <c r="N1527" s="35">
        <f t="shared" si="332"/>
        <v>2998</v>
      </c>
      <c r="O1527" s="7">
        <f t="shared" si="340"/>
        <v>0</v>
      </c>
      <c r="P1527" s="35">
        <f t="shared" si="330"/>
        <v>2998</v>
      </c>
      <c r="Q1527" s="7">
        <f t="shared" si="340"/>
        <v>0</v>
      </c>
      <c r="R1527" s="35">
        <f t="shared" si="327"/>
        <v>2998</v>
      </c>
      <c r="S1527" s="7">
        <f t="shared" si="340"/>
        <v>0</v>
      </c>
      <c r="T1527" s="35">
        <f t="shared" si="341"/>
        <v>2998</v>
      </c>
    </row>
    <row r="1528" spans="1:20">
      <c r="A1528" s="61" t="str">
        <f ca="1">IF(ISERROR(MATCH(E1528,Код_КВР,0)),"",INDIRECT(ADDRESS(MATCH(E1528,Код_КВР,0)+1,2,,,"КВР")))</f>
        <v>Расходы на выплаты персоналу муниципальных органов</v>
      </c>
      <c r="B1528" s="43" t="s">
        <v>301</v>
      </c>
      <c r="C1528" s="8" t="s">
        <v>211</v>
      </c>
      <c r="D1528" s="8" t="s">
        <v>212</v>
      </c>
      <c r="E1528" s="113">
        <v>120</v>
      </c>
      <c r="F1528" s="7">
        <f>прил.6!G29</f>
        <v>2998</v>
      </c>
      <c r="G1528" s="7">
        <f>прил.6!H29</f>
        <v>0</v>
      </c>
      <c r="H1528" s="35">
        <f t="shared" si="333"/>
        <v>2998</v>
      </c>
      <c r="I1528" s="7">
        <f>прил.6!J29</f>
        <v>0</v>
      </c>
      <c r="J1528" s="35">
        <f t="shared" si="329"/>
        <v>2998</v>
      </c>
      <c r="K1528" s="7">
        <f>прил.6!L29</f>
        <v>0</v>
      </c>
      <c r="L1528" s="35">
        <f t="shared" si="339"/>
        <v>2998</v>
      </c>
      <c r="M1528" s="7">
        <f>прил.6!N29</f>
        <v>0</v>
      </c>
      <c r="N1528" s="35">
        <f t="shared" si="332"/>
        <v>2998</v>
      </c>
      <c r="O1528" s="7">
        <f>прил.6!P29</f>
        <v>0</v>
      </c>
      <c r="P1528" s="35">
        <f t="shared" si="330"/>
        <v>2998</v>
      </c>
      <c r="Q1528" s="7">
        <f>прил.6!R29</f>
        <v>0</v>
      </c>
      <c r="R1528" s="35">
        <f t="shared" si="327"/>
        <v>2998</v>
      </c>
      <c r="S1528" s="7">
        <f>прил.6!T29</f>
        <v>0</v>
      </c>
      <c r="T1528" s="35">
        <f t="shared" si="341"/>
        <v>2998</v>
      </c>
    </row>
    <row r="1529" spans="1:20">
      <c r="A1529" s="61" t="str">
        <f ca="1">IF(ISERROR(MATCH(B1529,Код_КЦСР,0)),"",INDIRECT(ADDRESS(MATCH(B1529,Код_КЦСР,0)+1,2,,,"КЦСР")))</f>
        <v>Центральный аппарат</v>
      </c>
      <c r="B1529" s="43" t="s">
        <v>302</v>
      </c>
      <c r="C1529" s="8"/>
      <c r="D1529" s="1"/>
      <c r="E1529" s="113"/>
      <c r="F1529" s="7">
        <f>F1530+F1559+F1570+F1580+F1590+F1597+F1607+F1614</f>
        <v>333928.59999999992</v>
      </c>
      <c r="G1529" s="7">
        <f>G1530+G1559+G1570+G1580+G1590+G1597+G1607+G1614</f>
        <v>0</v>
      </c>
      <c r="H1529" s="35">
        <f t="shared" si="333"/>
        <v>333928.59999999992</v>
      </c>
      <c r="I1529" s="7">
        <f>I1530+I1559+I1570+I1580+I1590+I1597+I1607+I1614</f>
        <v>-1048.7</v>
      </c>
      <c r="J1529" s="35">
        <f t="shared" si="329"/>
        <v>332879.89999999991</v>
      </c>
      <c r="K1529" s="7">
        <f>K1530+K1559+K1570+K1580+K1590+K1597+K1607+K1614</f>
        <v>0</v>
      </c>
      <c r="L1529" s="35">
        <f t="shared" si="339"/>
        <v>332879.89999999991</v>
      </c>
      <c r="M1529" s="7">
        <f>M1530+M1559+M1570+M1580+M1590+M1597+M1607+M1614</f>
        <v>222.5</v>
      </c>
      <c r="N1529" s="35">
        <f t="shared" si="332"/>
        <v>333102.39999999991</v>
      </c>
      <c r="O1529" s="7">
        <f>O1530+O1559+O1570+O1580+O1590+O1597+O1607+O1614</f>
        <v>0</v>
      </c>
      <c r="P1529" s="35">
        <f t="shared" si="330"/>
        <v>333102.39999999991</v>
      </c>
      <c r="Q1529" s="7">
        <f>Q1530+Q1559+Q1570+Q1580+Q1590+Q1597+Q1607+Q1614</f>
        <v>-502.09999999999991</v>
      </c>
      <c r="R1529" s="35">
        <f t="shared" si="327"/>
        <v>332600.29999999993</v>
      </c>
      <c r="S1529" s="7">
        <f>S1530+S1559+S1570+S1580+S1590+S1597+S1607+S1614</f>
        <v>-336.8</v>
      </c>
      <c r="T1529" s="35">
        <f t="shared" si="341"/>
        <v>332263.49999999994</v>
      </c>
    </row>
    <row r="1530" spans="1:20">
      <c r="A1530" s="61" t="str">
        <f ca="1">IF(ISERROR(MATCH(C1530,Код_Раздел,0)),"",INDIRECT(ADDRESS(MATCH(C1530,Код_Раздел,0)+1,2,,,"Раздел")))</f>
        <v>Общегосударственные  вопросы</v>
      </c>
      <c r="B1530" s="43" t="s">
        <v>302</v>
      </c>
      <c r="C1530" s="8" t="s">
        <v>211</v>
      </c>
      <c r="D1530" s="1"/>
      <c r="E1530" s="113"/>
      <c r="F1530" s="7">
        <f>F1531+F1541+F1550</f>
        <v>181262.3</v>
      </c>
      <c r="G1530" s="7">
        <f>G1531+G1541+G1550</f>
        <v>0</v>
      </c>
      <c r="H1530" s="35">
        <f t="shared" si="333"/>
        <v>181262.3</v>
      </c>
      <c r="I1530" s="7">
        <f>I1531+I1541+I1550</f>
        <v>-330.5</v>
      </c>
      <c r="J1530" s="35">
        <f t="shared" si="329"/>
        <v>180931.8</v>
      </c>
      <c r="K1530" s="7">
        <f>K1531+K1541+K1550</f>
        <v>0</v>
      </c>
      <c r="L1530" s="35">
        <f t="shared" si="339"/>
        <v>180931.8</v>
      </c>
      <c r="M1530" s="7">
        <f>M1531+M1541+M1550</f>
        <v>222.5</v>
      </c>
      <c r="N1530" s="35">
        <f t="shared" si="332"/>
        <v>181154.3</v>
      </c>
      <c r="O1530" s="7">
        <f>O1531+O1541+O1550</f>
        <v>0</v>
      </c>
      <c r="P1530" s="35">
        <f t="shared" si="330"/>
        <v>181154.3</v>
      </c>
      <c r="Q1530" s="7">
        <f>Q1531+Q1541+Q1550</f>
        <v>711.7</v>
      </c>
      <c r="R1530" s="35">
        <f t="shared" si="327"/>
        <v>181866</v>
      </c>
      <c r="S1530" s="7">
        <f>S1531+S1541+S1550</f>
        <v>0</v>
      </c>
      <c r="T1530" s="35">
        <f t="shared" si="341"/>
        <v>181866</v>
      </c>
    </row>
    <row r="1531" spans="1:20" ht="49.5">
      <c r="A1531" s="12" t="s">
        <v>166</v>
      </c>
      <c r="B1531" s="43" t="s">
        <v>302</v>
      </c>
      <c r="C1531" s="8" t="s">
        <v>211</v>
      </c>
      <c r="D1531" s="8" t="s">
        <v>213</v>
      </c>
      <c r="E1531" s="113"/>
      <c r="F1531" s="7">
        <f>F1532+F1534+F1537</f>
        <v>22979.500000000004</v>
      </c>
      <c r="G1531" s="7">
        <f>G1532+G1534+G1537</f>
        <v>0</v>
      </c>
      <c r="H1531" s="35">
        <f t="shared" si="333"/>
        <v>22979.500000000004</v>
      </c>
      <c r="I1531" s="7">
        <f>I1532+I1534+I1537</f>
        <v>-8530.4</v>
      </c>
      <c r="J1531" s="35">
        <f t="shared" si="329"/>
        <v>14449.100000000004</v>
      </c>
      <c r="K1531" s="7">
        <f>K1532+K1534+K1537</f>
        <v>0</v>
      </c>
      <c r="L1531" s="35">
        <f t="shared" si="339"/>
        <v>14449.100000000004</v>
      </c>
      <c r="M1531" s="7">
        <f>M1532+M1534+M1537</f>
        <v>0</v>
      </c>
      <c r="N1531" s="35">
        <f t="shared" si="332"/>
        <v>14449.100000000004</v>
      </c>
      <c r="O1531" s="7">
        <f>O1532+O1534+O1537</f>
        <v>0</v>
      </c>
      <c r="P1531" s="35">
        <f t="shared" si="330"/>
        <v>14449.100000000004</v>
      </c>
      <c r="Q1531" s="7">
        <f>Q1532+Q1534+Q1537</f>
        <v>-209.8</v>
      </c>
      <c r="R1531" s="35">
        <f t="shared" si="327"/>
        <v>14239.300000000005</v>
      </c>
      <c r="S1531" s="7">
        <f>S1532+S1534+S1537</f>
        <v>0</v>
      </c>
      <c r="T1531" s="35">
        <f t="shared" si="341"/>
        <v>14239.300000000005</v>
      </c>
    </row>
    <row r="1532" spans="1:20" ht="33">
      <c r="A1532" s="61" t="str">
        <f t="shared" ref="A1532:A1540" ca="1" si="342">IF(ISERROR(MATCH(E1532,Код_КВР,0)),"",INDIRECT(ADDRESS(MATCH(E1532,Код_КВР,0)+1,2,,,"КВР")))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32" s="43" t="s">
        <v>302</v>
      </c>
      <c r="C1532" s="8" t="s">
        <v>211</v>
      </c>
      <c r="D1532" s="8" t="s">
        <v>213</v>
      </c>
      <c r="E1532" s="113">
        <v>100</v>
      </c>
      <c r="F1532" s="7">
        <f>F1533</f>
        <v>21566.300000000003</v>
      </c>
      <c r="G1532" s="7">
        <f>G1533</f>
        <v>0</v>
      </c>
      <c r="H1532" s="35">
        <f t="shared" si="333"/>
        <v>21566.300000000003</v>
      </c>
      <c r="I1532" s="7">
        <f>I1533</f>
        <v>-8140.3</v>
      </c>
      <c r="J1532" s="35">
        <f t="shared" si="329"/>
        <v>13426.000000000004</v>
      </c>
      <c r="K1532" s="7">
        <f>K1533</f>
        <v>0</v>
      </c>
      <c r="L1532" s="35">
        <f t="shared" si="339"/>
        <v>13426.000000000004</v>
      </c>
      <c r="M1532" s="7">
        <f>M1533</f>
        <v>0</v>
      </c>
      <c r="N1532" s="35">
        <f t="shared" si="332"/>
        <v>13426.000000000004</v>
      </c>
      <c r="O1532" s="7">
        <f>O1533</f>
        <v>0</v>
      </c>
      <c r="P1532" s="35">
        <f t="shared" si="330"/>
        <v>13426.000000000004</v>
      </c>
      <c r="Q1532" s="7">
        <f>Q1533</f>
        <v>-209.8</v>
      </c>
      <c r="R1532" s="35">
        <f t="shared" si="327"/>
        <v>13216.200000000004</v>
      </c>
      <c r="S1532" s="7">
        <f>S1533</f>
        <v>0</v>
      </c>
      <c r="T1532" s="35">
        <f t="shared" si="341"/>
        <v>13216.200000000004</v>
      </c>
    </row>
    <row r="1533" spans="1:20">
      <c r="A1533" s="61" t="str">
        <f t="shared" ca="1" si="342"/>
        <v>Расходы на выплаты персоналу муниципальных органов</v>
      </c>
      <c r="B1533" s="43" t="s">
        <v>302</v>
      </c>
      <c r="C1533" s="8" t="s">
        <v>211</v>
      </c>
      <c r="D1533" s="8" t="s">
        <v>213</v>
      </c>
      <c r="E1533" s="113">
        <v>120</v>
      </c>
      <c r="F1533" s="7">
        <f>прил.6!G402</f>
        <v>21566.300000000003</v>
      </c>
      <c r="G1533" s="7">
        <f>прил.6!H402</f>
        <v>0</v>
      </c>
      <c r="H1533" s="35">
        <f t="shared" si="333"/>
        <v>21566.300000000003</v>
      </c>
      <c r="I1533" s="7">
        <f>прил.6!J402</f>
        <v>-8140.3</v>
      </c>
      <c r="J1533" s="35">
        <f t="shared" si="329"/>
        <v>13426.000000000004</v>
      </c>
      <c r="K1533" s="7">
        <f>прил.6!L402</f>
        <v>0</v>
      </c>
      <c r="L1533" s="35">
        <f t="shared" si="339"/>
        <v>13426.000000000004</v>
      </c>
      <c r="M1533" s="7">
        <f>прил.6!N402</f>
        <v>0</v>
      </c>
      <c r="N1533" s="35">
        <f t="shared" si="332"/>
        <v>13426.000000000004</v>
      </c>
      <c r="O1533" s="7">
        <f>прил.6!P402</f>
        <v>0</v>
      </c>
      <c r="P1533" s="35">
        <f t="shared" si="330"/>
        <v>13426.000000000004</v>
      </c>
      <c r="Q1533" s="7">
        <f>прил.6!R402</f>
        <v>-209.8</v>
      </c>
      <c r="R1533" s="35">
        <f t="shared" si="327"/>
        <v>13216.200000000004</v>
      </c>
      <c r="S1533" s="7">
        <f>прил.6!T402</f>
        <v>0</v>
      </c>
      <c r="T1533" s="35">
        <f t="shared" si="341"/>
        <v>13216.200000000004</v>
      </c>
    </row>
    <row r="1534" spans="1:20">
      <c r="A1534" s="61" t="str">
        <f t="shared" ca="1" si="342"/>
        <v>Закупка товаров, работ и услуг для муниципальных нужд</v>
      </c>
      <c r="B1534" s="43" t="s">
        <v>302</v>
      </c>
      <c r="C1534" s="8" t="s">
        <v>211</v>
      </c>
      <c r="D1534" s="8" t="s">
        <v>213</v>
      </c>
      <c r="E1534" s="113">
        <v>200</v>
      </c>
      <c r="F1534" s="7">
        <f>F1535</f>
        <v>1410.8</v>
      </c>
      <c r="G1534" s="7">
        <f>G1535</f>
        <v>0</v>
      </c>
      <c r="H1534" s="35">
        <f t="shared" si="333"/>
        <v>1410.8</v>
      </c>
      <c r="I1534" s="7">
        <f>I1535</f>
        <v>-390.1</v>
      </c>
      <c r="J1534" s="35">
        <f t="shared" si="329"/>
        <v>1020.6999999999999</v>
      </c>
      <c r="K1534" s="7">
        <f>K1535</f>
        <v>0</v>
      </c>
      <c r="L1534" s="35">
        <f t="shared" si="339"/>
        <v>1020.6999999999999</v>
      </c>
      <c r="M1534" s="7">
        <f>M1535</f>
        <v>0</v>
      </c>
      <c r="N1534" s="35">
        <f t="shared" si="332"/>
        <v>1020.6999999999999</v>
      </c>
      <c r="O1534" s="7">
        <f>O1535</f>
        <v>0</v>
      </c>
      <c r="P1534" s="35">
        <f t="shared" si="330"/>
        <v>1020.6999999999999</v>
      </c>
      <c r="Q1534" s="7">
        <f>Q1535</f>
        <v>0</v>
      </c>
      <c r="R1534" s="35">
        <f t="shared" si="327"/>
        <v>1020.6999999999999</v>
      </c>
      <c r="S1534" s="7">
        <f>S1535</f>
        <v>0</v>
      </c>
      <c r="T1534" s="35">
        <f t="shared" si="341"/>
        <v>1020.6999999999999</v>
      </c>
    </row>
    <row r="1535" spans="1:20" ht="33">
      <c r="A1535" s="61" t="str">
        <f t="shared" ca="1" si="342"/>
        <v>Иные закупки товаров, работ и услуг для обеспечения муниципальных нужд</v>
      </c>
      <c r="B1535" s="43" t="s">
        <v>302</v>
      </c>
      <c r="C1535" s="8" t="s">
        <v>211</v>
      </c>
      <c r="D1535" s="8" t="s">
        <v>213</v>
      </c>
      <c r="E1535" s="113">
        <v>240</v>
      </c>
      <c r="F1535" s="7">
        <f>F1536</f>
        <v>1410.8</v>
      </c>
      <c r="G1535" s="7">
        <f>G1536</f>
        <v>0</v>
      </c>
      <c r="H1535" s="35">
        <f t="shared" si="333"/>
        <v>1410.8</v>
      </c>
      <c r="I1535" s="7">
        <f>I1536</f>
        <v>-390.1</v>
      </c>
      <c r="J1535" s="35">
        <f t="shared" si="329"/>
        <v>1020.6999999999999</v>
      </c>
      <c r="K1535" s="7">
        <f>K1536</f>
        <v>0</v>
      </c>
      <c r="L1535" s="35">
        <f t="shared" si="339"/>
        <v>1020.6999999999999</v>
      </c>
      <c r="M1535" s="7">
        <f>M1536</f>
        <v>0</v>
      </c>
      <c r="N1535" s="35">
        <f t="shared" si="332"/>
        <v>1020.6999999999999</v>
      </c>
      <c r="O1535" s="7">
        <f>O1536</f>
        <v>0</v>
      </c>
      <c r="P1535" s="35">
        <f t="shared" si="330"/>
        <v>1020.6999999999999</v>
      </c>
      <c r="Q1535" s="7">
        <f>Q1536</f>
        <v>0</v>
      </c>
      <c r="R1535" s="35">
        <f t="shared" si="327"/>
        <v>1020.6999999999999</v>
      </c>
      <c r="S1535" s="7">
        <f>S1536</f>
        <v>0</v>
      </c>
      <c r="T1535" s="35">
        <f t="shared" si="341"/>
        <v>1020.6999999999999</v>
      </c>
    </row>
    <row r="1536" spans="1:20" ht="33">
      <c r="A1536" s="61" t="str">
        <f t="shared" ca="1" si="342"/>
        <v xml:space="preserve">Прочая закупка товаров, работ и услуг для обеспечения муниципальных нужд         </v>
      </c>
      <c r="B1536" s="43" t="s">
        <v>302</v>
      </c>
      <c r="C1536" s="8" t="s">
        <v>211</v>
      </c>
      <c r="D1536" s="8" t="s">
        <v>213</v>
      </c>
      <c r="E1536" s="113">
        <v>244</v>
      </c>
      <c r="F1536" s="7">
        <f>прил.6!G405</f>
        <v>1410.8</v>
      </c>
      <c r="G1536" s="7">
        <f>прил.6!H405</f>
        <v>0</v>
      </c>
      <c r="H1536" s="35">
        <f t="shared" si="333"/>
        <v>1410.8</v>
      </c>
      <c r="I1536" s="7">
        <f>прил.6!J405</f>
        <v>-390.1</v>
      </c>
      <c r="J1536" s="35">
        <f t="shared" si="329"/>
        <v>1020.6999999999999</v>
      </c>
      <c r="K1536" s="7">
        <f>прил.6!L405</f>
        <v>0</v>
      </c>
      <c r="L1536" s="35">
        <f t="shared" si="339"/>
        <v>1020.6999999999999</v>
      </c>
      <c r="M1536" s="7">
        <f>прил.6!N405</f>
        <v>0</v>
      </c>
      <c r="N1536" s="35">
        <f t="shared" si="332"/>
        <v>1020.6999999999999</v>
      </c>
      <c r="O1536" s="7">
        <f>прил.6!P405</f>
        <v>0</v>
      </c>
      <c r="P1536" s="35">
        <f t="shared" si="330"/>
        <v>1020.6999999999999</v>
      </c>
      <c r="Q1536" s="7">
        <f>прил.6!R405</f>
        <v>0</v>
      </c>
      <c r="R1536" s="35">
        <f t="shared" si="327"/>
        <v>1020.6999999999999</v>
      </c>
      <c r="S1536" s="7">
        <f>прил.6!T405</f>
        <v>0</v>
      </c>
      <c r="T1536" s="35">
        <f t="shared" si="341"/>
        <v>1020.6999999999999</v>
      </c>
    </row>
    <row r="1537" spans="1:21">
      <c r="A1537" s="61" t="str">
        <f t="shared" ca="1" si="342"/>
        <v>Иные бюджетные ассигнования</v>
      </c>
      <c r="B1537" s="43" t="s">
        <v>302</v>
      </c>
      <c r="C1537" s="8" t="s">
        <v>211</v>
      </c>
      <c r="D1537" s="8" t="s">
        <v>213</v>
      </c>
      <c r="E1537" s="113">
        <v>800</v>
      </c>
      <c r="F1537" s="7">
        <f>F1538</f>
        <v>2.4</v>
      </c>
      <c r="G1537" s="7">
        <f>G1538</f>
        <v>0</v>
      </c>
      <c r="H1537" s="35">
        <f t="shared" si="333"/>
        <v>2.4</v>
      </c>
      <c r="I1537" s="7">
        <f>I1538</f>
        <v>0</v>
      </c>
      <c r="J1537" s="35">
        <f t="shared" si="329"/>
        <v>2.4</v>
      </c>
      <c r="K1537" s="7">
        <f>K1538</f>
        <v>0</v>
      </c>
      <c r="L1537" s="35">
        <f t="shared" si="339"/>
        <v>2.4</v>
      </c>
      <c r="M1537" s="7">
        <f>M1538</f>
        <v>0</v>
      </c>
      <c r="N1537" s="35">
        <f t="shared" si="332"/>
        <v>2.4</v>
      </c>
      <c r="O1537" s="7">
        <f>O1538</f>
        <v>0</v>
      </c>
      <c r="P1537" s="35">
        <f t="shared" si="330"/>
        <v>2.4</v>
      </c>
      <c r="Q1537" s="7">
        <f>Q1538</f>
        <v>0</v>
      </c>
      <c r="R1537" s="35">
        <f t="shared" si="327"/>
        <v>2.4</v>
      </c>
      <c r="S1537" s="7">
        <f>S1538</f>
        <v>0</v>
      </c>
      <c r="T1537" s="35">
        <f t="shared" si="341"/>
        <v>2.4</v>
      </c>
    </row>
    <row r="1538" spans="1:21">
      <c r="A1538" s="61" t="str">
        <f t="shared" ca="1" si="342"/>
        <v>Уплата налогов, сборов и иных платежей</v>
      </c>
      <c r="B1538" s="43" t="s">
        <v>302</v>
      </c>
      <c r="C1538" s="8" t="s">
        <v>211</v>
      </c>
      <c r="D1538" s="8" t="s">
        <v>213</v>
      </c>
      <c r="E1538" s="113">
        <v>850</v>
      </c>
      <c r="F1538" s="7">
        <f>F1540</f>
        <v>2.4</v>
      </c>
      <c r="G1538" s="7">
        <f>G1540</f>
        <v>0</v>
      </c>
      <c r="H1538" s="35">
        <f t="shared" si="333"/>
        <v>2.4</v>
      </c>
      <c r="I1538" s="7">
        <f>I1539+I1540</f>
        <v>0</v>
      </c>
      <c r="J1538" s="35">
        <f t="shared" si="329"/>
        <v>2.4</v>
      </c>
      <c r="K1538" s="7">
        <f>K1539+K1540</f>
        <v>0</v>
      </c>
      <c r="L1538" s="35">
        <f t="shared" si="339"/>
        <v>2.4</v>
      </c>
      <c r="M1538" s="7">
        <f>M1539+M1540</f>
        <v>0</v>
      </c>
      <c r="N1538" s="35">
        <f t="shared" si="332"/>
        <v>2.4</v>
      </c>
      <c r="O1538" s="7">
        <f>O1539+O1540</f>
        <v>0</v>
      </c>
      <c r="P1538" s="35">
        <f t="shared" si="330"/>
        <v>2.4</v>
      </c>
      <c r="Q1538" s="7">
        <f>Q1539+Q1540</f>
        <v>0</v>
      </c>
      <c r="R1538" s="35">
        <f t="shared" si="327"/>
        <v>2.4</v>
      </c>
      <c r="S1538" s="7">
        <f>S1539+S1540</f>
        <v>0</v>
      </c>
      <c r="T1538" s="35">
        <f t="shared" si="341"/>
        <v>2.4</v>
      </c>
    </row>
    <row r="1539" spans="1:21">
      <c r="A1539" s="61" t="str">
        <f t="shared" ref="A1539" ca="1" si="343">IF(ISERROR(MATCH(E1539,Код_КВР,0)),"",INDIRECT(ADDRESS(MATCH(E1539,Код_КВР,0)+1,2,,,"КВР")))</f>
        <v>Уплата налога на имущество организаций и земельного налога</v>
      </c>
      <c r="B1539" s="43" t="s">
        <v>302</v>
      </c>
      <c r="C1539" s="8" t="s">
        <v>211</v>
      </c>
      <c r="D1539" s="8" t="s">
        <v>213</v>
      </c>
      <c r="E1539" s="113">
        <v>851</v>
      </c>
      <c r="F1539" s="7"/>
      <c r="G1539" s="7"/>
      <c r="H1539" s="35"/>
      <c r="I1539" s="7">
        <f>прил.6!J408</f>
        <v>2.4</v>
      </c>
      <c r="J1539" s="35">
        <f t="shared" si="329"/>
        <v>2.4</v>
      </c>
      <c r="K1539" s="7">
        <f>прил.6!L408</f>
        <v>0</v>
      </c>
      <c r="L1539" s="35">
        <f t="shared" si="339"/>
        <v>2.4</v>
      </c>
      <c r="M1539" s="7">
        <f>прил.6!N408</f>
        <v>0</v>
      </c>
      <c r="N1539" s="35">
        <f t="shared" si="332"/>
        <v>2.4</v>
      </c>
      <c r="O1539" s="7">
        <f>прил.6!P408</f>
        <v>0</v>
      </c>
      <c r="P1539" s="35">
        <f t="shared" si="330"/>
        <v>2.4</v>
      </c>
      <c r="Q1539" s="7">
        <f>прил.6!R408</f>
        <v>0</v>
      </c>
      <c r="R1539" s="35">
        <f t="shared" si="327"/>
        <v>2.4</v>
      </c>
      <c r="S1539" s="7">
        <f>прил.6!T408</f>
        <v>0</v>
      </c>
      <c r="T1539" s="35">
        <f t="shared" si="341"/>
        <v>2.4</v>
      </c>
    </row>
    <row r="1540" spans="1:21" hidden="1">
      <c r="A1540" s="61" t="str">
        <f t="shared" ca="1" si="342"/>
        <v>Уплата прочих налогов, сборов и иных платежей</v>
      </c>
      <c r="B1540" s="43" t="s">
        <v>302</v>
      </c>
      <c r="C1540" s="8" t="s">
        <v>211</v>
      </c>
      <c r="D1540" s="8" t="s">
        <v>213</v>
      </c>
      <c r="E1540" s="89">
        <v>852</v>
      </c>
      <c r="F1540" s="7">
        <f>прил.6!G409</f>
        <v>2.4</v>
      </c>
      <c r="G1540" s="7">
        <f>прил.6!H409</f>
        <v>0</v>
      </c>
      <c r="H1540" s="35">
        <f t="shared" si="333"/>
        <v>2.4</v>
      </c>
      <c r="I1540" s="7">
        <f>прил.6!J409</f>
        <v>-2.4</v>
      </c>
      <c r="J1540" s="35">
        <f t="shared" si="329"/>
        <v>0</v>
      </c>
      <c r="K1540" s="7">
        <f>прил.6!L409</f>
        <v>0</v>
      </c>
      <c r="L1540" s="35">
        <f t="shared" si="339"/>
        <v>0</v>
      </c>
      <c r="M1540" s="7">
        <f>прил.6!N409</f>
        <v>0</v>
      </c>
      <c r="N1540" s="35">
        <f t="shared" si="332"/>
        <v>0</v>
      </c>
      <c r="O1540" s="7">
        <f>прил.6!P409</f>
        <v>0</v>
      </c>
      <c r="P1540" s="35">
        <f t="shared" si="330"/>
        <v>0</v>
      </c>
      <c r="Q1540" s="7">
        <f>прил.6!R409</f>
        <v>0</v>
      </c>
      <c r="R1540" s="35">
        <f t="shared" si="327"/>
        <v>0</v>
      </c>
      <c r="S1540" s="7">
        <f>прил.6!T409</f>
        <v>0</v>
      </c>
      <c r="T1540" s="35">
        <f t="shared" si="341"/>
        <v>0</v>
      </c>
      <c r="U1540" s="20" t="s">
        <v>706</v>
      </c>
    </row>
    <row r="1541" spans="1:21" ht="49.5">
      <c r="A1541" s="75" t="s">
        <v>233</v>
      </c>
      <c r="B1541" s="43" t="s">
        <v>302</v>
      </c>
      <c r="C1541" s="8" t="s">
        <v>211</v>
      </c>
      <c r="D1541" s="8" t="s">
        <v>214</v>
      </c>
      <c r="E1541" s="113"/>
      <c r="F1541" s="86">
        <f>F1542+F1544+F1547</f>
        <v>124245.5</v>
      </c>
      <c r="G1541" s="86">
        <f>G1542+G1544+G1547</f>
        <v>0</v>
      </c>
      <c r="H1541" s="87">
        <f t="shared" si="333"/>
        <v>124245.5</v>
      </c>
      <c r="I1541" s="86">
        <f>I1542+I1544+I1547</f>
        <v>0</v>
      </c>
      <c r="J1541" s="87">
        <f t="shared" si="329"/>
        <v>124245.5</v>
      </c>
      <c r="K1541" s="86">
        <f>K1542+K1544+K1547</f>
        <v>0</v>
      </c>
      <c r="L1541" s="87">
        <f t="shared" si="339"/>
        <v>124245.5</v>
      </c>
      <c r="M1541" s="86">
        <f>M1542+M1544+M1547</f>
        <v>222.5</v>
      </c>
      <c r="N1541" s="87">
        <f t="shared" si="332"/>
        <v>124468</v>
      </c>
      <c r="O1541" s="86">
        <f>O1542+O1544+O1547</f>
        <v>0</v>
      </c>
      <c r="P1541" s="35">
        <f t="shared" si="330"/>
        <v>124468</v>
      </c>
      <c r="Q1541" s="86">
        <f>Q1542+Q1544+Q1547</f>
        <v>865.8</v>
      </c>
      <c r="R1541" s="35">
        <f t="shared" si="327"/>
        <v>125333.8</v>
      </c>
      <c r="S1541" s="7">
        <f>S1542+S1544+S1547</f>
        <v>0</v>
      </c>
      <c r="T1541" s="35">
        <f t="shared" si="341"/>
        <v>125333.8</v>
      </c>
    </row>
    <row r="1542" spans="1:21" ht="33">
      <c r="A1542" s="61" t="str">
        <f t="shared" ref="A1542:A1549" ca="1" si="344">IF(ISERROR(MATCH(E1542,Код_КВР,0)),"",INDIRECT(ADDRESS(MATCH(E1542,Код_КВР,0)+1,2,,,"КВР")))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42" s="43" t="s">
        <v>302</v>
      </c>
      <c r="C1542" s="8" t="s">
        <v>211</v>
      </c>
      <c r="D1542" s="8" t="s">
        <v>214</v>
      </c>
      <c r="E1542" s="113">
        <v>100</v>
      </c>
      <c r="F1542" s="86">
        <f>F1543</f>
        <v>120035.7</v>
      </c>
      <c r="G1542" s="86">
        <f>G1543</f>
        <v>0</v>
      </c>
      <c r="H1542" s="87">
        <f t="shared" si="333"/>
        <v>120035.7</v>
      </c>
      <c r="I1542" s="86">
        <f>I1543</f>
        <v>0</v>
      </c>
      <c r="J1542" s="87">
        <f t="shared" si="329"/>
        <v>120035.7</v>
      </c>
      <c r="K1542" s="86">
        <f>K1543</f>
        <v>0</v>
      </c>
      <c r="L1542" s="87">
        <f t="shared" si="339"/>
        <v>120035.7</v>
      </c>
      <c r="M1542" s="86">
        <f>M1543</f>
        <v>-0.5</v>
      </c>
      <c r="N1542" s="87">
        <f t="shared" si="332"/>
        <v>120035.2</v>
      </c>
      <c r="O1542" s="86">
        <f>O1543</f>
        <v>0</v>
      </c>
      <c r="P1542" s="35">
        <f t="shared" si="330"/>
        <v>120035.2</v>
      </c>
      <c r="Q1542" s="86">
        <f>Q1543</f>
        <v>880</v>
      </c>
      <c r="R1542" s="35">
        <f t="shared" si="327"/>
        <v>120915.2</v>
      </c>
      <c r="S1542" s="7">
        <f>S1543</f>
        <v>0</v>
      </c>
      <c r="T1542" s="35">
        <f t="shared" si="341"/>
        <v>120915.2</v>
      </c>
    </row>
    <row r="1543" spans="1:21">
      <c r="A1543" s="61" t="str">
        <f t="shared" ca="1" si="344"/>
        <v>Расходы на выплаты персоналу муниципальных органов</v>
      </c>
      <c r="B1543" s="43" t="s">
        <v>302</v>
      </c>
      <c r="C1543" s="8" t="s">
        <v>211</v>
      </c>
      <c r="D1543" s="8" t="s">
        <v>214</v>
      </c>
      <c r="E1543" s="113">
        <v>120</v>
      </c>
      <c r="F1543" s="86">
        <f>прил.6!G36</f>
        <v>120035.7</v>
      </c>
      <c r="G1543" s="86">
        <f>прил.6!H36</f>
        <v>0</v>
      </c>
      <c r="H1543" s="87">
        <f t="shared" si="333"/>
        <v>120035.7</v>
      </c>
      <c r="I1543" s="86">
        <f>прил.6!J36</f>
        <v>0</v>
      </c>
      <c r="J1543" s="87">
        <f t="shared" si="329"/>
        <v>120035.7</v>
      </c>
      <c r="K1543" s="86">
        <f>прил.6!L36</f>
        <v>0</v>
      </c>
      <c r="L1543" s="87">
        <f t="shared" si="339"/>
        <v>120035.7</v>
      </c>
      <c r="M1543" s="86">
        <f>прил.6!N36</f>
        <v>-0.5</v>
      </c>
      <c r="N1543" s="87">
        <f t="shared" si="332"/>
        <v>120035.2</v>
      </c>
      <c r="O1543" s="86">
        <f>прил.6!P36</f>
        <v>0</v>
      </c>
      <c r="P1543" s="35">
        <f t="shared" si="330"/>
        <v>120035.2</v>
      </c>
      <c r="Q1543" s="86">
        <f>прил.6!R36</f>
        <v>880</v>
      </c>
      <c r="R1543" s="35">
        <f t="shared" ref="R1543:R1606" si="345">P1543+Q1543</f>
        <v>120915.2</v>
      </c>
      <c r="S1543" s="7">
        <f>прил.6!T36</f>
        <v>0</v>
      </c>
      <c r="T1543" s="35">
        <f t="shared" si="341"/>
        <v>120915.2</v>
      </c>
    </row>
    <row r="1544" spans="1:21">
      <c r="A1544" s="61" t="str">
        <f t="shared" ca="1" si="344"/>
        <v>Закупка товаров, работ и услуг для муниципальных нужд</v>
      </c>
      <c r="B1544" s="43" t="s">
        <v>302</v>
      </c>
      <c r="C1544" s="8" t="s">
        <v>211</v>
      </c>
      <c r="D1544" s="8" t="s">
        <v>214</v>
      </c>
      <c r="E1544" s="113">
        <v>200</v>
      </c>
      <c r="F1544" s="7">
        <f>F1545</f>
        <v>4207.8</v>
      </c>
      <c r="G1544" s="7">
        <f>G1545</f>
        <v>0</v>
      </c>
      <c r="H1544" s="35">
        <f t="shared" si="333"/>
        <v>4207.8</v>
      </c>
      <c r="I1544" s="7">
        <f>I1545</f>
        <v>0</v>
      </c>
      <c r="J1544" s="35">
        <f t="shared" si="329"/>
        <v>4207.8</v>
      </c>
      <c r="K1544" s="7">
        <f>K1545</f>
        <v>0</v>
      </c>
      <c r="L1544" s="35">
        <f t="shared" si="339"/>
        <v>4207.8</v>
      </c>
      <c r="M1544" s="7">
        <f>M1545</f>
        <v>223</v>
      </c>
      <c r="N1544" s="35">
        <f t="shared" si="332"/>
        <v>4430.8</v>
      </c>
      <c r="O1544" s="7">
        <f>O1545</f>
        <v>0</v>
      </c>
      <c r="P1544" s="35">
        <f t="shared" si="330"/>
        <v>4430.8</v>
      </c>
      <c r="Q1544" s="7">
        <f>Q1545</f>
        <v>-14.2</v>
      </c>
      <c r="R1544" s="35">
        <f t="shared" si="345"/>
        <v>4416.6000000000004</v>
      </c>
      <c r="S1544" s="7">
        <f>S1545</f>
        <v>0</v>
      </c>
      <c r="T1544" s="35">
        <f t="shared" si="341"/>
        <v>4416.6000000000004</v>
      </c>
    </row>
    <row r="1545" spans="1:21" ht="33">
      <c r="A1545" s="61" t="str">
        <f t="shared" ca="1" si="344"/>
        <v>Иные закупки товаров, работ и услуг для обеспечения муниципальных нужд</v>
      </c>
      <c r="B1545" s="43" t="s">
        <v>302</v>
      </c>
      <c r="C1545" s="8" t="s">
        <v>211</v>
      </c>
      <c r="D1545" s="8" t="s">
        <v>214</v>
      </c>
      <c r="E1545" s="113">
        <v>240</v>
      </c>
      <c r="F1545" s="7">
        <f>F1546</f>
        <v>4207.8</v>
      </c>
      <c r="G1545" s="7">
        <f>G1546</f>
        <v>0</v>
      </c>
      <c r="H1545" s="35">
        <f t="shared" si="333"/>
        <v>4207.8</v>
      </c>
      <c r="I1545" s="7">
        <f>I1546</f>
        <v>0</v>
      </c>
      <c r="J1545" s="35">
        <f t="shared" si="329"/>
        <v>4207.8</v>
      </c>
      <c r="K1545" s="7">
        <f>K1546</f>
        <v>0</v>
      </c>
      <c r="L1545" s="35">
        <f t="shared" si="339"/>
        <v>4207.8</v>
      </c>
      <c r="M1545" s="7">
        <f>M1546</f>
        <v>223</v>
      </c>
      <c r="N1545" s="35">
        <f t="shared" si="332"/>
        <v>4430.8</v>
      </c>
      <c r="O1545" s="7">
        <f>O1546</f>
        <v>0</v>
      </c>
      <c r="P1545" s="35">
        <f t="shared" si="330"/>
        <v>4430.8</v>
      </c>
      <c r="Q1545" s="7">
        <f>Q1546</f>
        <v>-14.2</v>
      </c>
      <c r="R1545" s="35">
        <f t="shared" si="345"/>
        <v>4416.6000000000004</v>
      </c>
      <c r="S1545" s="7">
        <f>S1546</f>
        <v>0</v>
      </c>
      <c r="T1545" s="35">
        <f t="shared" si="341"/>
        <v>4416.6000000000004</v>
      </c>
    </row>
    <row r="1546" spans="1:21" ht="33">
      <c r="A1546" s="61" t="str">
        <f t="shared" ca="1" si="344"/>
        <v xml:space="preserve">Прочая закупка товаров, работ и услуг для обеспечения муниципальных нужд         </v>
      </c>
      <c r="B1546" s="43" t="s">
        <v>302</v>
      </c>
      <c r="C1546" s="8" t="s">
        <v>211</v>
      </c>
      <c r="D1546" s="8" t="s">
        <v>214</v>
      </c>
      <c r="E1546" s="113">
        <v>244</v>
      </c>
      <c r="F1546" s="7">
        <f>прил.6!G39</f>
        <v>4207.8</v>
      </c>
      <c r="G1546" s="7">
        <f>прил.6!H39</f>
        <v>0</v>
      </c>
      <c r="H1546" s="35">
        <f t="shared" si="333"/>
        <v>4207.8</v>
      </c>
      <c r="I1546" s="7">
        <f>прил.6!J39</f>
        <v>0</v>
      </c>
      <c r="J1546" s="35">
        <f t="shared" si="329"/>
        <v>4207.8</v>
      </c>
      <c r="K1546" s="7">
        <f>прил.6!L39</f>
        <v>0</v>
      </c>
      <c r="L1546" s="35">
        <f t="shared" si="339"/>
        <v>4207.8</v>
      </c>
      <c r="M1546" s="7">
        <f>прил.6!N39</f>
        <v>223</v>
      </c>
      <c r="N1546" s="35">
        <f t="shared" si="332"/>
        <v>4430.8</v>
      </c>
      <c r="O1546" s="7">
        <f>прил.6!P39</f>
        <v>0</v>
      </c>
      <c r="P1546" s="35">
        <f t="shared" si="330"/>
        <v>4430.8</v>
      </c>
      <c r="Q1546" s="7">
        <f>прил.6!R39</f>
        <v>-14.2</v>
      </c>
      <c r="R1546" s="35">
        <f t="shared" si="345"/>
        <v>4416.6000000000004</v>
      </c>
      <c r="S1546" s="7">
        <f>прил.6!T39</f>
        <v>0</v>
      </c>
      <c r="T1546" s="35">
        <f t="shared" si="341"/>
        <v>4416.6000000000004</v>
      </c>
    </row>
    <row r="1547" spans="1:21">
      <c r="A1547" s="61" t="str">
        <f t="shared" ca="1" si="344"/>
        <v>Иные бюджетные ассигнования</v>
      </c>
      <c r="B1547" s="43" t="s">
        <v>302</v>
      </c>
      <c r="C1547" s="8" t="s">
        <v>211</v>
      </c>
      <c r="D1547" s="8" t="s">
        <v>214</v>
      </c>
      <c r="E1547" s="113">
        <v>800</v>
      </c>
      <c r="F1547" s="86">
        <f>F1548</f>
        <v>2</v>
      </c>
      <c r="G1547" s="86">
        <f>G1548</f>
        <v>0</v>
      </c>
      <c r="H1547" s="87">
        <f t="shared" si="333"/>
        <v>2</v>
      </c>
      <c r="I1547" s="86">
        <f>I1548</f>
        <v>0</v>
      </c>
      <c r="J1547" s="87">
        <f t="shared" si="329"/>
        <v>2</v>
      </c>
      <c r="K1547" s="86">
        <f>K1548</f>
        <v>0</v>
      </c>
      <c r="L1547" s="87">
        <f t="shared" si="339"/>
        <v>2</v>
      </c>
      <c r="M1547" s="86">
        <f>M1548</f>
        <v>0</v>
      </c>
      <c r="N1547" s="87">
        <f t="shared" si="332"/>
        <v>2</v>
      </c>
      <c r="O1547" s="86">
        <f>O1548</f>
        <v>0</v>
      </c>
      <c r="P1547" s="35">
        <f t="shared" si="330"/>
        <v>2</v>
      </c>
      <c r="Q1547" s="86">
        <f>Q1548</f>
        <v>0</v>
      </c>
      <c r="R1547" s="35">
        <f t="shared" si="345"/>
        <v>2</v>
      </c>
      <c r="S1547" s="7">
        <f>S1548</f>
        <v>0</v>
      </c>
      <c r="T1547" s="35">
        <f t="shared" si="341"/>
        <v>2</v>
      </c>
    </row>
    <row r="1548" spans="1:21">
      <c r="A1548" s="61" t="str">
        <f t="shared" ca="1" si="344"/>
        <v>Уплата налогов, сборов и иных платежей</v>
      </c>
      <c r="B1548" s="43" t="s">
        <v>302</v>
      </c>
      <c r="C1548" s="8" t="s">
        <v>211</v>
      </c>
      <c r="D1548" s="8" t="s">
        <v>214</v>
      </c>
      <c r="E1548" s="113">
        <v>850</v>
      </c>
      <c r="F1548" s="86">
        <f>F1549</f>
        <v>2</v>
      </c>
      <c r="G1548" s="86">
        <f>G1549</f>
        <v>0</v>
      </c>
      <c r="H1548" s="87">
        <f t="shared" si="333"/>
        <v>2</v>
      </c>
      <c r="I1548" s="86">
        <f>I1549</f>
        <v>0</v>
      </c>
      <c r="J1548" s="87">
        <f t="shared" si="329"/>
        <v>2</v>
      </c>
      <c r="K1548" s="86">
        <f>K1549</f>
        <v>0</v>
      </c>
      <c r="L1548" s="87">
        <f t="shared" si="339"/>
        <v>2</v>
      </c>
      <c r="M1548" s="86">
        <f>M1549</f>
        <v>0</v>
      </c>
      <c r="N1548" s="87">
        <f t="shared" si="332"/>
        <v>2</v>
      </c>
      <c r="O1548" s="86">
        <f>O1549</f>
        <v>0</v>
      </c>
      <c r="P1548" s="35">
        <f t="shared" si="330"/>
        <v>2</v>
      </c>
      <c r="Q1548" s="86">
        <f>Q1549</f>
        <v>0</v>
      </c>
      <c r="R1548" s="35">
        <f t="shared" si="345"/>
        <v>2</v>
      </c>
      <c r="S1548" s="7">
        <f>S1549</f>
        <v>0</v>
      </c>
      <c r="T1548" s="35">
        <f t="shared" si="341"/>
        <v>2</v>
      </c>
    </row>
    <row r="1549" spans="1:21">
      <c r="A1549" s="61" t="str">
        <f t="shared" ca="1" si="344"/>
        <v>Уплата прочих налогов, сборов и иных платежей</v>
      </c>
      <c r="B1549" s="43" t="s">
        <v>302</v>
      </c>
      <c r="C1549" s="8" t="s">
        <v>211</v>
      </c>
      <c r="D1549" s="8" t="s">
        <v>214</v>
      </c>
      <c r="E1549" s="113">
        <v>852</v>
      </c>
      <c r="F1549" s="7">
        <f>прил.6!G42</f>
        <v>2</v>
      </c>
      <c r="G1549" s="7">
        <f>прил.6!H42</f>
        <v>0</v>
      </c>
      <c r="H1549" s="35">
        <f t="shared" si="333"/>
        <v>2</v>
      </c>
      <c r="I1549" s="7">
        <f>прил.6!J42</f>
        <v>0</v>
      </c>
      <c r="J1549" s="35">
        <f t="shared" si="329"/>
        <v>2</v>
      </c>
      <c r="K1549" s="7">
        <f>прил.6!L42</f>
        <v>0</v>
      </c>
      <c r="L1549" s="35">
        <f t="shared" si="339"/>
        <v>2</v>
      </c>
      <c r="M1549" s="7">
        <f>прил.6!N42</f>
        <v>0</v>
      </c>
      <c r="N1549" s="35">
        <f t="shared" si="332"/>
        <v>2</v>
      </c>
      <c r="O1549" s="7">
        <f>прил.6!P42</f>
        <v>0</v>
      </c>
      <c r="P1549" s="35">
        <f t="shared" si="330"/>
        <v>2</v>
      </c>
      <c r="Q1549" s="7">
        <f>прил.6!R42</f>
        <v>0</v>
      </c>
      <c r="R1549" s="35">
        <f t="shared" si="345"/>
        <v>2</v>
      </c>
      <c r="S1549" s="7">
        <f>прил.6!T42</f>
        <v>0</v>
      </c>
      <c r="T1549" s="35">
        <f t="shared" si="341"/>
        <v>2</v>
      </c>
    </row>
    <row r="1550" spans="1:21" ht="37.5" customHeight="1">
      <c r="A1550" s="12" t="s">
        <v>163</v>
      </c>
      <c r="B1550" s="43" t="s">
        <v>302</v>
      </c>
      <c r="C1550" s="8" t="s">
        <v>211</v>
      </c>
      <c r="D1550" s="8" t="s">
        <v>215</v>
      </c>
      <c r="E1550" s="113"/>
      <c r="F1550" s="7">
        <f>F1551+F1553+F1556</f>
        <v>34037.299999999996</v>
      </c>
      <c r="G1550" s="7">
        <f>G1551+G1553+G1556</f>
        <v>0</v>
      </c>
      <c r="H1550" s="35">
        <f t="shared" si="333"/>
        <v>34037.299999999996</v>
      </c>
      <c r="I1550" s="7">
        <f>I1551+I1553+I1556</f>
        <v>8199.9</v>
      </c>
      <c r="J1550" s="35">
        <f t="shared" si="329"/>
        <v>42237.2</v>
      </c>
      <c r="K1550" s="7">
        <f>K1551+K1553+K1556</f>
        <v>0</v>
      </c>
      <c r="L1550" s="35">
        <f t="shared" si="339"/>
        <v>42237.2</v>
      </c>
      <c r="M1550" s="7">
        <f>M1551+M1553+M1556</f>
        <v>0</v>
      </c>
      <c r="N1550" s="35">
        <f t="shared" si="332"/>
        <v>42237.2</v>
      </c>
      <c r="O1550" s="7">
        <f>O1551+O1553+O1556</f>
        <v>0</v>
      </c>
      <c r="P1550" s="35">
        <f t="shared" si="330"/>
        <v>42237.2</v>
      </c>
      <c r="Q1550" s="7">
        <f>Q1551+Q1553+Q1556</f>
        <v>55.7</v>
      </c>
      <c r="R1550" s="35">
        <f t="shared" si="345"/>
        <v>42292.899999999994</v>
      </c>
      <c r="S1550" s="7">
        <f>S1551+S1553+S1556</f>
        <v>0</v>
      </c>
      <c r="T1550" s="35">
        <f t="shared" si="341"/>
        <v>42292.899999999994</v>
      </c>
    </row>
    <row r="1551" spans="1:21" ht="33">
      <c r="A1551" s="61" t="str">
        <f t="shared" ref="A1551:A1558" ca="1" si="346">IF(ISERROR(MATCH(E1551,Код_КВР,0)),"",INDIRECT(ADDRESS(MATCH(E1551,Код_КВР,0)+1,2,,,"КВР")))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51" s="43" t="s">
        <v>302</v>
      </c>
      <c r="C1551" s="8" t="s">
        <v>211</v>
      </c>
      <c r="D1551" s="8" t="s">
        <v>215</v>
      </c>
      <c r="E1551" s="113">
        <v>100</v>
      </c>
      <c r="F1551" s="7">
        <f>F1552</f>
        <v>33963.1</v>
      </c>
      <c r="G1551" s="7">
        <f>G1552</f>
        <v>0</v>
      </c>
      <c r="H1551" s="35">
        <f t="shared" si="333"/>
        <v>33963.1</v>
      </c>
      <c r="I1551" s="7">
        <f>I1552</f>
        <v>8130.3</v>
      </c>
      <c r="J1551" s="35">
        <f t="shared" si="329"/>
        <v>42093.4</v>
      </c>
      <c r="K1551" s="7">
        <f>K1552</f>
        <v>0</v>
      </c>
      <c r="L1551" s="35">
        <f t="shared" si="339"/>
        <v>42093.4</v>
      </c>
      <c r="M1551" s="7">
        <f>M1552</f>
        <v>0</v>
      </c>
      <c r="N1551" s="35">
        <f t="shared" si="332"/>
        <v>42093.4</v>
      </c>
      <c r="O1551" s="7">
        <f>O1552</f>
        <v>0</v>
      </c>
      <c r="P1551" s="35">
        <f t="shared" ref="P1551:P1615" si="347">N1551+O1551</f>
        <v>42093.4</v>
      </c>
      <c r="Q1551" s="7">
        <f>Q1552</f>
        <v>55.7</v>
      </c>
      <c r="R1551" s="35">
        <f t="shared" si="345"/>
        <v>42149.1</v>
      </c>
      <c r="S1551" s="7">
        <f>S1552</f>
        <v>0</v>
      </c>
      <c r="T1551" s="35">
        <f t="shared" si="341"/>
        <v>42149.1</v>
      </c>
    </row>
    <row r="1552" spans="1:21">
      <c r="A1552" s="61" t="str">
        <f t="shared" ca="1" si="346"/>
        <v>Расходы на выплаты персоналу муниципальных органов</v>
      </c>
      <c r="B1552" s="43" t="s">
        <v>302</v>
      </c>
      <c r="C1552" s="8" t="s">
        <v>211</v>
      </c>
      <c r="D1552" s="8" t="s">
        <v>215</v>
      </c>
      <c r="E1552" s="113">
        <v>120</v>
      </c>
      <c r="F1552" s="7">
        <f>прил.6!G873</f>
        <v>33963.1</v>
      </c>
      <c r="G1552" s="7">
        <f>прил.6!H873</f>
        <v>0</v>
      </c>
      <c r="H1552" s="35">
        <f t="shared" si="333"/>
        <v>33963.1</v>
      </c>
      <c r="I1552" s="7">
        <f>прил.6!J873+прил.6!J1716</f>
        <v>8130.3</v>
      </c>
      <c r="J1552" s="35">
        <f t="shared" ref="J1552:J1616" si="348">H1552+I1552</f>
        <v>42093.4</v>
      </c>
      <c r="K1552" s="7">
        <f>прил.6!L873+прил.6!L1716</f>
        <v>0</v>
      </c>
      <c r="L1552" s="35">
        <f t="shared" si="339"/>
        <v>42093.4</v>
      </c>
      <c r="M1552" s="7">
        <f>прил.6!N873+прил.6!N1716</f>
        <v>0</v>
      </c>
      <c r="N1552" s="35">
        <f t="shared" si="332"/>
        <v>42093.4</v>
      </c>
      <c r="O1552" s="7">
        <f>прил.6!P873+прил.6!P1716</f>
        <v>0</v>
      </c>
      <c r="P1552" s="35">
        <f t="shared" si="347"/>
        <v>42093.4</v>
      </c>
      <c r="Q1552" s="7">
        <f>прил.6!R873+прил.6!R1716</f>
        <v>55.7</v>
      </c>
      <c r="R1552" s="35">
        <f t="shared" si="345"/>
        <v>42149.1</v>
      </c>
      <c r="S1552" s="7">
        <f>прил.6!T873+прил.6!T1716</f>
        <v>0</v>
      </c>
      <c r="T1552" s="35">
        <f t="shared" si="341"/>
        <v>42149.1</v>
      </c>
    </row>
    <row r="1553" spans="1:20">
      <c r="A1553" s="61" t="str">
        <f t="shared" ca="1" si="346"/>
        <v>Закупка товаров, работ и услуг для муниципальных нужд</v>
      </c>
      <c r="B1553" s="43" t="s">
        <v>302</v>
      </c>
      <c r="C1553" s="8" t="s">
        <v>211</v>
      </c>
      <c r="D1553" s="8" t="s">
        <v>215</v>
      </c>
      <c r="E1553" s="113">
        <v>200</v>
      </c>
      <c r="F1553" s="7">
        <f>F1554</f>
        <v>72.7</v>
      </c>
      <c r="G1553" s="7">
        <f>G1554</f>
        <v>0</v>
      </c>
      <c r="H1553" s="35">
        <f t="shared" si="333"/>
        <v>72.7</v>
      </c>
      <c r="I1553" s="7">
        <f>I1554</f>
        <v>66.599999999999994</v>
      </c>
      <c r="J1553" s="35">
        <f t="shared" si="348"/>
        <v>139.30000000000001</v>
      </c>
      <c r="K1553" s="7">
        <f>K1554</f>
        <v>0</v>
      </c>
      <c r="L1553" s="35">
        <f t="shared" si="339"/>
        <v>139.30000000000001</v>
      </c>
      <c r="M1553" s="7">
        <f>M1554</f>
        <v>0</v>
      </c>
      <c r="N1553" s="35">
        <f t="shared" si="332"/>
        <v>139.30000000000001</v>
      </c>
      <c r="O1553" s="7">
        <f>O1554</f>
        <v>0</v>
      </c>
      <c r="P1553" s="35">
        <f t="shared" si="347"/>
        <v>139.30000000000001</v>
      </c>
      <c r="Q1553" s="7">
        <f>Q1554</f>
        <v>0</v>
      </c>
      <c r="R1553" s="35">
        <f t="shared" si="345"/>
        <v>139.30000000000001</v>
      </c>
      <c r="S1553" s="7">
        <f>S1554</f>
        <v>0</v>
      </c>
      <c r="T1553" s="35">
        <f t="shared" si="341"/>
        <v>139.30000000000001</v>
      </c>
    </row>
    <row r="1554" spans="1:20" ht="33">
      <c r="A1554" s="61" t="str">
        <f t="shared" ca="1" si="346"/>
        <v>Иные закупки товаров, работ и услуг для обеспечения муниципальных нужд</v>
      </c>
      <c r="B1554" s="43" t="s">
        <v>302</v>
      </c>
      <c r="C1554" s="8" t="s">
        <v>211</v>
      </c>
      <c r="D1554" s="8" t="s">
        <v>215</v>
      </c>
      <c r="E1554" s="113">
        <v>240</v>
      </c>
      <c r="F1554" s="7">
        <f>F1555</f>
        <v>72.7</v>
      </c>
      <c r="G1554" s="7">
        <f>G1555</f>
        <v>0</v>
      </c>
      <c r="H1554" s="35">
        <f t="shared" si="333"/>
        <v>72.7</v>
      </c>
      <c r="I1554" s="7">
        <f>I1555</f>
        <v>66.599999999999994</v>
      </c>
      <c r="J1554" s="35">
        <f t="shared" si="348"/>
        <v>139.30000000000001</v>
      </c>
      <c r="K1554" s="7">
        <f>K1555</f>
        <v>0</v>
      </c>
      <c r="L1554" s="35">
        <f t="shared" si="339"/>
        <v>139.30000000000001</v>
      </c>
      <c r="M1554" s="7">
        <f>M1555</f>
        <v>0</v>
      </c>
      <c r="N1554" s="35">
        <f t="shared" ref="N1554:N1618" si="349">L1554+M1554</f>
        <v>139.30000000000001</v>
      </c>
      <c r="O1554" s="7">
        <f>O1555</f>
        <v>0</v>
      </c>
      <c r="P1554" s="35">
        <f t="shared" si="347"/>
        <v>139.30000000000001</v>
      </c>
      <c r="Q1554" s="7">
        <f>Q1555</f>
        <v>0</v>
      </c>
      <c r="R1554" s="35">
        <f t="shared" si="345"/>
        <v>139.30000000000001</v>
      </c>
      <c r="S1554" s="7">
        <f>S1555</f>
        <v>0</v>
      </c>
      <c r="T1554" s="35">
        <f t="shared" si="341"/>
        <v>139.30000000000001</v>
      </c>
    </row>
    <row r="1555" spans="1:20" ht="33">
      <c r="A1555" s="61" t="str">
        <f t="shared" ca="1" si="346"/>
        <v xml:space="preserve">Прочая закупка товаров, работ и услуг для обеспечения муниципальных нужд         </v>
      </c>
      <c r="B1555" s="43" t="s">
        <v>302</v>
      </c>
      <c r="C1555" s="8" t="s">
        <v>211</v>
      </c>
      <c r="D1555" s="8" t="s">
        <v>215</v>
      </c>
      <c r="E1555" s="113">
        <v>244</v>
      </c>
      <c r="F1555" s="7">
        <f>прил.6!G876</f>
        <v>72.7</v>
      </c>
      <c r="G1555" s="7">
        <f>прил.6!H876</f>
        <v>0</v>
      </c>
      <c r="H1555" s="35">
        <f t="shared" si="333"/>
        <v>72.7</v>
      </c>
      <c r="I1555" s="7">
        <f>прил.6!J1719</f>
        <v>66.599999999999994</v>
      </c>
      <c r="J1555" s="35">
        <f t="shared" si="348"/>
        <v>139.30000000000001</v>
      </c>
      <c r="K1555" s="7">
        <f>прил.6!L1719</f>
        <v>0</v>
      </c>
      <c r="L1555" s="35">
        <f t="shared" si="339"/>
        <v>139.30000000000001</v>
      </c>
      <c r="M1555" s="7">
        <f>прил.6!N1719</f>
        <v>0</v>
      </c>
      <c r="N1555" s="35">
        <f t="shared" si="349"/>
        <v>139.30000000000001</v>
      </c>
      <c r="O1555" s="7">
        <f>прил.6!P1719</f>
        <v>0</v>
      </c>
      <c r="P1555" s="35">
        <f t="shared" si="347"/>
        <v>139.30000000000001</v>
      </c>
      <c r="Q1555" s="7">
        <f>прил.6!R1719</f>
        <v>0</v>
      </c>
      <c r="R1555" s="35">
        <f t="shared" si="345"/>
        <v>139.30000000000001</v>
      </c>
      <c r="S1555" s="7">
        <f>прил.6!T1719</f>
        <v>0</v>
      </c>
      <c r="T1555" s="35">
        <f t="shared" si="341"/>
        <v>139.30000000000001</v>
      </c>
    </row>
    <row r="1556" spans="1:20">
      <c r="A1556" s="61" t="str">
        <f t="shared" ca="1" si="346"/>
        <v>Иные бюджетные ассигнования</v>
      </c>
      <c r="B1556" s="43" t="s">
        <v>302</v>
      </c>
      <c r="C1556" s="8" t="s">
        <v>211</v>
      </c>
      <c r="D1556" s="8" t="s">
        <v>215</v>
      </c>
      <c r="E1556" s="113">
        <v>800</v>
      </c>
      <c r="F1556" s="7">
        <f>F1557</f>
        <v>1.5</v>
      </c>
      <c r="G1556" s="7">
        <f>G1557</f>
        <v>0</v>
      </c>
      <c r="H1556" s="35">
        <f t="shared" si="333"/>
        <v>1.5</v>
      </c>
      <c r="I1556" s="7">
        <f>I1557</f>
        <v>3</v>
      </c>
      <c r="J1556" s="35">
        <f t="shared" si="348"/>
        <v>4.5</v>
      </c>
      <c r="K1556" s="7">
        <f>K1557</f>
        <v>0</v>
      </c>
      <c r="L1556" s="35">
        <f t="shared" si="339"/>
        <v>4.5</v>
      </c>
      <c r="M1556" s="7">
        <f>M1557</f>
        <v>0</v>
      </c>
      <c r="N1556" s="35">
        <f t="shared" si="349"/>
        <v>4.5</v>
      </c>
      <c r="O1556" s="7">
        <f>O1557</f>
        <v>0</v>
      </c>
      <c r="P1556" s="35">
        <f t="shared" si="347"/>
        <v>4.5</v>
      </c>
      <c r="Q1556" s="7">
        <f>Q1557</f>
        <v>0</v>
      </c>
      <c r="R1556" s="35">
        <f t="shared" si="345"/>
        <v>4.5</v>
      </c>
      <c r="S1556" s="7">
        <f>S1557</f>
        <v>0</v>
      </c>
      <c r="T1556" s="35">
        <f t="shared" si="341"/>
        <v>4.5</v>
      </c>
    </row>
    <row r="1557" spans="1:20">
      <c r="A1557" s="61" t="str">
        <f t="shared" ca="1" si="346"/>
        <v>Уплата налогов, сборов и иных платежей</v>
      </c>
      <c r="B1557" s="43" t="s">
        <v>302</v>
      </c>
      <c r="C1557" s="8" t="s">
        <v>211</v>
      </c>
      <c r="D1557" s="8" t="s">
        <v>215</v>
      </c>
      <c r="E1557" s="113">
        <v>850</v>
      </c>
      <c r="F1557" s="7">
        <f>F1558</f>
        <v>1.5</v>
      </c>
      <c r="G1557" s="7">
        <f>G1558</f>
        <v>0</v>
      </c>
      <c r="H1557" s="35">
        <f t="shared" si="333"/>
        <v>1.5</v>
      </c>
      <c r="I1557" s="7">
        <f>I1558</f>
        <v>3</v>
      </c>
      <c r="J1557" s="35">
        <f t="shared" si="348"/>
        <v>4.5</v>
      </c>
      <c r="K1557" s="7">
        <f>K1558</f>
        <v>0</v>
      </c>
      <c r="L1557" s="35">
        <f t="shared" si="339"/>
        <v>4.5</v>
      </c>
      <c r="M1557" s="7">
        <f>M1558</f>
        <v>0</v>
      </c>
      <c r="N1557" s="35">
        <f t="shared" si="349"/>
        <v>4.5</v>
      </c>
      <c r="O1557" s="7">
        <f>O1558</f>
        <v>0</v>
      </c>
      <c r="P1557" s="35">
        <f t="shared" si="347"/>
        <v>4.5</v>
      </c>
      <c r="Q1557" s="7">
        <f>Q1558</f>
        <v>0</v>
      </c>
      <c r="R1557" s="35">
        <f t="shared" si="345"/>
        <v>4.5</v>
      </c>
      <c r="S1557" s="7">
        <f>S1558</f>
        <v>0</v>
      </c>
      <c r="T1557" s="35">
        <f t="shared" si="341"/>
        <v>4.5</v>
      </c>
    </row>
    <row r="1558" spans="1:20">
      <c r="A1558" s="61" t="str">
        <f t="shared" ca="1" si="346"/>
        <v>Уплата прочих налогов, сборов и иных платежей</v>
      </c>
      <c r="B1558" s="43" t="s">
        <v>302</v>
      </c>
      <c r="C1558" s="8" t="s">
        <v>211</v>
      </c>
      <c r="D1558" s="8" t="s">
        <v>215</v>
      </c>
      <c r="E1558" s="113">
        <v>852</v>
      </c>
      <c r="F1558" s="7">
        <f>прил.6!G879</f>
        <v>1.5</v>
      </c>
      <c r="G1558" s="7">
        <f>прил.6!H879</f>
        <v>0</v>
      </c>
      <c r="H1558" s="35">
        <f t="shared" si="333"/>
        <v>1.5</v>
      </c>
      <c r="I1558" s="7">
        <f>прил.6!J1722</f>
        <v>3</v>
      </c>
      <c r="J1558" s="35">
        <f t="shared" si="348"/>
        <v>4.5</v>
      </c>
      <c r="K1558" s="7">
        <f>прил.6!L1722</f>
        <v>0</v>
      </c>
      <c r="L1558" s="35">
        <f t="shared" si="339"/>
        <v>4.5</v>
      </c>
      <c r="M1558" s="7">
        <f>прил.6!N1722</f>
        <v>0</v>
      </c>
      <c r="N1558" s="35">
        <f t="shared" si="349"/>
        <v>4.5</v>
      </c>
      <c r="O1558" s="7">
        <f>прил.6!P1722</f>
        <v>0</v>
      </c>
      <c r="P1558" s="35">
        <f t="shared" si="347"/>
        <v>4.5</v>
      </c>
      <c r="Q1558" s="7">
        <f>прил.6!R1722</f>
        <v>0</v>
      </c>
      <c r="R1558" s="35">
        <f t="shared" si="345"/>
        <v>4.5</v>
      </c>
      <c r="S1558" s="7">
        <f>прил.6!T1722</f>
        <v>0</v>
      </c>
      <c r="T1558" s="35">
        <f t="shared" si="341"/>
        <v>4.5</v>
      </c>
    </row>
    <row r="1559" spans="1:20">
      <c r="A1559" s="61" t="str">
        <f ca="1">IF(ISERROR(MATCH(C1559,Код_Раздел,0)),"",INDIRECT(ADDRESS(MATCH(C1559,Код_Раздел,0)+1,2,,,"Раздел")))</f>
        <v>Национальная экономика</v>
      </c>
      <c r="B1559" s="43" t="s">
        <v>302</v>
      </c>
      <c r="C1559" s="8" t="s">
        <v>214</v>
      </c>
      <c r="D1559" s="8"/>
      <c r="E1559" s="113"/>
      <c r="F1559" s="7">
        <f>F1560</f>
        <v>68230.3</v>
      </c>
      <c r="G1559" s="7">
        <f>G1560</f>
        <v>0</v>
      </c>
      <c r="H1559" s="35">
        <f t="shared" si="333"/>
        <v>68230.3</v>
      </c>
      <c r="I1559" s="7">
        <f>I1560</f>
        <v>0</v>
      </c>
      <c r="J1559" s="35">
        <f t="shared" si="348"/>
        <v>68230.3</v>
      </c>
      <c r="K1559" s="7">
        <f>K1560</f>
        <v>0</v>
      </c>
      <c r="L1559" s="35">
        <f t="shared" si="339"/>
        <v>68230.3</v>
      </c>
      <c r="M1559" s="7">
        <f>M1560</f>
        <v>0</v>
      </c>
      <c r="N1559" s="35">
        <f t="shared" si="349"/>
        <v>68230.3</v>
      </c>
      <c r="O1559" s="7">
        <f>O1560</f>
        <v>0</v>
      </c>
      <c r="P1559" s="35">
        <f t="shared" si="347"/>
        <v>68230.3</v>
      </c>
      <c r="Q1559" s="7">
        <f>Q1560</f>
        <v>0</v>
      </c>
      <c r="R1559" s="35">
        <f t="shared" si="345"/>
        <v>68230.3</v>
      </c>
      <c r="S1559" s="7">
        <f>S1560</f>
        <v>-261.8</v>
      </c>
      <c r="T1559" s="35">
        <f t="shared" si="341"/>
        <v>67968.5</v>
      </c>
    </row>
    <row r="1560" spans="1:20">
      <c r="A1560" s="12" t="s">
        <v>221</v>
      </c>
      <c r="B1560" s="43" t="s">
        <v>302</v>
      </c>
      <c r="C1560" s="8" t="s">
        <v>214</v>
      </c>
      <c r="D1560" s="8" t="s">
        <v>194</v>
      </c>
      <c r="E1560" s="113"/>
      <c r="F1560" s="7">
        <f>F1561+F1563+F1566</f>
        <v>68230.3</v>
      </c>
      <c r="G1560" s="7">
        <f>G1561+G1563+G1566</f>
        <v>0</v>
      </c>
      <c r="H1560" s="35">
        <f t="shared" ref="H1560:H1624" si="350">F1560+G1560</f>
        <v>68230.3</v>
      </c>
      <c r="I1560" s="7">
        <f>I1561+I1563+I1566</f>
        <v>0</v>
      </c>
      <c r="J1560" s="35">
        <f t="shared" si="348"/>
        <v>68230.3</v>
      </c>
      <c r="K1560" s="7">
        <f>K1561+K1563+K1566</f>
        <v>0</v>
      </c>
      <c r="L1560" s="35">
        <f t="shared" si="339"/>
        <v>68230.3</v>
      </c>
      <c r="M1560" s="7">
        <f>M1561+M1563+M1566</f>
        <v>0</v>
      </c>
      <c r="N1560" s="35">
        <f t="shared" si="349"/>
        <v>68230.3</v>
      </c>
      <c r="O1560" s="7">
        <f>O1561+O1563+O1566</f>
        <v>0</v>
      </c>
      <c r="P1560" s="35">
        <f t="shared" si="347"/>
        <v>68230.3</v>
      </c>
      <c r="Q1560" s="7">
        <f>Q1561+Q1563+Q1566</f>
        <v>0</v>
      </c>
      <c r="R1560" s="35">
        <f t="shared" si="345"/>
        <v>68230.3</v>
      </c>
      <c r="S1560" s="7">
        <f>S1561+S1563+S1566</f>
        <v>-261.8</v>
      </c>
      <c r="T1560" s="35">
        <f t="shared" si="341"/>
        <v>67968.5</v>
      </c>
    </row>
    <row r="1561" spans="1:20" ht="33">
      <c r="A1561" s="61" t="str">
        <f t="shared" ref="A1561:A1569" ca="1" si="351">IF(ISERROR(MATCH(E1561,Код_КВР,0)),"",INDIRECT(ADDRESS(MATCH(E1561,Код_КВР,0)+1,2,,,"КВР")))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61" s="43" t="s">
        <v>302</v>
      </c>
      <c r="C1561" s="8" t="s">
        <v>214</v>
      </c>
      <c r="D1561" s="8" t="s">
        <v>194</v>
      </c>
      <c r="E1561" s="113">
        <v>100</v>
      </c>
      <c r="F1561" s="7">
        <f>F1562</f>
        <v>68183.7</v>
      </c>
      <c r="G1561" s="7">
        <f>G1562</f>
        <v>0</v>
      </c>
      <c r="H1561" s="35">
        <f t="shared" si="350"/>
        <v>68183.7</v>
      </c>
      <c r="I1561" s="7">
        <f>I1562</f>
        <v>0</v>
      </c>
      <c r="J1561" s="35">
        <f t="shared" si="348"/>
        <v>68183.7</v>
      </c>
      <c r="K1561" s="7">
        <f>K1562</f>
        <v>0</v>
      </c>
      <c r="L1561" s="35">
        <f t="shared" si="339"/>
        <v>68183.7</v>
      </c>
      <c r="M1561" s="7">
        <f>M1562</f>
        <v>0</v>
      </c>
      <c r="N1561" s="35">
        <f t="shared" si="349"/>
        <v>68183.7</v>
      </c>
      <c r="O1561" s="7">
        <f>O1562</f>
        <v>-0.1</v>
      </c>
      <c r="P1561" s="35">
        <f t="shared" si="347"/>
        <v>68183.599999999991</v>
      </c>
      <c r="Q1561" s="7">
        <f>Q1562</f>
        <v>-1.4</v>
      </c>
      <c r="R1561" s="35">
        <f t="shared" si="345"/>
        <v>68182.2</v>
      </c>
      <c r="S1561" s="7">
        <f>S1562</f>
        <v>-261.8</v>
      </c>
      <c r="T1561" s="35">
        <f t="shared" si="341"/>
        <v>67920.399999999994</v>
      </c>
    </row>
    <row r="1562" spans="1:20">
      <c r="A1562" s="61" t="str">
        <f t="shared" ca="1" si="351"/>
        <v>Расходы на выплаты персоналу муниципальных органов</v>
      </c>
      <c r="B1562" s="43" t="s">
        <v>302</v>
      </c>
      <c r="C1562" s="8" t="s">
        <v>214</v>
      </c>
      <c r="D1562" s="8" t="s">
        <v>194</v>
      </c>
      <c r="E1562" s="113">
        <v>120</v>
      </c>
      <c r="F1562" s="7">
        <f>прил.6!G566+прил.6!G1594</f>
        <v>68183.7</v>
      </c>
      <c r="G1562" s="7">
        <f>прил.6!H566+прил.6!H1594</f>
        <v>0</v>
      </c>
      <c r="H1562" s="35">
        <f t="shared" si="350"/>
        <v>68183.7</v>
      </c>
      <c r="I1562" s="7">
        <f>прил.6!J566+прил.6!J1594</f>
        <v>0</v>
      </c>
      <c r="J1562" s="35">
        <f t="shared" si="348"/>
        <v>68183.7</v>
      </c>
      <c r="K1562" s="7">
        <f>прил.6!L566+прил.6!L1594</f>
        <v>0</v>
      </c>
      <c r="L1562" s="35">
        <f t="shared" si="339"/>
        <v>68183.7</v>
      </c>
      <c r="M1562" s="7">
        <f>прил.6!N566+прил.6!N1594</f>
        <v>0</v>
      </c>
      <c r="N1562" s="35">
        <f t="shared" si="349"/>
        <v>68183.7</v>
      </c>
      <c r="O1562" s="7">
        <f>прил.6!P566+прил.6!P1594</f>
        <v>-0.1</v>
      </c>
      <c r="P1562" s="35">
        <f t="shared" si="347"/>
        <v>68183.599999999991</v>
      </c>
      <c r="Q1562" s="7">
        <f>прил.6!R566+прил.6!R1594</f>
        <v>-1.4</v>
      </c>
      <c r="R1562" s="35">
        <f t="shared" si="345"/>
        <v>68182.2</v>
      </c>
      <c r="S1562" s="7">
        <f>прил.6!T566+прил.6!T1594</f>
        <v>-261.8</v>
      </c>
      <c r="T1562" s="35">
        <f t="shared" si="341"/>
        <v>67920.399999999994</v>
      </c>
    </row>
    <row r="1563" spans="1:20">
      <c r="A1563" s="61" t="str">
        <f t="shared" ca="1" si="351"/>
        <v>Закупка товаров, работ и услуг для муниципальных нужд</v>
      </c>
      <c r="B1563" s="43" t="s">
        <v>302</v>
      </c>
      <c r="C1563" s="8" t="s">
        <v>214</v>
      </c>
      <c r="D1563" s="8" t="s">
        <v>194</v>
      </c>
      <c r="E1563" s="113">
        <v>200</v>
      </c>
      <c r="F1563" s="7">
        <f>F1564</f>
        <v>41.6</v>
      </c>
      <c r="G1563" s="7">
        <f>G1564</f>
        <v>0</v>
      </c>
      <c r="H1563" s="35">
        <f t="shared" si="350"/>
        <v>41.6</v>
      </c>
      <c r="I1563" s="7">
        <f>I1564</f>
        <v>0</v>
      </c>
      <c r="J1563" s="35">
        <f t="shared" si="348"/>
        <v>41.6</v>
      </c>
      <c r="K1563" s="7">
        <f>K1564</f>
        <v>0</v>
      </c>
      <c r="L1563" s="35">
        <f t="shared" si="339"/>
        <v>41.6</v>
      </c>
      <c r="M1563" s="7">
        <f>M1564</f>
        <v>0</v>
      </c>
      <c r="N1563" s="35">
        <f t="shared" si="349"/>
        <v>41.6</v>
      </c>
      <c r="O1563" s="7">
        <f>O1564</f>
        <v>0</v>
      </c>
      <c r="P1563" s="35">
        <f t="shared" si="347"/>
        <v>41.6</v>
      </c>
      <c r="Q1563" s="7">
        <f>Q1564</f>
        <v>1.4</v>
      </c>
      <c r="R1563" s="35">
        <f t="shared" si="345"/>
        <v>43</v>
      </c>
      <c r="S1563" s="7">
        <f>S1564</f>
        <v>0</v>
      </c>
      <c r="T1563" s="35">
        <f t="shared" si="341"/>
        <v>43</v>
      </c>
    </row>
    <row r="1564" spans="1:20" ht="33">
      <c r="A1564" s="61" t="str">
        <f t="shared" ca="1" si="351"/>
        <v>Иные закупки товаров, работ и услуг для обеспечения муниципальных нужд</v>
      </c>
      <c r="B1564" s="43" t="s">
        <v>302</v>
      </c>
      <c r="C1564" s="8" t="s">
        <v>214</v>
      </c>
      <c r="D1564" s="8" t="s">
        <v>194</v>
      </c>
      <c r="E1564" s="113">
        <v>240</v>
      </c>
      <c r="F1564" s="7">
        <f>F1565</f>
        <v>41.6</v>
      </c>
      <c r="G1564" s="7">
        <f>G1565</f>
        <v>0</v>
      </c>
      <c r="H1564" s="35">
        <f t="shared" si="350"/>
        <v>41.6</v>
      </c>
      <c r="I1564" s="7">
        <f>I1565</f>
        <v>0</v>
      </c>
      <c r="J1564" s="35">
        <f t="shared" si="348"/>
        <v>41.6</v>
      </c>
      <c r="K1564" s="7">
        <f>K1565</f>
        <v>0</v>
      </c>
      <c r="L1564" s="35">
        <f t="shared" si="339"/>
        <v>41.6</v>
      </c>
      <c r="M1564" s="7">
        <f>M1565</f>
        <v>0</v>
      </c>
      <c r="N1564" s="35">
        <f t="shared" si="349"/>
        <v>41.6</v>
      </c>
      <c r="O1564" s="7">
        <f>O1565</f>
        <v>0</v>
      </c>
      <c r="P1564" s="35">
        <f t="shared" si="347"/>
        <v>41.6</v>
      </c>
      <c r="Q1564" s="7">
        <f>Q1565</f>
        <v>1.4</v>
      </c>
      <c r="R1564" s="35">
        <f t="shared" si="345"/>
        <v>43</v>
      </c>
      <c r="S1564" s="7">
        <f>S1565</f>
        <v>0</v>
      </c>
      <c r="T1564" s="35">
        <f t="shared" si="341"/>
        <v>43</v>
      </c>
    </row>
    <row r="1565" spans="1:20" ht="33">
      <c r="A1565" s="61" t="str">
        <f t="shared" ca="1" si="351"/>
        <v xml:space="preserve">Прочая закупка товаров, работ и услуг для обеспечения муниципальных нужд         </v>
      </c>
      <c r="B1565" s="43" t="s">
        <v>302</v>
      </c>
      <c r="C1565" s="8" t="s">
        <v>214</v>
      </c>
      <c r="D1565" s="8" t="s">
        <v>194</v>
      </c>
      <c r="E1565" s="113">
        <v>244</v>
      </c>
      <c r="F1565" s="7">
        <f>прил.6!G569+прил.6!G1597</f>
        <v>41.6</v>
      </c>
      <c r="G1565" s="7">
        <f>прил.6!H569+прил.6!H1597</f>
        <v>0</v>
      </c>
      <c r="H1565" s="35">
        <f t="shared" si="350"/>
        <v>41.6</v>
      </c>
      <c r="I1565" s="7">
        <f>прил.6!J569+прил.6!J1597</f>
        <v>0</v>
      </c>
      <c r="J1565" s="35">
        <f t="shared" si="348"/>
        <v>41.6</v>
      </c>
      <c r="K1565" s="7">
        <f>прил.6!L569+прил.6!L1597</f>
        <v>0</v>
      </c>
      <c r="L1565" s="35">
        <f t="shared" si="339"/>
        <v>41.6</v>
      </c>
      <c r="M1565" s="7">
        <f>прил.6!N569+прил.6!N1597</f>
        <v>0</v>
      </c>
      <c r="N1565" s="35">
        <f t="shared" si="349"/>
        <v>41.6</v>
      </c>
      <c r="O1565" s="7">
        <f>прил.6!P569+прил.6!P1597</f>
        <v>0</v>
      </c>
      <c r="P1565" s="35">
        <f t="shared" si="347"/>
        <v>41.6</v>
      </c>
      <c r="Q1565" s="7">
        <f>прил.6!R569+прил.6!R1597</f>
        <v>1.4</v>
      </c>
      <c r="R1565" s="35">
        <f t="shared" si="345"/>
        <v>43</v>
      </c>
      <c r="S1565" s="7">
        <f>прил.6!T569+прил.6!T1597</f>
        <v>0</v>
      </c>
      <c r="T1565" s="35">
        <f t="shared" si="341"/>
        <v>43</v>
      </c>
    </row>
    <row r="1566" spans="1:20">
      <c r="A1566" s="61" t="str">
        <f t="shared" ca="1" si="351"/>
        <v>Иные бюджетные ассигнования</v>
      </c>
      <c r="B1566" s="43" t="s">
        <v>302</v>
      </c>
      <c r="C1566" s="8" t="s">
        <v>214</v>
      </c>
      <c r="D1566" s="8" t="s">
        <v>194</v>
      </c>
      <c r="E1566" s="113">
        <v>800</v>
      </c>
      <c r="F1566" s="7">
        <f>F1567</f>
        <v>5</v>
      </c>
      <c r="G1566" s="7">
        <f>G1567</f>
        <v>0</v>
      </c>
      <c r="H1566" s="35">
        <f t="shared" si="350"/>
        <v>5</v>
      </c>
      <c r="I1566" s="7">
        <f>I1567</f>
        <v>0</v>
      </c>
      <c r="J1566" s="35">
        <f t="shared" si="348"/>
        <v>5</v>
      </c>
      <c r="K1566" s="7">
        <f>K1567</f>
        <v>0</v>
      </c>
      <c r="L1566" s="35">
        <f t="shared" si="339"/>
        <v>5</v>
      </c>
      <c r="M1566" s="7">
        <f>M1567</f>
        <v>0</v>
      </c>
      <c r="N1566" s="35">
        <f t="shared" si="349"/>
        <v>5</v>
      </c>
      <c r="O1566" s="7">
        <f>O1567</f>
        <v>0.1</v>
      </c>
      <c r="P1566" s="35">
        <f t="shared" si="347"/>
        <v>5.0999999999999996</v>
      </c>
      <c r="Q1566" s="7">
        <f>Q1567</f>
        <v>0</v>
      </c>
      <c r="R1566" s="35">
        <f t="shared" si="345"/>
        <v>5.0999999999999996</v>
      </c>
      <c r="S1566" s="7">
        <f>S1567</f>
        <v>0</v>
      </c>
      <c r="T1566" s="35">
        <f t="shared" si="341"/>
        <v>5.0999999999999996</v>
      </c>
    </row>
    <row r="1567" spans="1:20">
      <c r="A1567" s="61" t="str">
        <f t="shared" ca="1" si="351"/>
        <v>Уплата налогов, сборов и иных платежей</v>
      </c>
      <c r="B1567" s="43" t="s">
        <v>302</v>
      </c>
      <c r="C1567" s="8" t="s">
        <v>214</v>
      </c>
      <c r="D1567" s="8" t="s">
        <v>194</v>
      </c>
      <c r="E1567" s="113">
        <v>850</v>
      </c>
      <c r="F1567" s="7">
        <f>F1569</f>
        <v>5</v>
      </c>
      <c r="G1567" s="7">
        <f>G1569</f>
        <v>0</v>
      </c>
      <c r="H1567" s="35">
        <f t="shared" si="350"/>
        <v>5</v>
      </c>
      <c r="I1567" s="7">
        <f>I1569</f>
        <v>0</v>
      </c>
      <c r="J1567" s="35">
        <f t="shared" si="348"/>
        <v>5</v>
      </c>
      <c r="K1567" s="7">
        <f>K1569</f>
        <v>0</v>
      </c>
      <c r="L1567" s="35">
        <f t="shared" si="339"/>
        <v>5</v>
      </c>
      <c r="M1567" s="7">
        <f>M1569</f>
        <v>0</v>
      </c>
      <c r="N1567" s="35">
        <f t="shared" si="349"/>
        <v>5</v>
      </c>
      <c r="O1567" s="7">
        <f>O1569+O1568</f>
        <v>0.1</v>
      </c>
      <c r="P1567" s="35">
        <f t="shared" si="347"/>
        <v>5.0999999999999996</v>
      </c>
      <c r="Q1567" s="7">
        <f>Q1569+Q1568</f>
        <v>0</v>
      </c>
      <c r="R1567" s="35">
        <f t="shared" si="345"/>
        <v>5.0999999999999996</v>
      </c>
      <c r="S1567" s="7">
        <f>S1569+S1568</f>
        <v>0</v>
      </c>
      <c r="T1567" s="35">
        <f t="shared" si="341"/>
        <v>5.0999999999999996</v>
      </c>
    </row>
    <row r="1568" spans="1:20">
      <c r="A1568" s="61" t="str">
        <f t="shared" ref="A1568" ca="1" si="352">IF(ISERROR(MATCH(E1568,Код_КВР,0)),"",INDIRECT(ADDRESS(MATCH(E1568,Код_КВР,0)+1,2,,,"КВР")))</f>
        <v>Уплата налога на имущество организаций и земельного налога</v>
      </c>
      <c r="B1568" s="43" t="s">
        <v>302</v>
      </c>
      <c r="C1568" s="8" t="s">
        <v>214</v>
      </c>
      <c r="D1568" s="8" t="s">
        <v>194</v>
      </c>
      <c r="E1568" s="113">
        <v>851</v>
      </c>
      <c r="F1568" s="7"/>
      <c r="G1568" s="7"/>
      <c r="H1568" s="35"/>
      <c r="I1568" s="7"/>
      <c r="J1568" s="35"/>
      <c r="K1568" s="7"/>
      <c r="L1568" s="35"/>
      <c r="M1568" s="7"/>
      <c r="N1568" s="35"/>
      <c r="O1568" s="7">
        <f>прил.6!P572</f>
        <v>0.1</v>
      </c>
      <c r="P1568" s="35">
        <f t="shared" si="347"/>
        <v>0.1</v>
      </c>
      <c r="Q1568" s="7">
        <f>прил.6!R572</f>
        <v>0</v>
      </c>
      <c r="R1568" s="35">
        <f t="shared" si="345"/>
        <v>0.1</v>
      </c>
      <c r="S1568" s="7">
        <f>прил.6!T572</f>
        <v>0</v>
      </c>
      <c r="T1568" s="35">
        <f t="shared" si="341"/>
        <v>0.1</v>
      </c>
    </row>
    <row r="1569" spans="1:20">
      <c r="A1569" s="61" t="str">
        <f t="shared" ca="1" si="351"/>
        <v>Уплата прочих налогов, сборов и иных платежей</v>
      </c>
      <c r="B1569" s="43" t="s">
        <v>302</v>
      </c>
      <c r="C1569" s="8" t="s">
        <v>214</v>
      </c>
      <c r="D1569" s="8" t="s">
        <v>194</v>
      </c>
      <c r="E1569" s="113">
        <v>852</v>
      </c>
      <c r="F1569" s="7">
        <f>прил.6!G573+прил.6!G1600</f>
        <v>5</v>
      </c>
      <c r="G1569" s="7">
        <f>прил.6!H573+прил.6!H1600</f>
        <v>0</v>
      </c>
      <c r="H1569" s="35">
        <f t="shared" si="350"/>
        <v>5</v>
      </c>
      <c r="I1569" s="7">
        <f>прил.6!J573+прил.6!J1600</f>
        <v>0</v>
      </c>
      <c r="J1569" s="35">
        <f t="shared" si="348"/>
        <v>5</v>
      </c>
      <c r="K1569" s="7">
        <f>прил.6!L573+прил.6!L1600</f>
        <v>0</v>
      </c>
      <c r="L1569" s="35">
        <f t="shared" si="339"/>
        <v>5</v>
      </c>
      <c r="M1569" s="7">
        <f>прил.6!N573+прил.6!N1600</f>
        <v>0</v>
      </c>
      <c r="N1569" s="35">
        <f t="shared" si="349"/>
        <v>5</v>
      </c>
      <c r="O1569" s="7">
        <f>прил.6!P573+прил.6!P1600</f>
        <v>0</v>
      </c>
      <c r="P1569" s="35">
        <f t="shared" si="347"/>
        <v>5</v>
      </c>
      <c r="Q1569" s="7">
        <f>прил.6!R573+прил.6!R1600</f>
        <v>0</v>
      </c>
      <c r="R1569" s="35">
        <f t="shared" si="345"/>
        <v>5</v>
      </c>
      <c r="S1569" s="7">
        <f>прил.6!T573+прил.6!T1600</f>
        <v>0</v>
      </c>
      <c r="T1569" s="35">
        <f t="shared" si="341"/>
        <v>5</v>
      </c>
    </row>
    <row r="1570" spans="1:20">
      <c r="A1570" s="61" t="str">
        <f ca="1">IF(ISERROR(MATCH(C1570,Код_Раздел,0)),"",INDIRECT(ADDRESS(MATCH(C1570,Код_Раздел,0)+1,2,,,"Раздел")))</f>
        <v>Жилищно-коммунальное хозяйство</v>
      </c>
      <c r="B1570" s="43" t="s">
        <v>302</v>
      </c>
      <c r="C1570" s="8" t="s">
        <v>219</v>
      </c>
      <c r="D1570" s="8"/>
      <c r="E1570" s="113"/>
      <c r="F1570" s="7">
        <f>F1571</f>
        <v>21929.300000000003</v>
      </c>
      <c r="G1570" s="7">
        <f>G1571</f>
        <v>0</v>
      </c>
      <c r="H1570" s="35">
        <f t="shared" si="350"/>
        <v>21929.300000000003</v>
      </c>
      <c r="I1570" s="7">
        <f>I1571</f>
        <v>0</v>
      </c>
      <c r="J1570" s="35">
        <f t="shared" si="348"/>
        <v>21929.300000000003</v>
      </c>
      <c r="K1570" s="7">
        <f>K1571</f>
        <v>0</v>
      </c>
      <c r="L1570" s="35">
        <f t="shared" si="339"/>
        <v>21929.300000000003</v>
      </c>
      <c r="M1570" s="7">
        <f>M1571</f>
        <v>0</v>
      </c>
      <c r="N1570" s="35">
        <f t="shared" si="349"/>
        <v>21929.300000000003</v>
      </c>
      <c r="O1570" s="7">
        <f>O1571</f>
        <v>0</v>
      </c>
      <c r="P1570" s="35">
        <f t="shared" si="347"/>
        <v>21929.300000000003</v>
      </c>
      <c r="Q1570" s="7">
        <f>Q1571</f>
        <v>0</v>
      </c>
      <c r="R1570" s="35">
        <f t="shared" si="345"/>
        <v>21929.300000000003</v>
      </c>
      <c r="S1570" s="7">
        <f>S1571</f>
        <v>0</v>
      </c>
      <c r="T1570" s="35">
        <f t="shared" si="341"/>
        <v>21929.300000000003</v>
      </c>
    </row>
    <row r="1571" spans="1:20">
      <c r="A1571" s="12" t="s">
        <v>162</v>
      </c>
      <c r="B1571" s="43" t="s">
        <v>302</v>
      </c>
      <c r="C1571" s="8" t="s">
        <v>219</v>
      </c>
      <c r="D1571" s="8" t="s">
        <v>219</v>
      </c>
      <c r="E1571" s="113"/>
      <c r="F1571" s="7">
        <f>F1572+F1574+F1577</f>
        <v>21929.300000000003</v>
      </c>
      <c r="G1571" s="7">
        <f>G1572+G1574+G1577</f>
        <v>0</v>
      </c>
      <c r="H1571" s="35">
        <f t="shared" si="350"/>
        <v>21929.300000000003</v>
      </c>
      <c r="I1571" s="7">
        <f>I1572+I1574+I1577</f>
        <v>0</v>
      </c>
      <c r="J1571" s="35">
        <f t="shared" si="348"/>
        <v>21929.300000000003</v>
      </c>
      <c r="K1571" s="7">
        <f>K1572+K1574+K1577</f>
        <v>0</v>
      </c>
      <c r="L1571" s="35">
        <f t="shared" si="339"/>
        <v>21929.300000000003</v>
      </c>
      <c r="M1571" s="7">
        <f>M1572+M1574+M1577</f>
        <v>0</v>
      </c>
      <c r="N1571" s="35">
        <f t="shared" si="349"/>
        <v>21929.300000000003</v>
      </c>
      <c r="O1571" s="7">
        <f>O1572+O1574+O1577</f>
        <v>0</v>
      </c>
      <c r="P1571" s="35">
        <f t="shared" si="347"/>
        <v>21929.300000000003</v>
      </c>
      <c r="Q1571" s="7">
        <f>Q1572+Q1574+Q1577</f>
        <v>0</v>
      </c>
      <c r="R1571" s="35">
        <f t="shared" si="345"/>
        <v>21929.300000000003</v>
      </c>
      <c r="S1571" s="7">
        <f>S1572+S1574+S1577</f>
        <v>0</v>
      </c>
      <c r="T1571" s="35">
        <f t="shared" si="341"/>
        <v>21929.300000000003</v>
      </c>
    </row>
    <row r="1572" spans="1:20" ht="33">
      <c r="A1572" s="61" t="str">
        <f t="shared" ref="A1572:A1579" ca="1" si="353">IF(ISERROR(MATCH(E1572,Код_КВР,0)),"",INDIRECT(ADDRESS(MATCH(E1572,Код_КВР,0)+1,2,,,"КВР")))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72" s="43" t="s">
        <v>302</v>
      </c>
      <c r="C1572" s="8" t="s">
        <v>219</v>
      </c>
      <c r="D1572" s="8" t="s">
        <v>219</v>
      </c>
      <c r="E1572" s="113">
        <v>100</v>
      </c>
      <c r="F1572" s="7">
        <f>F1573</f>
        <v>21894.9</v>
      </c>
      <c r="G1572" s="7">
        <f>G1573</f>
        <v>0</v>
      </c>
      <c r="H1572" s="35">
        <f t="shared" si="350"/>
        <v>21894.9</v>
      </c>
      <c r="I1572" s="7">
        <f>I1573</f>
        <v>0</v>
      </c>
      <c r="J1572" s="35">
        <f t="shared" si="348"/>
        <v>21894.9</v>
      </c>
      <c r="K1572" s="7">
        <f>K1573</f>
        <v>0</v>
      </c>
      <c r="L1572" s="35">
        <f t="shared" si="339"/>
        <v>21894.9</v>
      </c>
      <c r="M1572" s="7">
        <f>M1573</f>
        <v>0</v>
      </c>
      <c r="N1572" s="35">
        <f t="shared" si="349"/>
        <v>21894.9</v>
      </c>
      <c r="O1572" s="7">
        <f>O1573</f>
        <v>0</v>
      </c>
      <c r="P1572" s="35">
        <f t="shared" si="347"/>
        <v>21894.9</v>
      </c>
      <c r="Q1572" s="7">
        <f>Q1573</f>
        <v>0</v>
      </c>
      <c r="R1572" s="35">
        <f t="shared" si="345"/>
        <v>21894.9</v>
      </c>
      <c r="S1572" s="7">
        <f>S1573</f>
        <v>-40</v>
      </c>
      <c r="T1572" s="35">
        <f t="shared" si="341"/>
        <v>21854.9</v>
      </c>
    </row>
    <row r="1573" spans="1:20">
      <c r="A1573" s="61" t="str">
        <f t="shared" ca="1" si="353"/>
        <v>Расходы на выплаты персоналу муниципальных органов</v>
      </c>
      <c r="B1573" s="43" t="s">
        <v>302</v>
      </c>
      <c r="C1573" s="8" t="s">
        <v>219</v>
      </c>
      <c r="D1573" s="8" t="s">
        <v>219</v>
      </c>
      <c r="E1573" s="113">
        <v>120</v>
      </c>
      <c r="F1573" s="7">
        <f>прил.6!G521</f>
        <v>21894.9</v>
      </c>
      <c r="G1573" s="7">
        <f>прил.6!H521</f>
        <v>0</v>
      </c>
      <c r="H1573" s="35">
        <f t="shared" si="350"/>
        <v>21894.9</v>
      </c>
      <c r="I1573" s="7">
        <f>прил.6!J521</f>
        <v>0</v>
      </c>
      <c r="J1573" s="35">
        <f t="shared" si="348"/>
        <v>21894.9</v>
      </c>
      <c r="K1573" s="7">
        <f>прил.6!L521</f>
        <v>0</v>
      </c>
      <c r="L1573" s="35">
        <f t="shared" si="339"/>
        <v>21894.9</v>
      </c>
      <c r="M1573" s="7">
        <f>прил.6!N521</f>
        <v>0</v>
      </c>
      <c r="N1573" s="35">
        <f t="shared" si="349"/>
        <v>21894.9</v>
      </c>
      <c r="O1573" s="7">
        <f>прил.6!P521</f>
        <v>0</v>
      </c>
      <c r="P1573" s="35">
        <f t="shared" si="347"/>
        <v>21894.9</v>
      </c>
      <c r="Q1573" s="7">
        <f>прил.6!R521</f>
        <v>0</v>
      </c>
      <c r="R1573" s="35">
        <f t="shared" si="345"/>
        <v>21894.9</v>
      </c>
      <c r="S1573" s="7">
        <f>прил.6!T521</f>
        <v>-40</v>
      </c>
      <c r="T1573" s="35">
        <f t="shared" si="341"/>
        <v>21854.9</v>
      </c>
    </row>
    <row r="1574" spans="1:20">
      <c r="A1574" s="61" t="str">
        <f t="shared" ca="1" si="353"/>
        <v>Закупка товаров, работ и услуг для муниципальных нужд</v>
      </c>
      <c r="B1574" s="43" t="s">
        <v>302</v>
      </c>
      <c r="C1574" s="8" t="s">
        <v>219</v>
      </c>
      <c r="D1574" s="8" t="s">
        <v>219</v>
      </c>
      <c r="E1574" s="113">
        <v>200</v>
      </c>
      <c r="F1574" s="7">
        <f>F1575</f>
        <v>31.4</v>
      </c>
      <c r="G1574" s="7">
        <f>G1575</f>
        <v>0</v>
      </c>
      <c r="H1574" s="35">
        <f t="shared" si="350"/>
        <v>31.4</v>
      </c>
      <c r="I1574" s="7">
        <f>I1575</f>
        <v>0</v>
      </c>
      <c r="J1574" s="35">
        <f t="shared" si="348"/>
        <v>31.4</v>
      </c>
      <c r="K1574" s="7">
        <f>K1575</f>
        <v>0</v>
      </c>
      <c r="L1574" s="35">
        <f t="shared" si="339"/>
        <v>31.4</v>
      </c>
      <c r="M1574" s="7">
        <f>M1575</f>
        <v>0</v>
      </c>
      <c r="N1574" s="35">
        <f t="shared" si="349"/>
        <v>31.4</v>
      </c>
      <c r="O1574" s="7">
        <f>O1575</f>
        <v>0</v>
      </c>
      <c r="P1574" s="35">
        <f t="shared" si="347"/>
        <v>31.4</v>
      </c>
      <c r="Q1574" s="7">
        <f>Q1575</f>
        <v>0</v>
      </c>
      <c r="R1574" s="35">
        <f t="shared" si="345"/>
        <v>31.4</v>
      </c>
      <c r="S1574" s="7">
        <f>S1575</f>
        <v>40</v>
      </c>
      <c r="T1574" s="35">
        <f t="shared" si="341"/>
        <v>71.400000000000006</v>
      </c>
    </row>
    <row r="1575" spans="1:20" ht="33">
      <c r="A1575" s="61" t="str">
        <f t="shared" ca="1" si="353"/>
        <v>Иные закупки товаров, работ и услуг для обеспечения муниципальных нужд</v>
      </c>
      <c r="B1575" s="43" t="s">
        <v>302</v>
      </c>
      <c r="C1575" s="8" t="s">
        <v>219</v>
      </c>
      <c r="D1575" s="8" t="s">
        <v>219</v>
      </c>
      <c r="E1575" s="113">
        <v>240</v>
      </c>
      <c r="F1575" s="7">
        <f>F1576</f>
        <v>31.4</v>
      </c>
      <c r="G1575" s="7">
        <f>G1576</f>
        <v>0</v>
      </c>
      <c r="H1575" s="35">
        <f t="shared" si="350"/>
        <v>31.4</v>
      </c>
      <c r="I1575" s="7">
        <f>I1576</f>
        <v>0</v>
      </c>
      <c r="J1575" s="35">
        <f t="shared" si="348"/>
        <v>31.4</v>
      </c>
      <c r="K1575" s="7">
        <f>K1576</f>
        <v>0</v>
      </c>
      <c r="L1575" s="35">
        <f t="shared" si="339"/>
        <v>31.4</v>
      </c>
      <c r="M1575" s="7">
        <f>M1576</f>
        <v>0</v>
      </c>
      <c r="N1575" s="35">
        <f t="shared" si="349"/>
        <v>31.4</v>
      </c>
      <c r="O1575" s="7">
        <f>O1576</f>
        <v>0</v>
      </c>
      <c r="P1575" s="35">
        <f t="shared" si="347"/>
        <v>31.4</v>
      </c>
      <c r="Q1575" s="7">
        <f>Q1576</f>
        <v>0</v>
      </c>
      <c r="R1575" s="35">
        <f t="shared" si="345"/>
        <v>31.4</v>
      </c>
      <c r="S1575" s="7">
        <f>S1576</f>
        <v>40</v>
      </c>
      <c r="T1575" s="35">
        <f t="shared" si="341"/>
        <v>71.400000000000006</v>
      </c>
    </row>
    <row r="1576" spans="1:20" ht="33">
      <c r="A1576" s="61" t="str">
        <f t="shared" ca="1" si="353"/>
        <v xml:space="preserve">Прочая закупка товаров, работ и услуг для обеспечения муниципальных нужд         </v>
      </c>
      <c r="B1576" s="43" t="s">
        <v>302</v>
      </c>
      <c r="C1576" s="8" t="s">
        <v>219</v>
      </c>
      <c r="D1576" s="8" t="s">
        <v>219</v>
      </c>
      <c r="E1576" s="113">
        <v>244</v>
      </c>
      <c r="F1576" s="7">
        <f>прил.6!G524</f>
        <v>31.4</v>
      </c>
      <c r="G1576" s="7">
        <f>прил.6!H524</f>
        <v>0</v>
      </c>
      <c r="H1576" s="35">
        <f t="shared" si="350"/>
        <v>31.4</v>
      </c>
      <c r="I1576" s="7">
        <f>прил.6!J524</f>
        <v>0</v>
      </c>
      <c r="J1576" s="35">
        <f t="shared" si="348"/>
        <v>31.4</v>
      </c>
      <c r="K1576" s="7">
        <f>прил.6!L524</f>
        <v>0</v>
      </c>
      <c r="L1576" s="35">
        <f t="shared" si="339"/>
        <v>31.4</v>
      </c>
      <c r="M1576" s="7">
        <f>прил.6!N524</f>
        <v>0</v>
      </c>
      <c r="N1576" s="35">
        <f t="shared" si="349"/>
        <v>31.4</v>
      </c>
      <c r="O1576" s="7">
        <f>прил.6!P524</f>
        <v>0</v>
      </c>
      <c r="P1576" s="35">
        <f t="shared" si="347"/>
        <v>31.4</v>
      </c>
      <c r="Q1576" s="7">
        <f>прил.6!R524</f>
        <v>0</v>
      </c>
      <c r="R1576" s="35">
        <f t="shared" si="345"/>
        <v>31.4</v>
      </c>
      <c r="S1576" s="7">
        <f>прил.6!T524</f>
        <v>40</v>
      </c>
      <c r="T1576" s="35">
        <f t="shared" si="341"/>
        <v>71.400000000000006</v>
      </c>
    </row>
    <row r="1577" spans="1:20">
      <c r="A1577" s="61" t="str">
        <f t="shared" ca="1" si="353"/>
        <v>Иные бюджетные ассигнования</v>
      </c>
      <c r="B1577" s="43" t="s">
        <v>302</v>
      </c>
      <c r="C1577" s="8" t="s">
        <v>219</v>
      </c>
      <c r="D1577" s="8" t="s">
        <v>219</v>
      </c>
      <c r="E1577" s="113">
        <v>800</v>
      </c>
      <c r="F1577" s="7">
        <f>F1578</f>
        <v>3</v>
      </c>
      <c r="G1577" s="7">
        <f>G1578</f>
        <v>0</v>
      </c>
      <c r="H1577" s="35">
        <f t="shared" si="350"/>
        <v>3</v>
      </c>
      <c r="I1577" s="7">
        <f>I1578</f>
        <v>0</v>
      </c>
      <c r="J1577" s="35">
        <f t="shared" si="348"/>
        <v>3</v>
      </c>
      <c r="K1577" s="7">
        <f>K1578</f>
        <v>0</v>
      </c>
      <c r="L1577" s="35">
        <f t="shared" si="339"/>
        <v>3</v>
      </c>
      <c r="M1577" s="7">
        <f>M1578</f>
        <v>0</v>
      </c>
      <c r="N1577" s="35">
        <f t="shared" si="349"/>
        <v>3</v>
      </c>
      <c r="O1577" s="7">
        <f>O1578</f>
        <v>0</v>
      </c>
      <c r="P1577" s="35">
        <f t="shared" si="347"/>
        <v>3</v>
      </c>
      <c r="Q1577" s="7">
        <f>Q1578</f>
        <v>0</v>
      </c>
      <c r="R1577" s="35">
        <f t="shared" si="345"/>
        <v>3</v>
      </c>
      <c r="S1577" s="7">
        <f>S1578</f>
        <v>0</v>
      </c>
      <c r="T1577" s="35">
        <f t="shared" si="341"/>
        <v>3</v>
      </c>
    </row>
    <row r="1578" spans="1:20">
      <c r="A1578" s="61" t="str">
        <f t="shared" ca="1" si="353"/>
        <v>Уплата налогов, сборов и иных платежей</v>
      </c>
      <c r="B1578" s="43" t="s">
        <v>302</v>
      </c>
      <c r="C1578" s="8" t="s">
        <v>219</v>
      </c>
      <c r="D1578" s="8" t="s">
        <v>219</v>
      </c>
      <c r="E1578" s="113">
        <v>850</v>
      </c>
      <c r="F1578" s="7">
        <f>F1579</f>
        <v>3</v>
      </c>
      <c r="G1578" s="7">
        <f>G1579</f>
        <v>0</v>
      </c>
      <c r="H1578" s="35">
        <f t="shared" si="350"/>
        <v>3</v>
      </c>
      <c r="I1578" s="7">
        <f>I1579</f>
        <v>0</v>
      </c>
      <c r="J1578" s="35">
        <f t="shared" si="348"/>
        <v>3</v>
      </c>
      <c r="K1578" s="7">
        <f>K1579</f>
        <v>0</v>
      </c>
      <c r="L1578" s="35">
        <f t="shared" si="339"/>
        <v>3</v>
      </c>
      <c r="M1578" s="7">
        <f>M1579</f>
        <v>0</v>
      </c>
      <c r="N1578" s="35">
        <f t="shared" si="349"/>
        <v>3</v>
      </c>
      <c r="O1578" s="7">
        <f>O1579</f>
        <v>0</v>
      </c>
      <c r="P1578" s="35">
        <f t="shared" si="347"/>
        <v>3</v>
      </c>
      <c r="Q1578" s="7">
        <f>Q1579</f>
        <v>0</v>
      </c>
      <c r="R1578" s="35">
        <f t="shared" si="345"/>
        <v>3</v>
      </c>
      <c r="S1578" s="7">
        <f>S1579</f>
        <v>0</v>
      </c>
      <c r="T1578" s="35">
        <f t="shared" si="341"/>
        <v>3</v>
      </c>
    </row>
    <row r="1579" spans="1:20">
      <c r="A1579" s="61" t="str">
        <f t="shared" ca="1" si="353"/>
        <v>Уплата прочих налогов, сборов и иных платежей</v>
      </c>
      <c r="B1579" s="43" t="s">
        <v>302</v>
      </c>
      <c r="C1579" s="8" t="s">
        <v>219</v>
      </c>
      <c r="D1579" s="8" t="s">
        <v>219</v>
      </c>
      <c r="E1579" s="113">
        <v>852</v>
      </c>
      <c r="F1579" s="7">
        <f>прил.6!G527</f>
        <v>3</v>
      </c>
      <c r="G1579" s="7">
        <f>прил.6!H527</f>
        <v>0</v>
      </c>
      <c r="H1579" s="35">
        <f t="shared" si="350"/>
        <v>3</v>
      </c>
      <c r="I1579" s="7">
        <f>прил.6!J527</f>
        <v>0</v>
      </c>
      <c r="J1579" s="35">
        <f t="shared" si="348"/>
        <v>3</v>
      </c>
      <c r="K1579" s="7">
        <f>прил.6!L527</f>
        <v>0</v>
      </c>
      <c r="L1579" s="35">
        <f t="shared" si="339"/>
        <v>3</v>
      </c>
      <c r="M1579" s="7">
        <f>прил.6!N527</f>
        <v>0</v>
      </c>
      <c r="N1579" s="35">
        <f t="shared" si="349"/>
        <v>3</v>
      </c>
      <c r="O1579" s="7">
        <f>прил.6!P527</f>
        <v>0</v>
      </c>
      <c r="P1579" s="35">
        <f t="shared" si="347"/>
        <v>3</v>
      </c>
      <c r="Q1579" s="7">
        <f>прил.6!R527</f>
        <v>0</v>
      </c>
      <c r="R1579" s="35">
        <f t="shared" si="345"/>
        <v>3</v>
      </c>
      <c r="S1579" s="7">
        <f>прил.6!T527</f>
        <v>0</v>
      </c>
      <c r="T1579" s="35">
        <f t="shared" si="341"/>
        <v>3</v>
      </c>
    </row>
    <row r="1580" spans="1:20">
      <c r="A1580" s="61" t="str">
        <f ca="1">IF(ISERROR(MATCH(C1580,Код_Раздел,0)),"",INDIRECT(ADDRESS(MATCH(C1580,Код_Раздел,0)+1,2,,,"Раздел")))</f>
        <v>Охрана окружающей среды</v>
      </c>
      <c r="B1580" s="43" t="s">
        <v>302</v>
      </c>
      <c r="C1580" s="8" t="s">
        <v>215</v>
      </c>
      <c r="D1580" s="8"/>
      <c r="E1580" s="113"/>
      <c r="F1580" s="7">
        <f>F1581</f>
        <v>11173.1</v>
      </c>
      <c r="G1580" s="7">
        <f>G1581</f>
        <v>0</v>
      </c>
      <c r="H1580" s="35">
        <f t="shared" si="350"/>
        <v>11173.1</v>
      </c>
      <c r="I1580" s="7">
        <f>I1581</f>
        <v>0</v>
      </c>
      <c r="J1580" s="35">
        <f t="shared" si="348"/>
        <v>11173.1</v>
      </c>
      <c r="K1580" s="7">
        <f>K1581</f>
        <v>0</v>
      </c>
      <c r="L1580" s="35">
        <f t="shared" si="339"/>
        <v>11173.1</v>
      </c>
      <c r="M1580" s="7">
        <f>M1581</f>
        <v>0</v>
      </c>
      <c r="N1580" s="35">
        <f t="shared" si="349"/>
        <v>11173.1</v>
      </c>
      <c r="O1580" s="7">
        <f>O1581</f>
        <v>0</v>
      </c>
      <c r="P1580" s="35">
        <f t="shared" si="347"/>
        <v>11173.1</v>
      </c>
      <c r="Q1580" s="7">
        <f>Q1581</f>
        <v>0</v>
      </c>
      <c r="R1580" s="35">
        <f t="shared" si="345"/>
        <v>11173.1</v>
      </c>
      <c r="S1580" s="7">
        <f>S1581</f>
        <v>0</v>
      </c>
      <c r="T1580" s="35">
        <f t="shared" si="341"/>
        <v>11173.1</v>
      </c>
    </row>
    <row r="1581" spans="1:20">
      <c r="A1581" s="12" t="s">
        <v>253</v>
      </c>
      <c r="B1581" s="43" t="s">
        <v>302</v>
      </c>
      <c r="C1581" s="8" t="s">
        <v>215</v>
      </c>
      <c r="D1581" s="8" t="s">
        <v>219</v>
      </c>
      <c r="E1581" s="113"/>
      <c r="F1581" s="7">
        <f>F1582+F1584+F1587</f>
        <v>11173.1</v>
      </c>
      <c r="G1581" s="7">
        <f>G1582+G1584+G1587</f>
        <v>0</v>
      </c>
      <c r="H1581" s="35">
        <f t="shared" si="350"/>
        <v>11173.1</v>
      </c>
      <c r="I1581" s="7">
        <f>I1582+I1584+I1587</f>
        <v>0</v>
      </c>
      <c r="J1581" s="35">
        <f t="shared" si="348"/>
        <v>11173.1</v>
      </c>
      <c r="K1581" s="7">
        <f>K1582+K1584+K1587</f>
        <v>0</v>
      </c>
      <c r="L1581" s="35">
        <f t="shared" ref="L1581:L1673" si="354">J1581+K1581</f>
        <v>11173.1</v>
      </c>
      <c r="M1581" s="7">
        <f>M1582+M1584+M1587</f>
        <v>0</v>
      </c>
      <c r="N1581" s="35">
        <f t="shared" si="349"/>
        <v>11173.1</v>
      </c>
      <c r="O1581" s="7">
        <f>O1582+O1584+O1587</f>
        <v>0</v>
      </c>
      <c r="P1581" s="35">
        <f t="shared" si="347"/>
        <v>11173.1</v>
      </c>
      <c r="Q1581" s="7">
        <f>Q1582+Q1584+Q1587</f>
        <v>0</v>
      </c>
      <c r="R1581" s="35">
        <f t="shared" si="345"/>
        <v>11173.1</v>
      </c>
      <c r="S1581" s="7">
        <f>S1582+S1584+S1587</f>
        <v>0</v>
      </c>
      <c r="T1581" s="35">
        <f t="shared" si="341"/>
        <v>11173.1</v>
      </c>
    </row>
    <row r="1582" spans="1:20" ht="33">
      <c r="A1582" s="61" t="str">
        <f t="shared" ref="A1582:A1589" ca="1" si="355">IF(ISERROR(MATCH(E1582,Код_КВР,0)),"",INDIRECT(ADDRESS(MATCH(E1582,Код_КВР,0)+1,2,,,"КВР")))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82" s="43" t="s">
        <v>302</v>
      </c>
      <c r="C1582" s="8" t="s">
        <v>215</v>
      </c>
      <c r="D1582" s="8" t="s">
        <v>219</v>
      </c>
      <c r="E1582" s="113">
        <v>100</v>
      </c>
      <c r="F1582" s="7">
        <f>F1583</f>
        <v>11155.7</v>
      </c>
      <c r="G1582" s="7">
        <f>G1583</f>
        <v>0</v>
      </c>
      <c r="H1582" s="35">
        <f t="shared" si="350"/>
        <v>11155.7</v>
      </c>
      <c r="I1582" s="7">
        <f>I1583</f>
        <v>0</v>
      </c>
      <c r="J1582" s="35">
        <f t="shared" si="348"/>
        <v>11155.7</v>
      </c>
      <c r="K1582" s="7">
        <f>K1583</f>
        <v>0</v>
      </c>
      <c r="L1582" s="35">
        <f t="shared" si="354"/>
        <v>11155.7</v>
      </c>
      <c r="M1582" s="7">
        <f>M1583</f>
        <v>0</v>
      </c>
      <c r="N1582" s="35">
        <f t="shared" si="349"/>
        <v>11155.7</v>
      </c>
      <c r="O1582" s="7">
        <f>O1583</f>
        <v>0</v>
      </c>
      <c r="P1582" s="35">
        <f t="shared" si="347"/>
        <v>11155.7</v>
      </c>
      <c r="Q1582" s="7">
        <f>Q1583</f>
        <v>0</v>
      </c>
      <c r="R1582" s="35">
        <f t="shared" si="345"/>
        <v>11155.7</v>
      </c>
      <c r="S1582" s="7">
        <f>S1583</f>
        <v>0</v>
      </c>
      <c r="T1582" s="35">
        <f t="shared" si="341"/>
        <v>11155.7</v>
      </c>
    </row>
    <row r="1583" spans="1:20">
      <c r="A1583" s="61" t="str">
        <f t="shared" ca="1" si="355"/>
        <v>Расходы на выплаты персоналу муниципальных органов</v>
      </c>
      <c r="B1583" s="43" t="s">
        <v>302</v>
      </c>
      <c r="C1583" s="8" t="s">
        <v>215</v>
      </c>
      <c r="D1583" s="8" t="s">
        <v>219</v>
      </c>
      <c r="E1583" s="113">
        <v>120</v>
      </c>
      <c r="F1583" s="7">
        <f>прил.6!G1745</f>
        <v>11155.7</v>
      </c>
      <c r="G1583" s="7">
        <f>прил.6!H1745</f>
        <v>0</v>
      </c>
      <c r="H1583" s="35">
        <f t="shared" si="350"/>
        <v>11155.7</v>
      </c>
      <c r="I1583" s="7">
        <f>прил.6!J1745</f>
        <v>0</v>
      </c>
      <c r="J1583" s="35">
        <f t="shared" si="348"/>
        <v>11155.7</v>
      </c>
      <c r="K1583" s="7">
        <f>прил.6!L1745</f>
        <v>0</v>
      </c>
      <c r="L1583" s="35">
        <f t="shared" si="354"/>
        <v>11155.7</v>
      </c>
      <c r="M1583" s="7">
        <f>прил.6!N1745</f>
        <v>0</v>
      </c>
      <c r="N1583" s="35">
        <f t="shared" si="349"/>
        <v>11155.7</v>
      </c>
      <c r="O1583" s="7">
        <f>прил.6!P1745</f>
        <v>0</v>
      </c>
      <c r="P1583" s="35">
        <f t="shared" si="347"/>
        <v>11155.7</v>
      </c>
      <c r="Q1583" s="7">
        <f>прил.6!R1745</f>
        <v>0</v>
      </c>
      <c r="R1583" s="35">
        <f t="shared" si="345"/>
        <v>11155.7</v>
      </c>
      <c r="S1583" s="7">
        <f>прил.6!T1745</f>
        <v>0</v>
      </c>
      <c r="T1583" s="35">
        <f t="shared" si="341"/>
        <v>11155.7</v>
      </c>
    </row>
    <row r="1584" spans="1:20">
      <c r="A1584" s="61" t="str">
        <f t="shared" ca="1" si="355"/>
        <v>Закупка товаров, работ и услуг для муниципальных нужд</v>
      </c>
      <c r="B1584" s="43" t="s">
        <v>302</v>
      </c>
      <c r="C1584" s="8" t="s">
        <v>215</v>
      </c>
      <c r="D1584" s="8" t="s">
        <v>219</v>
      </c>
      <c r="E1584" s="113">
        <v>200</v>
      </c>
      <c r="F1584" s="7">
        <f>F1585</f>
        <v>15.4</v>
      </c>
      <c r="G1584" s="7">
        <f>G1585</f>
        <v>0</v>
      </c>
      <c r="H1584" s="35">
        <f t="shared" si="350"/>
        <v>15.4</v>
      </c>
      <c r="I1584" s="7">
        <f>I1585</f>
        <v>0</v>
      </c>
      <c r="J1584" s="35">
        <f t="shared" si="348"/>
        <v>15.4</v>
      </c>
      <c r="K1584" s="7">
        <f>K1585</f>
        <v>0</v>
      </c>
      <c r="L1584" s="35">
        <f t="shared" si="354"/>
        <v>15.4</v>
      </c>
      <c r="M1584" s="7">
        <f>M1585</f>
        <v>0</v>
      </c>
      <c r="N1584" s="35">
        <f t="shared" si="349"/>
        <v>15.4</v>
      </c>
      <c r="O1584" s="7">
        <f>O1585</f>
        <v>0</v>
      </c>
      <c r="P1584" s="35">
        <f t="shared" si="347"/>
        <v>15.4</v>
      </c>
      <c r="Q1584" s="7">
        <f>Q1585</f>
        <v>0</v>
      </c>
      <c r="R1584" s="35">
        <f t="shared" si="345"/>
        <v>15.4</v>
      </c>
      <c r="S1584" s="7">
        <f>S1585</f>
        <v>0</v>
      </c>
      <c r="T1584" s="35">
        <f t="shared" si="341"/>
        <v>15.4</v>
      </c>
    </row>
    <row r="1585" spans="1:20" ht="33">
      <c r="A1585" s="61" t="str">
        <f t="shared" ca="1" si="355"/>
        <v>Иные закупки товаров, работ и услуг для обеспечения муниципальных нужд</v>
      </c>
      <c r="B1585" s="43" t="s">
        <v>302</v>
      </c>
      <c r="C1585" s="8" t="s">
        <v>215</v>
      </c>
      <c r="D1585" s="8" t="s">
        <v>219</v>
      </c>
      <c r="E1585" s="113">
        <v>240</v>
      </c>
      <c r="F1585" s="7">
        <f>F1586</f>
        <v>15.4</v>
      </c>
      <c r="G1585" s="7">
        <f>G1586</f>
        <v>0</v>
      </c>
      <c r="H1585" s="35">
        <f t="shared" si="350"/>
        <v>15.4</v>
      </c>
      <c r="I1585" s="7">
        <f>I1586</f>
        <v>0</v>
      </c>
      <c r="J1585" s="35">
        <f t="shared" si="348"/>
        <v>15.4</v>
      </c>
      <c r="K1585" s="7">
        <f>K1586</f>
        <v>0</v>
      </c>
      <c r="L1585" s="35">
        <f t="shared" si="354"/>
        <v>15.4</v>
      </c>
      <c r="M1585" s="7">
        <f>M1586</f>
        <v>0</v>
      </c>
      <c r="N1585" s="35">
        <f t="shared" si="349"/>
        <v>15.4</v>
      </c>
      <c r="O1585" s="7">
        <f>O1586</f>
        <v>0</v>
      </c>
      <c r="P1585" s="35">
        <f t="shared" si="347"/>
        <v>15.4</v>
      </c>
      <c r="Q1585" s="7">
        <f>Q1586</f>
        <v>0</v>
      </c>
      <c r="R1585" s="35">
        <f t="shared" si="345"/>
        <v>15.4</v>
      </c>
      <c r="S1585" s="7">
        <f>S1586</f>
        <v>0</v>
      </c>
      <c r="T1585" s="35">
        <f t="shared" si="341"/>
        <v>15.4</v>
      </c>
    </row>
    <row r="1586" spans="1:20" ht="33">
      <c r="A1586" s="61" t="str">
        <f t="shared" ca="1" si="355"/>
        <v xml:space="preserve">Прочая закупка товаров, работ и услуг для обеспечения муниципальных нужд         </v>
      </c>
      <c r="B1586" s="43" t="s">
        <v>302</v>
      </c>
      <c r="C1586" s="8" t="s">
        <v>215</v>
      </c>
      <c r="D1586" s="8" t="s">
        <v>219</v>
      </c>
      <c r="E1586" s="113">
        <v>244</v>
      </c>
      <c r="F1586" s="7">
        <f>прил.6!G1748</f>
        <v>15.4</v>
      </c>
      <c r="G1586" s="7">
        <f>прил.6!H1748</f>
        <v>0</v>
      </c>
      <c r="H1586" s="35">
        <f t="shared" si="350"/>
        <v>15.4</v>
      </c>
      <c r="I1586" s="7">
        <f>прил.6!J1748</f>
        <v>0</v>
      </c>
      <c r="J1586" s="35">
        <f t="shared" si="348"/>
        <v>15.4</v>
      </c>
      <c r="K1586" s="7">
        <f>прил.6!L1748</f>
        <v>0</v>
      </c>
      <c r="L1586" s="35">
        <f t="shared" si="354"/>
        <v>15.4</v>
      </c>
      <c r="M1586" s="7">
        <f>прил.6!N1748</f>
        <v>0</v>
      </c>
      <c r="N1586" s="35">
        <f t="shared" si="349"/>
        <v>15.4</v>
      </c>
      <c r="O1586" s="7">
        <f>прил.6!P1748</f>
        <v>0</v>
      </c>
      <c r="P1586" s="35">
        <f t="shared" si="347"/>
        <v>15.4</v>
      </c>
      <c r="Q1586" s="7">
        <f>прил.6!R1748</f>
        <v>0</v>
      </c>
      <c r="R1586" s="35">
        <f t="shared" si="345"/>
        <v>15.4</v>
      </c>
      <c r="S1586" s="7">
        <f>прил.6!T1748</f>
        <v>0</v>
      </c>
      <c r="T1586" s="35">
        <f t="shared" si="341"/>
        <v>15.4</v>
      </c>
    </row>
    <row r="1587" spans="1:20">
      <c r="A1587" s="61" t="str">
        <f t="shared" ca="1" si="355"/>
        <v>Иные бюджетные ассигнования</v>
      </c>
      <c r="B1587" s="43" t="s">
        <v>302</v>
      </c>
      <c r="C1587" s="8" t="s">
        <v>215</v>
      </c>
      <c r="D1587" s="8" t="s">
        <v>219</v>
      </c>
      <c r="E1587" s="113">
        <v>800</v>
      </c>
      <c r="F1587" s="7">
        <f>F1588</f>
        <v>2</v>
      </c>
      <c r="G1587" s="7">
        <f>G1588</f>
        <v>0</v>
      </c>
      <c r="H1587" s="35">
        <f t="shared" si="350"/>
        <v>2</v>
      </c>
      <c r="I1587" s="7">
        <f>I1588</f>
        <v>0</v>
      </c>
      <c r="J1587" s="35">
        <f t="shared" si="348"/>
        <v>2</v>
      </c>
      <c r="K1587" s="7">
        <f>K1588</f>
        <v>0</v>
      </c>
      <c r="L1587" s="35">
        <f t="shared" si="354"/>
        <v>2</v>
      </c>
      <c r="M1587" s="7">
        <f>M1588</f>
        <v>0</v>
      </c>
      <c r="N1587" s="35">
        <f t="shared" si="349"/>
        <v>2</v>
      </c>
      <c r="O1587" s="7">
        <f>O1588</f>
        <v>0</v>
      </c>
      <c r="P1587" s="35">
        <f t="shared" si="347"/>
        <v>2</v>
      </c>
      <c r="Q1587" s="7">
        <f>Q1588</f>
        <v>0</v>
      </c>
      <c r="R1587" s="35">
        <f t="shared" si="345"/>
        <v>2</v>
      </c>
      <c r="S1587" s="7">
        <f>S1588</f>
        <v>0</v>
      </c>
      <c r="T1587" s="35">
        <f t="shared" si="341"/>
        <v>2</v>
      </c>
    </row>
    <row r="1588" spans="1:20">
      <c r="A1588" s="61" t="str">
        <f t="shared" ca="1" si="355"/>
        <v>Уплата налогов, сборов и иных платежей</v>
      </c>
      <c r="B1588" s="43" t="s">
        <v>302</v>
      </c>
      <c r="C1588" s="8" t="s">
        <v>215</v>
      </c>
      <c r="D1588" s="8" t="s">
        <v>219</v>
      </c>
      <c r="E1588" s="113">
        <v>850</v>
      </c>
      <c r="F1588" s="7">
        <f>F1589</f>
        <v>2</v>
      </c>
      <c r="G1588" s="7">
        <f>G1589</f>
        <v>0</v>
      </c>
      <c r="H1588" s="35">
        <f t="shared" si="350"/>
        <v>2</v>
      </c>
      <c r="I1588" s="7">
        <f>I1589</f>
        <v>0</v>
      </c>
      <c r="J1588" s="35">
        <f t="shared" si="348"/>
        <v>2</v>
      </c>
      <c r="K1588" s="7">
        <f>K1589</f>
        <v>0</v>
      </c>
      <c r="L1588" s="35">
        <f t="shared" si="354"/>
        <v>2</v>
      </c>
      <c r="M1588" s="7">
        <f>M1589</f>
        <v>0</v>
      </c>
      <c r="N1588" s="35">
        <f t="shared" si="349"/>
        <v>2</v>
      </c>
      <c r="O1588" s="7">
        <f>O1589</f>
        <v>0</v>
      </c>
      <c r="P1588" s="35">
        <f t="shared" si="347"/>
        <v>2</v>
      </c>
      <c r="Q1588" s="7">
        <f>Q1589</f>
        <v>0</v>
      </c>
      <c r="R1588" s="35">
        <f t="shared" si="345"/>
        <v>2</v>
      </c>
      <c r="S1588" s="7">
        <f>S1589</f>
        <v>0</v>
      </c>
      <c r="T1588" s="35">
        <f t="shared" si="341"/>
        <v>2</v>
      </c>
    </row>
    <row r="1589" spans="1:20">
      <c r="A1589" s="61" t="str">
        <f t="shared" ca="1" si="355"/>
        <v>Уплата прочих налогов, сборов и иных платежей</v>
      </c>
      <c r="B1589" s="43" t="s">
        <v>302</v>
      </c>
      <c r="C1589" s="8" t="s">
        <v>215</v>
      </c>
      <c r="D1589" s="8" t="s">
        <v>219</v>
      </c>
      <c r="E1589" s="113">
        <v>852</v>
      </c>
      <c r="F1589" s="7">
        <f>прил.6!G1751</f>
        <v>2</v>
      </c>
      <c r="G1589" s="7">
        <f>прил.6!H1751</f>
        <v>0</v>
      </c>
      <c r="H1589" s="35">
        <f t="shared" si="350"/>
        <v>2</v>
      </c>
      <c r="I1589" s="7">
        <f>прил.6!J1751</f>
        <v>0</v>
      </c>
      <c r="J1589" s="35">
        <f t="shared" si="348"/>
        <v>2</v>
      </c>
      <c r="K1589" s="7">
        <f>прил.6!L1751</f>
        <v>0</v>
      </c>
      <c r="L1589" s="35">
        <f t="shared" si="354"/>
        <v>2</v>
      </c>
      <c r="M1589" s="7">
        <f>прил.6!N1751</f>
        <v>0</v>
      </c>
      <c r="N1589" s="35">
        <f t="shared" si="349"/>
        <v>2</v>
      </c>
      <c r="O1589" s="7">
        <f>прил.6!P1751</f>
        <v>0</v>
      </c>
      <c r="P1589" s="35">
        <f t="shared" si="347"/>
        <v>2</v>
      </c>
      <c r="Q1589" s="7">
        <f>прил.6!R1751</f>
        <v>0</v>
      </c>
      <c r="R1589" s="35">
        <f t="shared" si="345"/>
        <v>2</v>
      </c>
      <c r="S1589" s="7">
        <f>прил.6!T1751</f>
        <v>0</v>
      </c>
      <c r="T1589" s="35">
        <f t="shared" ref="T1589:T1652" si="356">R1589+S1589</f>
        <v>2</v>
      </c>
    </row>
    <row r="1590" spans="1:20">
      <c r="A1590" s="61" t="str">
        <f ca="1">IF(ISERROR(MATCH(C1590,Код_Раздел,0)),"",INDIRECT(ADDRESS(MATCH(C1590,Код_Раздел,0)+1,2,,,"Раздел")))</f>
        <v>Образование</v>
      </c>
      <c r="B1590" s="43" t="s">
        <v>302</v>
      </c>
      <c r="C1590" s="8" t="s">
        <v>193</v>
      </c>
      <c r="D1590" s="1"/>
      <c r="E1590" s="113"/>
      <c r="F1590" s="7">
        <f>F1591</f>
        <v>20820.599999999999</v>
      </c>
      <c r="G1590" s="7">
        <f>G1591</f>
        <v>0</v>
      </c>
      <c r="H1590" s="35">
        <f t="shared" si="350"/>
        <v>20820.599999999999</v>
      </c>
      <c r="I1590" s="7">
        <f>I1591</f>
        <v>0</v>
      </c>
      <c r="J1590" s="35">
        <f t="shared" si="348"/>
        <v>20820.599999999999</v>
      </c>
      <c r="K1590" s="7">
        <f>K1591</f>
        <v>0</v>
      </c>
      <c r="L1590" s="35">
        <f t="shared" si="354"/>
        <v>20820.599999999999</v>
      </c>
      <c r="M1590" s="7">
        <f>M1591</f>
        <v>0</v>
      </c>
      <c r="N1590" s="35">
        <f t="shared" si="349"/>
        <v>20820.599999999999</v>
      </c>
      <c r="O1590" s="7">
        <f>O1591</f>
        <v>0</v>
      </c>
      <c r="P1590" s="35">
        <f t="shared" si="347"/>
        <v>20820.599999999999</v>
      </c>
      <c r="Q1590" s="7">
        <f>Q1591</f>
        <v>0</v>
      </c>
      <c r="R1590" s="35">
        <f t="shared" si="345"/>
        <v>20820.599999999999</v>
      </c>
      <c r="S1590" s="7">
        <f>S1591</f>
        <v>0</v>
      </c>
      <c r="T1590" s="35">
        <f t="shared" si="356"/>
        <v>20820.599999999999</v>
      </c>
    </row>
    <row r="1591" spans="1:20">
      <c r="A1591" s="12" t="s">
        <v>249</v>
      </c>
      <c r="B1591" s="43" t="s">
        <v>302</v>
      </c>
      <c r="C1591" s="8" t="s">
        <v>193</v>
      </c>
      <c r="D1591" s="1" t="s">
        <v>217</v>
      </c>
      <c r="E1591" s="113"/>
      <c r="F1591" s="7">
        <f>F1592+F1594</f>
        <v>20820.599999999999</v>
      </c>
      <c r="G1591" s="7">
        <f>G1592+G1594</f>
        <v>0</v>
      </c>
      <c r="H1591" s="35">
        <f t="shared" si="350"/>
        <v>20820.599999999999</v>
      </c>
      <c r="I1591" s="7">
        <f>I1592+I1594</f>
        <v>0</v>
      </c>
      <c r="J1591" s="35">
        <f t="shared" si="348"/>
        <v>20820.599999999999</v>
      </c>
      <c r="K1591" s="7">
        <f>K1592+K1594</f>
        <v>0</v>
      </c>
      <c r="L1591" s="35">
        <f t="shared" si="354"/>
        <v>20820.599999999999</v>
      </c>
      <c r="M1591" s="7">
        <f>M1592+M1594</f>
        <v>0</v>
      </c>
      <c r="N1591" s="35">
        <f t="shared" si="349"/>
        <v>20820.599999999999</v>
      </c>
      <c r="O1591" s="7">
        <f>O1592+O1594</f>
        <v>0</v>
      </c>
      <c r="P1591" s="35">
        <f t="shared" si="347"/>
        <v>20820.599999999999</v>
      </c>
      <c r="Q1591" s="7">
        <f>Q1592+Q1594</f>
        <v>0</v>
      </c>
      <c r="R1591" s="35">
        <f t="shared" si="345"/>
        <v>20820.599999999999</v>
      </c>
      <c r="S1591" s="7">
        <f>S1592+S1594</f>
        <v>0</v>
      </c>
      <c r="T1591" s="35">
        <f t="shared" si="356"/>
        <v>20820.599999999999</v>
      </c>
    </row>
    <row r="1592" spans="1:20" ht="33">
      <c r="A1592" s="61" t="str">
        <f ca="1">IF(ISERROR(MATCH(E1592,Код_КВР,0)),"",INDIRECT(ADDRESS(MATCH(E1592,Код_КВР,0)+1,2,,,"КВР")))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92" s="43" t="s">
        <v>302</v>
      </c>
      <c r="C1592" s="8" t="s">
        <v>193</v>
      </c>
      <c r="D1592" s="1" t="s">
        <v>217</v>
      </c>
      <c r="E1592" s="113">
        <v>100</v>
      </c>
      <c r="F1592" s="7">
        <f>F1593</f>
        <v>20763</v>
      </c>
      <c r="G1592" s="7">
        <f>G1593</f>
        <v>0</v>
      </c>
      <c r="H1592" s="35">
        <f t="shared" si="350"/>
        <v>20763</v>
      </c>
      <c r="I1592" s="7">
        <f>I1593</f>
        <v>0</v>
      </c>
      <c r="J1592" s="35">
        <f t="shared" si="348"/>
        <v>20763</v>
      </c>
      <c r="K1592" s="7">
        <f>K1593</f>
        <v>0</v>
      </c>
      <c r="L1592" s="35">
        <f t="shared" si="354"/>
        <v>20763</v>
      </c>
      <c r="M1592" s="7">
        <f>M1593</f>
        <v>0</v>
      </c>
      <c r="N1592" s="35">
        <f t="shared" si="349"/>
        <v>20763</v>
      </c>
      <c r="O1592" s="7">
        <f>O1593</f>
        <v>0</v>
      </c>
      <c r="P1592" s="35">
        <f t="shared" si="347"/>
        <v>20763</v>
      </c>
      <c r="Q1592" s="7">
        <f>Q1593</f>
        <v>0</v>
      </c>
      <c r="R1592" s="35">
        <f t="shared" si="345"/>
        <v>20763</v>
      </c>
      <c r="S1592" s="7">
        <f>S1593</f>
        <v>0</v>
      </c>
      <c r="T1592" s="35">
        <f t="shared" si="356"/>
        <v>20763</v>
      </c>
    </row>
    <row r="1593" spans="1:20">
      <c r="A1593" s="61" t="str">
        <f ca="1">IF(ISERROR(MATCH(E1593,Код_КВР,0)),"",INDIRECT(ADDRESS(MATCH(E1593,Код_КВР,0)+1,2,,,"КВР")))</f>
        <v>Расходы на выплаты персоналу муниципальных органов</v>
      </c>
      <c r="B1593" s="43" t="s">
        <v>302</v>
      </c>
      <c r="C1593" s="8" t="s">
        <v>193</v>
      </c>
      <c r="D1593" s="1" t="s">
        <v>217</v>
      </c>
      <c r="E1593" s="113">
        <v>120</v>
      </c>
      <c r="F1593" s="7">
        <f>прил.6!G810</f>
        <v>20763</v>
      </c>
      <c r="G1593" s="7">
        <f>прил.6!H810</f>
        <v>0</v>
      </c>
      <c r="H1593" s="35">
        <f t="shared" si="350"/>
        <v>20763</v>
      </c>
      <c r="I1593" s="7">
        <f>прил.6!J810</f>
        <v>0</v>
      </c>
      <c r="J1593" s="35">
        <f t="shared" si="348"/>
        <v>20763</v>
      </c>
      <c r="K1593" s="7">
        <f>прил.6!L810</f>
        <v>0</v>
      </c>
      <c r="L1593" s="35">
        <f t="shared" si="354"/>
        <v>20763</v>
      </c>
      <c r="M1593" s="7">
        <f>прил.6!N810</f>
        <v>0</v>
      </c>
      <c r="N1593" s="35">
        <f t="shared" si="349"/>
        <v>20763</v>
      </c>
      <c r="O1593" s="7">
        <f>прил.6!P810</f>
        <v>0</v>
      </c>
      <c r="P1593" s="35">
        <f t="shared" si="347"/>
        <v>20763</v>
      </c>
      <c r="Q1593" s="7">
        <f>прил.6!R810</f>
        <v>0</v>
      </c>
      <c r="R1593" s="35">
        <f t="shared" si="345"/>
        <v>20763</v>
      </c>
      <c r="S1593" s="7">
        <f>прил.6!T810</f>
        <v>0</v>
      </c>
      <c r="T1593" s="35">
        <f t="shared" si="356"/>
        <v>20763</v>
      </c>
    </row>
    <row r="1594" spans="1:20">
      <c r="A1594" s="61" t="str">
        <f ca="1">IF(ISERROR(MATCH(E1594,Код_КВР,0)),"",INDIRECT(ADDRESS(MATCH(E1594,Код_КВР,0)+1,2,,,"КВР")))</f>
        <v>Закупка товаров, работ и услуг для муниципальных нужд</v>
      </c>
      <c r="B1594" s="43" t="s">
        <v>302</v>
      </c>
      <c r="C1594" s="8" t="s">
        <v>193</v>
      </c>
      <c r="D1594" s="1" t="s">
        <v>217</v>
      </c>
      <c r="E1594" s="113">
        <v>200</v>
      </c>
      <c r="F1594" s="7">
        <f>F1595</f>
        <v>57.6</v>
      </c>
      <c r="G1594" s="7">
        <f>G1595</f>
        <v>0</v>
      </c>
      <c r="H1594" s="35">
        <f t="shared" si="350"/>
        <v>57.6</v>
      </c>
      <c r="I1594" s="7">
        <f>I1595</f>
        <v>0</v>
      </c>
      <c r="J1594" s="35">
        <f t="shared" si="348"/>
        <v>57.6</v>
      </c>
      <c r="K1594" s="7">
        <f>K1595</f>
        <v>0</v>
      </c>
      <c r="L1594" s="35">
        <f t="shared" si="354"/>
        <v>57.6</v>
      </c>
      <c r="M1594" s="7">
        <f>M1595</f>
        <v>0</v>
      </c>
      <c r="N1594" s="35">
        <f t="shared" si="349"/>
        <v>57.6</v>
      </c>
      <c r="O1594" s="7">
        <f>O1595</f>
        <v>0</v>
      </c>
      <c r="P1594" s="35">
        <f t="shared" si="347"/>
        <v>57.6</v>
      </c>
      <c r="Q1594" s="7">
        <f>Q1595</f>
        <v>0</v>
      </c>
      <c r="R1594" s="35">
        <f t="shared" si="345"/>
        <v>57.6</v>
      </c>
      <c r="S1594" s="7">
        <f>S1595</f>
        <v>0</v>
      </c>
      <c r="T1594" s="35">
        <f t="shared" si="356"/>
        <v>57.6</v>
      </c>
    </row>
    <row r="1595" spans="1:20" ht="33">
      <c r="A1595" s="61" t="str">
        <f ca="1">IF(ISERROR(MATCH(E1595,Код_КВР,0)),"",INDIRECT(ADDRESS(MATCH(E1595,Код_КВР,0)+1,2,,,"КВР")))</f>
        <v>Иные закупки товаров, работ и услуг для обеспечения муниципальных нужд</v>
      </c>
      <c r="B1595" s="43" t="s">
        <v>302</v>
      </c>
      <c r="C1595" s="8" t="s">
        <v>193</v>
      </c>
      <c r="D1595" s="1" t="s">
        <v>217</v>
      </c>
      <c r="E1595" s="113">
        <v>240</v>
      </c>
      <c r="F1595" s="7">
        <f>F1596</f>
        <v>57.6</v>
      </c>
      <c r="G1595" s="7">
        <f>G1596</f>
        <v>0</v>
      </c>
      <c r="H1595" s="35">
        <f t="shared" si="350"/>
        <v>57.6</v>
      </c>
      <c r="I1595" s="7">
        <f>I1596</f>
        <v>0</v>
      </c>
      <c r="J1595" s="35">
        <f t="shared" si="348"/>
        <v>57.6</v>
      </c>
      <c r="K1595" s="7">
        <f>K1596</f>
        <v>0</v>
      </c>
      <c r="L1595" s="35">
        <f t="shared" si="354"/>
        <v>57.6</v>
      </c>
      <c r="M1595" s="7">
        <f>M1596</f>
        <v>0</v>
      </c>
      <c r="N1595" s="35">
        <f t="shared" si="349"/>
        <v>57.6</v>
      </c>
      <c r="O1595" s="7">
        <f>O1596</f>
        <v>0</v>
      </c>
      <c r="P1595" s="35">
        <f t="shared" si="347"/>
        <v>57.6</v>
      </c>
      <c r="Q1595" s="7">
        <f>Q1596</f>
        <v>0</v>
      </c>
      <c r="R1595" s="35">
        <f t="shared" si="345"/>
        <v>57.6</v>
      </c>
      <c r="S1595" s="7">
        <f>S1596</f>
        <v>0</v>
      </c>
      <c r="T1595" s="35">
        <f t="shared" si="356"/>
        <v>57.6</v>
      </c>
    </row>
    <row r="1596" spans="1:20" ht="33">
      <c r="A1596" s="61" t="str">
        <f ca="1">IF(ISERROR(MATCH(E1596,Код_КВР,0)),"",INDIRECT(ADDRESS(MATCH(E1596,Код_КВР,0)+1,2,,,"КВР")))</f>
        <v xml:space="preserve">Прочая закупка товаров, работ и услуг для обеспечения муниципальных нужд         </v>
      </c>
      <c r="B1596" s="43" t="s">
        <v>302</v>
      </c>
      <c r="C1596" s="8" t="s">
        <v>193</v>
      </c>
      <c r="D1596" s="1" t="s">
        <v>217</v>
      </c>
      <c r="E1596" s="113">
        <v>244</v>
      </c>
      <c r="F1596" s="7">
        <f>прил.6!G813</f>
        <v>57.6</v>
      </c>
      <c r="G1596" s="7">
        <f>прил.6!H813</f>
        <v>0</v>
      </c>
      <c r="H1596" s="35">
        <f t="shared" si="350"/>
        <v>57.6</v>
      </c>
      <c r="I1596" s="7">
        <f>прил.6!J813</f>
        <v>0</v>
      </c>
      <c r="J1596" s="35">
        <f t="shared" si="348"/>
        <v>57.6</v>
      </c>
      <c r="K1596" s="7">
        <f>прил.6!L813</f>
        <v>0</v>
      </c>
      <c r="L1596" s="35">
        <f t="shared" si="354"/>
        <v>57.6</v>
      </c>
      <c r="M1596" s="7">
        <f>прил.6!N813</f>
        <v>0</v>
      </c>
      <c r="N1596" s="35">
        <f t="shared" si="349"/>
        <v>57.6</v>
      </c>
      <c r="O1596" s="7">
        <f>прил.6!P813</f>
        <v>0</v>
      </c>
      <c r="P1596" s="35">
        <f t="shared" si="347"/>
        <v>57.6</v>
      </c>
      <c r="Q1596" s="7">
        <f>прил.6!R813</f>
        <v>0</v>
      </c>
      <c r="R1596" s="35">
        <f t="shared" si="345"/>
        <v>57.6</v>
      </c>
      <c r="S1596" s="7">
        <f>прил.6!T813</f>
        <v>0</v>
      </c>
      <c r="T1596" s="35">
        <f t="shared" si="356"/>
        <v>57.6</v>
      </c>
    </row>
    <row r="1597" spans="1:20">
      <c r="A1597" s="61" t="str">
        <f ca="1">IF(ISERROR(MATCH(C1597,Код_Раздел,0)),"",INDIRECT(ADDRESS(MATCH(C1597,Код_Раздел,0)+1,2,,,"Раздел")))</f>
        <v>Культура, кинематография</v>
      </c>
      <c r="B1597" s="43" t="s">
        <v>302</v>
      </c>
      <c r="C1597" s="8" t="s">
        <v>220</v>
      </c>
      <c r="D1597" s="1"/>
      <c r="E1597" s="113"/>
      <c r="F1597" s="7">
        <f>F1598</f>
        <v>8849.2999999999993</v>
      </c>
      <c r="G1597" s="7">
        <f>G1598</f>
        <v>0</v>
      </c>
      <c r="H1597" s="35">
        <f t="shared" si="350"/>
        <v>8849.2999999999993</v>
      </c>
      <c r="I1597" s="7">
        <f>I1598</f>
        <v>0</v>
      </c>
      <c r="J1597" s="35">
        <f t="shared" si="348"/>
        <v>8849.2999999999993</v>
      </c>
      <c r="K1597" s="7">
        <f>K1598</f>
        <v>0</v>
      </c>
      <c r="L1597" s="35">
        <f t="shared" si="354"/>
        <v>8849.2999999999993</v>
      </c>
      <c r="M1597" s="7">
        <f>M1598</f>
        <v>0</v>
      </c>
      <c r="N1597" s="35">
        <f t="shared" si="349"/>
        <v>8849.2999999999993</v>
      </c>
      <c r="O1597" s="7">
        <f>O1598</f>
        <v>0</v>
      </c>
      <c r="P1597" s="35">
        <f t="shared" si="347"/>
        <v>8849.2999999999993</v>
      </c>
      <c r="Q1597" s="7">
        <f>Q1598</f>
        <v>0</v>
      </c>
      <c r="R1597" s="35">
        <f t="shared" si="345"/>
        <v>8849.2999999999993</v>
      </c>
      <c r="S1597" s="7">
        <f>S1598</f>
        <v>-75</v>
      </c>
      <c r="T1597" s="35">
        <f t="shared" si="356"/>
        <v>8774.2999999999993</v>
      </c>
    </row>
    <row r="1598" spans="1:20">
      <c r="A1598" s="12" t="s">
        <v>161</v>
      </c>
      <c r="B1598" s="43" t="s">
        <v>302</v>
      </c>
      <c r="C1598" s="8" t="s">
        <v>220</v>
      </c>
      <c r="D1598" s="1" t="s">
        <v>214</v>
      </c>
      <c r="E1598" s="113"/>
      <c r="F1598" s="7">
        <f>F1599+F1601+F1604</f>
        <v>8849.2999999999993</v>
      </c>
      <c r="G1598" s="7">
        <f>G1599+G1601+G1604</f>
        <v>0</v>
      </c>
      <c r="H1598" s="35">
        <f t="shared" si="350"/>
        <v>8849.2999999999993</v>
      </c>
      <c r="I1598" s="7">
        <f>I1599+I1601+I1604</f>
        <v>0</v>
      </c>
      <c r="J1598" s="35">
        <f t="shared" si="348"/>
        <v>8849.2999999999993</v>
      </c>
      <c r="K1598" s="7">
        <f>K1599+K1601+K1604</f>
        <v>0</v>
      </c>
      <c r="L1598" s="35">
        <f t="shared" si="354"/>
        <v>8849.2999999999993</v>
      </c>
      <c r="M1598" s="7">
        <f>M1599+M1601+M1604</f>
        <v>0</v>
      </c>
      <c r="N1598" s="35">
        <f t="shared" si="349"/>
        <v>8849.2999999999993</v>
      </c>
      <c r="O1598" s="7">
        <f>O1599+O1601+O1604</f>
        <v>0</v>
      </c>
      <c r="P1598" s="35">
        <f t="shared" si="347"/>
        <v>8849.2999999999993</v>
      </c>
      <c r="Q1598" s="7">
        <f>Q1599+Q1601+Q1604</f>
        <v>0</v>
      </c>
      <c r="R1598" s="35">
        <f t="shared" si="345"/>
        <v>8849.2999999999993</v>
      </c>
      <c r="S1598" s="7">
        <f>S1599+S1601+S1604</f>
        <v>-75</v>
      </c>
      <c r="T1598" s="35">
        <f t="shared" si="356"/>
        <v>8774.2999999999993</v>
      </c>
    </row>
    <row r="1599" spans="1:20" ht="33">
      <c r="A1599" s="61" t="str">
        <f t="shared" ref="A1599:A1606" ca="1" si="357">IF(ISERROR(MATCH(E1599,Код_КВР,0)),"",INDIRECT(ADDRESS(MATCH(E1599,Код_КВР,0)+1,2,,,"КВР")))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99" s="43" t="s">
        <v>302</v>
      </c>
      <c r="C1599" s="8" t="s">
        <v>220</v>
      </c>
      <c r="D1599" s="1" t="s">
        <v>214</v>
      </c>
      <c r="E1599" s="113">
        <v>100</v>
      </c>
      <c r="F1599" s="7">
        <f>F1600</f>
        <v>8833.5</v>
      </c>
      <c r="G1599" s="7">
        <f>G1600</f>
        <v>0</v>
      </c>
      <c r="H1599" s="35">
        <f t="shared" si="350"/>
        <v>8833.5</v>
      </c>
      <c r="I1599" s="7">
        <f>I1600</f>
        <v>0</v>
      </c>
      <c r="J1599" s="35">
        <f t="shared" si="348"/>
        <v>8833.5</v>
      </c>
      <c r="K1599" s="7">
        <f>K1600</f>
        <v>0</v>
      </c>
      <c r="L1599" s="35">
        <f t="shared" si="354"/>
        <v>8833.5</v>
      </c>
      <c r="M1599" s="7">
        <f>M1600</f>
        <v>0</v>
      </c>
      <c r="N1599" s="35">
        <f t="shared" si="349"/>
        <v>8833.5</v>
      </c>
      <c r="O1599" s="7">
        <f>O1600</f>
        <v>0</v>
      </c>
      <c r="P1599" s="35">
        <f t="shared" si="347"/>
        <v>8833.5</v>
      </c>
      <c r="Q1599" s="7">
        <f>Q1600</f>
        <v>0</v>
      </c>
      <c r="R1599" s="35">
        <f t="shared" si="345"/>
        <v>8833.5</v>
      </c>
      <c r="S1599" s="7">
        <f>S1600</f>
        <v>-73.5</v>
      </c>
      <c r="T1599" s="35">
        <f t="shared" si="356"/>
        <v>8760</v>
      </c>
    </row>
    <row r="1600" spans="1:20">
      <c r="A1600" s="61" t="str">
        <f t="shared" ca="1" si="357"/>
        <v>Расходы на выплаты персоналу муниципальных органов</v>
      </c>
      <c r="B1600" s="43" t="s">
        <v>302</v>
      </c>
      <c r="C1600" s="8" t="s">
        <v>220</v>
      </c>
      <c r="D1600" s="1" t="s">
        <v>214</v>
      </c>
      <c r="E1600" s="113">
        <v>120</v>
      </c>
      <c r="F1600" s="7">
        <f>прил.6!G1189</f>
        <v>8833.5</v>
      </c>
      <c r="G1600" s="7">
        <f>прил.6!H1189</f>
        <v>0</v>
      </c>
      <c r="H1600" s="35">
        <f t="shared" si="350"/>
        <v>8833.5</v>
      </c>
      <c r="I1600" s="7">
        <f>прил.6!J1189</f>
        <v>0</v>
      </c>
      <c r="J1600" s="35">
        <f t="shared" si="348"/>
        <v>8833.5</v>
      </c>
      <c r="K1600" s="7">
        <f>прил.6!L1189</f>
        <v>0</v>
      </c>
      <c r="L1600" s="35">
        <f t="shared" si="354"/>
        <v>8833.5</v>
      </c>
      <c r="M1600" s="7">
        <f>прил.6!N1189</f>
        <v>0</v>
      </c>
      <c r="N1600" s="35">
        <f t="shared" si="349"/>
        <v>8833.5</v>
      </c>
      <c r="O1600" s="7">
        <f>прил.6!P1189</f>
        <v>0</v>
      </c>
      <c r="P1600" s="35">
        <f t="shared" si="347"/>
        <v>8833.5</v>
      </c>
      <c r="Q1600" s="7">
        <f>прил.6!R1189</f>
        <v>0</v>
      </c>
      <c r="R1600" s="35">
        <f t="shared" si="345"/>
        <v>8833.5</v>
      </c>
      <c r="S1600" s="7">
        <f>прил.6!T1189</f>
        <v>-73.5</v>
      </c>
      <c r="T1600" s="35">
        <f t="shared" si="356"/>
        <v>8760</v>
      </c>
    </row>
    <row r="1601" spans="1:20">
      <c r="A1601" s="61" t="str">
        <f t="shared" ca="1" si="357"/>
        <v>Закупка товаров, работ и услуг для муниципальных нужд</v>
      </c>
      <c r="B1601" s="43" t="s">
        <v>302</v>
      </c>
      <c r="C1601" s="8" t="s">
        <v>220</v>
      </c>
      <c r="D1601" s="1" t="s">
        <v>214</v>
      </c>
      <c r="E1601" s="113">
        <v>200</v>
      </c>
      <c r="F1601" s="7">
        <f>F1602</f>
        <v>14.3</v>
      </c>
      <c r="G1601" s="7">
        <f>G1602</f>
        <v>0</v>
      </c>
      <c r="H1601" s="35">
        <f t="shared" si="350"/>
        <v>14.3</v>
      </c>
      <c r="I1601" s="7">
        <f>I1602</f>
        <v>0</v>
      </c>
      <c r="J1601" s="35">
        <f t="shared" si="348"/>
        <v>14.3</v>
      </c>
      <c r="K1601" s="7">
        <f>K1602</f>
        <v>0</v>
      </c>
      <c r="L1601" s="35">
        <f t="shared" si="354"/>
        <v>14.3</v>
      </c>
      <c r="M1601" s="7">
        <f>M1602</f>
        <v>0</v>
      </c>
      <c r="N1601" s="35">
        <f t="shared" si="349"/>
        <v>14.3</v>
      </c>
      <c r="O1601" s="7">
        <f>O1602</f>
        <v>0</v>
      </c>
      <c r="P1601" s="35">
        <f t="shared" si="347"/>
        <v>14.3</v>
      </c>
      <c r="Q1601" s="7">
        <f>Q1602</f>
        <v>0</v>
      </c>
      <c r="R1601" s="35">
        <f t="shared" si="345"/>
        <v>14.3</v>
      </c>
      <c r="S1601" s="7">
        <f>S1602</f>
        <v>-1.5</v>
      </c>
      <c r="T1601" s="35">
        <f t="shared" si="356"/>
        <v>12.8</v>
      </c>
    </row>
    <row r="1602" spans="1:20" ht="33">
      <c r="A1602" s="61" t="str">
        <f t="shared" ca="1" si="357"/>
        <v>Иные закупки товаров, работ и услуг для обеспечения муниципальных нужд</v>
      </c>
      <c r="B1602" s="43" t="s">
        <v>302</v>
      </c>
      <c r="C1602" s="8" t="s">
        <v>220</v>
      </c>
      <c r="D1602" s="1" t="s">
        <v>214</v>
      </c>
      <c r="E1602" s="113">
        <v>240</v>
      </c>
      <c r="F1602" s="7">
        <f>F1603</f>
        <v>14.3</v>
      </c>
      <c r="G1602" s="7">
        <f>G1603</f>
        <v>0</v>
      </c>
      <c r="H1602" s="35">
        <f t="shared" si="350"/>
        <v>14.3</v>
      </c>
      <c r="I1602" s="7">
        <f>I1603</f>
        <v>0</v>
      </c>
      <c r="J1602" s="35">
        <f t="shared" si="348"/>
        <v>14.3</v>
      </c>
      <c r="K1602" s="7">
        <f>K1603</f>
        <v>0</v>
      </c>
      <c r="L1602" s="35">
        <f t="shared" si="354"/>
        <v>14.3</v>
      </c>
      <c r="M1602" s="7">
        <f>M1603</f>
        <v>0</v>
      </c>
      <c r="N1602" s="35">
        <f t="shared" si="349"/>
        <v>14.3</v>
      </c>
      <c r="O1602" s="7">
        <f>O1603</f>
        <v>0</v>
      </c>
      <c r="P1602" s="35">
        <f t="shared" si="347"/>
        <v>14.3</v>
      </c>
      <c r="Q1602" s="7">
        <f>Q1603</f>
        <v>0</v>
      </c>
      <c r="R1602" s="35">
        <f t="shared" si="345"/>
        <v>14.3</v>
      </c>
      <c r="S1602" s="7">
        <f>S1603</f>
        <v>-1.5</v>
      </c>
      <c r="T1602" s="35">
        <f t="shared" si="356"/>
        <v>12.8</v>
      </c>
    </row>
    <row r="1603" spans="1:20" ht="33">
      <c r="A1603" s="61" t="str">
        <f t="shared" ca="1" si="357"/>
        <v xml:space="preserve">Прочая закупка товаров, работ и услуг для обеспечения муниципальных нужд         </v>
      </c>
      <c r="B1603" s="43" t="s">
        <v>302</v>
      </c>
      <c r="C1603" s="8" t="s">
        <v>220</v>
      </c>
      <c r="D1603" s="1" t="s">
        <v>214</v>
      </c>
      <c r="E1603" s="113">
        <v>244</v>
      </c>
      <c r="F1603" s="7">
        <f>прил.6!G1192</f>
        <v>14.3</v>
      </c>
      <c r="G1603" s="7">
        <f>прил.6!H1192</f>
        <v>0</v>
      </c>
      <c r="H1603" s="35">
        <f t="shared" si="350"/>
        <v>14.3</v>
      </c>
      <c r="I1603" s="7">
        <f>прил.6!J1192</f>
        <v>0</v>
      </c>
      <c r="J1603" s="35">
        <f t="shared" si="348"/>
        <v>14.3</v>
      </c>
      <c r="K1603" s="7">
        <f>прил.6!L1192</f>
        <v>0</v>
      </c>
      <c r="L1603" s="35">
        <f t="shared" si="354"/>
        <v>14.3</v>
      </c>
      <c r="M1603" s="7">
        <f>прил.6!N1192</f>
        <v>0</v>
      </c>
      <c r="N1603" s="35">
        <f t="shared" si="349"/>
        <v>14.3</v>
      </c>
      <c r="O1603" s="7">
        <f>прил.6!P1192</f>
        <v>0</v>
      </c>
      <c r="P1603" s="35">
        <f t="shared" si="347"/>
        <v>14.3</v>
      </c>
      <c r="Q1603" s="7">
        <f>прил.6!R1192</f>
        <v>0</v>
      </c>
      <c r="R1603" s="35">
        <f t="shared" si="345"/>
        <v>14.3</v>
      </c>
      <c r="S1603" s="7">
        <f>прил.6!T1192</f>
        <v>-1.5</v>
      </c>
      <c r="T1603" s="35">
        <f t="shared" si="356"/>
        <v>12.8</v>
      </c>
    </row>
    <row r="1604" spans="1:20">
      <c r="A1604" s="61" t="str">
        <f t="shared" ca="1" si="357"/>
        <v>Иные бюджетные ассигнования</v>
      </c>
      <c r="B1604" s="43" t="s">
        <v>302</v>
      </c>
      <c r="C1604" s="8" t="s">
        <v>220</v>
      </c>
      <c r="D1604" s="1" t="s">
        <v>214</v>
      </c>
      <c r="E1604" s="113">
        <v>800</v>
      </c>
      <c r="F1604" s="7">
        <f>F1605</f>
        <v>1.5</v>
      </c>
      <c r="G1604" s="7">
        <f>G1605</f>
        <v>0</v>
      </c>
      <c r="H1604" s="35">
        <f t="shared" si="350"/>
        <v>1.5</v>
      </c>
      <c r="I1604" s="7">
        <f>I1605</f>
        <v>0</v>
      </c>
      <c r="J1604" s="35">
        <f t="shared" si="348"/>
        <v>1.5</v>
      </c>
      <c r="K1604" s="7">
        <f>K1605</f>
        <v>0</v>
      </c>
      <c r="L1604" s="35">
        <f t="shared" si="354"/>
        <v>1.5</v>
      </c>
      <c r="M1604" s="7">
        <f>M1605</f>
        <v>0</v>
      </c>
      <c r="N1604" s="35">
        <f t="shared" si="349"/>
        <v>1.5</v>
      </c>
      <c r="O1604" s="7">
        <f>O1605</f>
        <v>0</v>
      </c>
      <c r="P1604" s="35">
        <f t="shared" si="347"/>
        <v>1.5</v>
      </c>
      <c r="Q1604" s="7">
        <f>Q1605</f>
        <v>0</v>
      </c>
      <c r="R1604" s="35">
        <f t="shared" si="345"/>
        <v>1.5</v>
      </c>
      <c r="S1604" s="7">
        <f>S1605</f>
        <v>0</v>
      </c>
      <c r="T1604" s="35">
        <f t="shared" si="356"/>
        <v>1.5</v>
      </c>
    </row>
    <row r="1605" spans="1:20">
      <c r="A1605" s="61" t="str">
        <f t="shared" ca="1" si="357"/>
        <v>Уплата налогов, сборов и иных платежей</v>
      </c>
      <c r="B1605" s="43" t="s">
        <v>302</v>
      </c>
      <c r="C1605" s="8" t="s">
        <v>220</v>
      </c>
      <c r="D1605" s="1" t="s">
        <v>214</v>
      </c>
      <c r="E1605" s="113">
        <v>850</v>
      </c>
      <c r="F1605" s="7">
        <f>F1606</f>
        <v>1.5</v>
      </c>
      <c r="G1605" s="7">
        <f>G1606</f>
        <v>0</v>
      </c>
      <c r="H1605" s="35">
        <f t="shared" si="350"/>
        <v>1.5</v>
      </c>
      <c r="I1605" s="7">
        <f>I1606</f>
        <v>0</v>
      </c>
      <c r="J1605" s="35">
        <f t="shared" si="348"/>
        <v>1.5</v>
      </c>
      <c r="K1605" s="7">
        <f>K1606</f>
        <v>0</v>
      </c>
      <c r="L1605" s="35">
        <f t="shared" si="354"/>
        <v>1.5</v>
      </c>
      <c r="M1605" s="7">
        <f>M1606</f>
        <v>0</v>
      </c>
      <c r="N1605" s="35">
        <f t="shared" si="349"/>
        <v>1.5</v>
      </c>
      <c r="O1605" s="7">
        <f>O1606</f>
        <v>0</v>
      </c>
      <c r="P1605" s="35">
        <f t="shared" si="347"/>
        <v>1.5</v>
      </c>
      <c r="Q1605" s="7">
        <f>Q1606</f>
        <v>0</v>
      </c>
      <c r="R1605" s="35">
        <f t="shared" si="345"/>
        <v>1.5</v>
      </c>
      <c r="S1605" s="7">
        <f>S1606</f>
        <v>0</v>
      </c>
      <c r="T1605" s="35">
        <f t="shared" si="356"/>
        <v>1.5</v>
      </c>
    </row>
    <row r="1606" spans="1:20">
      <c r="A1606" s="61" t="str">
        <f t="shared" ca="1" si="357"/>
        <v>Уплата прочих налогов, сборов и иных платежей</v>
      </c>
      <c r="B1606" s="43" t="s">
        <v>302</v>
      </c>
      <c r="C1606" s="8" t="s">
        <v>220</v>
      </c>
      <c r="D1606" s="1" t="s">
        <v>214</v>
      </c>
      <c r="E1606" s="113">
        <v>852</v>
      </c>
      <c r="F1606" s="7">
        <f>прил.6!G1195</f>
        <v>1.5</v>
      </c>
      <c r="G1606" s="7">
        <f>прил.6!H1195</f>
        <v>0</v>
      </c>
      <c r="H1606" s="35">
        <f t="shared" si="350"/>
        <v>1.5</v>
      </c>
      <c r="I1606" s="7">
        <f>прил.6!J1195</f>
        <v>0</v>
      </c>
      <c r="J1606" s="35">
        <f t="shared" si="348"/>
        <v>1.5</v>
      </c>
      <c r="K1606" s="7">
        <f>прил.6!L1195</f>
        <v>0</v>
      </c>
      <c r="L1606" s="35">
        <f t="shared" si="354"/>
        <v>1.5</v>
      </c>
      <c r="M1606" s="7">
        <f>прил.6!N1195</f>
        <v>0</v>
      </c>
      <c r="N1606" s="35">
        <f t="shared" si="349"/>
        <v>1.5</v>
      </c>
      <c r="O1606" s="7">
        <f>прил.6!P1195</f>
        <v>0</v>
      </c>
      <c r="P1606" s="35">
        <f t="shared" si="347"/>
        <v>1.5</v>
      </c>
      <c r="Q1606" s="7">
        <f>прил.6!R1195</f>
        <v>0</v>
      </c>
      <c r="R1606" s="35">
        <f t="shared" si="345"/>
        <v>1.5</v>
      </c>
      <c r="S1606" s="7">
        <f>прил.6!T1195</f>
        <v>0</v>
      </c>
      <c r="T1606" s="35">
        <f t="shared" si="356"/>
        <v>1.5</v>
      </c>
    </row>
    <row r="1607" spans="1:20">
      <c r="A1607" s="61" t="str">
        <f ca="1">IF(ISERROR(MATCH(C1607,Код_Раздел,0)),"",INDIRECT(ADDRESS(MATCH(C1607,Код_Раздел,0)+1,2,,,"Раздел")))</f>
        <v>Социальная политика</v>
      </c>
      <c r="B1607" s="43" t="s">
        <v>302</v>
      </c>
      <c r="C1607" s="8" t="s">
        <v>186</v>
      </c>
      <c r="D1607" s="1"/>
      <c r="E1607" s="113"/>
      <c r="F1607" s="7">
        <f>F1608</f>
        <v>15807.9</v>
      </c>
      <c r="G1607" s="7">
        <f>G1608</f>
        <v>0</v>
      </c>
      <c r="H1607" s="35">
        <f t="shared" si="350"/>
        <v>15807.9</v>
      </c>
      <c r="I1607" s="7">
        <f>I1608</f>
        <v>-718.2</v>
      </c>
      <c r="J1607" s="35">
        <f t="shared" si="348"/>
        <v>15089.699999999999</v>
      </c>
      <c r="K1607" s="7">
        <f>K1608</f>
        <v>0</v>
      </c>
      <c r="L1607" s="35">
        <f t="shared" si="354"/>
        <v>15089.699999999999</v>
      </c>
      <c r="M1607" s="7">
        <f>M1608</f>
        <v>0</v>
      </c>
      <c r="N1607" s="35">
        <f t="shared" si="349"/>
        <v>15089.699999999999</v>
      </c>
      <c r="O1607" s="7">
        <f>O1608</f>
        <v>0</v>
      </c>
      <c r="P1607" s="35">
        <f t="shared" si="347"/>
        <v>15089.699999999999</v>
      </c>
      <c r="Q1607" s="7">
        <f>Q1608</f>
        <v>-1213.8</v>
      </c>
      <c r="R1607" s="35">
        <f t="shared" ref="R1607:R1675" si="358">P1607+Q1607</f>
        <v>13875.9</v>
      </c>
      <c r="S1607" s="7">
        <f>S1608</f>
        <v>0</v>
      </c>
      <c r="T1607" s="35">
        <f t="shared" si="356"/>
        <v>13875.9</v>
      </c>
    </row>
    <row r="1608" spans="1:20">
      <c r="A1608" s="12" t="s">
        <v>187</v>
      </c>
      <c r="B1608" s="43" t="s">
        <v>302</v>
      </c>
      <c r="C1608" s="8" t="s">
        <v>186</v>
      </c>
      <c r="D1608" s="1" t="s">
        <v>215</v>
      </c>
      <c r="E1608" s="113"/>
      <c r="F1608" s="7">
        <f>F1609+F1611</f>
        <v>15807.9</v>
      </c>
      <c r="G1608" s="7">
        <f>G1609+G1611</f>
        <v>0</v>
      </c>
      <c r="H1608" s="35">
        <f t="shared" si="350"/>
        <v>15807.9</v>
      </c>
      <c r="I1608" s="7">
        <f>I1609+I1611</f>
        <v>-718.2</v>
      </c>
      <c r="J1608" s="35">
        <f t="shared" si="348"/>
        <v>15089.699999999999</v>
      </c>
      <c r="K1608" s="7">
        <f>K1609+K1611</f>
        <v>0</v>
      </c>
      <c r="L1608" s="35">
        <f t="shared" si="354"/>
        <v>15089.699999999999</v>
      </c>
      <c r="M1608" s="7">
        <f>M1609+M1611</f>
        <v>0</v>
      </c>
      <c r="N1608" s="35">
        <f t="shared" si="349"/>
        <v>15089.699999999999</v>
      </c>
      <c r="O1608" s="7">
        <f>O1609+O1611</f>
        <v>0</v>
      </c>
      <c r="P1608" s="35">
        <f t="shared" si="347"/>
        <v>15089.699999999999</v>
      </c>
      <c r="Q1608" s="7">
        <f>Q1609+Q1611</f>
        <v>-1213.8</v>
      </c>
      <c r="R1608" s="35">
        <f t="shared" si="358"/>
        <v>13875.9</v>
      </c>
      <c r="S1608" s="7">
        <f>S1609+S1611</f>
        <v>0</v>
      </c>
      <c r="T1608" s="35">
        <f t="shared" si="356"/>
        <v>13875.9</v>
      </c>
    </row>
    <row r="1609" spans="1:20" ht="39" customHeight="1">
      <c r="A1609" s="61" t="str">
        <f ca="1">IF(ISERROR(MATCH(E1609,Код_КВР,0)),"",INDIRECT(ADDRESS(MATCH(E1609,Код_КВР,0)+1,2,,,"КВР")))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09" s="43" t="s">
        <v>302</v>
      </c>
      <c r="C1609" s="8" t="s">
        <v>186</v>
      </c>
      <c r="D1609" s="1" t="s">
        <v>215</v>
      </c>
      <c r="E1609" s="113">
        <v>100</v>
      </c>
      <c r="F1609" s="7">
        <f>F1610</f>
        <v>14842.3</v>
      </c>
      <c r="G1609" s="7">
        <f>G1610</f>
        <v>0</v>
      </c>
      <c r="H1609" s="35">
        <f t="shared" si="350"/>
        <v>14842.3</v>
      </c>
      <c r="I1609" s="7">
        <f>I1610</f>
        <v>0</v>
      </c>
      <c r="J1609" s="35">
        <f t="shared" si="348"/>
        <v>14842.3</v>
      </c>
      <c r="K1609" s="7">
        <f>K1610</f>
        <v>0</v>
      </c>
      <c r="L1609" s="35">
        <f t="shared" si="354"/>
        <v>14842.3</v>
      </c>
      <c r="M1609" s="7">
        <f>M1610</f>
        <v>0</v>
      </c>
      <c r="N1609" s="35">
        <f t="shared" si="349"/>
        <v>14842.3</v>
      </c>
      <c r="O1609" s="7">
        <f>O1610</f>
        <v>0</v>
      </c>
      <c r="P1609" s="35">
        <f t="shared" si="347"/>
        <v>14842.3</v>
      </c>
      <c r="Q1609" s="7">
        <f>Q1610</f>
        <v>-1213.8</v>
      </c>
      <c r="R1609" s="35">
        <f t="shared" si="358"/>
        <v>13628.5</v>
      </c>
      <c r="S1609" s="7">
        <f>S1610</f>
        <v>0</v>
      </c>
      <c r="T1609" s="35">
        <f t="shared" si="356"/>
        <v>13628.5</v>
      </c>
    </row>
    <row r="1610" spans="1:20">
      <c r="A1610" s="61" t="str">
        <f ca="1">IF(ISERROR(MATCH(E1610,Код_КВР,0)),"",INDIRECT(ADDRESS(MATCH(E1610,Код_КВР,0)+1,2,,,"КВР")))</f>
        <v>Расходы на выплаты персоналу муниципальных органов</v>
      </c>
      <c r="B1610" s="43" t="s">
        <v>302</v>
      </c>
      <c r="C1610" s="8" t="s">
        <v>186</v>
      </c>
      <c r="D1610" s="1" t="s">
        <v>215</v>
      </c>
      <c r="E1610" s="113">
        <v>120</v>
      </c>
      <c r="F1610" s="7">
        <f>прил.6!G1457</f>
        <v>14842.3</v>
      </c>
      <c r="G1610" s="7">
        <f>прил.6!H1457</f>
        <v>0</v>
      </c>
      <c r="H1610" s="35">
        <f t="shared" si="350"/>
        <v>14842.3</v>
      </c>
      <c r="I1610" s="7">
        <f>прил.6!J1457</f>
        <v>0</v>
      </c>
      <c r="J1610" s="35">
        <f t="shared" si="348"/>
        <v>14842.3</v>
      </c>
      <c r="K1610" s="7">
        <f>прил.6!L1457</f>
        <v>0</v>
      </c>
      <c r="L1610" s="35">
        <f t="shared" si="354"/>
        <v>14842.3</v>
      </c>
      <c r="M1610" s="7">
        <f>прил.6!N1457</f>
        <v>0</v>
      </c>
      <c r="N1610" s="35">
        <f t="shared" si="349"/>
        <v>14842.3</v>
      </c>
      <c r="O1610" s="7">
        <f>прил.6!P1457</f>
        <v>0</v>
      </c>
      <c r="P1610" s="35">
        <f t="shared" si="347"/>
        <v>14842.3</v>
      </c>
      <c r="Q1610" s="7">
        <f>прил.6!R1457</f>
        <v>-1213.8</v>
      </c>
      <c r="R1610" s="35">
        <f t="shared" si="358"/>
        <v>13628.5</v>
      </c>
      <c r="S1610" s="7">
        <f>прил.6!T1457</f>
        <v>0</v>
      </c>
      <c r="T1610" s="35">
        <f t="shared" si="356"/>
        <v>13628.5</v>
      </c>
    </row>
    <row r="1611" spans="1:20">
      <c r="A1611" s="61" t="str">
        <f ca="1">IF(ISERROR(MATCH(E1611,Код_КВР,0)),"",INDIRECT(ADDRESS(MATCH(E1611,Код_КВР,0)+1,2,,,"КВР")))</f>
        <v>Закупка товаров, работ и услуг для муниципальных нужд</v>
      </c>
      <c r="B1611" s="43" t="s">
        <v>302</v>
      </c>
      <c r="C1611" s="8" t="s">
        <v>186</v>
      </c>
      <c r="D1611" s="1" t="s">
        <v>215</v>
      </c>
      <c r="E1611" s="113">
        <v>200</v>
      </c>
      <c r="F1611" s="7">
        <f>F1612</f>
        <v>965.6</v>
      </c>
      <c r="G1611" s="7">
        <f>G1612</f>
        <v>0</v>
      </c>
      <c r="H1611" s="35">
        <f t="shared" si="350"/>
        <v>965.6</v>
      </c>
      <c r="I1611" s="7">
        <f>I1612</f>
        <v>-718.2</v>
      </c>
      <c r="J1611" s="35">
        <f t="shared" si="348"/>
        <v>247.39999999999998</v>
      </c>
      <c r="K1611" s="7">
        <f>K1612</f>
        <v>0</v>
      </c>
      <c r="L1611" s="35">
        <f t="shared" si="354"/>
        <v>247.39999999999998</v>
      </c>
      <c r="M1611" s="7">
        <f>M1612</f>
        <v>0</v>
      </c>
      <c r="N1611" s="35">
        <f t="shared" si="349"/>
        <v>247.39999999999998</v>
      </c>
      <c r="O1611" s="7">
        <f>O1612</f>
        <v>0</v>
      </c>
      <c r="P1611" s="35">
        <f t="shared" si="347"/>
        <v>247.39999999999998</v>
      </c>
      <c r="Q1611" s="7">
        <f>Q1612</f>
        <v>0</v>
      </c>
      <c r="R1611" s="35">
        <f t="shared" si="358"/>
        <v>247.39999999999998</v>
      </c>
      <c r="S1611" s="7">
        <f>S1612</f>
        <v>0</v>
      </c>
      <c r="T1611" s="35">
        <f t="shared" si="356"/>
        <v>247.39999999999998</v>
      </c>
    </row>
    <row r="1612" spans="1:20" ht="33">
      <c r="A1612" s="61" t="str">
        <f ca="1">IF(ISERROR(MATCH(E1612,Код_КВР,0)),"",INDIRECT(ADDRESS(MATCH(E1612,Код_КВР,0)+1,2,,,"КВР")))</f>
        <v>Иные закупки товаров, работ и услуг для обеспечения муниципальных нужд</v>
      </c>
      <c r="B1612" s="43" t="s">
        <v>302</v>
      </c>
      <c r="C1612" s="8" t="s">
        <v>186</v>
      </c>
      <c r="D1612" s="1" t="s">
        <v>215</v>
      </c>
      <c r="E1612" s="113">
        <v>240</v>
      </c>
      <c r="F1612" s="7">
        <f>F1613</f>
        <v>965.6</v>
      </c>
      <c r="G1612" s="7">
        <f>G1613</f>
        <v>0</v>
      </c>
      <c r="H1612" s="35">
        <f t="shared" si="350"/>
        <v>965.6</v>
      </c>
      <c r="I1612" s="7">
        <f>I1613</f>
        <v>-718.2</v>
      </c>
      <c r="J1612" s="35">
        <f t="shared" si="348"/>
        <v>247.39999999999998</v>
      </c>
      <c r="K1612" s="7">
        <f>K1613</f>
        <v>0</v>
      </c>
      <c r="L1612" s="35">
        <f t="shared" si="354"/>
        <v>247.39999999999998</v>
      </c>
      <c r="M1612" s="7">
        <f>M1613</f>
        <v>0</v>
      </c>
      <c r="N1612" s="35">
        <f t="shared" si="349"/>
        <v>247.39999999999998</v>
      </c>
      <c r="O1612" s="7">
        <f>O1613</f>
        <v>0</v>
      </c>
      <c r="P1612" s="35">
        <f t="shared" si="347"/>
        <v>247.39999999999998</v>
      </c>
      <c r="Q1612" s="7">
        <f>Q1613</f>
        <v>0</v>
      </c>
      <c r="R1612" s="35">
        <f t="shared" si="358"/>
        <v>247.39999999999998</v>
      </c>
      <c r="S1612" s="7">
        <f>S1613</f>
        <v>0</v>
      </c>
      <c r="T1612" s="35">
        <f t="shared" si="356"/>
        <v>247.39999999999998</v>
      </c>
    </row>
    <row r="1613" spans="1:20" ht="33">
      <c r="A1613" s="61" t="str">
        <f ca="1">IF(ISERROR(MATCH(E1613,Код_КВР,0)),"",INDIRECT(ADDRESS(MATCH(E1613,Код_КВР,0)+1,2,,,"КВР")))</f>
        <v xml:space="preserve">Прочая закупка товаров, работ и услуг для обеспечения муниципальных нужд         </v>
      </c>
      <c r="B1613" s="43" t="s">
        <v>302</v>
      </c>
      <c r="C1613" s="8" t="s">
        <v>186</v>
      </c>
      <c r="D1613" s="1" t="s">
        <v>215</v>
      </c>
      <c r="E1613" s="113">
        <v>244</v>
      </c>
      <c r="F1613" s="7">
        <f>прил.6!G1460</f>
        <v>965.6</v>
      </c>
      <c r="G1613" s="7">
        <f>прил.6!H1460</f>
        <v>0</v>
      </c>
      <c r="H1613" s="35">
        <f t="shared" si="350"/>
        <v>965.6</v>
      </c>
      <c r="I1613" s="7">
        <f>прил.6!J1460</f>
        <v>-718.2</v>
      </c>
      <c r="J1613" s="35">
        <f t="shared" si="348"/>
        <v>247.39999999999998</v>
      </c>
      <c r="K1613" s="7">
        <f>прил.6!L1460</f>
        <v>0</v>
      </c>
      <c r="L1613" s="35">
        <f t="shared" si="354"/>
        <v>247.39999999999998</v>
      </c>
      <c r="M1613" s="7">
        <f>прил.6!N1460</f>
        <v>0</v>
      </c>
      <c r="N1613" s="35">
        <f t="shared" si="349"/>
        <v>247.39999999999998</v>
      </c>
      <c r="O1613" s="7">
        <f>прил.6!P1460</f>
        <v>0</v>
      </c>
      <c r="P1613" s="35">
        <f t="shared" si="347"/>
        <v>247.39999999999998</v>
      </c>
      <c r="Q1613" s="7">
        <f>прил.6!R1460</f>
        <v>0</v>
      </c>
      <c r="R1613" s="35">
        <f t="shared" si="358"/>
        <v>247.39999999999998</v>
      </c>
      <c r="S1613" s="7">
        <f>прил.6!T1460</f>
        <v>0</v>
      </c>
      <c r="T1613" s="35">
        <f t="shared" si="356"/>
        <v>247.39999999999998</v>
      </c>
    </row>
    <row r="1614" spans="1:20">
      <c r="A1614" s="61" t="str">
        <f ca="1">IF(ISERROR(MATCH(C1614,Код_Раздел,0)),"",INDIRECT(ADDRESS(MATCH(C1614,Код_Раздел,0)+1,2,,,"Раздел")))</f>
        <v>Физическая культура и спорт</v>
      </c>
      <c r="B1614" s="43" t="s">
        <v>302</v>
      </c>
      <c r="C1614" s="8" t="s">
        <v>222</v>
      </c>
      <c r="D1614" s="1"/>
      <c r="E1614" s="113"/>
      <c r="F1614" s="7">
        <f>F1615</f>
        <v>5855.8</v>
      </c>
      <c r="G1614" s="7">
        <f>G1615</f>
        <v>0</v>
      </c>
      <c r="H1614" s="35">
        <f t="shared" si="350"/>
        <v>5855.8</v>
      </c>
      <c r="I1614" s="7">
        <f>I1615</f>
        <v>0</v>
      </c>
      <c r="J1614" s="35">
        <f t="shared" si="348"/>
        <v>5855.8</v>
      </c>
      <c r="K1614" s="7">
        <f>K1615</f>
        <v>0</v>
      </c>
      <c r="L1614" s="35">
        <f t="shared" si="354"/>
        <v>5855.8</v>
      </c>
      <c r="M1614" s="7">
        <f>M1615</f>
        <v>0</v>
      </c>
      <c r="N1614" s="35">
        <f t="shared" si="349"/>
        <v>5855.8</v>
      </c>
      <c r="O1614" s="7">
        <f>O1615</f>
        <v>0</v>
      </c>
      <c r="P1614" s="35">
        <f t="shared" si="347"/>
        <v>5855.8</v>
      </c>
      <c r="Q1614" s="7">
        <f>Q1615</f>
        <v>0</v>
      </c>
      <c r="R1614" s="35">
        <f t="shared" si="358"/>
        <v>5855.8</v>
      </c>
      <c r="S1614" s="7">
        <f>S1615</f>
        <v>0</v>
      </c>
      <c r="T1614" s="35">
        <f t="shared" si="356"/>
        <v>5855.8</v>
      </c>
    </row>
    <row r="1615" spans="1:20">
      <c r="A1615" s="12" t="s">
        <v>190</v>
      </c>
      <c r="B1615" s="43" t="s">
        <v>302</v>
      </c>
      <c r="C1615" s="8" t="s">
        <v>222</v>
      </c>
      <c r="D1615" s="1" t="s">
        <v>219</v>
      </c>
      <c r="E1615" s="113"/>
      <c r="F1615" s="7">
        <f>F1616+F1618</f>
        <v>5855.8</v>
      </c>
      <c r="G1615" s="7">
        <f>G1616+G1618</f>
        <v>0</v>
      </c>
      <c r="H1615" s="35">
        <f t="shared" si="350"/>
        <v>5855.8</v>
      </c>
      <c r="I1615" s="7">
        <f>I1616+I1618</f>
        <v>0</v>
      </c>
      <c r="J1615" s="35">
        <f t="shared" si="348"/>
        <v>5855.8</v>
      </c>
      <c r="K1615" s="7">
        <f>K1616+K1618</f>
        <v>0</v>
      </c>
      <c r="L1615" s="35">
        <f t="shared" si="354"/>
        <v>5855.8</v>
      </c>
      <c r="M1615" s="7">
        <f>M1616+M1618</f>
        <v>0</v>
      </c>
      <c r="N1615" s="35">
        <f t="shared" si="349"/>
        <v>5855.8</v>
      </c>
      <c r="O1615" s="7">
        <f>O1616+O1618</f>
        <v>0</v>
      </c>
      <c r="P1615" s="35">
        <f t="shared" si="347"/>
        <v>5855.8</v>
      </c>
      <c r="Q1615" s="7">
        <f>Q1616+Q1618</f>
        <v>0</v>
      </c>
      <c r="R1615" s="35">
        <f t="shared" si="358"/>
        <v>5855.8</v>
      </c>
      <c r="S1615" s="7">
        <f>S1616+S1618</f>
        <v>0</v>
      </c>
      <c r="T1615" s="35">
        <f t="shared" si="356"/>
        <v>5855.8</v>
      </c>
    </row>
    <row r="1616" spans="1:20" ht="33">
      <c r="A1616" s="61" t="str">
        <f ca="1">IF(ISERROR(MATCH(E1616,Код_КВР,0)),"",INDIRECT(ADDRESS(MATCH(E1616,Код_КВР,0)+1,2,,,"КВР")))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16" s="43" t="s">
        <v>302</v>
      </c>
      <c r="C1616" s="8" t="s">
        <v>222</v>
      </c>
      <c r="D1616" s="1" t="s">
        <v>219</v>
      </c>
      <c r="E1616" s="113">
        <v>100</v>
      </c>
      <c r="F1616" s="7">
        <f>F1617</f>
        <v>5841</v>
      </c>
      <c r="G1616" s="7">
        <f>G1617</f>
        <v>0</v>
      </c>
      <c r="H1616" s="35">
        <f t="shared" si="350"/>
        <v>5841</v>
      </c>
      <c r="I1616" s="7">
        <f>I1617</f>
        <v>0</v>
      </c>
      <c r="J1616" s="35">
        <f t="shared" si="348"/>
        <v>5841</v>
      </c>
      <c r="K1616" s="7">
        <f>K1617</f>
        <v>0</v>
      </c>
      <c r="L1616" s="35">
        <f t="shared" si="354"/>
        <v>5841</v>
      </c>
      <c r="M1616" s="7">
        <f>M1617</f>
        <v>0</v>
      </c>
      <c r="N1616" s="35">
        <f t="shared" si="349"/>
        <v>5841</v>
      </c>
      <c r="O1616" s="7">
        <f>O1617</f>
        <v>0</v>
      </c>
      <c r="P1616" s="35">
        <f t="shared" ref="P1616:P1684" si="359">N1616+O1616</f>
        <v>5841</v>
      </c>
      <c r="Q1616" s="7">
        <f>Q1617</f>
        <v>0</v>
      </c>
      <c r="R1616" s="35">
        <f t="shared" si="358"/>
        <v>5841</v>
      </c>
      <c r="S1616" s="7">
        <f>S1617</f>
        <v>0</v>
      </c>
      <c r="T1616" s="35">
        <f t="shared" si="356"/>
        <v>5841</v>
      </c>
    </row>
    <row r="1617" spans="1:20">
      <c r="A1617" s="61" t="str">
        <f ca="1">IF(ISERROR(MATCH(E1617,Код_КВР,0)),"",INDIRECT(ADDRESS(MATCH(E1617,Код_КВР,0)+1,2,,,"КВР")))</f>
        <v>Расходы на выплаты персоналу муниципальных органов</v>
      </c>
      <c r="B1617" s="43" t="s">
        <v>302</v>
      </c>
      <c r="C1617" s="8" t="s">
        <v>222</v>
      </c>
      <c r="D1617" s="1" t="s">
        <v>219</v>
      </c>
      <c r="E1617" s="113">
        <v>120</v>
      </c>
      <c r="F1617" s="7">
        <f>прил.6!G1292</f>
        <v>5841</v>
      </c>
      <c r="G1617" s="7">
        <f>прил.6!H1292</f>
        <v>0</v>
      </c>
      <c r="H1617" s="35">
        <f t="shared" si="350"/>
        <v>5841</v>
      </c>
      <c r="I1617" s="7">
        <f>прил.6!J1292</f>
        <v>0</v>
      </c>
      <c r="J1617" s="35">
        <f t="shared" ref="J1617:J1744" si="360">H1617+I1617</f>
        <v>5841</v>
      </c>
      <c r="K1617" s="7">
        <f>прил.6!L1292</f>
        <v>0</v>
      </c>
      <c r="L1617" s="35">
        <f t="shared" si="354"/>
        <v>5841</v>
      </c>
      <c r="M1617" s="7">
        <f>прил.6!N1292</f>
        <v>0</v>
      </c>
      <c r="N1617" s="35">
        <f t="shared" si="349"/>
        <v>5841</v>
      </c>
      <c r="O1617" s="7">
        <f>прил.6!P1292</f>
        <v>0</v>
      </c>
      <c r="P1617" s="35">
        <f t="shared" si="359"/>
        <v>5841</v>
      </c>
      <c r="Q1617" s="7">
        <f>прил.6!R1292</f>
        <v>0</v>
      </c>
      <c r="R1617" s="35">
        <f t="shared" si="358"/>
        <v>5841</v>
      </c>
      <c r="S1617" s="7">
        <f>прил.6!T1292</f>
        <v>0</v>
      </c>
      <c r="T1617" s="35">
        <f t="shared" si="356"/>
        <v>5841</v>
      </c>
    </row>
    <row r="1618" spans="1:20">
      <c r="A1618" s="61" t="str">
        <f ca="1">IF(ISERROR(MATCH(E1618,Код_КВР,0)),"",INDIRECT(ADDRESS(MATCH(E1618,Код_КВР,0)+1,2,,,"КВР")))</f>
        <v>Закупка товаров, работ и услуг для муниципальных нужд</v>
      </c>
      <c r="B1618" s="43" t="s">
        <v>302</v>
      </c>
      <c r="C1618" s="8" t="s">
        <v>222</v>
      </c>
      <c r="D1618" s="1" t="s">
        <v>219</v>
      </c>
      <c r="E1618" s="113">
        <v>200</v>
      </c>
      <c r="F1618" s="7">
        <f>F1619</f>
        <v>14.8</v>
      </c>
      <c r="G1618" s="7">
        <f>G1619</f>
        <v>0</v>
      </c>
      <c r="H1618" s="35">
        <f t="shared" si="350"/>
        <v>14.8</v>
      </c>
      <c r="I1618" s="7">
        <f>I1619</f>
        <v>0</v>
      </c>
      <c r="J1618" s="35">
        <f t="shared" si="360"/>
        <v>14.8</v>
      </c>
      <c r="K1618" s="7">
        <f>K1619</f>
        <v>0</v>
      </c>
      <c r="L1618" s="35">
        <f t="shared" si="354"/>
        <v>14.8</v>
      </c>
      <c r="M1618" s="7">
        <f>M1619</f>
        <v>0</v>
      </c>
      <c r="N1618" s="35">
        <f t="shared" si="349"/>
        <v>14.8</v>
      </c>
      <c r="O1618" s="7">
        <f>O1619</f>
        <v>0</v>
      </c>
      <c r="P1618" s="35">
        <f t="shared" si="359"/>
        <v>14.8</v>
      </c>
      <c r="Q1618" s="7">
        <f>Q1619</f>
        <v>0</v>
      </c>
      <c r="R1618" s="35">
        <f t="shared" si="358"/>
        <v>14.8</v>
      </c>
      <c r="S1618" s="7">
        <f>S1619</f>
        <v>0</v>
      </c>
      <c r="T1618" s="35">
        <f t="shared" si="356"/>
        <v>14.8</v>
      </c>
    </row>
    <row r="1619" spans="1:20" ht="33">
      <c r="A1619" s="61" t="str">
        <f ca="1">IF(ISERROR(MATCH(E1619,Код_КВР,0)),"",INDIRECT(ADDRESS(MATCH(E1619,Код_КВР,0)+1,2,,,"КВР")))</f>
        <v>Иные закупки товаров, работ и услуг для обеспечения муниципальных нужд</v>
      </c>
      <c r="B1619" s="43" t="s">
        <v>302</v>
      </c>
      <c r="C1619" s="8" t="s">
        <v>222</v>
      </c>
      <c r="D1619" s="1" t="s">
        <v>219</v>
      </c>
      <c r="E1619" s="113">
        <v>240</v>
      </c>
      <c r="F1619" s="7">
        <f>F1620</f>
        <v>14.8</v>
      </c>
      <c r="G1619" s="7">
        <f>G1620</f>
        <v>0</v>
      </c>
      <c r="H1619" s="35">
        <f t="shared" si="350"/>
        <v>14.8</v>
      </c>
      <c r="I1619" s="7">
        <f>I1620</f>
        <v>0</v>
      </c>
      <c r="J1619" s="35">
        <f t="shared" si="360"/>
        <v>14.8</v>
      </c>
      <c r="K1619" s="7">
        <f>K1620</f>
        <v>0</v>
      </c>
      <c r="L1619" s="35">
        <f t="shared" si="354"/>
        <v>14.8</v>
      </c>
      <c r="M1619" s="7">
        <f>M1620</f>
        <v>0</v>
      </c>
      <c r="N1619" s="35">
        <f t="shared" ref="N1619:N1705" si="361">L1619+M1619</f>
        <v>14.8</v>
      </c>
      <c r="O1619" s="7">
        <f>O1620</f>
        <v>0</v>
      </c>
      <c r="P1619" s="35">
        <f t="shared" si="359"/>
        <v>14.8</v>
      </c>
      <c r="Q1619" s="7">
        <f>Q1620</f>
        <v>0</v>
      </c>
      <c r="R1619" s="35">
        <f t="shared" si="358"/>
        <v>14.8</v>
      </c>
      <c r="S1619" s="7">
        <f>S1620</f>
        <v>0</v>
      </c>
      <c r="T1619" s="35">
        <f t="shared" si="356"/>
        <v>14.8</v>
      </c>
    </row>
    <row r="1620" spans="1:20" ht="33">
      <c r="A1620" s="61" t="str">
        <f ca="1">IF(ISERROR(MATCH(E1620,Код_КВР,0)),"",INDIRECT(ADDRESS(MATCH(E1620,Код_КВР,0)+1,2,,,"КВР")))</f>
        <v xml:space="preserve">Прочая закупка товаров, работ и услуг для обеспечения муниципальных нужд         </v>
      </c>
      <c r="B1620" s="43" t="s">
        <v>302</v>
      </c>
      <c r="C1620" s="8" t="s">
        <v>222</v>
      </c>
      <c r="D1620" s="1" t="s">
        <v>219</v>
      </c>
      <c r="E1620" s="113">
        <v>244</v>
      </c>
      <c r="F1620" s="7">
        <f>прил.6!G1295</f>
        <v>14.8</v>
      </c>
      <c r="G1620" s="7">
        <f>прил.6!H1295</f>
        <v>0</v>
      </c>
      <c r="H1620" s="35">
        <f t="shared" si="350"/>
        <v>14.8</v>
      </c>
      <c r="I1620" s="7">
        <f>прил.6!J1295</f>
        <v>0</v>
      </c>
      <c r="J1620" s="35">
        <f t="shared" si="360"/>
        <v>14.8</v>
      </c>
      <c r="K1620" s="7">
        <f>прил.6!L1295</f>
        <v>0</v>
      </c>
      <c r="L1620" s="35">
        <f t="shared" si="354"/>
        <v>14.8</v>
      </c>
      <c r="M1620" s="7">
        <f>прил.6!N1295</f>
        <v>0</v>
      </c>
      <c r="N1620" s="35">
        <f t="shared" si="361"/>
        <v>14.8</v>
      </c>
      <c r="O1620" s="7">
        <f>прил.6!P1295</f>
        <v>0</v>
      </c>
      <c r="P1620" s="35">
        <f t="shared" si="359"/>
        <v>14.8</v>
      </c>
      <c r="Q1620" s="7">
        <f>прил.6!R1295</f>
        <v>0</v>
      </c>
      <c r="R1620" s="35">
        <f t="shared" si="358"/>
        <v>14.8</v>
      </c>
      <c r="S1620" s="7">
        <f>прил.6!T1295</f>
        <v>0</v>
      </c>
      <c r="T1620" s="35">
        <f t="shared" si="356"/>
        <v>14.8</v>
      </c>
    </row>
    <row r="1621" spans="1:20" ht="33">
      <c r="A1621" s="61" t="str">
        <f ca="1">IF(ISERROR(MATCH(B1621,Код_КЦСР,0)),"",INDIRECT(ADDRESS(MATCH(B1621,Код_КЦСР,0)+1,2,,,"КЦСР")))</f>
        <v>Председатель представительного органа муниципального образования</v>
      </c>
      <c r="B1621" s="43" t="s">
        <v>303</v>
      </c>
      <c r="C1621" s="8"/>
      <c r="D1621" s="1"/>
      <c r="E1621" s="113"/>
      <c r="F1621" s="7">
        <f t="shared" ref="F1621:S1624" si="362">F1622</f>
        <v>2201.1</v>
      </c>
      <c r="G1621" s="7">
        <f t="shared" si="362"/>
        <v>0</v>
      </c>
      <c r="H1621" s="35">
        <f t="shared" si="350"/>
        <v>2201.1</v>
      </c>
      <c r="I1621" s="7">
        <f t="shared" si="362"/>
        <v>0</v>
      </c>
      <c r="J1621" s="35">
        <f t="shared" si="360"/>
        <v>2201.1</v>
      </c>
      <c r="K1621" s="7">
        <f t="shared" si="362"/>
        <v>0</v>
      </c>
      <c r="L1621" s="35">
        <f t="shared" si="354"/>
        <v>2201.1</v>
      </c>
      <c r="M1621" s="7">
        <f t="shared" si="362"/>
        <v>0</v>
      </c>
      <c r="N1621" s="35">
        <f t="shared" si="361"/>
        <v>2201.1</v>
      </c>
      <c r="O1621" s="7">
        <f t="shared" si="362"/>
        <v>0</v>
      </c>
      <c r="P1621" s="35">
        <f t="shared" si="359"/>
        <v>2201.1</v>
      </c>
      <c r="Q1621" s="7">
        <f t="shared" si="362"/>
        <v>0</v>
      </c>
      <c r="R1621" s="35">
        <f t="shared" si="358"/>
        <v>2201.1</v>
      </c>
      <c r="S1621" s="7">
        <f t="shared" si="362"/>
        <v>0</v>
      </c>
      <c r="T1621" s="35">
        <f t="shared" si="356"/>
        <v>2201.1</v>
      </c>
    </row>
    <row r="1622" spans="1:20">
      <c r="A1622" s="61" t="str">
        <f ca="1">IF(ISERROR(MATCH(C1622,Код_Раздел,0)),"",INDIRECT(ADDRESS(MATCH(C1622,Код_Раздел,0)+1,2,,,"Раздел")))</f>
        <v>Общегосударственные  вопросы</v>
      </c>
      <c r="B1622" s="43" t="s">
        <v>303</v>
      </c>
      <c r="C1622" s="8" t="s">
        <v>211</v>
      </c>
      <c r="D1622" s="1"/>
      <c r="E1622" s="113"/>
      <c r="F1622" s="7">
        <f t="shared" si="362"/>
        <v>2201.1</v>
      </c>
      <c r="G1622" s="7">
        <f t="shared" si="362"/>
        <v>0</v>
      </c>
      <c r="H1622" s="35">
        <f t="shared" si="350"/>
        <v>2201.1</v>
      </c>
      <c r="I1622" s="7">
        <f t="shared" si="362"/>
        <v>0</v>
      </c>
      <c r="J1622" s="35">
        <f t="shared" si="360"/>
        <v>2201.1</v>
      </c>
      <c r="K1622" s="7">
        <f t="shared" si="362"/>
        <v>0</v>
      </c>
      <c r="L1622" s="35">
        <f t="shared" si="354"/>
        <v>2201.1</v>
      </c>
      <c r="M1622" s="7">
        <f t="shared" si="362"/>
        <v>0</v>
      </c>
      <c r="N1622" s="35">
        <f t="shared" si="361"/>
        <v>2201.1</v>
      </c>
      <c r="O1622" s="7">
        <f t="shared" si="362"/>
        <v>0</v>
      </c>
      <c r="P1622" s="35">
        <f t="shared" si="359"/>
        <v>2201.1</v>
      </c>
      <c r="Q1622" s="7">
        <f t="shared" si="362"/>
        <v>0</v>
      </c>
      <c r="R1622" s="35">
        <f t="shared" si="358"/>
        <v>2201.1</v>
      </c>
      <c r="S1622" s="7">
        <f t="shared" si="362"/>
        <v>0</v>
      </c>
      <c r="T1622" s="35">
        <f t="shared" si="356"/>
        <v>2201.1</v>
      </c>
    </row>
    <row r="1623" spans="1:20" ht="49.5">
      <c r="A1623" s="12" t="s">
        <v>166</v>
      </c>
      <c r="B1623" s="43" t="s">
        <v>303</v>
      </c>
      <c r="C1623" s="8" t="s">
        <v>211</v>
      </c>
      <c r="D1623" s="8" t="s">
        <v>213</v>
      </c>
      <c r="E1623" s="113"/>
      <c r="F1623" s="7">
        <f t="shared" si="362"/>
        <v>2201.1</v>
      </c>
      <c r="G1623" s="7">
        <f t="shared" si="362"/>
        <v>0</v>
      </c>
      <c r="H1623" s="35">
        <f t="shared" si="350"/>
        <v>2201.1</v>
      </c>
      <c r="I1623" s="7">
        <f t="shared" si="362"/>
        <v>0</v>
      </c>
      <c r="J1623" s="35">
        <f t="shared" si="360"/>
        <v>2201.1</v>
      </c>
      <c r="K1623" s="7">
        <f t="shared" si="362"/>
        <v>0</v>
      </c>
      <c r="L1623" s="35">
        <f t="shared" si="354"/>
        <v>2201.1</v>
      </c>
      <c r="M1623" s="7">
        <f t="shared" si="362"/>
        <v>0</v>
      </c>
      <c r="N1623" s="35">
        <f t="shared" si="361"/>
        <v>2201.1</v>
      </c>
      <c r="O1623" s="7">
        <f t="shared" si="362"/>
        <v>0</v>
      </c>
      <c r="P1623" s="35">
        <f t="shared" si="359"/>
        <v>2201.1</v>
      </c>
      <c r="Q1623" s="7">
        <f t="shared" si="362"/>
        <v>0</v>
      </c>
      <c r="R1623" s="35">
        <f t="shared" si="358"/>
        <v>2201.1</v>
      </c>
      <c r="S1623" s="7">
        <f t="shared" si="362"/>
        <v>0</v>
      </c>
      <c r="T1623" s="35">
        <f t="shared" si="356"/>
        <v>2201.1</v>
      </c>
    </row>
    <row r="1624" spans="1:20" ht="33">
      <c r="A1624" s="61" t="str">
        <f ca="1">IF(ISERROR(MATCH(E1624,Код_КВР,0)),"",INDIRECT(ADDRESS(MATCH(E1624,Код_КВР,0)+1,2,,,"КВР")))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24" s="43" t="s">
        <v>303</v>
      </c>
      <c r="C1624" s="8" t="s">
        <v>211</v>
      </c>
      <c r="D1624" s="8" t="s">
        <v>213</v>
      </c>
      <c r="E1624" s="113">
        <v>100</v>
      </c>
      <c r="F1624" s="7">
        <f t="shared" si="362"/>
        <v>2201.1</v>
      </c>
      <c r="G1624" s="7">
        <f t="shared" si="362"/>
        <v>0</v>
      </c>
      <c r="H1624" s="35">
        <f t="shared" si="350"/>
        <v>2201.1</v>
      </c>
      <c r="I1624" s="7">
        <f t="shared" si="362"/>
        <v>0</v>
      </c>
      <c r="J1624" s="35">
        <f t="shared" si="360"/>
        <v>2201.1</v>
      </c>
      <c r="K1624" s="7">
        <f t="shared" si="362"/>
        <v>0</v>
      </c>
      <c r="L1624" s="35">
        <f t="shared" si="354"/>
        <v>2201.1</v>
      </c>
      <c r="M1624" s="7">
        <f t="shared" si="362"/>
        <v>0</v>
      </c>
      <c r="N1624" s="35">
        <f t="shared" si="361"/>
        <v>2201.1</v>
      </c>
      <c r="O1624" s="7">
        <f t="shared" si="362"/>
        <v>0</v>
      </c>
      <c r="P1624" s="35">
        <f t="shared" si="359"/>
        <v>2201.1</v>
      </c>
      <c r="Q1624" s="7">
        <f t="shared" si="362"/>
        <v>0</v>
      </c>
      <c r="R1624" s="35">
        <f t="shared" si="358"/>
        <v>2201.1</v>
      </c>
      <c r="S1624" s="7">
        <f t="shared" si="362"/>
        <v>0</v>
      </c>
      <c r="T1624" s="35">
        <f t="shared" si="356"/>
        <v>2201.1</v>
      </c>
    </row>
    <row r="1625" spans="1:20">
      <c r="A1625" s="61" t="str">
        <f ca="1">IF(ISERROR(MATCH(E1625,Код_КВР,0)),"",INDIRECT(ADDRESS(MATCH(E1625,Код_КВР,0)+1,2,,,"КВР")))</f>
        <v>Расходы на выплаты персоналу муниципальных органов</v>
      </c>
      <c r="B1625" s="43" t="s">
        <v>303</v>
      </c>
      <c r="C1625" s="8" t="s">
        <v>211</v>
      </c>
      <c r="D1625" s="8" t="s">
        <v>213</v>
      </c>
      <c r="E1625" s="113">
        <v>120</v>
      </c>
      <c r="F1625" s="7">
        <f>прил.6!G412</f>
        <v>2201.1</v>
      </c>
      <c r="G1625" s="7">
        <f>прил.6!H412</f>
        <v>0</v>
      </c>
      <c r="H1625" s="35">
        <f t="shared" ref="H1625:H1752" si="363">F1625+G1625</f>
        <v>2201.1</v>
      </c>
      <c r="I1625" s="7">
        <f>прил.6!J412</f>
        <v>0</v>
      </c>
      <c r="J1625" s="35">
        <f t="shared" si="360"/>
        <v>2201.1</v>
      </c>
      <c r="K1625" s="7">
        <f>прил.6!L412</f>
        <v>0</v>
      </c>
      <c r="L1625" s="35">
        <f t="shared" si="354"/>
        <v>2201.1</v>
      </c>
      <c r="M1625" s="7">
        <f>прил.6!N412</f>
        <v>0</v>
      </c>
      <c r="N1625" s="35">
        <f t="shared" si="361"/>
        <v>2201.1</v>
      </c>
      <c r="O1625" s="7">
        <f>прил.6!P412</f>
        <v>0</v>
      </c>
      <c r="P1625" s="35">
        <f t="shared" si="359"/>
        <v>2201.1</v>
      </c>
      <c r="Q1625" s="7">
        <f>прил.6!R412</f>
        <v>0</v>
      </c>
      <c r="R1625" s="35">
        <f t="shared" si="358"/>
        <v>2201.1</v>
      </c>
      <c r="S1625" s="7">
        <f>прил.6!T412</f>
        <v>0</v>
      </c>
      <c r="T1625" s="35">
        <f t="shared" si="356"/>
        <v>2201.1</v>
      </c>
    </row>
    <row r="1626" spans="1:20">
      <c r="A1626" s="61" t="str">
        <f ca="1">IF(ISERROR(MATCH(B1626,Код_КЦСР,0)),"",INDIRECT(ADDRESS(MATCH(B1626,Код_КЦСР,0)+1,2,,,"КЦСР")))</f>
        <v>Депутаты представительного органа муниципального образования</v>
      </c>
      <c r="B1626" s="43" t="s">
        <v>304</v>
      </c>
      <c r="C1626" s="8"/>
      <c r="D1626" s="1"/>
      <c r="E1626" s="113"/>
      <c r="F1626" s="7">
        <f t="shared" ref="F1626:S1629" si="364">F1627</f>
        <v>3706.8</v>
      </c>
      <c r="G1626" s="7">
        <f t="shared" si="364"/>
        <v>0</v>
      </c>
      <c r="H1626" s="35">
        <f t="shared" si="363"/>
        <v>3706.8</v>
      </c>
      <c r="I1626" s="7">
        <f t="shared" si="364"/>
        <v>0</v>
      </c>
      <c r="J1626" s="35">
        <f t="shared" si="360"/>
        <v>3706.8</v>
      </c>
      <c r="K1626" s="7">
        <f t="shared" si="364"/>
        <v>0</v>
      </c>
      <c r="L1626" s="35">
        <f t="shared" si="354"/>
        <v>3706.8</v>
      </c>
      <c r="M1626" s="7">
        <f t="shared" si="364"/>
        <v>0</v>
      </c>
      <c r="N1626" s="35">
        <f t="shared" si="361"/>
        <v>3706.8</v>
      </c>
      <c r="O1626" s="7">
        <f t="shared" si="364"/>
        <v>0</v>
      </c>
      <c r="P1626" s="35">
        <f t="shared" si="359"/>
        <v>3706.8</v>
      </c>
      <c r="Q1626" s="7">
        <f t="shared" si="364"/>
        <v>0</v>
      </c>
      <c r="R1626" s="35">
        <f t="shared" si="358"/>
        <v>3706.8</v>
      </c>
      <c r="S1626" s="7">
        <f t="shared" si="364"/>
        <v>0</v>
      </c>
      <c r="T1626" s="35">
        <f t="shared" si="356"/>
        <v>3706.8</v>
      </c>
    </row>
    <row r="1627" spans="1:20">
      <c r="A1627" s="61" t="str">
        <f ca="1">IF(ISERROR(MATCH(C1627,Код_Раздел,0)),"",INDIRECT(ADDRESS(MATCH(C1627,Код_Раздел,0)+1,2,,,"Раздел")))</f>
        <v>Общегосударственные  вопросы</v>
      </c>
      <c r="B1627" s="43" t="s">
        <v>304</v>
      </c>
      <c r="C1627" s="8" t="s">
        <v>211</v>
      </c>
      <c r="D1627" s="1"/>
      <c r="E1627" s="113"/>
      <c r="F1627" s="7">
        <f t="shared" si="364"/>
        <v>3706.8</v>
      </c>
      <c r="G1627" s="7">
        <f t="shared" si="364"/>
        <v>0</v>
      </c>
      <c r="H1627" s="35">
        <f t="shared" si="363"/>
        <v>3706.8</v>
      </c>
      <c r="I1627" s="7">
        <f t="shared" si="364"/>
        <v>0</v>
      </c>
      <c r="J1627" s="35">
        <f t="shared" si="360"/>
        <v>3706.8</v>
      </c>
      <c r="K1627" s="7">
        <f t="shared" si="364"/>
        <v>0</v>
      </c>
      <c r="L1627" s="35">
        <f t="shared" si="354"/>
        <v>3706.8</v>
      </c>
      <c r="M1627" s="7">
        <f t="shared" si="364"/>
        <v>0</v>
      </c>
      <c r="N1627" s="35">
        <f t="shared" si="361"/>
        <v>3706.8</v>
      </c>
      <c r="O1627" s="7">
        <f t="shared" si="364"/>
        <v>0</v>
      </c>
      <c r="P1627" s="35">
        <f t="shared" si="359"/>
        <v>3706.8</v>
      </c>
      <c r="Q1627" s="7">
        <f t="shared" si="364"/>
        <v>0</v>
      </c>
      <c r="R1627" s="35">
        <f t="shared" si="358"/>
        <v>3706.8</v>
      </c>
      <c r="S1627" s="7">
        <f t="shared" si="364"/>
        <v>0</v>
      </c>
      <c r="T1627" s="35">
        <f t="shared" si="356"/>
        <v>3706.8</v>
      </c>
    </row>
    <row r="1628" spans="1:20" ht="49.5">
      <c r="A1628" s="12" t="s">
        <v>166</v>
      </c>
      <c r="B1628" s="43" t="s">
        <v>304</v>
      </c>
      <c r="C1628" s="8" t="s">
        <v>211</v>
      </c>
      <c r="D1628" s="8" t="s">
        <v>213</v>
      </c>
      <c r="E1628" s="113"/>
      <c r="F1628" s="7">
        <f t="shared" si="364"/>
        <v>3706.8</v>
      </c>
      <c r="G1628" s="7">
        <f t="shared" si="364"/>
        <v>0</v>
      </c>
      <c r="H1628" s="35">
        <f t="shared" si="363"/>
        <v>3706.8</v>
      </c>
      <c r="I1628" s="7">
        <f t="shared" si="364"/>
        <v>0</v>
      </c>
      <c r="J1628" s="35">
        <f t="shared" si="360"/>
        <v>3706.8</v>
      </c>
      <c r="K1628" s="7">
        <f t="shared" si="364"/>
        <v>0</v>
      </c>
      <c r="L1628" s="35">
        <f t="shared" si="354"/>
        <v>3706.8</v>
      </c>
      <c r="M1628" s="7">
        <f t="shared" si="364"/>
        <v>0</v>
      </c>
      <c r="N1628" s="35">
        <f t="shared" si="361"/>
        <v>3706.8</v>
      </c>
      <c r="O1628" s="7">
        <f t="shared" si="364"/>
        <v>0</v>
      </c>
      <c r="P1628" s="35">
        <f t="shared" si="359"/>
        <v>3706.8</v>
      </c>
      <c r="Q1628" s="7">
        <f t="shared" si="364"/>
        <v>0</v>
      </c>
      <c r="R1628" s="35">
        <f t="shared" si="358"/>
        <v>3706.8</v>
      </c>
      <c r="S1628" s="7">
        <f t="shared" si="364"/>
        <v>0</v>
      </c>
      <c r="T1628" s="35">
        <f t="shared" si="356"/>
        <v>3706.8</v>
      </c>
    </row>
    <row r="1629" spans="1:20" ht="33">
      <c r="A1629" s="61" t="str">
        <f ca="1">IF(ISERROR(MATCH(E1629,Код_КВР,0)),"",INDIRECT(ADDRESS(MATCH(E1629,Код_КВР,0)+1,2,,,"КВР")))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29" s="43" t="s">
        <v>304</v>
      </c>
      <c r="C1629" s="8" t="s">
        <v>211</v>
      </c>
      <c r="D1629" s="8" t="s">
        <v>213</v>
      </c>
      <c r="E1629" s="113">
        <v>100</v>
      </c>
      <c r="F1629" s="7">
        <f t="shared" si="364"/>
        <v>3706.8</v>
      </c>
      <c r="G1629" s="7">
        <f t="shared" si="364"/>
        <v>0</v>
      </c>
      <c r="H1629" s="35">
        <f t="shared" si="363"/>
        <v>3706.8</v>
      </c>
      <c r="I1629" s="7">
        <f t="shared" si="364"/>
        <v>0</v>
      </c>
      <c r="J1629" s="35">
        <f t="shared" si="360"/>
        <v>3706.8</v>
      </c>
      <c r="K1629" s="7">
        <f t="shared" si="364"/>
        <v>0</v>
      </c>
      <c r="L1629" s="35">
        <f t="shared" si="354"/>
        <v>3706.8</v>
      </c>
      <c r="M1629" s="7">
        <f t="shared" si="364"/>
        <v>0</v>
      </c>
      <c r="N1629" s="35">
        <f t="shared" si="361"/>
        <v>3706.8</v>
      </c>
      <c r="O1629" s="7">
        <f t="shared" si="364"/>
        <v>0</v>
      </c>
      <c r="P1629" s="35">
        <f t="shared" si="359"/>
        <v>3706.8</v>
      </c>
      <c r="Q1629" s="7">
        <f t="shared" si="364"/>
        <v>0</v>
      </c>
      <c r="R1629" s="35">
        <f t="shared" si="358"/>
        <v>3706.8</v>
      </c>
      <c r="S1629" s="7">
        <f t="shared" si="364"/>
        <v>0</v>
      </c>
      <c r="T1629" s="35">
        <f t="shared" si="356"/>
        <v>3706.8</v>
      </c>
    </row>
    <row r="1630" spans="1:20">
      <c r="A1630" s="61" t="str">
        <f ca="1">IF(ISERROR(MATCH(E1630,Код_КВР,0)),"",INDIRECT(ADDRESS(MATCH(E1630,Код_КВР,0)+1,2,,,"КВР")))</f>
        <v>Расходы на выплаты персоналу муниципальных органов</v>
      </c>
      <c r="B1630" s="43" t="s">
        <v>304</v>
      </c>
      <c r="C1630" s="8" t="s">
        <v>211</v>
      </c>
      <c r="D1630" s="8" t="s">
        <v>213</v>
      </c>
      <c r="E1630" s="113">
        <v>120</v>
      </c>
      <c r="F1630" s="7">
        <f>прил.6!G415</f>
        <v>3706.8</v>
      </c>
      <c r="G1630" s="7">
        <f>прил.6!H415</f>
        <v>0</v>
      </c>
      <c r="H1630" s="35">
        <f t="shared" si="363"/>
        <v>3706.8</v>
      </c>
      <c r="I1630" s="7">
        <f>прил.6!J415</f>
        <v>0</v>
      </c>
      <c r="J1630" s="35">
        <f t="shared" si="360"/>
        <v>3706.8</v>
      </c>
      <c r="K1630" s="7">
        <f>прил.6!L415</f>
        <v>0</v>
      </c>
      <c r="L1630" s="35">
        <f t="shared" si="354"/>
        <v>3706.8</v>
      </c>
      <c r="M1630" s="7">
        <f>прил.6!N415</f>
        <v>0</v>
      </c>
      <c r="N1630" s="35">
        <f t="shared" si="361"/>
        <v>3706.8</v>
      </c>
      <c r="O1630" s="7">
        <f>прил.6!P415</f>
        <v>0</v>
      </c>
      <c r="P1630" s="35">
        <f t="shared" si="359"/>
        <v>3706.8</v>
      </c>
      <c r="Q1630" s="7">
        <f>прил.6!R415</f>
        <v>0</v>
      </c>
      <c r="R1630" s="35">
        <f t="shared" si="358"/>
        <v>3706.8</v>
      </c>
      <c r="S1630" s="7">
        <f>прил.6!T415</f>
        <v>0</v>
      </c>
      <c r="T1630" s="35">
        <f t="shared" si="356"/>
        <v>3706.8</v>
      </c>
    </row>
    <row r="1631" spans="1:20" ht="33">
      <c r="A1631" s="61" t="str">
        <f ca="1">IF(ISERROR(MATCH(B1631,Код_КЦСР,0)),"",INDIRECT(ADDRESS(MATCH(B1631,Код_КЦСР,0)+1,2,,,"КЦСР")))</f>
        <v>Реализация функций органов местного самоуправления города, связанных с общегородским управлением</v>
      </c>
      <c r="B1631" s="43" t="s">
        <v>305</v>
      </c>
      <c r="C1631" s="8"/>
      <c r="D1631" s="1"/>
      <c r="E1631" s="113"/>
      <c r="F1631" s="7">
        <f t="shared" ref="F1631:S1635" si="365">F1632</f>
        <v>400</v>
      </c>
      <c r="G1631" s="7">
        <f t="shared" si="365"/>
        <v>0</v>
      </c>
      <c r="H1631" s="35">
        <f t="shared" si="363"/>
        <v>400</v>
      </c>
      <c r="I1631" s="7">
        <f t="shared" si="365"/>
        <v>0</v>
      </c>
      <c r="J1631" s="35">
        <f t="shared" si="360"/>
        <v>400</v>
      </c>
      <c r="K1631" s="7">
        <f t="shared" si="365"/>
        <v>-50</v>
      </c>
      <c r="L1631" s="35">
        <f t="shared" si="354"/>
        <v>350</v>
      </c>
      <c r="M1631" s="7">
        <f>M1632+M1638</f>
        <v>0.5</v>
      </c>
      <c r="N1631" s="35">
        <f t="shared" si="361"/>
        <v>350.5</v>
      </c>
      <c r="O1631" s="7">
        <f>O1632+O1638</f>
        <v>0</v>
      </c>
      <c r="P1631" s="35">
        <f t="shared" si="359"/>
        <v>350.5</v>
      </c>
      <c r="Q1631" s="7">
        <f>Q1632+Q1638</f>
        <v>0</v>
      </c>
      <c r="R1631" s="35">
        <f t="shared" si="358"/>
        <v>350.5</v>
      </c>
      <c r="S1631" s="7">
        <f>S1632+S1638</f>
        <v>0</v>
      </c>
      <c r="T1631" s="35">
        <f t="shared" si="356"/>
        <v>350.5</v>
      </c>
    </row>
    <row r="1632" spans="1:20">
      <c r="A1632" s="61" t="str">
        <f ca="1">IF(ISERROR(MATCH(B1632,Код_КЦСР,0)),"",INDIRECT(ADDRESS(MATCH(B1632,Код_КЦСР,0)+1,2,,,"КЦСР")))</f>
        <v>Расходы на судебные издержки и исполнение судебных решений</v>
      </c>
      <c r="B1632" s="43" t="s">
        <v>307</v>
      </c>
      <c r="C1632" s="8"/>
      <c r="D1632" s="1"/>
      <c r="E1632" s="113"/>
      <c r="F1632" s="7">
        <f t="shared" si="365"/>
        <v>400</v>
      </c>
      <c r="G1632" s="7">
        <f t="shared" si="365"/>
        <v>0</v>
      </c>
      <c r="H1632" s="35">
        <f t="shared" si="363"/>
        <v>400</v>
      </c>
      <c r="I1632" s="7">
        <f t="shared" si="365"/>
        <v>0</v>
      </c>
      <c r="J1632" s="35">
        <f t="shared" si="360"/>
        <v>400</v>
      </c>
      <c r="K1632" s="7">
        <f t="shared" si="365"/>
        <v>-50</v>
      </c>
      <c r="L1632" s="35">
        <f t="shared" si="354"/>
        <v>350</v>
      </c>
      <c r="M1632" s="7">
        <f t="shared" si="365"/>
        <v>0</v>
      </c>
      <c r="N1632" s="35">
        <f t="shared" si="361"/>
        <v>350</v>
      </c>
      <c r="O1632" s="7">
        <f t="shared" si="365"/>
        <v>0</v>
      </c>
      <c r="P1632" s="35">
        <f t="shared" si="359"/>
        <v>350</v>
      </c>
      <c r="Q1632" s="7">
        <f t="shared" si="365"/>
        <v>0</v>
      </c>
      <c r="R1632" s="35">
        <f t="shared" si="358"/>
        <v>350</v>
      </c>
      <c r="S1632" s="7">
        <f t="shared" si="365"/>
        <v>0</v>
      </c>
      <c r="T1632" s="35">
        <f t="shared" si="356"/>
        <v>350</v>
      </c>
    </row>
    <row r="1633" spans="1:20">
      <c r="A1633" s="61" t="str">
        <f ca="1">IF(ISERROR(MATCH(C1633,Код_Раздел,0)),"",INDIRECT(ADDRESS(MATCH(C1633,Код_Раздел,0)+1,2,,,"Раздел")))</f>
        <v>Общегосударственные  вопросы</v>
      </c>
      <c r="B1633" s="43" t="s">
        <v>307</v>
      </c>
      <c r="C1633" s="8" t="s">
        <v>211</v>
      </c>
      <c r="D1633" s="1"/>
      <c r="E1633" s="113"/>
      <c r="F1633" s="7">
        <f t="shared" si="365"/>
        <v>400</v>
      </c>
      <c r="G1633" s="7">
        <f t="shared" si="365"/>
        <v>0</v>
      </c>
      <c r="H1633" s="35">
        <f t="shared" si="363"/>
        <v>400</v>
      </c>
      <c r="I1633" s="7">
        <f t="shared" si="365"/>
        <v>0</v>
      </c>
      <c r="J1633" s="35">
        <f t="shared" si="360"/>
        <v>400</v>
      </c>
      <c r="K1633" s="7">
        <f t="shared" si="365"/>
        <v>-50</v>
      </c>
      <c r="L1633" s="35">
        <f t="shared" si="354"/>
        <v>350</v>
      </c>
      <c r="M1633" s="7">
        <f t="shared" si="365"/>
        <v>0</v>
      </c>
      <c r="N1633" s="35">
        <f t="shared" si="361"/>
        <v>350</v>
      </c>
      <c r="O1633" s="7">
        <f t="shared" si="365"/>
        <v>0</v>
      </c>
      <c r="P1633" s="35">
        <f t="shared" si="359"/>
        <v>350</v>
      </c>
      <c r="Q1633" s="7">
        <f t="shared" si="365"/>
        <v>0</v>
      </c>
      <c r="R1633" s="35">
        <f t="shared" si="358"/>
        <v>350</v>
      </c>
      <c r="S1633" s="7">
        <f t="shared" si="365"/>
        <v>0</v>
      </c>
      <c r="T1633" s="35">
        <f t="shared" si="356"/>
        <v>350</v>
      </c>
    </row>
    <row r="1634" spans="1:20">
      <c r="A1634" s="12" t="s">
        <v>235</v>
      </c>
      <c r="B1634" s="43" t="s">
        <v>307</v>
      </c>
      <c r="C1634" s="8" t="s">
        <v>211</v>
      </c>
      <c r="D1634" s="1" t="s">
        <v>188</v>
      </c>
      <c r="E1634" s="113"/>
      <c r="F1634" s="7">
        <f t="shared" si="365"/>
        <v>400</v>
      </c>
      <c r="G1634" s="7">
        <f t="shared" si="365"/>
        <v>0</v>
      </c>
      <c r="H1634" s="35">
        <f t="shared" si="363"/>
        <v>400</v>
      </c>
      <c r="I1634" s="7">
        <f t="shared" si="365"/>
        <v>0</v>
      </c>
      <c r="J1634" s="35">
        <f t="shared" si="360"/>
        <v>400</v>
      </c>
      <c r="K1634" s="7">
        <f t="shared" si="365"/>
        <v>-50</v>
      </c>
      <c r="L1634" s="35">
        <f t="shared" si="354"/>
        <v>350</v>
      </c>
      <c r="M1634" s="7">
        <f t="shared" si="365"/>
        <v>0</v>
      </c>
      <c r="N1634" s="35">
        <f t="shared" si="361"/>
        <v>350</v>
      </c>
      <c r="O1634" s="7">
        <f t="shared" si="365"/>
        <v>0</v>
      </c>
      <c r="P1634" s="35">
        <f t="shared" si="359"/>
        <v>350</v>
      </c>
      <c r="Q1634" s="7">
        <f t="shared" si="365"/>
        <v>0</v>
      </c>
      <c r="R1634" s="35">
        <f t="shared" si="358"/>
        <v>350</v>
      </c>
      <c r="S1634" s="7">
        <f t="shared" si="365"/>
        <v>0</v>
      </c>
      <c r="T1634" s="35">
        <f t="shared" si="356"/>
        <v>350</v>
      </c>
    </row>
    <row r="1635" spans="1:20">
      <c r="A1635" s="61" t="str">
        <f ca="1">IF(ISERROR(MATCH(E1635,Код_КВР,0)),"",INDIRECT(ADDRESS(MATCH(E1635,Код_КВР,0)+1,2,,,"КВР")))</f>
        <v>Иные бюджетные ассигнования</v>
      </c>
      <c r="B1635" s="43" t="s">
        <v>307</v>
      </c>
      <c r="C1635" s="8" t="s">
        <v>211</v>
      </c>
      <c r="D1635" s="1" t="s">
        <v>188</v>
      </c>
      <c r="E1635" s="113">
        <v>800</v>
      </c>
      <c r="F1635" s="7">
        <f t="shared" si="365"/>
        <v>400</v>
      </c>
      <c r="G1635" s="7">
        <f t="shared" si="365"/>
        <v>0</v>
      </c>
      <c r="H1635" s="35">
        <f t="shared" si="363"/>
        <v>400</v>
      </c>
      <c r="I1635" s="7">
        <f t="shared" si="365"/>
        <v>0</v>
      </c>
      <c r="J1635" s="35">
        <f t="shared" si="360"/>
        <v>400</v>
      </c>
      <c r="K1635" s="7">
        <f t="shared" si="365"/>
        <v>-50</v>
      </c>
      <c r="L1635" s="35">
        <f t="shared" si="354"/>
        <v>350</v>
      </c>
      <c r="M1635" s="7">
        <f t="shared" si="365"/>
        <v>0</v>
      </c>
      <c r="N1635" s="35">
        <f t="shared" si="361"/>
        <v>350</v>
      </c>
      <c r="O1635" s="7">
        <f t="shared" si="365"/>
        <v>0</v>
      </c>
      <c r="P1635" s="35">
        <f t="shared" si="359"/>
        <v>350</v>
      </c>
      <c r="Q1635" s="7">
        <f t="shared" si="365"/>
        <v>0</v>
      </c>
      <c r="R1635" s="35">
        <f t="shared" si="358"/>
        <v>350</v>
      </c>
      <c r="S1635" s="7">
        <f t="shared" si="365"/>
        <v>0</v>
      </c>
      <c r="T1635" s="35">
        <f t="shared" si="356"/>
        <v>350</v>
      </c>
    </row>
    <row r="1636" spans="1:20">
      <c r="A1636" s="61" t="str">
        <f ca="1">IF(ISERROR(MATCH(E1636,Код_КВР,0)),"",INDIRECT(ADDRESS(MATCH(E1636,Код_КВР,0)+1,2,,,"КВР")))</f>
        <v>Исполнение судебных актов</v>
      </c>
      <c r="B1636" s="43" t="s">
        <v>307</v>
      </c>
      <c r="C1636" s="8" t="s">
        <v>211</v>
      </c>
      <c r="D1636" s="1" t="s">
        <v>188</v>
      </c>
      <c r="E1636" s="113">
        <v>830</v>
      </c>
      <c r="F1636" s="7">
        <f>F1637</f>
        <v>400</v>
      </c>
      <c r="G1636" s="7">
        <f>G1637</f>
        <v>0</v>
      </c>
      <c r="H1636" s="35">
        <f t="shared" si="363"/>
        <v>400</v>
      </c>
      <c r="I1636" s="7">
        <f>I1637</f>
        <v>0</v>
      </c>
      <c r="J1636" s="35">
        <f t="shared" si="360"/>
        <v>400</v>
      </c>
      <c r="K1636" s="7">
        <f>K1637</f>
        <v>-50</v>
      </c>
      <c r="L1636" s="35">
        <f t="shared" si="354"/>
        <v>350</v>
      </c>
      <c r="M1636" s="7">
        <f>M1637</f>
        <v>0</v>
      </c>
      <c r="N1636" s="35">
        <f t="shared" si="361"/>
        <v>350</v>
      </c>
      <c r="O1636" s="7">
        <f>O1637</f>
        <v>0</v>
      </c>
      <c r="P1636" s="35">
        <f t="shared" si="359"/>
        <v>350</v>
      </c>
      <c r="Q1636" s="7">
        <f>Q1637</f>
        <v>0</v>
      </c>
      <c r="R1636" s="35">
        <f t="shared" si="358"/>
        <v>350</v>
      </c>
      <c r="S1636" s="7">
        <f>S1637</f>
        <v>0</v>
      </c>
      <c r="T1636" s="35">
        <f t="shared" si="356"/>
        <v>350</v>
      </c>
    </row>
    <row r="1637" spans="1:20" ht="85.5" customHeight="1">
      <c r="A1637" s="61" t="str">
        <f ca="1">IF(ISERROR(MATCH(E1637,Код_КВР,0)),"",INDIRECT(ADDRESS(MATCH(E1637,Код_КВР,0)+1,2,,,"КВР")))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637" s="43" t="s">
        <v>307</v>
      </c>
      <c r="C1637" s="8" t="s">
        <v>211</v>
      </c>
      <c r="D1637" s="1" t="s">
        <v>188</v>
      </c>
      <c r="E1637" s="113">
        <v>831</v>
      </c>
      <c r="F1637" s="7">
        <f>прил.6!G170+прил.6!G897</f>
        <v>400</v>
      </c>
      <c r="G1637" s="7">
        <f>прил.6!H170+прил.6!H897</f>
        <v>0</v>
      </c>
      <c r="H1637" s="35">
        <f t="shared" si="363"/>
        <v>400</v>
      </c>
      <c r="I1637" s="7">
        <f>прил.6!J170+прил.6!J897</f>
        <v>0</v>
      </c>
      <c r="J1637" s="35">
        <f t="shared" si="360"/>
        <v>400</v>
      </c>
      <c r="K1637" s="7">
        <f>прил.6!L170+прил.6!L897</f>
        <v>-50</v>
      </c>
      <c r="L1637" s="35">
        <f t="shared" si="354"/>
        <v>350</v>
      </c>
      <c r="M1637" s="7">
        <f>прил.6!N170+прил.6!N897</f>
        <v>0</v>
      </c>
      <c r="N1637" s="35">
        <f t="shared" si="361"/>
        <v>350</v>
      </c>
      <c r="O1637" s="7">
        <f>прил.6!P170+прил.6!P897</f>
        <v>0</v>
      </c>
      <c r="P1637" s="35">
        <f t="shared" si="359"/>
        <v>350</v>
      </c>
      <c r="Q1637" s="7">
        <f>прил.6!R170+прил.6!R897</f>
        <v>0</v>
      </c>
      <c r="R1637" s="35">
        <f t="shared" si="358"/>
        <v>350</v>
      </c>
      <c r="S1637" s="7">
        <f>прил.6!T170+прил.6!T897</f>
        <v>0</v>
      </c>
      <c r="T1637" s="35">
        <f t="shared" si="356"/>
        <v>350</v>
      </c>
    </row>
    <row r="1638" spans="1:20" ht="39.950000000000003" customHeight="1">
      <c r="A1638" s="61" t="str">
        <f ca="1">IF(ISERROR(MATCH(B1638,Код_КЦСР,0)),"",INDIRECT(ADDRESS(MATCH(B1638,Код_КЦСР,0)+1,2,,,"КЦСР")))</f>
        <v>Выполнение других обязательств органов местного самоуправления</v>
      </c>
      <c r="B1638" s="43" t="s">
        <v>309</v>
      </c>
      <c r="C1638" s="8"/>
      <c r="D1638" s="1"/>
      <c r="E1638" s="113"/>
      <c r="F1638" s="7"/>
      <c r="G1638" s="7"/>
      <c r="H1638" s="35"/>
      <c r="I1638" s="7"/>
      <c r="J1638" s="35"/>
      <c r="K1638" s="7"/>
      <c r="L1638" s="35"/>
      <c r="M1638" s="7">
        <f>M1639</f>
        <v>0.5</v>
      </c>
      <c r="N1638" s="35">
        <f t="shared" si="361"/>
        <v>0.5</v>
      </c>
      <c r="O1638" s="7">
        <f>O1639</f>
        <v>0</v>
      </c>
      <c r="P1638" s="35">
        <f t="shared" si="359"/>
        <v>0.5</v>
      </c>
      <c r="Q1638" s="7">
        <f>Q1639</f>
        <v>0</v>
      </c>
      <c r="R1638" s="35">
        <f t="shared" si="358"/>
        <v>0.5</v>
      </c>
      <c r="S1638" s="7">
        <f>S1639</f>
        <v>0</v>
      </c>
      <c r="T1638" s="35">
        <f t="shared" si="356"/>
        <v>0.5</v>
      </c>
    </row>
    <row r="1639" spans="1:20">
      <c r="A1639" s="61" t="str">
        <f ca="1">IF(ISERROR(MATCH(C1639,Код_Раздел,0)),"",INDIRECT(ADDRESS(MATCH(C1639,Код_Раздел,0)+1,2,,,"Раздел")))</f>
        <v>Общегосударственные  вопросы</v>
      </c>
      <c r="B1639" s="43" t="s">
        <v>309</v>
      </c>
      <c r="C1639" s="8" t="s">
        <v>211</v>
      </c>
      <c r="D1639" s="1"/>
      <c r="E1639" s="113"/>
      <c r="F1639" s="7"/>
      <c r="G1639" s="7"/>
      <c r="H1639" s="35"/>
      <c r="I1639" s="7"/>
      <c r="J1639" s="35"/>
      <c r="K1639" s="7"/>
      <c r="L1639" s="35"/>
      <c r="M1639" s="7">
        <f>M1640</f>
        <v>0.5</v>
      </c>
      <c r="N1639" s="35">
        <f t="shared" si="361"/>
        <v>0.5</v>
      </c>
      <c r="O1639" s="7">
        <f>O1640</f>
        <v>0</v>
      </c>
      <c r="P1639" s="35">
        <f t="shared" si="359"/>
        <v>0.5</v>
      </c>
      <c r="Q1639" s="7">
        <f>Q1640</f>
        <v>0</v>
      </c>
      <c r="R1639" s="35">
        <f t="shared" si="358"/>
        <v>0.5</v>
      </c>
      <c r="S1639" s="7">
        <f>S1640</f>
        <v>0</v>
      </c>
      <c r="T1639" s="35">
        <f t="shared" si="356"/>
        <v>0.5</v>
      </c>
    </row>
    <row r="1640" spans="1:20">
      <c r="A1640" s="12" t="s">
        <v>235</v>
      </c>
      <c r="B1640" s="43" t="s">
        <v>309</v>
      </c>
      <c r="C1640" s="8" t="s">
        <v>211</v>
      </c>
      <c r="D1640" s="1" t="s">
        <v>188</v>
      </c>
      <c r="E1640" s="113"/>
      <c r="F1640" s="7"/>
      <c r="G1640" s="7"/>
      <c r="H1640" s="35"/>
      <c r="I1640" s="7"/>
      <c r="J1640" s="35"/>
      <c r="K1640" s="7"/>
      <c r="L1640" s="35"/>
      <c r="M1640" s="7">
        <f>M1641</f>
        <v>0.5</v>
      </c>
      <c r="N1640" s="35">
        <f t="shared" si="361"/>
        <v>0.5</v>
      </c>
      <c r="O1640" s="7">
        <f>O1641</f>
        <v>0</v>
      </c>
      <c r="P1640" s="35">
        <f t="shared" si="359"/>
        <v>0.5</v>
      </c>
      <c r="Q1640" s="7">
        <f>Q1641</f>
        <v>0</v>
      </c>
      <c r="R1640" s="35">
        <f t="shared" si="358"/>
        <v>0.5</v>
      </c>
      <c r="S1640" s="7">
        <f>S1641</f>
        <v>0</v>
      </c>
      <c r="T1640" s="35">
        <f t="shared" si="356"/>
        <v>0.5</v>
      </c>
    </row>
    <row r="1641" spans="1:20">
      <c r="A1641" s="61" t="str">
        <f ca="1">IF(ISERROR(MATCH(E1641,Код_КВР,0)),"",INDIRECT(ADDRESS(MATCH(E1641,Код_КВР,0)+1,2,,,"КВР")))</f>
        <v>Иные бюджетные ассигнования</v>
      </c>
      <c r="B1641" s="43" t="s">
        <v>309</v>
      </c>
      <c r="C1641" s="8" t="s">
        <v>211</v>
      </c>
      <c r="D1641" s="1" t="s">
        <v>188</v>
      </c>
      <c r="E1641" s="113">
        <v>800</v>
      </c>
      <c r="F1641" s="7"/>
      <c r="G1641" s="7"/>
      <c r="H1641" s="35"/>
      <c r="I1641" s="7"/>
      <c r="J1641" s="35"/>
      <c r="K1641" s="7"/>
      <c r="L1641" s="35"/>
      <c r="M1641" s="7">
        <f>M1642</f>
        <v>0.5</v>
      </c>
      <c r="N1641" s="35">
        <f t="shared" si="361"/>
        <v>0.5</v>
      </c>
      <c r="O1641" s="7">
        <f>O1642</f>
        <v>0</v>
      </c>
      <c r="P1641" s="35">
        <f t="shared" si="359"/>
        <v>0.5</v>
      </c>
      <c r="Q1641" s="7">
        <f>Q1642</f>
        <v>0</v>
      </c>
      <c r="R1641" s="35">
        <f t="shared" si="358"/>
        <v>0.5</v>
      </c>
      <c r="S1641" s="7">
        <f>S1642</f>
        <v>0</v>
      </c>
      <c r="T1641" s="35">
        <f t="shared" si="356"/>
        <v>0.5</v>
      </c>
    </row>
    <row r="1642" spans="1:20">
      <c r="A1642" s="61" t="str">
        <f ca="1">IF(ISERROR(MATCH(E1642,Код_КВР,0)),"",INDIRECT(ADDRESS(MATCH(E1642,Код_КВР,0)+1,2,,,"КВР")))</f>
        <v>Уплата налогов, сборов и иных платежей</v>
      </c>
      <c r="B1642" s="43" t="s">
        <v>309</v>
      </c>
      <c r="C1642" s="8" t="s">
        <v>211</v>
      </c>
      <c r="D1642" s="1" t="s">
        <v>188</v>
      </c>
      <c r="E1642" s="113">
        <v>850</v>
      </c>
      <c r="F1642" s="7"/>
      <c r="G1642" s="7"/>
      <c r="H1642" s="35"/>
      <c r="I1642" s="7"/>
      <c r="J1642" s="35"/>
      <c r="K1642" s="7"/>
      <c r="L1642" s="35"/>
      <c r="M1642" s="7">
        <f>M1643</f>
        <v>0.5</v>
      </c>
      <c r="N1642" s="35">
        <f t="shared" si="361"/>
        <v>0.5</v>
      </c>
      <c r="O1642" s="7">
        <f>O1643</f>
        <v>0</v>
      </c>
      <c r="P1642" s="35">
        <f t="shared" si="359"/>
        <v>0.5</v>
      </c>
      <c r="Q1642" s="7">
        <f>Q1643</f>
        <v>0</v>
      </c>
      <c r="R1642" s="35">
        <f t="shared" si="358"/>
        <v>0.5</v>
      </c>
      <c r="S1642" s="7">
        <f>S1643</f>
        <v>0</v>
      </c>
      <c r="T1642" s="35">
        <f t="shared" si="356"/>
        <v>0.5</v>
      </c>
    </row>
    <row r="1643" spans="1:20">
      <c r="A1643" s="61" t="str">
        <f ca="1">IF(ISERROR(MATCH(E1643,Код_КВР,0)),"",INDIRECT(ADDRESS(MATCH(E1643,Код_КВР,0)+1,2,,,"КВР")))</f>
        <v>Уплата налога на имущество организаций и земельного налога</v>
      </c>
      <c r="B1643" s="43" t="s">
        <v>309</v>
      </c>
      <c r="C1643" s="8" t="s">
        <v>211</v>
      </c>
      <c r="D1643" s="1" t="s">
        <v>188</v>
      </c>
      <c r="E1643" s="113">
        <v>851</v>
      </c>
      <c r="F1643" s="7"/>
      <c r="G1643" s="7"/>
      <c r="H1643" s="35"/>
      <c r="I1643" s="7"/>
      <c r="J1643" s="35"/>
      <c r="K1643" s="7"/>
      <c r="L1643" s="35"/>
      <c r="M1643" s="7">
        <f>прил.6!N174</f>
        <v>0.5</v>
      </c>
      <c r="N1643" s="35">
        <f t="shared" si="361"/>
        <v>0.5</v>
      </c>
      <c r="O1643" s="7">
        <f>прил.6!P174</f>
        <v>0</v>
      </c>
      <c r="P1643" s="35">
        <f t="shared" si="359"/>
        <v>0.5</v>
      </c>
      <c r="Q1643" s="7">
        <f>прил.6!R174</f>
        <v>0</v>
      </c>
      <c r="R1643" s="35">
        <f t="shared" si="358"/>
        <v>0.5</v>
      </c>
      <c r="S1643" s="7">
        <f>прил.6!T174</f>
        <v>0</v>
      </c>
      <c r="T1643" s="35">
        <f t="shared" si="356"/>
        <v>0.5</v>
      </c>
    </row>
    <row r="1644" spans="1:20" ht="66.75" customHeight="1">
      <c r="A1644" s="61" t="str">
        <f ca="1">IF(ISERROR(MATCH(B1644,Код_КЦСР,0)),"",INDIRECT(ADDRESS(MATCH(B1644,Код_КЦСР,0)+1,2,,,"КЦСР")))</f>
        <v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v>
      </c>
      <c r="B1644" s="113" t="s">
        <v>624</v>
      </c>
      <c r="C1644" s="8"/>
      <c r="D1644" s="1"/>
      <c r="E1644" s="113"/>
      <c r="F1644" s="7"/>
      <c r="G1644" s="7"/>
      <c r="H1644" s="35"/>
      <c r="I1644" s="7"/>
      <c r="J1644" s="35"/>
      <c r="K1644" s="7"/>
      <c r="L1644" s="35"/>
      <c r="M1644" s="7">
        <f>M1645</f>
        <v>3.4</v>
      </c>
      <c r="N1644" s="35">
        <f t="shared" si="361"/>
        <v>3.4</v>
      </c>
      <c r="O1644" s="7">
        <f>O1645</f>
        <v>0</v>
      </c>
      <c r="P1644" s="35">
        <f t="shared" si="359"/>
        <v>3.4</v>
      </c>
      <c r="Q1644" s="7">
        <f>Q1645</f>
        <v>0</v>
      </c>
      <c r="R1644" s="35">
        <f t="shared" si="358"/>
        <v>3.4</v>
      </c>
      <c r="S1644" s="7">
        <f>S1645</f>
        <v>0</v>
      </c>
      <c r="T1644" s="35">
        <f t="shared" si="356"/>
        <v>3.4</v>
      </c>
    </row>
    <row r="1645" spans="1:20" ht="24.75" customHeight="1">
      <c r="A1645" s="61" t="str">
        <f ca="1">IF(ISERROR(MATCH(C1645,Код_Раздел,0)),"",INDIRECT(ADDRESS(MATCH(C1645,Код_Раздел,0)+1,2,,,"Раздел")))</f>
        <v>Национальная экономика</v>
      </c>
      <c r="B1645" s="113" t="s">
        <v>624</v>
      </c>
      <c r="C1645" s="8" t="s">
        <v>214</v>
      </c>
      <c r="D1645" s="1"/>
      <c r="E1645" s="113"/>
      <c r="F1645" s="7"/>
      <c r="G1645" s="7"/>
      <c r="H1645" s="35"/>
      <c r="I1645" s="7"/>
      <c r="J1645" s="35"/>
      <c r="K1645" s="7"/>
      <c r="L1645" s="35"/>
      <c r="M1645" s="7">
        <f>M1646</f>
        <v>3.4</v>
      </c>
      <c r="N1645" s="35">
        <f t="shared" si="361"/>
        <v>3.4</v>
      </c>
      <c r="O1645" s="7">
        <f>O1646</f>
        <v>0</v>
      </c>
      <c r="P1645" s="35">
        <f t="shared" si="359"/>
        <v>3.4</v>
      </c>
      <c r="Q1645" s="7">
        <f>Q1646</f>
        <v>0</v>
      </c>
      <c r="R1645" s="35">
        <f t="shared" si="358"/>
        <v>3.4</v>
      </c>
      <c r="S1645" s="7">
        <f>S1646</f>
        <v>0</v>
      </c>
      <c r="T1645" s="35">
        <f t="shared" si="356"/>
        <v>3.4</v>
      </c>
    </row>
    <row r="1646" spans="1:20" ht="15.75" customHeight="1">
      <c r="A1646" s="75" t="s">
        <v>201</v>
      </c>
      <c r="B1646" s="113" t="s">
        <v>624</v>
      </c>
      <c r="C1646" s="8" t="s">
        <v>214</v>
      </c>
      <c r="D1646" s="1" t="s">
        <v>211</v>
      </c>
      <c r="E1646" s="113"/>
      <c r="F1646" s="7"/>
      <c r="G1646" s="7"/>
      <c r="H1646" s="35"/>
      <c r="I1646" s="7"/>
      <c r="J1646" s="35"/>
      <c r="K1646" s="7"/>
      <c r="L1646" s="35"/>
      <c r="M1646" s="7">
        <f>M1647</f>
        <v>3.4</v>
      </c>
      <c r="N1646" s="35">
        <f t="shared" si="361"/>
        <v>3.4</v>
      </c>
      <c r="O1646" s="7">
        <f>O1647</f>
        <v>0</v>
      </c>
      <c r="P1646" s="35">
        <f t="shared" si="359"/>
        <v>3.4</v>
      </c>
      <c r="Q1646" s="7">
        <f>Q1647</f>
        <v>0</v>
      </c>
      <c r="R1646" s="35">
        <f t="shared" si="358"/>
        <v>3.4</v>
      </c>
      <c r="S1646" s="7">
        <f>S1647</f>
        <v>0</v>
      </c>
      <c r="T1646" s="35">
        <f t="shared" si="356"/>
        <v>3.4</v>
      </c>
    </row>
    <row r="1647" spans="1:20" ht="41.25" customHeight="1">
      <c r="A1647" s="61" t="str">
        <f ca="1">IF(ISERROR(MATCH(E1647,Код_КВР,0)),"",INDIRECT(ADDRESS(MATCH(E1647,Код_КВР,0)+1,2,,,"КВР")))</f>
        <v>Предоставление субсидий бюджетным, автономным учреждениям и иным некоммерческим организациям</v>
      </c>
      <c r="B1647" s="113" t="s">
        <v>624</v>
      </c>
      <c r="C1647" s="8" t="s">
        <v>214</v>
      </c>
      <c r="D1647" s="1" t="s">
        <v>211</v>
      </c>
      <c r="E1647" s="113">
        <v>600</v>
      </c>
      <c r="F1647" s="7"/>
      <c r="G1647" s="7"/>
      <c r="H1647" s="35"/>
      <c r="I1647" s="7"/>
      <c r="J1647" s="35"/>
      <c r="K1647" s="7"/>
      <c r="L1647" s="35"/>
      <c r="M1647" s="7">
        <f>M1648</f>
        <v>3.4</v>
      </c>
      <c r="N1647" s="35">
        <f t="shared" si="361"/>
        <v>3.4</v>
      </c>
      <c r="O1647" s="7">
        <f>O1648</f>
        <v>0</v>
      </c>
      <c r="P1647" s="35">
        <f t="shared" si="359"/>
        <v>3.4</v>
      </c>
      <c r="Q1647" s="7">
        <f>Q1648</f>
        <v>0</v>
      </c>
      <c r="R1647" s="35">
        <f t="shared" si="358"/>
        <v>3.4</v>
      </c>
      <c r="S1647" s="7">
        <f>S1648</f>
        <v>0</v>
      </c>
      <c r="T1647" s="35">
        <f t="shared" si="356"/>
        <v>3.4</v>
      </c>
    </row>
    <row r="1648" spans="1:20" ht="21.95" customHeight="1">
      <c r="A1648" s="61" t="str">
        <f ca="1">IF(ISERROR(MATCH(E1648,Код_КВР,0)),"",INDIRECT(ADDRESS(MATCH(E1648,Код_КВР,0)+1,2,,,"КВР")))</f>
        <v>Субсидии бюджетным учреждениям</v>
      </c>
      <c r="B1648" s="113" t="s">
        <v>624</v>
      </c>
      <c r="C1648" s="8" t="s">
        <v>214</v>
      </c>
      <c r="D1648" s="1" t="s">
        <v>211</v>
      </c>
      <c r="E1648" s="113">
        <v>610</v>
      </c>
      <c r="F1648" s="7"/>
      <c r="G1648" s="7"/>
      <c r="H1648" s="35"/>
      <c r="I1648" s="7"/>
      <c r="J1648" s="35"/>
      <c r="K1648" s="7"/>
      <c r="L1648" s="35"/>
      <c r="M1648" s="7">
        <f>M1649</f>
        <v>3.4</v>
      </c>
      <c r="N1648" s="35">
        <f t="shared" si="361"/>
        <v>3.4</v>
      </c>
      <c r="O1648" s="7">
        <f>O1649</f>
        <v>0</v>
      </c>
      <c r="P1648" s="35">
        <f t="shared" si="359"/>
        <v>3.4</v>
      </c>
      <c r="Q1648" s="7">
        <f>Q1649</f>
        <v>0</v>
      </c>
      <c r="R1648" s="35">
        <f t="shared" si="358"/>
        <v>3.4</v>
      </c>
      <c r="S1648" s="7">
        <f>S1649</f>
        <v>0</v>
      </c>
      <c r="T1648" s="35">
        <f t="shared" si="356"/>
        <v>3.4</v>
      </c>
    </row>
    <row r="1649" spans="1:20" ht="27.2" customHeight="1">
      <c r="A1649" s="61" t="str">
        <f ca="1">IF(ISERROR(MATCH(E1649,Код_КВР,0)),"",INDIRECT(ADDRESS(MATCH(E1649,Код_КВР,0)+1,2,,,"КВР")))</f>
        <v>Субсидии бюджетным учреждениям на иные цели</v>
      </c>
      <c r="B1649" s="113" t="s">
        <v>624</v>
      </c>
      <c r="C1649" s="8" t="s">
        <v>214</v>
      </c>
      <c r="D1649" s="1" t="s">
        <v>211</v>
      </c>
      <c r="E1649" s="113">
        <v>612</v>
      </c>
      <c r="F1649" s="7"/>
      <c r="G1649" s="7"/>
      <c r="H1649" s="35"/>
      <c r="I1649" s="7"/>
      <c r="J1649" s="35"/>
      <c r="K1649" s="7"/>
      <c r="L1649" s="35"/>
      <c r="M1649" s="7">
        <f>прил.6!N582</f>
        <v>3.4</v>
      </c>
      <c r="N1649" s="35">
        <f t="shared" si="361"/>
        <v>3.4</v>
      </c>
      <c r="O1649" s="7">
        <f>прил.6!P582</f>
        <v>0</v>
      </c>
      <c r="P1649" s="35">
        <f t="shared" si="359"/>
        <v>3.4</v>
      </c>
      <c r="Q1649" s="7">
        <f>прил.6!R582</f>
        <v>0</v>
      </c>
      <c r="R1649" s="35">
        <f t="shared" si="358"/>
        <v>3.4</v>
      </c>
      <c r="S1649" s="7">
        <f>прил.6!T582</f>
        <v>0</v>
      </c>
      <c r="T1649" s="35">
        <f t="shared" si="356"/>
        <v>3.4</v>
      </c>
    </row>
    <row r="1650" spans="1:20">
      <c r="A1650" s="61" t="str">
        <f ca="1">IF(ISERROR(MATCH(B1650,Код_КЦСР,0)),"",INDIRECT(ADDRESS(MATCH(B1650,Код_КЦСР,0)+1,2,,,"КЦСР")))</f>
        <v>Процентные платежи по долговым обязательствам</v>
      </c>
      <c r="B1650" s="43" t="s">
        <v>310</v>
      </c>
      <c r="C1650" s="8"/>
      <c r="D1650" s="1"/>
      <c r="E1650" s="113"/>
      <c r="F1650" s="7">
        <f t="shared" ref="F1650:S1654" si="366">F1651</f>
        <v>46394.2</v>
      </c>
      <c r="G1650" s="7">
        <f t="shared" si="366"/>
        <v>0</v>
      </c>
      <c r="H1650" s="35">
        <f t="shared" si="363"/>
        <v>46394.2</v>
      </c>
      <c r="I1650" s="7">
        <f t="shared" si="366"/>
        <v>0</v>
      </c>
      <c r="J1650" s="35">
        <f t="shared" si="360"/>
        <v>46394.2</v>
      </c>
      <c r="K1650" s="7">
        <f t="shared" si="366"/>
        <v>0</v>
      </c>
      <c r="L1650" s="35">
        <f t="shared" si="354"/>
        <v>46394.2</v>
      </c>
      <c r="M1650" s="7">
        <f t="shared" si="366"/>
        <v>0</v>
      </c>
      <c r="N1650" s="35">
        <f t="shared" si="361"/>
        <v>46394.2</v>
      </c>
      <c r="O1650" s="7">
        <f t="shared" si="366"/>
        <v>0</v>
      </c>
      <c r="P1650" s="35">
        <f t="shared" si="359"/>
        <v>46394.2</v>
      </c>
      <c r="Q1650" s="7">
        <f t="shared" si="366"/>
        <v>0</v>
      </c>
      <c r="R1650" s="35">
        <f t="shared" si="358"/>
        <v>46394.2</v>
      </c>
      <c r="S1650" s="7">
        <f t="shared" si="366"/>
        <v>0</v>
      </c>
      <c r="T1650" s="35">
        <f t="shared" si="356"/>
        <v>46394.2</v>
      </c>
    </row>
    <row r="1651" spans="1:20">
      <c r="A1651" s="61" t="str">
        <f ca="1">IF(ISERROR(MATCH(B1651,Код_КЦСР,0)),"",INDIRECT(ADDRESS(MATCH(B1651,Код_КЦСР,0)+1,2,,,"КЦСР")))</f>
        <v>Процентные платежи по муниципальному долгу</v>
      </c>
      <c r="B1651" s="43" t="s">
        <v>311</v>
      </c>
      <c r="C1651" s="8"/>
      <c r="D1651" s="1"/>
      <c r="E1651" s="113"/>
      <c r="F1651" s="7">
        <f t="shared" si="366"/>
        <v>46394.2</v>
      </c>
      <c r="G1651" s="7">
        <f t="shared" si="366"/>
        <v>0</v>
      </c>
      <c r="H1651" s="35">
        <f t="shared" si="363"/>
        <v>46394.2</v>
      </c>
      <c r="I1651" s="7">
        <f t="shared" si="366"/>
        <v>0</v>
      </c>
      <c r="J1651" s="35">
        <f t="shared" si="360"/>
        <v>46394.2</v>
      </c>
      <c r="K1651" s="7">
        <f t="shared" si="366"/>
        <v>0</v>
      </c>
      <c r="L1651" s="35">
        <f t="shared" si="354"/>
        <v>46394.2</v>
      </c>
      <c r="M1651" s="7">
        <f t="shared" si="366"/>
        <v>0</v>
      </c>
      <c r="N1651" s="35">
        <f t="shared" si="361"/>
        <v>46394.2</v>
      </c>
      <c r="O1651" s="7">
        <f t="shared" si="366"/>
        <v>0</v>
      </c>
      <c r="P1651" s="35">
        <f t="shared" si="359"/>
        <v>46394.2</v>
      </c>
      <c r="Q1651" s="7">
        <f t="shared" si="366"/>
        <v>0</v>
      </c>
      <c r="R1651" s="35">
        <f t="shared" si="358"/>
        <v>46394.2</v>
      </c>
      <c r="S1651" s="7">
        <f t="shared" si="366"/>
        <v>0</v>
      </c>
      <c r="T1651" s="35">
        <f t="shared" si="356"/>
        <v>46394.2</v>
      </c>
    </row>
    <row r="1652" spans="1:20">
      <c r="A1652" s="61" t="str">
        <f ca="1">IF(ISERROR(MATCH(C1652,Код_Раздел,0)),"",INDIRECT(ADDRESS(MATCH(C1652,Код_Раздел,0)+1,2,,,"Раздел")))</f>
        <v>Обслуживание государственного и муниципального долга</v>
      </c>
      <c r="B1652" s="43" t="s">
        <v>311</v>
      </c>
      <c r="C1652" s="8" t="s">
        <v>188</v>
      </c>
      <c r="D1652" s="1"/>
      <c r="E1652" s="113"/>
      <c r="F1652" s="7">
        <f t="shared" si="366"/>
        <v>46394.2</v>
      </c>
      <c r="G1652" s="7">
        <f t="shared" si="366"/>
        <v>0</v>
      </c>
      <c r="H1652" s="35">
        <f t="shared" si="363"/>
        <v>46394.2</v>
      </c>
      <c r="I1652" s="7">
        <f t="shared" si="366"/>
        <v>0</v>
      </c>
      <c r="J1652" s="35">
        <f t="shared" si="360"/>
        <v>46394.2</v>
      </c>
      <c r="K1652" s="7">
        <f t="shared" si="366"/>
        <v>0</v>
      </c>
      <c r="L1652" s="35">
        <f t="shared" si="354"/>
        <v>46394.2</v>
      </c>
      <c r="M1652" s="7">
        <f t="shared" si="366"/>
        <v>0</v>
      </c>
      <c r="N1652" s="35">
        <f t="shared" si="361"/>
        <v>46394.2</v>
      </c>
      <c r="O1652" s="7">
        <f t="shared" si="366"/>
        <v>0</v>
      </c>
      <c r="P1652" s="35">
        <f t="shared" si="359"/>
        <v>46394.2</v>
      </c>
      <c r="Q1652" s="7">
        <f t="shared" si="366"/>
        <v>0</v>
      </c>
      <c r="R1652" s="35">
        <f t="shared" si="358"/>
        <v>46394.2</v>
      </c>
      <c r="S1652" s="7">
        <f t="shared" si="366"/>
        <v>0</v>
      </c>
      <c r="T1652" s="35">
        <f t="shared" si="356"/>
        <v>46394.2</v>
      </c>
    </row>
    <row r="1653" spans="1:20" ht="33">
      <c r="A1653" s="12" t="s">
        <v>258</v>
      </c>
      <c r="B1653" s="43" t="s">
        <v>311</v>
      </c>
      <c r="C1653" s="8" t="s">
        <v>188</v>
      </c>
      <c r="D1653" s="1" t="s">
        <v>211</v>
      </c>
      <c r="E1653" s="113"/>
      <c r="F1653" s="7">
        <f t="shared" si="366"/>
        <v>46394.2</v>
      </c>
      <c r="G1653" s="7">
        <f t="shared" si="366"/>
        <v>0</v>
      </c>
      <c r="H1653" s="35">
        <f t="shared" si="363"/>
        <v>46394.2</v>
      </c>
      <c r="I1653" s="7">
        <f t="shared" si="366"/>
        <v>0</v>
      </c>
      <c r="J1653" s="35">
        <f t="shared" si="360"/>
        <v>46394.2</v>
      </c>
      <c r="K1653" s="7">
        <f t="shared" si="366"/>
        <v>0</v>
      </c>
      <c r="L1653" s="35">
        <f t="shared" si="354"/>
        <v>46394.2</v>
      </c>
      <c r="M1653" s="7">
        <f t="shared" si="366"/>
        <v>0</v>
      </c>
      <c r="N1653" s="35">
        <f t="shared" si="361"/>
        <v>46394.2</v>
      </c>
      <c r="O1653" s="7">
        <f t="shared" si="366"/>
        <v>0</v>
      </c>
      <c r="P1653" s="35">
        <f t="shared" si="359"/>
        <v>46394.2</v>
      </c>
      <c r="Q1653" s="7">
        <f t="shared" si="366"/>
        <v>0</v>
      </c>
      <c r="R1653" s="35">
        <f t="shared" si="358"/>
        <v>46394.2</v>
      </c>
      <c r="S1653" s="7">
        <f t="shared" si="366"/>
        <v>0</v>
      </c>
      <c r="T1653" s="35">
        <f t="shared" ref="T1653:T1721" si="367">R1653+S1653</f>
        <v>46394.2</v>
      </c>
    </row>
    <row r="1654" spans="1:20">
      <c r="A1654" s="61" t="str">
        <f ca="1">IF(ISERROR(MATCH(E1654,Код_КВР,0)),"",INDIRECT(ADDRESS(MATCH(E1654,Код_КВР,0)+1,2,,,"КВР")))</f>
        <v>Обслуживание государственного (муниципального) долга</v>
      </c>
      <c r="B1654" s="43" t="s">
        <v>311</v>
      </c>
      <c r="C1654" s="8" t="s">
        <v>188</v>
      </c>
      <c r="D1654" s="1" t="s">
        <v>211</v>
      </c>
      <c r="E1654" s="113">
        <v>700</v>
      </c>
      <c r="F1654" s="7">
        <f t="shared" si="366"/>
        <v>46394.2</v>
      </c>
      <c r="G1654" s="7">
        <f t="shared" si="366"/>
        <v>0</v>
      </c>
      <c r="H1654" s="35">
        <f t="shared" si="363"/>
        <v>46394.2</v>
      </c>
      <c r="I1654" s="7">
        <f t="shared" si="366"/>
        <v>0</v>
      </c>
      <c r="J1654" s="35">
        <f t="shared" si="360"/>
        <v>46394.2</v>
      </c>
      <c r="K1654" s="7">
        <f t="shared" si="366"/>
        <v>0</v>
      </c>
      <c r="L1654" s="35">
        <f t="shared" si="354"/>
        <v>46394.2</v>
      </c>
      <c r="M1654" s="7">
        <f t="shared" si="366"/>
        <v>0</v>
      </c>
      <c r="N1654" s="35">
        <f t="shared" si="361"/>
        <v>46394.2</v>
      </c>
      <c r="O1654" s="7">
        <f t="shared" si="366"/>
        <v>0</v>
      </c>
      <c r="P1654" s="35">
        <f t="shared" si="359"/>
        <v>46394.2</v>
      </c>
      <c r="Q1654" s="7">
        <f t="shared" si="366"/>
        <v>0</v>
      </c>
      <c r="R1654" s="35">
        <f t="shared" si="358"/>
        <v>46394.2</v>
      </c>
      <c r="S1654" s="7">
        <f t="shared" si="366"/>
        <v>0</v>
      </c>
      <c r="T1654" s="35">
        <f t="shared" si="367"/>
        <v>46394.2</v>
      </c>
    </row>
    <row r="1655" spans="1:20">
      <c r="A1655" s="61" t="str">
        <f ca="1">IF(ISERROR(MATCH(E1655,Код_КВР,0)),"",INDIRECT(ADDRESS(MATCH(E1655,Код_КВР,0)+1,2,,,"КВР")))</f>
        <v>Обслуживание муниципального долга</v>
      </c>
      <c r="B1655" s="43" t="s">
        <v>311</v>
      </c>
      <c r="C1655" s="8" t="s">
        <v>188</v>
      </c>
      <c r="D1655" s="1" t="s">
        <v>211</v>
      </c>
      <c r="E1655" s="113">
        <v>730</v>
      </c>
      <c r="F1655" s="7">
        <f>прил.6!G913</f>
        <v>46394.2</v>
      </c>
      <c r="G1655" s="7">
        <f>прил.6!H913</f>
        <v>0</v>
      </c>
      <c r="H1655" s="35">
        <f t="shared" si="363"/>
        <v>46394.2</v>
      </c>
      <c r="I1655" s="7">
        <f>прил.6!J913</f>
        <v>0</v>
      </c>
      <c r="J1655" s="35">
        <f t="shared" si="360"/>
        <v>46394.2</v>
      </c>
      <c r="K1655" s="7">
        <f>прил.6!L913</f>
        <v>0</v>
      </c>
      <c r="L1655" s="35">
        <f t="shared" si="354"/>
        <v>46394.2</v>
      </c>
      <c r="M1655" s="7">
        <f>прил.6!N913</f>
        <v>0</v>
      </c>
      <c r="N1655" s="35">
        <f t="shared" si="361"/>
        <v>46394.2</v>
      </c>
      <c r="O1655" s="7">
        <f>прил.6!P913</f>
        <v>0</v>
      </c>
      <c r="P1655" s="35">
        <f t="shared" si="359"/>
        <v>46394.2</v>
      </c>
      <c r="Q1655" s="7">
        <f>прил.6!R913</f>
        <v>0</v>
      </c>
      <c r="R1655" s="35">
        <f t="shared" si="358"/>
        <v>46394.2</v>
      </c>
      <c r="S1655" s="7">
        <f>прил.6!T913</f>
        <v>0</v>
      </c>
      <c r="T1655" s="35">
        <f t="shared" si="367"/>
        <v>46394.2</v>
      </c>
    </row>
    <row r="1656" spans="1:20" ht="54" customHeight="1">
      <c r="A1656" s="61" t="str">
        <f ca="1">IF(ISERROR(MATCH(B1656,Код_КЦСР,0)),"",INDIRECT(ADDRESS(MATCH(B1656,Код_КЦСР,0)+1,2,,,"КЦСР")))</f>
        <v>Реализация дополнительных мероприятий в сфере занятости населения за счет иных межбюджетных трансфертов из федерального бюджета</v>
      </c>
      <c r="B1656" s="113" t="s">
        <v>622</v>
      </c>
      <c r="C1656" s="8"/>
      <c r="D1656" s="1"/>
      <c r="E1656" s="113"/>
      <c r="F1656" s="7"/>
      <c r="G1656" s="7"/>
      <c r="H1656" s="35"/>
      <c r="I1656" s="7"/>
      <c r="J1656" s="35"/>
      <c r="K1656" s="7"/>
      <c r="L1656" s="35"/>
      <c r="M1656" s="7">
        <f>M1657</f>
        <v>65.5</v>
      </c>
      <c r="N1656" s="35">
        <f t="shared" si="361"/>
        <v>65.5</v>
      </c>
      <c r="O1656" s="7">
        <f>O1657</f>
        <v>0</v>
      </c>
      <c r="P1656" s="35">
        <f t="shared" si="359"/>
        <v>65.5</v>
      </c>
      <c r="Q1656" s="7">
        <f>Q1657</f>
        <v>0</v>
      </c>
      <c r="R1656" s="35">
        <f t="shared" si="358"/>
        <v>65.5</v>
      </c>
      <c r="S1656" s="7">
        <f>S1657</f>
        <v>0</v>
      </c>
      <c r="T1656" s="35">
        <f t="shared" si="367"/>
        <v>65.5</v>
      </c>
    </row>
    <row r="1657" spans="1:20">
      <c r="A1657" s="61" t="str">
        <f ca="1">IF(ISERROR(MATCH(C1657,Код_Раздел,0)),"",INDIRECT(ADDRESS(MATCH(C1657,Код_Раздел,0)+1,2,,,"Раздел")))</f>
        <v>Национальная экономика</v>
      </c>
      <c r="B1657" s="113" t="s">
        <v>622</v>
      </c>
      <c r="C1657" s="8" t="s">
        <v>214</v>
      </c>
      <c r="D1657" s="1"/>
      <c r="E1657" s="113"/>
      <c r="F1657" s="7"/>
      <c r="G1657" s="7"/>
      <c r="H1657" s="35"/>
      <c r="I1657" s="7"/>
      <c r="J1657" s="35"/>
      <c r="K1657" s="7"/>
      <c r="L1657" s="35"/>
      <c r="M1657" s="7">
        <f>M1658</f>
        <v>65.5</v>
      </c>
      <c r="N1657" s="35">
        <f t="shared" si="361"/>
        <v>65.5</v>
      </c>
      <c r="O1657" s="7">
        <f>O1658</f>
        <v>0</v>
      </c>
      <c r="P1657" s="35">
        <f t="shared" si="359"/>
        <v>65.5</v>
      </c>
      <c r="Q1657" s="7">
        <f>Q1658</f>
        <v>0</v>
      </c>
      <c r="R1657" s="35">
        <f t="shared" si="358"/>
        <v>65.5</v>
      </c>
      <c r="S1657" s="7">
        <f>S1658</f>
        <v>0</v>
      </c>
      <c r="T1657" s="35">
        <f t="shared" si="367"/>
        <v>65.5</v>
      </c>
    </row>
    <row r="1658" spans="1:20">
      <c r="A1658" s="75" t="s">
        <v>201</v>
      </c>
      <c r="B1658" s="113" t="s">
        <v>622</v>
      </c>
      <c r="C1658" s="8" t="s">
        <v>214</v>
      </c>
      <c r="D1658" s="1" t="s">
        <v>211</v>
      </c>
      <c r="E1658" s="113"/>
      <c r="F1658" s="7"/>
      <c r="G1658" s="7"/>
      <c r="H1658" s="35"/>
      <c r="I1658" s="7"/>
      <c r="J1658" s="35"/>
      <c r="K1658" s="7"/>
      <c r="L1658" s="35"/>
      <c r="M1658" s="7">
        <f>M1659</f>
        <v>65.5</v>
      </c>
      <c r="N1658" s="35">
        <f t="shared" si="361"/>
        <v>65.5</v>
      </c>
      <c r="O1658" s="7">
        <f>O1659</f>
        <v>0</v>
      </c>
      <c r="P1658" s="35">
        <f t="shared" si="359"/>
        <v>65.5</v>
      </c>
      <c r="Q1658" s="7">
        <f>Q1659</f>
        <v>0</v>
      </c>
      <c r="R1658" s="35">
        <f t="shared" si="358"/>
        <v>65.5</v>
      </c>
      <c r="S1658" s="7">
        <f>S1659</f>
        <v>0</v>
      </c>
      <c r="T1658" s="35">
        <f t="shared" si="367"/>
        <v>65.5</v>
      </c>
    </row>
    <row r="1659" spans="1:20" ht="33">
      <c r="A1659" s="61" t="str">
        <f ca="1">IF(ISERROR(MATCH(E1659,Код_КВР,0)),"",INDIRECT(ADDRESS(MATCH(E1659,Код_КВР,0)+1,2,,,"КВР")))</f>
        <v>Предоставление субсидий бюджетным, автономным учреждениям и иным некоммерческим организациям</v>
      </c>
      <c r="B1659" s="113" t="s">
        <v>622</v>
      </c>
      <c r="C1659" s="8" t="s">
        <v>214</v>
      </c>
      <c r="D1659" s="1" t="s">
        <v>211</v>
      </c>
      <c r="E1659" s="113">
        <v>600</v>
      </c>
      <c r="F1659" s="7"/>
      <c r="G1659" s="7"/>
      <c r="H1659" s="35"/>
      <c r="I1659" s="7"/>
      <c r="J1659" s="35"/>
      <c r="K1659" s="7"/>
      <c r="L1659" s="35"/>
      <c r="M1659" s="7">
        <f>M1660</f>
        <v>65.5</v>
      </c>
      <c r="N1659" s="35">
        <f t="shared" si="361"/>
        <v>65.5</v>
      </c>
      <c r="O1659" s="7">
        <f>O1660</f>
        <v>0</v>
      </c>
      <c r="P1659" s="35">
        <f t="shared" si="359"/>
        <v>65.5</v>
      </c>
      <c r="Q1659" s="7">
        <f>Q1660</f>
        <v>0</v>
      </c>
      <c r="R1659" s="35">
        <f t="shared" si="358"/>
        <v>65.5</v>
      </c>
      <c r="S1659" s="7">
        <f>S1660</f>
        <v>0</v>
      </c>
      <c r="T1659" s="35">
        <f t="shared" si="367"/>
        <v>65.5</v>
      </c>
    </row>
    <row r="1660" spans="1:20">
      <c r="A1660" s="61" t="str">
        <f ca="1">IF(ISERROR(MATCH(E1660,Код_КВР,0)),"",INDIRECT(ADDRESS(MATCH(E1660,Код_КВР,0)+1,2,,,"КВР")))</f>
        <v>Субсидии бюджетным учреждениям</v>
      </c>
      <c r="B1660" s="113" t="s">
        <v>622</v>
      </c>
      <c r="C1660" s="8" t="s">
        <v>214</v>
      </c>
      <c r="D1660" s="1" t="s">
        <v>211</v>
      </c>
      <c r="E1660" s="113">
        <v>610</v>
      </c>
      <c r="F1660" s="7"/>
      <c r="G1660" s="7"/>
      <c r="H1660" s="35"/>
      <c r="I1660" s="7"/>
      <c r="J1660" s="35"/>
      <c r="K1660" s="7"/>
      <c r="L1660" s="35"/>
      <c r="M1660" s="7">
        <f>M1661</f>
        <v>65.5</v>
      </c>
      <c r="N1660" s="35">
        <f t="shared" si="361"/>
        <v>65.5</v>
      </c>
      <c r="O1660" s="7">
        <f>O1661</f>
        <v>0</v>
      </c>
      <c r="P1660" s="35">
        <f t="shared" si="359"/>
        <v>65.5</v>
      </c>
      <c r="Q1660" s="7">
        <f>Q1661</f>
        <v>0</v>
      </c>
      <c r="R1660" s="35">
        <f t="shared" si="358"/>
        <v>65.5</v>
      </c>
      <c r="S1660" s="7">
        <f>S1661</f>
        <v>0</v>
      </c>
      <c r="T1660" s="35">
        <f t="shared" si="367"/>
        <v>65.5</v>
      </c>
    </row>
    <row r="1661" spans="1:20">
      <c r="A1661" s="61" t="str">
        <f ca="1">IF(ISERROR(MATCH(E1661,Код_КВР,0)),"",INDIRECT(ADDRESS(MATCH(E1661,Код_КВР,0)+1,2,,,"КВР")))</f>
        <v>Субсидии бюджетным учреждениям на иные цели</v>
      </c>
      <c r="B1661" s="113" t="s">
        <v>622</v>
      </c>
      <c r="C1661" s="8" t="s">
        <v>214</v>
      </c>
      <c r="D1661" s="1" t="s">
        <v>211</v>
      </c>
      <c r="E1661" s="113">
        <v>612</v>
      </c>
      <c r="F1661" s="7"/>
      <c r="G1661" s="7"/>
      <c r="H1661" s="35"/>
      <c r="I1661" s="7"/>
      <c r="J1661" s="35"/>
      <c r="K1661" s="7"/>
      <c r="L1661" s="35"/>
      <c r="M1661" s="7">
        <f>прил.6!N586</f>
        <v>65.5</v>
      </c>
      <c r="N1661" s="35">
        <f t="shared" si="361"/>
        <v>65.5</v>
      </c>
      <c r="O1661" s="7">
        <f>прил.6!P586</f>
        <v>0</v>
      </c>
      <c r="P1661" s="35">
        <f t="shared" si="359"/>
        <v>65.5</v>
      </c>
      <c r="Q1661" s="7">
        <f>прил.6!R586</f>
        <v>0</v>
      </c>
      <c r="R1661" s="35">
        <f t="shared" si="358"/>
        <v>65.5</v>
      </c>
      <c r="S1661" s="7">
        <f>прил.6!T586</f>
        <v>0</v>
      </c>
      <c r="T1661" s="35">
        <f t="shared" si="367"/>
        <v>65.5</v>
      </c>
    </row>
    <row r="1662" spans="1:20" ht="66">
      <c r="A1662" s="61" t="str">
        <f ca="1">IF(ISERROR(MATCH(B1662,Код_КЦСР,0)),"",INDIRECT(ADDRESS(MATCH(B1662,Код_КЦСР,0)+1,2,,,"КЦСР")))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662" s="113" t="s">
        <v>379</v>
      </c>
      <c r="C1662" s="8"/>
      <c r="D1662" s="1"/>
      <c r="E1662" s="113"/>
      <c r="F1662" s="7">
        <f t="shared" ref="F1662:S1666" si="368">F1663</f>
        <v>0</v>
      </c>
      <c r="G1662" s="7">
        <f t="shared" si="368"/>
        <v>0</v>
      </c>
      <c r="H1662" s="35">
        <f t="shared" ref="H1662:H1667" si="369">F1662+G1662</f>
        <v>0</v>
      </c>
      <c r="I1662" s="7">
        <f t="shared" si="368"/>
        <v>0</v>
      </c>
      <c r="J1662" s="35">
        <f t="shared" ref="J1662:J1667" si="370">H1662+I1662</f>
        <v>0</v>
      </c>
      <c r="K1662" s="7">
        <f t="shared" si="368"/>
        <v>0</v>
      </c>
      <c r="L1662" s="35">
        <f t="shared" ref="L1662:L1667" si="371">J1662+K1662</f>
        <v>0</v>
      </c>
      <c r="M1662" s="7">
        <f t="shared" si="368"/>
        <v>21.9</v>
      </c>
      <c r="N1662" s="35">
        <f t="shared" si="361"/>
        <v>21.9</v>
      </c>
      <c r="O1662" s="7">
        <f t="shared" si="368"/>
        <v>0</v>
      </c>
      <c r="P1662" s="35">
        <f t="shared" si="359"/>
        <v>21.9</v>
      </c>
      <c r="Q1662" s="7">
        <f t="shared" si="368"/>
        <v>0</v>
      </c>
      <c r="R1662" s="35">
        <f t="shared" si="358"/>
        <v>21.9</v>
      </c>
      <c r="S1662" s="7">
        <f t="shared" si="368"/>
        <v>0</v>
      </c>
      <c r="T1662" s="35">
        <f t="shared" si="367"/>
        <v>21.9</v>
      </c>
    </row>
    <row r="1663" spans="1:20">
      <c r="A1663" s="61" t="str">
        <f ca="1">IF(ISERROR(MATCH(C1663,Код_Раздел,0)),"",INDIRECT(ADDRESS(MATCH(C1663,Код_Раздел,0)+1,2,,,"Раздел")))</f>
        <v>Общегосударственные  вопросы</v>
      </c>
      <c r="B1663" s="113" t="s">
        <v>379</v>
      </c>
      <c r="C1663" s="8" t="s">
        <v>211</v>
      </c>
      <c r="D1663" s="1"/>
      <c r="E1663" s="113"/>
      <c r="F1663" s="7">
        <f t="shared" si="368"/>
        <v>0</v>
      </c>
      <c r="G1663" s="7">
        <f t="shared" si="368"/>
        <v>0</v>
      </c>
      <c r="H1663" s="35">
        <f t="shared" si="369"/>
        <v>0</v>
      </c>
      <c r="I1663" s="7">
        <f t="shared" si="368"/>
        <v>0</v>
      </c>
      <c r="J1663" s="35">
        <f t="shared" si="370"/>
        <v>0</v>
      </c>
      <c r="K1663" s="7">
        <f t="shared" si="368"/>
        <v>0</v>
      </c>
      <c r="L1663" s="35">
        <f t="shared" si="371"/>
        <v>0</v>
      </c>
      <c r="M1663" s="7">
        <f t="shared" si="368"/>
        <v>21.9</v>
      </c>
      <c r="N1663" s="35">
        <f>L1663+M1663</f>
        <v>21.9</v>
      </c>
      <c r="O1663" s="7">
        <f t="shared" si="368"/>
        <v>0</v>
      </c>
      <c r="P1663" s="35">
        <f t="shared" si="359"/>
        <v>21.9</v>
      </c>
      <c r="Q1663" s="7">
        <f t="shared" si="368"/>
        <v>0</v>
      </c>
      <c r="R1663" s="35">
        <f t="shared" si="358"/>
        <v>21.9</v>
      </c>
      <c r="S1663" s="7">
        <f t="shared" si="368"/>
        <v>0</v>
      </c>
      <c r="T1663" s="35">
        <f t="shared" si="367"/>
        <v>21.9</v>
      </c>
    </row>
    <row r="1664" spans="1:20">
      <c r="A1664" s="75" t="s">
        <v>371</v>
      </c>
      <c r="B1664" s="113" t="s">
        <v>379</v>
      </c>
      <c r="C1664" s="8" t="s">
        <v>211</v>
      </c>
      <c r="D1664" s="1" t="s">
        <v>219</v>
      </c>
      <c r="E1664" s="113"/>
      <c r="F1664" s="7">
        <f t="shared" si="368"/>
        <v>0</v>
      </c>
      <c r="G1664" s="7">
        <f t="shared" si="368"/>
        <v>0</v>
      </c>
      <c r="H1664" s="35">
        <f t="shared" si="369"/>
        <v>0</v>
      </c>
      <c r="I1664" s="7">
        <f t="shared" si="368"/>
        <v>0</v>
      </c>
      <c r="J1664" s="35">
        <f t="shared" si="370"/>
        <v>0</v>
      </c>
      <c r="K1664" s="7">
        <f t="shared" si="368"/>
        <v>0</v>
      </c>
      <c r="L1664" s="35">
        <f t="shared" si="371"/>
        <v>0</v>
      </c>
      <c r="M1664" s="7">
        <f t="shared" si="368"/>
        <v>21.9</v>
      </c>
      <c r="N1664" s="35">
        <f>L1664+M1664</f>
        <v>21.9</v>
      </c>
      <c r="O1664" s="7">
        <f t="shared" si="368"/>
        <v>0</v>
      </c>
      <c r="P1664" s="35">
        <f t="shared" si="359"/>
        <v>21.9</v>
      </c>
      <c r="Q1664" s="7">
        <f t="shared" si="368"/>
        <v>0</v>
      </c>
      <c r="R1664" s="35">
        <f t="shared" si="358"/>
        <v>21.9</v>
      </c>
      <c r="S1664" s="7">
        <f t="shared" si="368"/>
        <v>0</v>
      </c>
      <c r="T1664" s="35">
        <f t="shared" si="367"/>
        <v>21.9</v>
      </c>
    </row>
    <row r="1665" spans="1:20">
      <c r="A1665" s="61" t="str">
        <f ca="1">IF(ISERROR(MATCH(E1665,Код_КВР,0)),"",INDIRECT(ADDRESS(MATCH(E1665,Код_КВР,0)+1,2,,,"КВР")))</f>
        <v>Закупка товаров, работ и услуг для муниципальных нужд</v>
      </c>
      <c r="B1665" s="113" t="s">
        <v>379</v>
      </c>
      <c r="C1665" s="8" t="s">
        <v>211</v>
      </c>
      <c r="D1665" s="1" t="s">
        <v>219</v>
      </c>
      <c r="E1665" s="113">
        <v>200</v>
      </c>
      <c r="F1665" s="7">
        <f t="shared" si="368"/>
        <v>0</v>
      </c>
      <c r="G1665" s="7">
        <f t="shared" si="368"/>
        <v>0</v>
      </c>
      <c r="H1665" s="35">
        <f t="shared" si="369"/>
        <v>0</v>
      </c>
      <c r="I1665" s="7">
        <f t="shared" si="368"/>
        <v>0</v>
      </c>
      <c r="J1665" s="35">
        <f t="shared" si="370"/>
        <v>0</v>
      </c>
      <c r="K1665" s="7">
        <f t="shared" si="368"/>
        <v>0</v>
      </c>
      <c r="L1665" s="35">
        <f t="shared" si="371"/>
        <v>0</v>
      </c>
      <c r="M1665" s="7">
        <f t="shared" si="368"/>
        <v>21.9</v>
      </c>
      <c r="N1665" s="35">
        <f>L1665+M1665</f>
        <v>21.9</v>
      </c>
      <c r="O1665" s="7">
        <f t="shared" si="368"/>
        <v>0</v>
      </c>
      <c r="P1665" s="35">
        <f t="shared" si="359"/>
        <v>21.9</v>
      </c>
      <c r="Q1665" s="7">
        <f t="shared" si="368"/>
        <v>0</v>
      </c>
      <c r="R1665" s="35">
        <f t="shared" si="358"/>
        <v>21.9</v>
      </c>
      <c r="S1665" s="7">
        <f t="shared" si="368"/>
        <v>0</v>
      </c>
      <c r="T1665" s="35">
        <f t="shared" si="367"/>
        <v>21.9</v>
      </c>
    </row>
    <row r="1666" spans="1:20" ht="33">
      <c r="A1666" s="61" t="str">
        <f ca="1">IF(ISERROR(MATCH(E1666,Код_КВР,0)),"",INDIRECT(ADDRESS(MATCH(E1666,Код_КВР,0)+1,2,,,"КВР")))</f>
        <v>Иные закупки товаров, работ и услуг для обеспечения муниципальных нужд</v>
      </c>
      <c r="B1666" s="113" t="s">
        <v>379</v>
      </c>
      <c r="C1666" s="8" t="s">
        <v>211</v>
      </c>
      <c r="D1666" s="1" t="s">
        <v>219</v>
      </c>
      <c r="E1666" s="113">
        <v>240</v>
      </c>
      <c r="F1666" s="7">
        <f t="shared" si="368"/>
        <v>0</v>
      </c>
      <c r="G1666" s="7">
        <f t="shared" si="368"/>
        <v>0</v>
      </c>
      <c r="H1666" s="35">
        <f t="shared" si="369"/>
        <v>0</v>
      </c>
      <c r="I1666" s="7">
        <f t="shared" si="368"/>
        <v>0</v>
      </c>
      <c r="J1666" s="35">
        <f t="shared" si="370"/>
        <v>0</v>
      </c>
      <c r="K1666" s="7">
        <f t="shared" si="368"/>
        <v>0</v>
      </c>
      <c r="L1666" s="35">
        <f t="shared" si="371"/>
        <v>0</v>
      </c>
      <c r="M1666" s="7">
        <f t="shared" si="368"/>
        <v>21.9</v>
      </c>
      <c r="N1666" s="35">
        <f>L1666+M1666</f>
        <v>21.9</v>
      </c>
      <c r="O1666" s="7">
        <f t="shared" si="368"/>
        <v>0</v>
      </c>
      <c r="P1666" s="35">
        <f t="shared" si="359"/>
        <v>21.9</v>
      </c>
      <c r="Q1666" s="7">
        <f t="shared" si="368"/>
        <v>0</v>
      </c>
      <c r="R1666" s="35">
        <f t="shared" si="358"/>
        <v>21.9</v>
      </c>
      <c r="S1666" s="7">
        <f t="shared" si="368"/>
        <v>0</v>
      </c>
      <c r="T1666" s="35">
        <f t="shared" si="367"/>
        <v>21.9</v>
      </c>
    </row>
    <row r="1667" spans="1:20" ht="33">
      <c r="A1667" s="61" t="str">
        <f ca="1">IF(ISERROR(MATCH(E1667,Код_КВР,0)),"",INDIRECT(ADDRESS(MATCH(E1667,Код_КВР,0)+1,2,,,"КВР")))</f>
        <v xml:space="preserve">Прочая закупка товаров, работ и услуг для обеспечения муниципальных нужд         </v>
      </c>
      <c r="B1667" s="113" t="s">
        <v>379</v>
      </c>
      <c r="C1667" s="8" t="s">
        <v>211</v>
      </c>
      <c r="D1667" s="1" t="s">
        <v>219</v>
      </c>
      <c r="E1667" s="113">
        <v>244</v>
      </c>
      <c r="F1667" s="7">
        <f>прил.6!G71</f>
        <v>0</v>
      </c>
      <c r="G1667" s="7">
        <f>прил.6!H71</f>
        <v>0</v>
      </c>
      <c r="H1667" s="35">
        <f t="shared" si="369"/>
        <v>0</v>
      </c>
      <c r="I1667" s="7">
        <f>прил.6!J71</f>
        <v>0</v>
      </c>
      <c r="J1667" s="35">
        <f t="shared" si="370"/>
        <v>0</v>
      </c>
      <c r="K1667" s="7">
        <f>прил.6!L71</f>
        <v>0</v>
      </c>
      <c r="L1667" s="35">
        <f t="shared" si="371"/>
        <v>0</v>
      </c>
      <c r="M1667" s="7">
        <f>прил.6!N71</f>
        <v>21.9</v>
      </c>
      <c r="N1667" s="35">
        <f>L1667+M1667</f>
        <v>21.9</v>
      </c>
      <c r="O1667" s="7">
        <f>прил.6!P71</f>
        <v>0</v>
      </c>
      <c r="P1667" s="35">
        <f t="shared" si="359"/>
        <v>21.9</v>
      </c>
      <c r="Q1667" s="7">
        <f>прил.6!R71</f>
        <v>0</v>
      </c>
      <c r="R1667" s="35">
        <f t="shared" si="358"/>
        <v>21.9</v>
      </c>
      <c r="S1667" s="7">
        <f>прил.6!T71</f>
        <v>0</v>
      </c>
      <c r="T1667" s="35">
        <f t="shared" si="367"/>
        <v>21.9</v>
      </c>
    </row>
    <row r="1668" spans="1:20" ht="78" customHeight="1">
      <c r="A1668" s="61" t="str">
        <f ca="1">IF(ISERROR(MATCH(B1668,Код_КЦСР,0)),"",INDIRECT(ADDRESS(MATCH(B1668,Код_КЦСР,0)+1,2,,,"КЦСР")))</f>
        <v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за счет иных межбюджетных трансфертов из федерального бюджета</v>
      </c>
      <c r="B1668" s="113" t="s">
        <v>690</v>
      </c>
      <c r="C1668" s="8"/>
      <c r="D1668" s="1"/>
      <c r="E1668" s="113"/>
      <c r="F1668" s="7"/>
      <c r="G1668" s="7"/>
      <c r="H1668" s="35"/>
      <c r="I1668" s="7"/>
      <c r="J1668" s="35"/>
      <c r="K1668" s="7"/>
      <c r="L1668" s="35"/>
      <c r="M1668" s="7"/>
      <c r="N1668" s="35"/>
      <c r="O1668" s="7"/>
      <c r="P1668" s="35"/>
      <c r="Q1668" s="7"/>
      <c r="R1668" s="35"/>
      <c r="S1668" s="7">
        <f>S1669</f>
        <v>126.4</v>
      </c>
      <c r="T1668" s="35">
        <f t="shared" si="367"/>
        <v>126.4</v>
      </c>
    </row>
    <row r="1669" spans="1:20">
      <c r="A1669" s="61" t="str">
        <f ca="1">IF(ISERROR(MATCH(C1669,Код_Раздел,0)),"",INDIRECT(ADDRESS(MATCH(C1669,Код_Раздел,0)+1,2,,,"Раздел")))</f>
        <v>Общегосударственные  вопросы</v>
      </c>
      <c r="B1669" s="113" t="s">
        <v>690</v>
      </c>
      <c r="C1669" s="8" t="s">
        <v>211</v>
      </c>
      <c r="D1669" s="1"/>
      <c r="E1669" s="113"/>
      <c r="F1669" s="7"/>
      <c r="G1669" s="7"/>
      <c r="H1669" s="35"/>
      <c r="I1669" s="7"/>
      <c r="J1669" s="35"/>
      <c r="K1669" s="7"/>
      <c r="L1669" s="35"/>
      <c r="M1669" s="7"/>
      <c r="N1669" s="35"/>
      <c r="O1669" s="7"/>
      <c r="P1669" s="35"/>
      <c r="Q1669" s="7"/>
      <c r="R1669" s="35"/>
      <c r="S1669" s="7">
        <f t="shared" ref="S1669" si="372">S1670</f>
        <v>126.4</v>
      </c>
      <c r="T1669" s="35">
        <f t="shared" si="367"/>
        <v>126.4</v>
      </c>
    </row>
    <row r="1670" spans="1:20">
      <c r="A1670" s="61" t="s">
        <v>235</v>
      </c>
      <c r="B1670" s="113" t="s">
        <v>690</v>
      </c>
      <c r="C1670" s="8" t="s">
        <v>211</v>
      </c>
      <c r="D1670" s="1" t="s">
        <v>188</v>
      </c>
      <c r="E1670" s="113"/>
      <c r="F1670" s="7"/>
      <c r="G1670" s="7"/>
      <c r="H1670" s="35"/>
      <c r="I1670" s="7"/>
      <c r="J1670" s="35"/>
      <c r="K1670" s="7"/>
      <c r="L1670" s="35"/>
      <c r="M1670" s="7"/>
      <c r="N1670" s="35"/>
      <c r="O1670" s="7"/>
      <c r="P1670" s="35"/>
      <c r="Q1670" s="7"/>
      <c r="R1670" s="35"/>
      <c r="S1670" s="7">
        <f>S1671+S1673</f>
        <v>126.4</v>
      </c>
      <c r="T1670" s="35">
        <f t="shared" si="367"/>
        <v>126.4</v>
      </c>
    </row>
    <row r="1671" spans="1:20">
      <c r="A1671" s="61" t="str">
        <f ca="1">IF(ISERROR(MATCH(E1671,Код_КВР,0)),"",INDIRECT(ADDRESS(MATCH(E1671,Код_КВР,0)+1,2,,,"КВР")))</f>
        <v>Иные бюджетные ассигнования</v>
      </c>
      <c r="B1671" s="113" t="s">
        <v>690</v>
      </c>
      <c r="C1671" s="8" t="s">
        <v>211</v>
      </c>
      <c r="D1671" s="1" t="s">
        <v>188</v>
      </c>
      <c r="E1671" s="113">
        <v>800</v>
      </c>
      <c r="F1671" s="7"/>
      <c r="G1671" s="7"/>
      <c r="H1671" s="35"/>
      <c r="I1671" s="7"/>
      <c r="J1671" s="35"/>
      <c r="K1671" s="7"/>
      <c r="L1671" s="35"/>
      <c r="M1671" s="7"/>
      <c r="N1671" s="35"/>
      <c r="O1671" s="7"/>
      <c r="P1671" s="35"/>
      <c r="Q1671" s="7"/>
      <c r="R1671" s="35"/>
      <c r="S1671" s="7">
        <f>S1672</f>
        <v>126.4</v>
      </c>
      <c r="T1671" s="35">
        <f t="shared" si="367"/>
        <v>126.4</v>
      </c>
    </row>
    <row r="1672" spans="1:20" ht="51.75" customHeight="1">
      <c r="A1672" s="61" t="str">
        <f ca="1">IF(ISERROR(MATCH(E1672,Код_КВР,0)),"",INDIRECT(ADDRESS(MATCH(E1672,Код_КВР,0)+1,2,,,"КВР")))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672" s="113" t="s">
        <v>690</v>
      </c>
      <c r="C1672" s="8" t="s">
        <v>211</v>
      </c>
      <c r="D1672" s="1" t="s">
        <v>188</v>
      </c>
      <c r="E1672" s="113">
        <v>810</v>
      </c>
      <c r="F1672" s="7"/>
      <c r="G1672" s="7"/>
      <c r="H1672" s="35"/>
      <c r="I1672" s="7"/>
      <c r="J1672" s="35"/>
      <c r="K1672" s="7"/>
      <c r="L1672" s="35"/>
      <c r="M1672" s="7"/>
      <c r="N1672" s="35"/>
      <c r="O1672" s="7"/>
      <c r="P1672" s="35"/>
      <c r="Q1672" s="7"/>
      <c r="R1672" s="35"/>
      <c r="S1672" s="7">
        <f>прил.6!T1303</f>
        <v>126.4</v>
      </c>
      <c r="T1672" s="35">
        <f t="shared" si="367"/>
        <v>126.4</v>
      </c>
    </row>
    <row r="1673" spans="1:20" ht="33">
      <c r="A1673" s="61" t="str">
        <f ca="1">IF(ISERROR(MATCH(B1673,Код_КЦСР,0)),"",INDIRECT(ADDRESS(MATCH(B1673,Код_КЦСР,0)+1,2,,,"КЦСР")))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673" s="112" t="s">
        <v>397</v>
      </c>
      <c r="C1673" s="8"/>
      <c r="D1673" s="1"/>
      <c r="E1673" s="113"/>
      <c r="F1673" s="7">
        <f t="shared" ref="F1673:S1676" si="373">F1674</f>
        <v>1390</v>
      </c>
      <c r="G1673" s="7">
        <f t="shared" si="373"/>
        <v>0</v>
      </c>
      <c r="H1673" s="35">
        <f t="shared" si="363"/>
        <v>1390</v>
      </c>
      <c r="I1673" s="7">
        <f>I1674</f>
        <v>0</v>
      </c>
      <c r="J1673" s="35">
        <f t="shared" si="360"/>
        <v>1390</v>
      </c>
      <c r="K1673" s="7">
        <f>K1674</f>
        <v>0</v>
      </c>
      <c r="L1673" s="35">
        <f t="shared" si="354"/>
        <v>1390</v>
      </c>
      <c r="M1673" s="7">
        <f>M1674</f>
        <v>0</v>
      </c>
      <c r="N1673" s="35">
        <f t="shared" si="361"/>
        <v>1390</v>
      </c>
      <c r="O1673" s="7">
        <f>O1674</f>
        <v>0</v>
      </c>
      <c r="P1673" s="35">
        <f t="shared" si="359"/>
        <v>1390</v>
      </c>
      <c r="Q1673" s="7">
        <f>Q1674</f>
        <v>0</v>
      </c>
      <c r="R1673" s="35">
        <f t="shared" si="358"/>
        <v>1390</v>
      </c>
      <c r="S1673" s="7">
        <f>S1674</f>
        <v>0</v>
      </c>
      <c r="T1673" s="35">
        <f t="shared" si="367"/>
        <v>1390</v>
      </c>
    </row>
    <row r="1674" spans="1:20">
      <c r="A1674" s="61" t="str">
        <f ca="1">IF(ISERROR(MATCH(C1674,Код_Раздел,0)),"",INDIRECT(ADDRESS(MATCH(C1674,Код_Раздел,0)+1,2,,,"Раздел")))</f>
        <v>Социальная политика</v>
      </c>
      <c r="B1674" s="112" t="s">
        <v>397</v>
      </c>
      <c r="C1674" s="8" t="s">
        <v>186</v>
      </c>
      <c r="D1674" s="1"/>
      <c r="E1674" s="113"/>
      <c r="F1674" s="7">
        <f t="shared" si="373"/>
        <v>1390</v>
      </c>
      <c r="G1674" s="7">
        <f t="shared" si="373"/>
        <v>0</v>
      </c>
      <c r="H1674" s="35">
        <f t="shared" si="363"/>
        <v>1390</v>
      </c>
      <c r="I1674" s="7">
        <f t="shared" si="373"/>
        <v>0</v>
      </c>
      <c r="J1674" s="35">
        <f t="shared" si="360"/>
        <v>1390</v>
      </c>
      <c r="K1674" s="7">
        <f t="shared" si="373"/>
        <v>0</v>
      </c>
      <c r="L1674" s="35">
        <f t="shared" ref="L1674:L1731" si="374">J1674+K1674</f>
        <v>1390</v>
      </c>
      <c r="M1674" s="7">
        <f t="shared" si="373"/>
        <v>0</v>
      </c>
      <c r="N1674" s="35">
        <f t="shared" si="361"/>
        <v>1390</v>
      </c>
      <c r="O1674" s="7">
        <f t="shared" si="373"/>
        <v>0</v>
      </c>
      <c r="P1674" s="35">
        <f t="shared" si="359"/>
        <v>1390</v>
      </c>
      <c r="Q1674" s="7">
        <f t="shared" si="373"/>
        <v>0</v>
      </c>
      <c r="R1674" s="35">
        <f t="shared" si="358"/>
        <v>1390</v>
      </c>
      <c r="S1674" s="7">
        <f t="shared" si="373"/>
        <v>0</v>
      </c>
      <c r="T1674" s="35">
        <f t="shared" si="367"/>
        <v>1390</v>
      </c>
    </row>
    <row r="1675" spans="1:20">
      <c r="A1675" s="12" t="s">
        <v>187</v>
      </c>
      <c r="B1675" s="112" t="s">
        <v>397</v>
      </c>
      <c r="C1675" s="8" t="s">
        <v>186</v>
      </c>
      <c r="D1675" s="1" t="s">
        <v>215</v>
      </c>
      <c r="E1675" s="113"/>
      <c r="F1675" s="7">
        <f t="shared" si="373"/>
        <v>1390</v>
      </c>
      <c r="G1675" s="7">
        <f t="shared" si="373"/>
        <v>0</v>
      </c>
      <c r="H1675" s="35">
        <f t="shared" si="363"/>
        <v>1390</v>
      </c>
      <c r="I1675" s="7">
        <f>I1676+I1678</f>
        <v>0</v>
      </c>
      <c r="J1675" s="35">
        <f t="shared" si="360"/>
        <v>1390</v>
      </c>
      <c r="K1675" s="7">
        <f>K1676+K1678</f>
        <v>0</v>
      </c>
      <c r="L1675" s="35">
        <f t="shared" si="374"/>
        <v>1390</v>
      </c>
      <c r="M1675" s="7">
        <f>M1676+M1678</f>
        <v>0</v>
      </c>
      <c r="N1675" s="35">
        <f t="shared" si="361"/>
        <v>1390</v>
      </c>
      <c r="O1675" s="7">
        <f>O1676+O1678</f>
        <v>0</v>
      </c>
      <c r="P1675" s="35">
        <f t="shared" si="359"/>
        <v>1390</v>
      </c>
      <c r="Q1675" s="7">
        <f>Q1676+Q1678</f>
        <v>0</v>
      </c>
      <c r="R1675" s="35">
        <f t="shared" si="358"/>
        <v>1390</v>
      </c>
      <c r="S1675" s="7">
        <f>S1676+S1678</f>
        <v>0</v>
      </c>
      <c r="T1675" s="35">
        <f t="shared" si="367"/>
        <v>1390</v>
      </c>
    </row>
    <row r="1676" spans="1:20" ht="33">
      <c r="A1676" s="61" t="str">
        <f ca="1">IF(ISERROR(MATCH(E1676,Код_КВР,0)),"",INDIRECT(ADDRESS(MATCH(E1676,Код_КВР,0)+1,2,,,"КВР")))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76" s="112" t="s">
        <v>397</v>
      </c>
      <c r="C1676" s="8" t="s">
        <v>186</v>
      </c>
      <c r="D1676" s="1" t="s">
        <v>215</v>
      </c>
      <c r="E1676" s="113">
        <v>100</v>
      </c>
      <c r="F1676" s="7">
        <f t="shared" si="373"/>
        <v>1390</v>
      </c>
      <c r="G1676" s="7">
        <f t="shared" si="373"/>
        <v>0</v>
      </c>
      <c r="H1676" s="35">
        <f t="shared" si="363"/>
        <v>1390</v>
      </c>
      <c r="I1676" s="7">
        <f t="shared" si="373"/>
        <v>-435</v>
      </c>
      <c r="J1676" s="35">
        <f t="shared" si="360"/>
        <v>955</v>
      </c>
      <c r="K1676" s="7">
        <f t="shared" si="373"/>
        <v>0</v>
      </c>
      <c r="L1676" s="35">
        <f t="shared" si="374"/>
        <v>955</v>
      </c>
      <c r="M1676" s="7">
        <f t="shared" si="373"/>
        <v>0</v>
      </c>
      <c r="N1676" s="35">
        <f t="shared" si="361"/>
        <v>955</v>
      </c>
      <c r="O1676" s="7">
        <f t="shared" si="373"/>
        <v>0</v>
      </c>
      <c r="P1676" s="35">
        <f t="shared" si="359"/>
        <v>955</v>
      </c>
      <c r="Q1676" s="7">
        <f t="shared" si="373"/>
        <v>0</v>
      </c>
      <c r="R1676" s="35">
        <f t="shared" ref="R1676:R1741" si="375">P1676+Q1676</f>
        <v>955</v>
      </c>
      <c r="S1676" s="7">
        <f t="shared" si="373"/>
        <v>0</v>
      </c>
      <c r="T1676" s="35">
        <f t="shared" si="367"/>
        <v>955</v>
      </c>
    </row>
    <row r="1677" spans="1:20">
      <c r="A1677" s="61" t="str">
        <f ca="1">IF(ISERROR(MATCH(E1677,Код_КВР,0)),"",INDIRECT(ADDRESS(MATCH(E1677,Код_КВР,0)+1,2,,,"КВР")))</f>
        <v>Расходы на выплаты персоналу муниципальных органов</v>
      </c>
      <c r="B1677" s="112" t="s">
        <v>397</v>
      </c>
      <c r="C1677" s="8" t="s">
        <v>186</v>
      </c>
      <c r="D1677" s="1" t="s">
        <v>215</v>
      </c>
      <c r="E1677" s="113">
        <v>120</v>
      </c>
      <c r="F1677" s="7">
        <f>прил.6!G1463</f>
        <v>1390</v>
      </c>
      <c r="G1677" s="7">
        <f>прил.6!H1463</f>
        <v>0</v>
      </c>
      <c r="H1677" s="35">
        <f t="shared" si="363"/>
        <v>1390</v>
      </c>
      <c r="I1677" s="7">
        <f>прил.6!J1463</f>
        <v>-435</v>
      </c>
      <c r="J1677" s="35">
        <f t="shared" si="360"/>
        <v>955</v>
      </c>
      <c r="K1677" s="7">
        <f>прил.6!L1463</f>
        <v>0</v>
      </c>
      <c r="L1677" s="35">
        <f t="shared" si="374"/>
        <v>955</v>
      </c>
      <c r="M1677" s="7">
        <f>прил.6!N1463</f>
        <v>0</v>
      </c>
      <c r="N1677" s="35">
        <f t="shared" si="361"/>
        <v>955</v>
      </c>
      <c r="O1677" s="7">
        <f>прил.6!P1463</f>
        <v>0</v>
      </c>
      <c r="P1677" s="35">
        <f t="shared" si="359"/>
        <v>955</v>
      </c>
      <c r="Q1677" s="7">
        <f>прил.6!R1463</f>
        <v>0</v>
      </c>
      <c r="R1677" s="35">
        <f t="shared" si="375"/>
        <v>955</v>
      </c>
      <c r="S1677" s="7">
        <f>прил.6!T1463</f>
        <v>0</v>
      </c>
      <c r="T1677" s="35">
        <f t="shared" si="367"/>
        <v>955</v>
      </c>
    </row>
    <row r="1678" spans="1:20">
      <c r="A1678" s="61" t="str">
        <f ca="1">IF(ISERROR(MATCH(E1678,Код_КВР,0)),"",INDIRECT(ADDRESS(MATCH(E1678,Код_КВР,0)+1,2,,,"КВР")))</f>
        <v>Закупка товаров, работ и услуг для муниципальных нужд</v>
      </c>
      <c r="B1678" s="112" t="s">
        <v>397</v>
      </c>
      <c r="C1678" s="8" t="s">
        <v>186</v>
      </c>
      <c r="D1678" s="1" t="s">
        <v>215</v>
      </c>
      <c r="E1678" s="113">
        <v>200</v>
      </c>
      <c r="F1678" s="7"/>
      <c r="G1678" s="7"/>
      <c r="H1678" s="35"/>
      <c r="I1678" s="7">
        <f>I1679</f>
        <v>435</v>
      </c>
      <c r="J1678" s="35">
        <f t="shared" si="360"/>
        <v>435</v>
      </c>
      <c r="K1678" s="7">
        <f>K1679</f>
        <v>0</v>
      </c>
      <c r="L1678" s="35">
        <f t="shared" si="374"/>
        <v>435</v>
      </c>
      <c r="M1678" s="7">
        <f>M1679</f>
        <v>0</v>
      </c>
      <c r="N1678" s="35">
        <f t="shared" si="361"/>
        <v>435</v>
      </c>
      <c r="O1678" s="7">
        <f>O1679</f>
        <v>0</v>
      </c>
      <c r="P1678" s="35">
        <f t="shared" si="359"/>
        <v>435</v>
      </c>
      <c r="Q1678" s="7">
        <f>Q1679</f>
        <v>0</v>
      </c>
      <c r="R1678" s="35">
        <f t="shared" si="375"/>
        <v>435</v>
      </c>
      <c r="S1678" s="7">
        <f>S1679</f>
        <v>0</v>
      </c>
      <c r="T1678" s="35">
        <f t="shared" si="367"/>
        <v>435</v>
      </c>
    </row>
    <row r="1679" spans="1:20" ht="33">
      <c r="A1679" s="61" t="str">
        <f ca="1">IF(ISERROR(MATCH(E1679,Код_КВР,0)),"",INDIRECT(ADDRESS(MATCH(E1679,Код_КВР,0)+1,2,,,"КВР")))</f>
        <v>Иные закупки товаров, работ и услуг для обеспечения муниципальных нужд</v>
      </c>
      <c r="B1679" s="112" t="s">
        <v>397</v>
      </c>
      <c r="C1679" s="8" t="s">
        <v>186</v>
      </c>
      <c r="D1679" s="1" t="s">
        <v>215</v>
      </c>
      <c r="E1679" s="113">
        <v>240</v>
      </c>
      <c r="F1679" s="7"/>
      <c r="G1679" s="7"/>
      <c r="H1679" s="35"/>
      <c r="I1679" s="7">
        <f>I1680</f>
        <v>435</v>
      </c>
      <c r="J1679" s="35">
        <f t="shared" si="360"/>
        <v>435</v>
      </c>
      <c r="K1679" s="7">
        <f>K1680</f>
        <v>0</v>
      </c>
      <c r="L1679" s="35">
        <f t="shared" si="374"/>
        <v>435</v>
      </c>
      <c r="M1679" s="7">
        <f>M1680</f>
        <v>0</v>
      </c>
      <c r="N1679" s="35">
        <f t="shared" si="361"/>
        <v>435</v>
      </c>
      <c r="O1679" s="7">
        <f>O1680</f>
        <v>0</v>
      </c>
      <c r="P1679" s="35">
        <f t="shared" si="359"/>
        <v>435</v>
      </c>
      <c r="Q1679" s="7">
        <f>Q1680</f>
        <v>0</v>
      </c>
      <c r="R1679" s="35">
        <f t="shared" si="375"/>
        <v>435</v>
      </c>
      <c r="S1679" s="7">
        <f>S1680</f>
        <v>0</v>
      </c>
      <c r="T1679" s="35">
        <f t="shared" si="367"/>
        <v>435</v>
      </c>
    </row>
    <row r="1680" spans="1:20" ht="33">
      <c r="A1680" s="61" t="str">
        <f ca="1">IF(ISERROR(MATCH(E1680,Код_КВР,0)),"",INDIRECT(ADDRESS(MATCH(E1680,Код_КВР,0)+1,2,,,"КВР")))</f>
        <v xml:space="preserve">Прочая закупка товаров, работ и услуг для обеспечения муниципальных нужд         </v>
      </c>
      <c r="B1680" s="112" t="s">
        <v>397</v>
      </c>
      <c r="C1680" s="8" t="s">
        <v>186</v>
      </c>
      <c r="D1680" s="1" t="s">
        <v>215</v>
      </c>
      <c r="E1680" s="113">
        <v>244</v>
      </c>
      <c r="F1680" s="7"/>
      <c r="G1680" s="7"/>
      <c r="H1680" s="35"/>
      <c r="I1680" s="7">
        <f>прил.6!J1466</f>
        <v>435</v>
      </c>
      <c r="J1680" s="35">
        <f t="shared" si="360"/>
        <v>435</v>
      </c>
      <c r="K1680" s="7">
        <f>прил.6!L1466</f>
        <v>0</v>
      </c>
      <c r="L1680" s="35">
        <f t="shared" si="374"/>
        <v>435</v>
      </c>
      <c r="M1680" s="7">
        <f>прил.6!N1466</f>
        <v>0</v>
      </c>
      <c r="N1680" s="35">
        <f t="shared" si="361"/>
        <v>435</v>
      </c>
      <c r="O1680" s="7">
        <f>прил.6!P1466</f>
        <v>0</v>
      </c>
      <c r="P1680" s="35">
        <f t="shared" si="359"/>
        <v>435</v>
      </c>
      <c r="Q1680" s="7">
        <f>прил.6!R1466</f>
        <v>0</v>
      </c>
      <c r="R1680" s="35">
        <f t="shared" si="375"/>
        <v>435</v>
      </c>
      <c r="S1680" s="7">
        <f>прил.6!T1466</f>
        <v>0</v>
      </c>
      <c r="T1680" s="35">
        <f t="shared" si="367"/>
        <v>435</v>
      </c>
    </row>
    <row r="1681" spans="1:20">
      <c r="A1681" s="61" t="str">
        <f ca="1">IF(ISERROR(MATCH(B1681,Код_КЦСР,0)),"",INDIRECT(ADDRESS(MATCH(B1681,Код_КЦСР,0)+1,2,,,"КЦСР")))</f>
        <v>Кредиторская задолженность, сложившаяся по итогам 2013 года</v>
      </c>
      <c r="B1681" s="112" t="s">
        <v>367</v>
      </c>
      <c r="C1681" s="8"/>
      <c r="D1681" s="1"/>
      <c r="E1681" s="113"/>
      <c r="F1681" s="7">
        <f t="shared" ref="F1681:S1685" si="376">F1682</f>
        <v>117199.6</v>
      </c>
      <c r="G1681" s="7">
        <f t="shared" si="376"/>
        <v>-64000</v>
      </c>
      <c r="H1681" s="35">
        <f t="shared" ref="H1681:H1686" si="377">F1681+G1681</f>
        <v>53199.600000000006</v>
      </c>
      <c r="I1681" s="7">
        <f>I1682+I1687+I1711+I1702</f>
        <v>-1.8189894035458565E-12</v>
      </c>
      <c r="J1681" s="35">
        <f t="shared" ref="J1681:J1701" si="378">H1681+I1681</f>
        <v>53199.600000000006</v>
      </c>
      <c r="K1681" s="7">
        <f>K1682+K1687+K1711+K1702</f>
        <v>-3020</v>
      </c>
      <c r="L1681" s="35">
        <f t="shared" si="374"/>
        <v>50179.600000000006</v>
      </c>
      <c r="M1681" s="7">
        <f>M1682+M1687+M1711+M1702</f>
        <v>0</v>
      </c>
      <c r="N1681" s="35">
        <f t="shared" si="361"/>
        <v>50179.600000000006</v>
      </c>
      <c r="O1681" s="7">
        <f>O1682+O1687+O1711+O1702</f>
        <v>0</v>
      </c>
      <c r="P1681" s="35">
        <f t="shared" si="359"/>
        <v>50179.600000000006</v>
      </c>
      <c r="Q1681" s="7">
        <f>Q1682+Q1687+Q1711+Q1702</f>
        <v>0</v>
      </c>
      <c r="R1681" s="35">
        <f t="shared" si="375"/>
        <v>50179.600000000006</v>
      </c>
      <c r="S1681" s="7">
        <f>S1682+S1687+S1711+S1702</f>
        <v>0</v>
      </c>
      <c r="T1681" s="35">
        <f t="shared" si="367"/>
        <v>50179.600000000006</v>
      </c>
    </row>
    <row r="1682" spans="1:20">
      <c r="A1682" s="61" t="str">
        <f ca="1">IF(ISERROR(MATCH(C1682,Код_Раздел,0)),"",INDIRECT(ADDRESS(MATCH(C1682,Код_Раздел,0)+1,2,,,"Раздел")))</f>
        <v>Национальная экономика</v>
      </c>
      <c r="B1682" s="112" t="s">
        <v>367</v>
      </c>
      <c r="C1682" s="8" t="s">
        <v>214</v>
      </c>
      <c r="D1682" s="1"/>
      <c r="E1682" s="113"/>
      <c r="F1682" s="7">
        <f t="shared" si="376"/>
        <v>117199.6</v>
      </c>
      <c r="G1682" s="7">
        <f t="shared" si="376"/>
        <v>-64000</v>
      </c>
      <c r="H1682" s="35">
        <f t="shared" si="377"/>
        <v>53199.600000000006</v>
      </c>
      <c r="I1682" s="7">
        <f t="shared" si="376"/>
        <v>-50171.199999999997</v>
      </c>
      <c r="J1682" s="35">
        <f t="shared" si="378"/>
        <v>3028.4000000000087</v>
      </c>
      <c r="K1682" s="7">
        <f t="shared" si="376"/>
        <v>-3020</v>
      </c>
      <c r="L1682" s="35">
        <f t="shared" si="374"/>
        <v>8.4000000000087311</v>
      </c>
      <c r="M1682" s="7">
        <f t="shared" si="376"/>
        <v>0</v>
      </c>
      <c r="N1682" s="35">
        <f t="shared" si="361"/>
        <v>8.4000000000087311</v>
      </c>
      <c r="O1682" s="7">
        <f t="shared" si="376"/>
        <v>0</v>
      </c>
      <c r="P1682" s="35">
        <f t="shared" si="359"/>
        <v>8.4000000000087311</v>
      </c>
      <c r="Q1682" s="7">
        <f t="shared" si="376"/>
        <v>0</v>
      </c>
      <c r="R1682" s="35">
        <f t="shared" si="375"/>
        <v>8.4000000000087311</v>
      </c>
      <c r="S1682" s="7">
        <f t="shared" si="376"/>
        <v>0</v>
      </c>
      <c r="T1682" s="35">
        <f t="shared" si="367"/>
        <v>8.4000000000087311</v>
      </c>
    </row>
    <row r="1683" spans="1:20">
      <c r="A1683" s="12" t="s">
        <v>221</v>
      </c>
      <c r="B1683" s="112" t="s">
        <v>367</v>
      </c>
      <c r="C1683" s="8" t="s">
        <v>214</v>
      </c>
      <c r="D1683" s="1" t="s">
        <v>194</v>
      </c>
      <c r="E1683" s="113"/>
      <c r="F1683" s="7">
        <f t="shared" si="376"/>
        <v>117199.6</v>
      </c>
      <c r="G1683" s="7">
        <f t="shared" si="376"/>
        <v>-64000</v>
      </c>
      <c r="H1683" s="35">
        <f t="shared" si="377"/>
        <v>53199.600000000006</v>
      </c>
      <c r="I1683" s="7">
        <f t="shared" si="376"/>
        <v>-50171.199999999997</v>
      </c>
      <c r="J1683" s="35">
        <f t="shared" si="378"/>
        <v>3028.4000000000087</v>
      </c>
      <c r="K1683" s="7">
        <f t="shared" si="376"/>
        <v>-3020</v>
      </c>
      <c r="L1683" s="35">
        <f t="shared" si="374"/>
        <v>8.4000000000087311</v>
      </c>
      <c r="M1683" s="7">
        <f t="shared" si="376"/>
        <v>0</v>
      </c>
      <c r="N1683" s="35">
        <f t="shared" si="361"/>
        <v>8.4000000000087311</v>
      </c>
      <c r="O1683" s="7">
        <f t="shared" si="376"/>
        <v>0</v>
      </c>
      <c r="P1683" s="35">
        <f t="shared" si="359"/>
        <v>8.4000000000087311</v>
      </c>
      <c r="Q1683" s="7">
        <f t="shared" si="376"/>
        <v>0</v>
      </c>
      <c r="R1683" s="35">
        <f t="shared" si="375"/>
        <v>8.4000000000087311</v>
      </c>
      <c r="S1683" s="7">
        <f t="shared" si="376"/>
        <v>0</v>
      </c>
      <c r="T1683" s="35">
        <f t="shared" si="367"/>
        <v>8.4000000000087311</v>
      </c>
    </row>
    <row r="1684" spans="1:20">
      <c r="A1684" s="61" t="str">
        <f ca="1">IF(ISERROR(MATCH(E1684,Код_КВР,0)),"",INDIRECT(ADDRESS(MATCH(E1684,Код_КВР,0)+1,2,,,"КВР")))</f>
        <v>Закупка товаров, работ и услуг для муниципальных нужд</v>
      </c>
      <c r="B1684" s="112" t="s">
        <v>367</v>
      </c>
      <c r="C1684" s="8" t="s">
        <v>214</v>
      </c>
      <c r="D1684" s="1" t="s">
        <v>194</v>
      </c>
      <c r="E1684" s="113">
        <v>200</v>
      </c>
      <c r="F1684" s="7">
        <f t="shared" si="376"/>
        <v>117199.6</v>
      </c>
      <c r="G1684" s="7">
        <f t="shared" si="376"/>
        <v>-64000</v>
      </c>
      <c r="H1684" s="35">
        <f t="shared" si="377"/>
        <v>53199.600000000006</v>
      </c>
      <c r="I1684" s="7">
        <f t="shared" si="376"/>
        <v>-50171.199999999997</v>
      </c>
      <c r="J1684" s="35">
        <f t="shared" si="378"/>
        <v>3028.4000000000087</v>
      </c>
      <c r="K1684" s="7">
        <f t="shared" si="376"/>
        <v>-3020</v>
      </c>
      <c r="L1684" s="35">
        <f t="shared" si="374"/>
        <v>8.4000000000087311</v>
      </c>
      <c r="M1684" s="7">
        <f t="shared" si="376"/>
        <v>0</v>
      </c>
      <c r="N1684" s="35">
        <f t="shared" si="361"/>
        <v>8.4000000000087311</v>
      </c>
      <c r="O1684" s="7">
        <f t="shared" si="376"/>
        <v>0</v>
      </c>
      <c r="P1684" s="35">
        <f t="shared" si="359"/>
        <v>8.4000000000087311</v>
      </c>
      <c r="Q1684" s="7">
        <f t="shared" si="376"/>
        <v>0</v>
      </c>
      <c r="R1684" s="35">
        <f t="shared" si="375"/>
        <v>8.4000000000087311</v>
      </c>
      <c r="S1684" s="7">
        <f t="shared" si="376"/>
        <v>0</v>
      </c>
      <c r="T1684" s="35">
        <f t="shared" si="367"/>
        <v>8.4000000000087311</v>
      </c>
    </row>
    <row r="1685" spans="1:20" ht="33">
      <c r="A1685" s="61" t="str">
        <f ca="1">IF(ISERROR(MATCH(E1685,Код_КВР,0)),"",INDIRECT(ADDRESS(MATCH(E1685,Код_КВР,0)+1,2,,,"КВР")))</f>
        <v>Иные закупки товаров, работ и услуг для обеспечения муниципальных нужд</v>
      </c>
      <c r="B1685" s="112" t="s">
        <v>367</v>
      </c>
      <c r="C1685" s="8" t="s">
        <v>214</v>
      </c>
      <c r="D1685" s="1" t="s">
        <v>194</v>
      </c>
      <c r="E1685" s="113">
        <v>240</v>
      </c>
      <c r="F1685" s="7">
        <f t="shared" si="376"/>
        <v>117199.6</v>
      </c>
      <c r="G1685" s="7">
        <f t="shared" si="376"/>
        <v>-64000</v>
      </c>
      <c r="H1685" s="35">
        <f t="shared" si="377"/>
        <v>53199.600000000006</v>
      </c>
      <c r="I1685" s="7">
        <f t="shared" si="376"/>
        <v>-50171.199999999997</v>
      </c>
      <c r="J1685" s="35">
        <f t="shared" si="378"/>
        <v>3028.4000000000087</v>
      </c>
      <c r="K1685" s="7">
        <f t="shared" si="376"/>
        <v>-3020</v>
      </c>
      <c r="L1685" s="35">
        <f t="shared" si="374"/>
        <v>8.4000000000087311</v>
      </c>
      <c r="M1685" s="7">
        <f t="shared" si="376"/>
        <v>0</v>
      </c>
      <c r="N1685" s="35">
        <f t="shared" si="361"/>
        <v>8.4000000000087311</v>
      </c>
      <c r="O1685" s="7">
        <f t="shared" si="376"/>
        <v>0</v>
      </c>
      <c r="P1685" s="35">
        <f t="shared" ref="P1685:P1750" si="379">N1685+O1685</f>
        <v>8.4000000000087311</v>
      </c>
      <c r="Q1685" s="7">
        <f t="shared" si="376"/>
        <v>0</v>
      </c>
      <c r="R1685" s="35">
        <f t="shared" si="375"/>
        <v>8.4000000000087311</v>
      </c>
      <c r="S1685" s="7">
        <f t="shared" si="376"/>
        <v>0</v>
      </c>
      <c r="T1685" s="35">
        <f t="shared" si="367"/>
        <v>8.4000000000087311</v>
      </c>
    </row>
    <row r="1686" spans="1:20" ht="33">
      <c r="A1686" s="61" t="str">
        <f ca="1">IF(ISERROR(MATCH(E1686,Код_КВР,0)),"",INDIRECT(ADDRESS(MATCH(E1686,Код_КВР,0)+1,2,,,"КВР")))</f>
        <v xml:space="preserve">Прочая закупка товаров, работ и услуг для обеспечения муниципальных нужд         </v>
      </c>
      <c r="B1686" s="112" t="s">
        <v>367</v>
      </c>
      <c r="C1686" s="8" t="s">
        <v>214</v>
      </c>
      <c r="D1686" s="1" t="s">
        <v>194</v>
      </c>
      <c r="E1686" s="113">
        <v>244</v>
      </c>
      <c r="F1686" s="7">
        <f>прил.6!G905</f>
        <v>117199.6</v>
      </c>
      <c r="G1686" s="7">
        <f>прил.6!H905</f>
        <v>-64000</v>
      </c>
      <c r="H1686" s="35">
        <f t="shared" si="377"/>
        <v>53199.600000000006</v>
      </c>
      <c r="I1686" s="7">
        <f>прил.6!J905</f>
        <v>-50171.199999999997</v>
      </c>
      <c r="J1686" s="35">
        <f t="shared" si="378"/>
        <v>3028.4000000000087</v>
      </c>
      <c r="K1686" s="7">
        <f>прил.6!L905</f>
        <v>-3020</v>
      </c>
      <c r="L1686" s="35">
        <f t="shared" si="374"/>
        <v>8.4000000000087311</v>
      </c>
      <c r="M1686" s="7">
        <f>прил.6!N905</f>
        <v>0</v>
      </c>
      <c r="N1686" s="35">
        <f t="shared" si="361"/>
        <v>8.4000000000087311</v>
      </c>
      <c r="O1686" s="7">
        <f>прил.6!P905</f>
        <v>0</v>
      </c>
      <c r="P1686" s="35">
        <f t="shared" si="379"/>
        <v>8.4000000000087311</v>
      </c>
      <c r="Q1686" s="7">
        <f>прил.6!R905</f>
        <v>0</v>
      </c>
      <c r="R1686" s="35">
        <f t="shared" si="375"/>
        <v>8.4000000000087311</v>
      </c>
      <c r="S1686" s="7">
        <f>прил.6!T905</f>
        <v>0</v>
      </c>
      <c r="T1686" s="35">
        <f t="shared" si="367"/>
        <v>8.4000000000087311</v>
      </c>
    </row>
    <row r="1687" spans="1:20">
      <c r="A1687" s="61" t="str">
        <f ca="1">IF(ISERROR(MATCH(C1687,Код_Раздел,0)),"",INDIRECT(ADDRESS(MATCH(C1687,Код_Раздел,0)+1,2,,,"Раздел")))</f>
        <v>Образование</v>
      </c>
      <c r="B1687" s="112" t="s">
        <v>367</v>
      </c>
      <c r="C1687" s="8" t="s">
        <v>193</v>
      </c>
      <c r="D1687" s="1"/>
      <c r="E1687" s="113"/>
      <c r="F1687" s="7"/>
      <c r="G1687" s="7"/>
      <c r="H1687" s="35"/>
      <c r="I1687" s="7">
        <f>I1688+I1694+I1698</f>
        <v>45688.299999999996</v>
      </c>
      <c r="J1687" s="35">
        <f t="shared" si="378"/>
        <v>45688.299999999996</v>
      </c>
      <c r="K1687" s="7">
        <f>K1688+K1694+K1698</f>
        <v>0</v>
      </c>
      <c r="L1687" s="35">
        <f t="shared" si="374"/>
        <v>45688.299999999996</v>
      </c>
      <c r="M1687" s="7">
        <f>M1688+M1694+M1698</f>
        <v>0</v>
      </c>
      <c r="N1687" s="35">
        <f t="shared" si="361"/>
        <v>45688.299999999996</v>
      </c>
      <c r="O1687" s="7">
        <f>O1688+O1694+O1698</f>
        <v>0</v>
      </c>
      <c r="P1687" s="35">
        <f t="shared" si="379"/>
        <v>45688.299999999996</v>
      </c>
      <c r="Q1687" s="7">
        <f>Q1688+Q1694+Q1698</f>
        <v>0</v>
      </c>
      <c r="R1687" s="35">
        <f t="shared" si="375"/>
        <v>45688.299999999996</v>
      </c>
      <c r="S1687" s="7">
        <f>S1688+S1694+S1698</f>
        <v>0</v>
      </c>
      <c r="T1687" s="35">
        <f t="shared" si="367"/>
        <v>45688.299999999996</v>
      </c>
    </row>
    <row r="1688" spans="1:20">
      <c r="A1688" s="12" t="s">
        <v>255</v>
      </c>
      <c r="B1688" s="112" t="s">
        <v>367</v>
      </c>
      <c r="C1688" s="8" t="s">
        <v>193</v>
      </c>
      <c r="D1688" s="1" t="s">
        <v>211</v>
      </c>
      <c r="E1688" s="113"/>
      <c r="F1688" s="7"/>
      <c r="G1688" s="7"/>
      <c r="H1688" s="35"/>
      <c r="I1688" s="7">
        <f>I1689</f>
        <v>44229.299999999996</v>
      </c>
      <c r="J1688" s="35">
        <f t="shared" si="378"/>
        <v>44229.299999999996</v>
      </c>
      <c r="K1688" s="7">
        <f>K1689</f>
        <v>0</v>
      </c>
      <c r="L1688" s="35">
        <f t="shared" si="374"/>
        <v>44229.299999999996</v>
      </c>
      <c r="M1688" s="7">
        <f>M1689</f>
        <v>0</v>
      </c>
      <c r="N1688" s="35">
        <f t="shared" si="361"/>
        <v>44229.299999999996</v>
      </c>
      <c r="O1688" s="7">
        <f>O1689</f>
        <v>0</v>
      </c>
      <c r="P1688" s="35">
        <f t="shared" si="379"/>
        <v>44229.299999999996</v>
      </c>
      <c r="Q1688" s="7">
        <f>Q1689</f>
        <v>0</v>
      </c>
      <c r="R1688" s="35">
        <f t="shared" si="375"/>
        <v>44229.299999999996</v>
      </c>
      <c r="S1688" s="7">
        <f>S1689</f>
        <v>0</v>
      </c>
      <c r="T1688" s="35">
        <f t="shared" si="367"/>
        <v>44229.299999999996</v>
      </c>
    </row>
    <row r="1689" spans="1:20" ht="37.5" customHeight="1">
      <c r="A1689" s="61" t="str">
        <f ca="1">IF(ISERROR(MATCH(E1689,Код_КВР,0)),"",INDIRECT(ADDRESS(MATCH(E1689,Код_КВР,0)+1,2,,,"КВР")))</f>
        <v>Предоставление субсидий бюджетным, автономным учреждениям и иным некоммерческим организациям</v>
      </c>
      <c r="B1689" s="113" t="s">
        <v>367</v>
      </c>
      <c r="C1689" s="8" t="s">
        <v>193</v>
      </c>
      <c r="D1689" s="1" t="s">
        <v>211</v>
      </c>
      <c r="E1689" s="113">
        <v>600</v>
      </c>
      <c r="F1689" s="7"/>
      <c r="G1689" s="7"/>
      <c r="H1689" s="35"/>
      <c r="I1689" s="7">
        <f>I1690+I1692</f>
        <v>44229.299999999996</v>
      </c>
      <c r="J1689" s="35">
        <f t="shared" si="378"/>
        <v>44229.299999999996</v>
      </c>
      <c r="K1689" s="7">
        <f>K1690+K1692</f>
        <v>0</v>
      </c>
      <c r="L1689" s="35">
        <f t="shared" si="374"/>
        <v>44229.299999999996</v>
      </c>
      <c r="M1689" s="7">
        <f>M1690+M1692</f>
        <v>0</v>
      </c>
      <c r="N1689" s="35">
        <f t="shared" si="361"/>
        <v>44229.299999999996</v>
      </c>
      <c r="O1689" s="7">
        <f>O1690+O1692</f>
        <v>0</v>
      </c>
      <c r="P1689" s="35">
        <f t="shared" si="379"/>
        <v>44229.299999999996</v>
      </c>
      <c r="Q1689" s="7">
        <f>Q1690+Q1692</f>
        <v>0</v>
      </c>
      <c r="R1689" s="35">
        <f t="shared" si="375"/>
        <v>44229.299999999996</v>
      </c>
      <c r="S1689" s="7">
        <f>S1690+S1692</f>
        <v>0</v>
      </c>
      <c r="T1689" s="35">
        <f t="shared" si="367"/>
        <v>44229.299999999996</v>
      </c>
    </row>
    <row r="1690" spans="1:20" ht="22.5" customHeight="1">
      <c r="A1690" s="61" t="str">
        <f ca="1">IF(ISERROR(MATCH(E1690,Код_КВР,0)),"",INDIRECT(ADDRESS(MATCH(E1690,Код_КВР,0)+1,2,,,"КВР")))</f>
        <v>Субсидии бюджетным учреждениям</v>
      </c>
      <c r="B1690" s="113" t="s">
        <v>367</v>
      </c>
      <c r="C1690" s="8" t="s">
        <v>193</v>
      </c>
      <c r="D1690" s="1" t="s">
        <v>211</v>
      </c>
      <c r="E1690" s="113">
        <v>610</v>
      </c>
      <c r="F1690" s="7"/>
      <c r="G1690" s="7"/>
      <c r="H1690" s="35"/>
      <c r="I1690" s="7">
        <f>I1691</f>
        <v>42345.1</v>
      </c>
      <c r="J1690" s="35">
        <f t="shared" si="378"/>
        <v>42345.1</v>
      </c>
      <c r="K1690" s="7">
        <f>K1691</f>
        <v>0</v>
      </c>
      <c r="L1690" s="35">
        <f t="shared" si="374"/>
        <v>42345.1</v>
      </c>
      <c r="M1690" s="7">
        <f>M1691</f>
        <v>0</v>
      </c>
      <c r="N1690" s="35">
        <f t="shared" si="361"/>
        <v>42345.1</v>
      </c>
      <c r="O1690" s="7">
        <f>O1691</f>
        <v>0</v>
      </c>
      <c r="P1690" s="35">
        <f t="shared" si="379"/>
        <v>42345.1</v>
      </c>
      <c r="Q1690" s="7">
        <f>Q1691</f>
        <v>0</v>
      </c>
      <c r="R1690" s="35">
        <f t="shared" si="375"/>
        <v>42345.1</v>
      </c>
      <c r="S1690" s="7">
        <f>S1691</f>
        <v>0</v>
      </c>
      <c r="T1690" s="35">
        <f t="shared" si="367"/>
        <v>42345.1</v>
      </c>
    </row>
    <row r="1691" spans="1:20" ht="23.25" customHeight="1">
      <c r="A1691" s="61" t="str">
        <f ca="1">IF(ISERROR(MATCH(E1691,Код_КВР,0)),"",INDIRECT(ADDRESS(MATCH(E1691,Код_КВР,0)+1,2,,,"КВР")))</f>
        <v>Субсидии бюджетным учреждениям на иные цели</v>
      </c>
      <c r="B1691" s="113" t="s">
        <v>367</v>
      </c>
      <c r="C1691" s="8" t="s">
        <v>193</v>
      </c>
      <c r="D1691" s="1" t="s">
        <v>211</v>
      </c>
      <c r="E1691" s="113">
        <v>612</v>
      </c>
      <c r="F1691" s="7"/>
      <c r="G1691" s="7"/>
      <c r="H1691" s="35"/>
      <c r="I1691" s="7">
        <f>прил.6!J627</f>
        <v>42345.1</v>
      </c>
      <c r="J1691" s="35">
        <f t="shared" si="378"/>
        <v>42345.1</v>
      </c>
      <c r="K1691" s="7">
        <f>прил.6!L627</f>
        <v>0</v>
      </c>
      <c r="L1691" s="35">
        <f t="shared" si="374"/>
        <v>42345.1</v>
      </c>
      <c r="M1691" s="7">
        <f>прил.6!N627</f>
        <v>0</v>
      </c>
      <c r="N1691" s="35">
        <f t="shared" si="361"/>
        <v>42345.1</v>
      </c>
      <c r="O1691" s="7">
        <f>прил.6!P627</f>
        <v>0</v>
      </c>
      <c r="P1691" s="35">
        <f t="shared" si="379"/>
        <v>42345.1</v>
      </c>
      <c r="Q1691" s="7">
        <f>прил.6!R627</f>
        <v>0</v>
      </c>
      <c r="R1691" s="35">
        <f t="shared" si="375"/>
        <v>42345.1</v>
      </c>
      <c r="S1691" s="7">
        <f>прил.6!T627</f>
        <v>0</v>
      </c>
      <c r="T1691" s="35">
        <f t="shared" si="367"/>
        <v>42345.1</v>
      </c>
    </row>
    <row r="1692" spans="1:20" ht="20.25" customHeight="1">
      <c r="A1692" s="61" t="str">
        <f ca="1">IF(ISERROR(MATCH(E1692,Код_КВР,0)),"",INDIRECT(ADDRESS(MATCH(E1692,Код_КВР,0)+1,2,,,"КВР")))</f>
        <v>Субсидии автономным учреждениям</v>
      </c>
      <c r="B1692" s="113" t="s">
        <v>367</v>
      </c>
      <c r="C1692" s="8" t="s">
        <v>193</v>
      </c>
      <c r="D1692" s="1" t="s">
        <v>211</v>
      </c>
      <c r="E1692" s="113">
        <v>620</v>
      </c>
      <c r="F1692" s="7"/>
      <c r="G1692" s="7"/>
      <c r="H1692" s="35"/>
      <c r="I1692" s="7">
        <f>I1693</f>
        <v>1884.2</v>
      </c>
      <c r="J1692" s="35">
        <f t="shared" si="378"/>
        <v>1884.2</v>
      </c>
      <c r="K1692" s="7">
        <f>K1693</f>
        <v>0</v>
      </c>
      <c r="L1692" s="35">
        <f t="shared" si="374"/>
        <v>1884.2</v>
      </c>
      <c r="M1692" s="7">
        <f>M1693</f>
        <v>0</v>
      </c>
      <c r="N1692" s="35">
        <f t="shared" si="361"/>
        <v>1884.2</v>
      </c>
      <c r="O1692" s="7">
        <f>O1693</f>
        <v>0</v>
      </c>
      <c r="P1692" s="35">
        <f t="shared" si="379"/>
        <v>1884.2</v>
      </c>
      <c r="Q1692" s="7">
        <f>Q1693</f>
        <v>0</v>
      </c>
      <c r="R1692" s="35">
        <f t="shared" si="375"/>
        <v>1884.2</v>
      </c>
      <c r="S1692" s="7">
        <f>S1693</f>
        <v>0</v>
      </c>
      <c r="T1692" s="35">
        <f t="shared" si="367"/>
        <v>1884.2</v>
      </c>
    </row>
    <row r="1693" spans="1:20" ht="16.7" customHeight="1">
      <c r="A1693" s="61" t="str">
        <f ca="1">IF(ISERROR(MATCH(E1693,Код_КВР,0)),"",INDIRECT(ADDRESS(MATCH(E1693,Код_КВР,0)+1,2,,,"КВР")))</f>
        <v>Субсидии автономным учреждениям на иные цели</v>
      </c>
      <c r="B1693" s="113" t="s">
        <v>367</v>
      </c>
      <c r="C1693" s="8" t="s">
        <v>193</v>
      </c>
      <c r="D1693" s="1" t="s">
        <v>211</v>
      </c>
      <c r="E1693" s="113">
        <v>622</v>
      </c>
      <c r="F1693" s="7"/>
      <c r="G1693" s="7"/>
      <c r="H1693" s="35"/>
      <c r="I1693" s="7">
        <f>прил.6!J629</f>
        <v>1884.2</v>
      </c>
      <c r="J1693" s="35">
        <f t="shared" si="378"/>
        <v>1884.2</v>
      </c>
      <c r="K1693" s="7">
        <f>прил.6!L629</f>
        <v>0</v>
      </c>
      <c r="L1693" s="35">
        <f t="shared" si="374"/>
        <v>1884.2</v>
      </c>
      <c r="M1693" s="7">
        <f>прил.6!N629</f>
        <v>0</v>
      </c>
      <c r="N1693" s="35">
        <f t="shared" si="361"/>
        <v>1884.2</v>
      </c>
      <c r="O1693" s="7">
        <f>прил.6!P629</f>
        <v>0</v>
      </c>
      <c r="P1693" s="35">
        <f t="shared" si="379"/>
        <v>1884.2</v>
      </c>
      <c r="Q1693" s="7">
        <f>прил.6!R629</f>
        <v>0</v>
      </c>
      <c r="R1693" s="35">
        <f t="shared" si="375"/>
        <v>1884.2</v>
      </c>
      <c r="S1693" s="7">
        <f>прил.6!T629</f>
        <v>0</v>
      </c>
      <c r="T1693" s="35">
        <f t="shared" si="367"/>
        <v>1884.2</v>
      </c>
    </row>
    <row r="1694" spans="1:20" ht="16.7" customHeight="1">
      <c r="A1694" s="12" t="s">
        <v>197</v>
      </c>
      <c r="B1694" s="112" t="s">
        <v>367</v>
      </c>
      <c r="C1694" s="8" t="s">
        <v>193</v>
      </c>
      <c r="D1694" s="1" t="s">
        <v>193</v>
      </c>
      <c r="E1694" s="113"/>
      <c r="F1694" s="7"/>
      <c r="G1694" s="7"/>
      <c r="H1694" s="35"/>
      <c r="I1694" s="7">
        <f>I1695</f>
        <v>0.7</v>
      </c>
      <c r="J1694" s="35">
        <f t="shared" si="378"/>
        <v>0.7</v>
      </c>
      <c r="K1694" s="7">
        <f>K1695</f>
        <v>0</v>
      </c>
      <c r="L1694" s="35">
        <f t="shared" si="374"/>
        <v>0.7</v>
      </c>
      <c r="M1694" s="7">
        <f>M1695</f>
        <v>0</v>
      </c>
      <c r="N1694" s="35">
        <f t="shared" si="361"/>
        <v>0.7</v>
      </c>
      <c r="O1694" s="7">
        <f>O1695</f>
        <v>0</v>
      </c>
      <c r="P1694" s="35">
        <f t="shared" si="379"/>
        <v>0.7</v>
      </c>
      <c r="Q1694" s="7">
        <f>Q1695</f>
        <v>0</v>
      </c>
      <c r="R1694" s="35">
        <f t="shared" si="375"/>
        <v>0.7</v>
      </c>
      <c r="S1694" s="7">
        <f>S1695</f>
        <v>0</v>
      </c>
      <c r="T1694" s="35">
        <f t="shared" si="367"/>
        <v>0.7</v>
      </c>
    </row>
    <row r="1695" spans="1:20" ht="16.7" customHeight="1">
      <c r="A1695" s="61" t="str">
        <f ca="1">IF(ISERROR(MATCH(E1695,Код_КВР,0)),"",INDIRECT(ADDRESS(MATCH(E1695,Код_КВР,0)+1,2,,,"КВР")))</f>
        <v>Предоставление субсидий бюджетным, автономным учреждениям и иным некоммерческим организациям</v>
      </c>
      <c r="B1695" s="113" t="s">
        <v>367</v>
      </c>
      <c r="C1695" s="8" t="s">
        <v>193</v>
      </c>
      <c r="D1695" s="1" t="s">
        <v>193</v>
      </c>
      <c r="E1695" s="113">
        <v>600</v>
      </c>
      <c r="F1695" s="7"/>
      <c r="G1695" s="7"/>
      <c r="H1695" s="35"/>
      <c r="I1695" s="7">
        <f>I1696</f>
        <v>0.7</v>
      </c>
      <c r="J1695" s="35">
        <f t="shared" si="378"/>
        <v>0.7</v>
      </c>
      <c r="K1695" s="7">
        <f>K1696</f>
        <v>0</v>
      </c>
      <c r="L1695" s="35">
        <f t="shared" si="374"/>
        <v>0.7</v>
      </c>
      <c r="M1695" s="7">
        <f>M1696</f>
        <v>0</v>
      </c>
      <c r="N1695" s="35">
        <f t="shared" si="361"/>
        <v>0.7</v>
      </c>
      <c r="O1695" s="7">
        <f>O1696</f>
        <v>0</v>
      </c>
      <c r="P1695" s="35">
        <f t="shared" si="379"/>
        <v>0.7</v>
      </c>
      <c r="Q1695" s="7">
        <f>Q1696</f>
        <v>0</v>
      </c>
      <c r="R1695" s="35">
        <f t="shared" si="375"/>
        <v>0.7</v>
      </c>
      <c r="S1695" s="7">
        <f>S1696</f>
        <v>0</v>
      </c>
      <c r="T1695" s="35">
        <f t="shared" si="367"/>
        <v>0.7</v>
      </c>
    </row>
    <row r="1696" spans="1:20" ht="16.7" customHeight="1">
      <c r="A1696" s="61" t="str">
        <f ca="1">IF(ISERROR(MATCH(E1696,Код_КВР,0)),"",INDIRECT(ADDRESS(MATCH(E1696,Код_КВР,0)+1,2,,,"КВР")))</f>
        <v>Субсидии бюджетным учреждениям</v>
      </c>
      <c r="B1696" s="113" t="s">
        <v>367</v>
      </c>
      <c r="C1696" s="8" t="s">
        <v>193</v>
      </c>
      <c r="D1696" s="1" t="s">
        <v>193</v>
      </c>
      <c r="E1696" s="113">
        <v>610</v>
      </c>
      <c r="F1696" s="7"/>
      <c r="G1696" s="7"/>
      <c r="H1696" s="35"/>
      <c r="I1696" s="7">
        <f>I1697</f>
        <v>0.7</v>
      </c>
      <c r="J1696" s="35">
        <f t="shared" si="378"/>
        <v>0.7</v>
      </c>
      <c r="K1696" s="7">
        <f>K1697</f>
        <v>0</v>
      </c>
      <c r="L1696" s="35">
        <f t="shared" si="374"/>
        <v>0.7</v>
      </c>
      <c r="M1696" s="7">
        <f>M1697</f>
        <v>0</v>
      </c>
      <c r="N1696" s="35">
        <f t="shared" si="361"/>
        <v>0.7</v>
      </c>
      <c r="O1696" s="7">
        <f>O1697</f>
        <v>0</v>
      </c>
      <c r="P1696" s="35">
        <f t="shared" si="379"/>
        <v>0.7</v>
      </c>
      <c r="Q1696" s="7">
        <f>Q1697</f>
        <v>0</v>
      </c>
      <c r="R1696" s="35">
        <f t="shared" si="375"/>
        <v>0.7</v>
      </c>
      <c r="S1696" s="7">
        <f>S1697</f>
        <v>0</v>
      </c>
      <c r="T1696" s="35">
        <f t="shared" si="367"/>
        <v>0.7</v>
      </c>
    </row>
    <row r="1697" spans="1:20" ht="16.7" customHeight="1">
      <c r="A1697" s="61" t="str">
        <f ca="1">IF(ISERROR(MATCH(E1697,Код_КВР,0)),"",INDIRECT(ADDRESS(MATCH(E1697,Код_КВР,0)+1,2,,,"КВР")))</f>
        <v>Субсидии бюджетным учреждениям на иные цели</v>
      </c>
      <c r="B1697" s="113" t="s">
        <v>367</v>
      </c>
      <c r="C1697" s="8" t="s">
        <v>193</v>
      </c>
      <c r="D1697" s="1" t="s">
        <v>193</v>
      </c>
      <c r="E1697" s="113">
        <v>612</v>
      </c>
      <c r="F1697" s="7"/>
      <c r="G1697" s="7"/>
      <c r="H1697" s="35"/>
      <c r="I1697" s="7">
        <f>прил.6!J332</f>
        <v>0.7</v>
      </c>
      <c r="J1697" s="35">
        <f t="shared" si="378"/>
        <v>0.7</v>
      </c>
      <c r="K1697" s="7">
        <f>прил.6!L332</f>
        <v>0</v>
      </c>
      <c r="L1697" s="35">
        <f t="shared" si="374"/>
        <v>0.7</v>
      </c>
      <c r="M1697" s="7">
        <f>прил.6!N332</f>
        <v>0</v>
      </c>
      <c r="N1697" s="35">
        <f t="shared" si="361"/>
        <v>0.7</v>
      </c>
      <c r="O1697" s="7">
        <f>прил.6!P332</f>
        <v>0</v>
      </c>
      <c r="P1697" s="35">
        <f t="shared" si="379"/>
        <v>0.7</v>
      </c>
      <c r="Q1697" s="7">
        <f>прил.6!R332</f>
        <v>0</v>
      </c>
      <c r="R1697" s="35">
        <f t="shared" si="375"/>
        <v>0.7</v>
      </c>
      <c r="S1697" s="7">
        <f>прил.6!T332</f>
        <v>0</v>
      </c>
      <c r="T1697" s="35">
        <f t="shared" si="367"/>
        <v>0.7</v>
      </c>
    </row>
    <row r="1698" spans="1:20">
      <c r="A1698" s="12" t="s">
        <v>249</v>
      </c>
      <c r="B1698" s="112" t="s">
        <v>367</v>
      </c>
      <c r="C1698" s="8" t="s">
        <v>193</v>
      </c>
      <c r="D1698" s="1" t="s">
        <v>217</v>
      </c>
      <c r="E1698" s="113"/>
      <c r="F1698" s="7"/>
      <c r="G1698" s="7"/>
      <c r="H1698" s="35"/>
      <c r="I1698" s="7">
        <f>I1699</f>
        <v>1458.3</v>
      </c>
      <c r="J1698" s="35">
        <f t="shared" si="378"/>
        <v>1458.3</v>
      </c>
      <c r="K1698" s="7">
        <f>K1699</f>
        <v>0</v>
      </c>
      <c r="L1698" s="35">
        <f t="shared" si="374"/>
        <v>1458.3</v>
      </c>
      <c r="M1698" s="7">
        <f>M1699</f>
        <v>0</v>
      </c>
      <c r="N1698" s="35">
        <f t="shared" si="361"/>
        <v>1458.3</v>
      </c>
      <c r="O1698" s="7">
        <f>O1699</f>
        <v>0</v>
      </c>
      <c r="P1698" s="35">
        <f t="shared" si="379"/>
        <v>1458.3</v>
      </c>
      <c r="Q1698" s="7">
        <f>Q1699</f>
        <v>0</v>
      </c>
      <c r="R1698" s="35">
        <f t="shared" si="375"/>
        <v>1458.3</v>
      </c>
      <c r="S1698" s="7">
        <f>S1699</f>
        <v>0</v>
      </c>
      <c r="T1698" s="35">
        <f t="shared" si="367"/>
        <v>1458.3</v>
      </c>
    </row>
    <row r="1699" spans="1:20" ht="33">
      <c r="A1699" s="61" t="str">
        <f ca="1">IF(ISERROR(MATCH(E1699,Код_КВР,0)),"",INDIRECT(ADDRESS(MATCH(E1699,Код_КВР,0)+1,2,,,"КВР")))</f>
        <v>Предоставление субсидий бюджетным, автономным учреждениям и иным некоммерческим организациям</v>
      </c>
      <c r="B1699" s="113" t="s">
        <v>367</v>
      </c>
      <c r="C1699" s="8" t="s">
        <v>193</v>
      </c>
      <c r="D1699" s="1" t="s">
        <v>217</v>
      </c>
      <c r="E1699" s="113">
        <v>600</v>
      </c>
      <c r="F1699" s="7"/>
      <c r="G1699" s="7"/>
      <c r="H1699" s="35"/>
      <c r="I1699" s="7">
        <f>I1700</f>
        <v>1458.3</v>
      </c>
      <c r="J1699" s="35">
        <f t="shared" si="378"/>
        <v>1458.3</v>
      </c>
      <c r="K1699" s="7">
        <f>K1700</f>
        <v>0</v>
      </c>
      <c r="L1699" s="35">
        <f t="shared" si="374"/>
        <v>1458.3</v>
      </c>
      <c r="M1699" s="7">
        <f>M1700</f>
        <v>0</v>
      </c>
      <c r="N1699" s="35">
        <f t="shared" si="361"/>
        <v>1458.3</v>
      </c>
      <c r="O1699" s="7">
        <f>O1700</f>
        <v>0</v>
      </c>
      <c r="P1699" s="35">
        <f t="shared" si="379"/>
        <v>1458.3</v>
      </c>
      <c r="Q1699" s="7">
        <f>Q1700</f>
        <v>0</v>
      </c>
      <c r="R1699" s="35">
        <f t="shared" si="375"/>
        <v>1458.3</v>
      </c>
      <c r="S1699" s="7">
        <f>S1700</f>
        <v>0</v>
      </c>
      <c r="T1699" s="35">
        <f t="shared" si="367"/>
        <v>1458.3</v>
      </c>
    </row>
    <row r="1700" spans="1:20">
      <c r="A1700" s="61" t="str">
        <f ca="1">IF(ISERROR(MATCH(E1700,Код_КВР,0)),"",INDIRECT(ADDRESS(MATCH(E1700,Код_КВР,0)+1,2,,,"КВР")))</f>
        <v>Субсидии бюджетным учреждениям</v>
      </c>
      <c r="B1700" s="113" t="s">
        <v>367</v>
      </c>
      <c r="C1700" s="8" t="s">
        <v>193</v>
      </c>
      <c r="D1700" s="1" t="s">
        <v>217</v>
      </c>
      <c r="E1700" s="113">
        <v>610</v>
      </c>
      <c r="F1700" s="7"/>
      <c r="G1700" s="7"/>
      <c r="H1700" s="35"/>
      <c r="I1700" s="7">
        <f>I1701</f>
        <v>1458.3</v>
      </c>
      <c r="J1700" s="35">
        <f t="shared" si="378"/>
        <v>1458.3</v>
      </c>
      <c r="K1700" s="7">
        <f>K1701</f>
        <v>0</v>
      </c>
      <c r="L1700" s="35">
        <f t="shared" si="374"/>
        <v>1458.3</v>
      </c>
      <c r="M1700" s="7">
        <f>M1701</f>
        <v>0</v>
      </c>
      <c r="N1700" s="35">
        <f t="shared" si="361"/>
        <v>1458.3</v>
      </c>
      <c r="O1700" s="7">
        <f>O1701</f>
        <v>0</v>
      </c>
      <c r="P1700" s="35">
        <f t="shared" si="379"/>
        <v>1458.3</v>
      </c>
      <c r="Q1700" s="7">
        <f>Q1701</f>
        <v>0</v>
      </c>
      <c r="R1700" s="35">
        <f t="shared" si="375"/>
        <v>1458.3</v>
      </c>
      <c r="S1700" s="7">
        <f>S1701</f>
        <v>0</v>
      </c>
      <c r="T1700" s="35">
        <f t="shared" si="367"/>
        <v>1458.3</v>
      </c>
    </row>
    <row r="1701" spans="1:20">
      <c r="A1701" s="61" t="str">
        <f ca="1">IF(ISERROR(MATCH(E1701,Код_КВР,0)),"",INDIRECT(ADDRESS(MATCH(E1701,Код_КВР,0)+1,2,,,"КВР")))</f>
        <v>Субсидии бюджетным учреждениям на иные цели</v>
      </c>
      <c r="B1701" s="113" t="s">
        <v>367</v>
      </c>
      <c r="C1701" s="8" t="s">
        <v>193</v>
      </c>
      <c r="D1701" s="1" t="s">
        <v>217</v>
      </c>
      <c r="E1701" s="113">
        <v>612</v>
      </c>
      <c r="F1701" s="7"/>
      <c r="G1701" s="7"/>
      <c r="H1701" s="35"/>
      <c r="I1701" s="7">
        <f>прил.6!J817</f>
        <v>1458.3</v>
      </c>
      <c r="J1701" s="35">
        <f t="shared" si="378"/>
        <v>1458.3</v>
      </c>
      <c r="K1701" s="7">
        <f>прил.6!L817</f>
        <v>0</v>
      </c>
      <c r="L1701" s="35">
        <f t="shared" si="374"/>
        <v>1458.3</v>
      </c>
      <c r="M1701" s="7">
        <f>прил.6!N817</f>
        <v>0</v>
      </c>
      <c r="N1701" s="35">
        <f t="shared" si="361"/>
        <v>1458.3</v>
      </c>
      <c r="O1701" s="7">
        <f>прил.6!P817</f>
        <v>0</v>
      </c>
      <c r="P1701" s="35">
        <f t="shared" si="379"/>
        <v>1458.3</v>
      </c>
      <c r="Q1701" s="7">
        <f>прил.6!R817</f>
        <v>0</v>
      </c>
      <c r="R1701" s="35">
        <f t="shared" si="375"/>
        <v>1458.3</v>
      </c>
      <c r="S1701" s="7">
        <f>прил.6!T817</f>
        <v>0</v>
      </c>
      <c r="T1701" s="35">
        <f t="shared" si="367"/>
        <v>1458.3</v>
      </c>
    </row>
    <row r="1702" spans="1:20">
      <c r="A1702" s="61" t="str">
        <f ca="1">IF(ISERROR(MATCH(C1702,Код_Раздел,0)),"",INDIRECT(ADDRESS(MATCH(C1702,Код_Раздел,0)+1,2,,,"Раздел")))</f>
        <v>Культура, кинематография</v>
      </c>
      <c r="B1702" s="112" t="s">
        <v>367</v>
      </c>
      <c r="C1702" s="8" t="s">
        <v>220</v>
      </c>
      <c r="D1702" s="1"/>
      <c r="E1702" s="113"/>
      <c r="F1702" s="7"/>
      <c r="G1702" s="7"/>
      <c r="H1702" s="35"/>
      <c r="I1702" s="7">
        <f>I1703+I1707</f>
        <v>69</v>
      </c>
      <c r="J1702" s="35">
        <f t="shared" ref="J1702:J1710" si="380">H1702+I1702</f>
        <v>69</v>
      </c>
      <c r="K1702" s="7">
        <f>K1703+K1707</f>
        <v>0</v>
      </c>
      <c r="L1702" s="35">
        <f t="shared" si="374"/>
        <v>69</v>
      </c>
      <c r="M1702" s="7">
        <f>M1703+M1707</f>
        <v>0</v>
      </c>
      <c r="N1702" s="35">
        <f t="shared" si="361"/>
        <v>69</v>
      </c>
      <c r="O1702" s="7">
        <f>O1703+O1707</f>
        <v>0</v>
      </c>
      <c r="P1702" s="35">
        <f t="shared" si="379"/>
        <v>69</v>
      </c>
      <c r="Q1702" s="7">
        <f>Q1703+Q1707</f>
        <v>0</v>
      </c>
      <c r="R1702" s="35">
        <f t="shared" si="375"/>
        <v>69</v>
      </c>
      <c r="S1702" s="7">
        <f>S1703+S1707</f>
        <v>0</v>
      </c>
      <c r="T1702" s="35">
        <f t="shared" si="367"/>
        <v>69</v>
      </c>
    </row>
    <row r="1703" spans="1:20">
      <c r="A1703" s="12" t="s">
        <v>182</v>
      </c>
      <c r="B1703" s="112" t="s">
        <v>367</v>
      </c>
      <c r="C1703" s="8" t="s">
        <v>220</v>
      </c>
      <c r="D1703" s="1" t="s">
        <v>211</v>
      </c>
      <c r="E1703" s="113"/>
      <c r="F1703" s="7"/>
      <c r="G1703" s="7"/>
      <c r="H1703" s="35"/>
      <c r="I1703" s="7">
        <f>I1704</f>
        <v>33</v>
      </c>
      <c r="J1703" s="35">
        <f t="shared" si="380"/>
        <v>33</v>
      </c>
      <c r="K1703" s="7">
        <f>K1704</f>
        <v>0</v>
      </c>
      <c r="L1703" s="35">
        <f t="shared" si="374"/>
        <v>33</v>
      </c>
      <c r="M1703" s="7">
        <f>M1704</f>
        <v>0</v>
      </c>
      <c r="N1703" s="35">
        <f t="shared" si="361"/>
        <v>33</v>
      </c>
      <c r="O1703" s="7">
        <f>O1704</f>
        <v>0</v>
      </c>
      <c r="P1703" s="35">
        <f t="shared" si="379"/>
        <v>33</v>
      </c>
      <c r="Q1703" s="7">
        <f>Q1704</f>
        <v>0</v>
      </c>
      <c r="R1703" s="35">
        <f t="shared" si="375"/>
        <v>33</v>
      </c>
      <c r="S1703" s="7">
        <f>S1704</f>
        <v>0</v>
      </c>
      <c r="T1703" s="35">
        <f t="shared" si="367"/>
        <v>33</v>
      </c>
    </row>
    <row r="1704" spans="1:20" ht="33">
      <c r="A1704" s="61" t="str">
        <f ca="1">IF(ISERROR(MATCH(E1704,Код_КВР,0)),"",INDIRECT(ADDRESS(MATCH(E1704,Код_КВР,0)+1,2,,,"КВР")))</f>
        <v>Предоставление субсидий бюджетным, автономным учреждениям и иным некоммерческим организациям</v>
      </c>
      <c r="B1704" s="113" t="s">
        <v>367</v>
      </c>
      <c r="C1704" s="8" t="s">
        <v>220</v>
      </c>
      <c r="D1704" s="1" t="s">
        <v>211</v>
      </c>
      <c r="E1704" s="113">
        <v>600</v>
      </c>
      <c r="F1704" s="7"/>
      <c r="G1704" s="7"/>
      <c r="H1704" s="35"/>
      <c r="I1704" s="7">
        <f>I1705</f>
        <v>33</v>
      </c>
      <c r="J1704" s="35">
        <f t="shared" si="380"/>
        <v>33</v>
      </c>
      <c r="K1704" s="7">
        <f>K1705</f>
        <v>0</v>
      </c>
      <c r="L1704" s="35">
        <f t="shared" si="374"/>
        <v>33</v>
      </c>
      <c r="M1704" s="7">
        <f>M1705</f>
        <v>0</v>
      </c>
      <c r="N1704" s="35">
        <f t="shared" si="361"/>
        <v>33</v>
      </c>
      <c r="O1704" s="7">
        <f>O1705</f>
        <v>0</v>
      </c>
      <c r="P1704" s="35">
        <f t="shared" si="379"/>
        <v>33</v>
      </c>
      <c r="Q1704" s="7">
        <f>Q1705</f>
        <v>0</v>
      </c>
      <c r="R1704" s="35">
        <f t="shared" si="375"/>
        <v>33</v>
      </c>
      <c r="S1704" s="7">
        <f>S1705</f>
        <v>0</v>
      </c>
      <c r="T1704" s="35">
        <f t="shared" si="367"/>
        <v>33</v>
      </c>
    </row>
    <row r="1705" spans="1:20">
      <c r="A1705" s="61" t="str">
        <f ca="1">IF(ISERROR(MATCH(E1705,Код_КВР,0)),"",INDIRECT(ADDRESS(MATCH(E1705,Код_КВР,0)+1,2,,,"КВР")))</f>
        <v>Субсидии бюджетным учреждениям</v>
      </c>
      <c r="B1705" s="113" t="s">
        <v>367</v>
      </c>
      <c r="C1705" s="8" t="s">
        <v>220</v>
      </c>
      <c r="D1705" s="1" t="s">
        <v>211</v>
      </c>
      <c r="E1705" s="113">
        <v>610</v>
      </c>
      <c r="F1705" s="7"/>
      <c r="G1705" s="7"/>
      <c r="H1705" s="35"/>
      <c r="I1705" s="7">
        <f>I1706</f>
        <v>33</v>
      </c>
      <c r="J1705" s="35">
        <f t="shared" si="380"/>
        <v>33</v>
      </c>
      <c r="K1705" s="7">
        <f>K1706</f>
        <v>0</v>
      </c>
      <c r="L1705" s="35">
        <f t="shared" si="374"/>
        <v>33</v>
      </c>
      <c r="M1705" s="7">
        <f>M1706</f>
        <v>0</v>
      </c>
      <c r="N1705" s="35">
        <f t="shared" si="361"/>
        <v>33</v>
      </c>
      <c r="O1705" s="7">
        <f>O1706</f>
        <v>0</v>
      </c>
      <c r="P1705" s="35">
        <f t="shared" si="379"/>
        <v>33</v>
      </c>
      <c r="Q1705" s="7">
        <f>Q1706</f>
        <v>0</v>
      </c>
      <c r="R1705" s="35">
        <f t="shared" si="375"/>
        <v>33</v>
      </c>
      <c r="S1705" s="7">
        <f>S1706</f>
        <v>0</v>
      </c>
      <c r="T1705" s="35">
        <f t="shared" si="367"/>
        <v>33</v>
      </c>
    </row>
    <row r="1706" spans="1:20">
      <c r="A1706" s="61" t="str">
        <f ca="1">IF(ISERROR(MATCH(E1706,Код_КВР,0)),"",INDIRECT(ADDRESS(MATCH(E1706,Код_КВР,0)+1,2,,,"КВР")))</f>
        <v>Субсидии бюджетным учреждениям на иные цели</v>
      </c>
      <c r="B1706" s="113" t="s">
        <v>367</v>
      </c>
      <c r="C1706" s="8" t="s">
        <v>220</v>
      </c>
      <c r="D1706" s="1" t="s">
        <v>211</v>
      </c>
      <c r="E1706" s="113">
        <v>612</v>
      </c>
      <c r="F1706" s="7"/>
      <c r="G1706" s="7"/>
      <c r="H1706" s="35"/>
      <c r="I1706" s="7">
        <f>прил.6!J1064</f>
        <v>33</v>
      </c>
      <c r="J1706" s="35">
        <f t="shared" si="380"/>
        <v>33</v>
      </c>
      <c r="K1706" s="7">
        <f>прил.6!L1064</f>
        <v>0</v>
      </c>
      <c r="L1706" s="35">
        <f t="shared" si="374"/>
        <v>33</v>
      </c>
      <c r="M1706" s="7">
        <f>прил.6!N1064</f>
        <v>0</v>
      </c>
      <c r="N1706" s="35">
        <f t="shared" ref="N1706:N1779" si="381">L1706+M1706</f>
        <v>33</v>
      </c>
      <c r="O1706" s="7">
        <f>прил.6!P1064</f>
        <v>0</v>
      </c>
      <c r="P1706" s="35">
        <f t="shared" si="379"/>
        <v>33</v>
      </c>
      <c r="Q1706" s="7">
        <f>прил.6!R1064</f>
        <v>0</v>
      </c>
      <c r="R1706" s="35">
        <f t="shared" si="375"/>
        <v>33</v>
      </c>
      <c r="S1706" s="7">
        <f>прил.6!T1064</f>
        <v>0</v>
      </c>
      <c r="T1706" s="35">
        <f t="shared" si="367"/>
        <v>33</v>
      </c>
    </row>
    <row r="1707" spans="1:20">
      <c r="A1707" s="12" t="s">
        <v>161</v>
      </c>
      <c r="B1707" s="112" t="s">
        <v>367</v>
      </c>
      <c r="C1707" s="8" t="s">
        <v>220</v>
      </c>
      <c r="D1707" s="1" t="s">
        <v>214</v>
      </c>
      <c r="E1707" s="113"/>
      <c r="F1707" s="7"/>
      <c r="G1707" s="7"/>
      <c r="H1707" s="35"/>
      <c r="I1707" s="7">
        <f>I1708</f>
        <v>36</v>
      </c>
      <c r="J1707" s="35">
        <f t="shared" si="380"/>
        <v>36</v>
      </c>
      <c r="K1707" s="7">
        <f>K1708</f>
        <v>0</v>
      </c>
      <c r="L1707" s="35">
        <f t="shared" si="374"/>
        <v>36</v>
      </c>
      <c r="M1707" s="7">
        <f>M1708</f>
        <v>0</v>
      </c>
      <c r="N1707" s="35">
        <f t="shared" si="381"/>
        <v>36</v>
      </c>
      <c r="O1707" s="7">
        <f>O1708</f>
        <v>0</v>
      </c>
      <c r="P1707" s="35">
        <f t="shared" si="379"/>
        <v>36</v>
      </c>
      <c r="Q1707" s="7">
        <f>Q1708</f>
        <v>0</v>
      </c>
      <c r="R1707" s="35">
        <f t="shared" si="375"/>
        <v>36</v>
      </c>
      <c r="S1707" s="7">
        <f>S1708</f>
        <v>0</v>
      </c>
      <c r="T1707" s="35">
        <f t="shared" si="367"/>
        <v>36</v>
      </c>
    </row>
    <row r="1708" spans="1:20" ht="33">
      <c r="A1708" s="61" t="str">
        <f ca="1">IF(ISERROR(MATCH(E1708,Код_КВР,0)),"",INDIRECT(ADDRESS(MATCH(E1708,Код_КВР,0)+1,2,,,"КВР")))</f>
        <v>Предоставление субсидий бюджетным, автономным учреждениям и иным некоммерческим организациям</v>
      </c>
      <c r="B1708" s="113" t="s">
        <v>367</v>
      </c>
      <c r="C1708" s="8" t="s">
        <v>220</v>
      </c>
      <c r="D1708" s="1" t="s">
        <v>214</v>
      </c>
      <c r="E1708" s="113">
        <v>600</v>
      </c>
      <c r="F1708" s="7"/>
      <c r="G1708" s="7"/>
      <c r="H1708" s="35"/>
      <c r="I1708" s="7">
        <f>I1709</f>
        <v>36</v>
      </c>
      <c r="J1708" s="35">
        <f t="shared" si="380"/>
        <v>36</v>
      </c>
      <c r="K1708" s="7">
        <f>K1709</f>
        <v>0</v>
      </c>
      <c r="L1708" s="35">
        <f t="shared" si="374"/>
        <v>36</v>
      </c>
      <c r="M1708" s="7">
        <f>M1709</f>
        <v>0</v>
      </c>
      <c r="N1708" s="35">
        <f t="shared" si="381"/>
        <v>36</v>
      </c>
      <c r="O1708" s="7">
        <f>O1709</f>
        <v>0</v>
      </c>
      <c r="P1708" s="35">
        <f t="shared" si="379"/>
        <v>36</v>
      </c>
      <c r="Q1708" s="7">
        <f>Q1709</f>
        <v>0</v>
      </c>
      <c r="R1708" s="35">
        <f t="shared" si="375"/>
        <v>36</v>
      </c>
      <c r="S1708" s="7">
        <f>S1709</f>
        <v>0</v>
      </c>
      <c r="T1708" s="35">
        <f t="shared" si="367"/>
        <v>36</v>
      </c>
    </row>
    <row r="1709" spans="1:20">
      <c r="A1709" s="61" t="str">
        <f ca="1">IF(ISERROR(MATCH(E1709,Код_КВР,0)),"",INDIRECT(ADDRESS(MATCH(E1709,Код_КВР,0)+1,2,,,"КВР")))</f>
        <v>Субсидии бюджетным учреждениям</v>
      </c>
      <c r="B1709" s="113" t="s">
        <v>367</v>
      </c>
      <c r="C1709" s="8" t="s">
        <v>220</v>
      </c>
      <c r="D1709" s="1" t="s">
        <v>214</v>
      </c>
      <c r="E1709" s="113">
        <v>610</v>
      </c>
      <c r="F1709" s="7"/>
      <c r="G1709" s="7"/>
      <c r="H1709" s="35"/>
      <c r="I1709" s="7">
        <f>I1710</f>
        <v>36</v>
      </c>
      <c r="J1709" s="35">
        <f t="shared" si="380"/>
        <v>36</v>
      </c>
      <c r="K1709" s="7">
        <f>K1710</f>
        <v>0</v>
      </c>
      <c r="L1709" s="35">
        <f t="shared" si="374"/>
        <v>36</v>
      </c>
      <c r="M1709" s="7">
        <f>M1710</f>
        <v>0</v>
      </c>
      <c r="N1709" s="35">
        <f t="shared" si="381"/>
        <v>36</v>
      </c>
      <c r="O1709" s="7">
        <f>O1710</f>
        <v>0</v>
      </c>
      <c r="P1709" s="35">
        <f t="shared" si="379"/>
        <v>36</v>
      </c>
      <c r="Q1709" s="7">
        <f>Q1710</f>
        <v>0</v>
      </c>
      <c r="R1709" s="35">
        <f t="shared" si="375"/>
        <v>36</v>
      </c>
      <c r="S1709" s="7">
        <f>S1710</f>
        <v>0</v>
      </c>
      <c r="T1709" s="35">
        <f t="shared" si="367"/>
        <v>36</v>
      </c>
    </row>
    <row r="1710" spans="1:20">
      <c r="A1710" s="61" t="str">
        <f ca="1">IF(ISERROR(MATCH(E1710,Код_КВР,0)),"",INDIRECT(ADDRESS(MATCH(E1710,Код_КВР,0)+1,2,,,"КВР")))</f>
        <v>Субсидии бюджетным учреждениям на иные цели</v>
      </c>
      <c r="B1710" s="113" t="s">
        <v>367</v>
      </c>
      <c r="C1710" s="8" t="s">
        <v>220</v>
      </c>
      <c r="D1710" s="1" t="s">
        <v>214</v>
      </c>
      <c r="E1710" s="113">
        <v>612</v>
      </c>
      <c r="F1710" s="7"/>
      <c r="G1710" s="7"/>
      <c r="H1710" s="35"/>
      <c r="I1710" s="7">
        <f>прил.6!J1199</f>
        <v>36</v>
      </c>
      <c r="J1710" s="35">
        <f t="shared" si="380"/>
        <v>36</v>
      </c>
      <c r="K1710" s="7">
        <f>прил.6!L1199</f>
        <v>0</v>
      </c>
      <c r="L1710" s="35">
        <f t="shared" si="374"/>
        <v>36</v>
      </c>
      <c r="M1710" s="7">
        <f>прил.6!N1199</f>
        <v>0</v>
      </c>
      <c r="N1710" s="35">
        <f t="shared" si="381"/>
        <v>36</v>
      </c>
      <c r="O1710" s="7">
        <f>прил.6!P1199</f>
        <v>0</v>
      </c>
      <c r="P1710" s="35">
        <f t="shared" si="379"/>
        <v>36</v>
      </c>
      <c r="Q1710" s="7">
        <f>прил.6!R1199</f>
        <v>0</v>
      </c>
      <c r="R1710" s="35">
        <f t="shared" si="375"/>
        <v>36</v>
      </c>
      <c r="S1710" s="7">
        <f>прил.6!T1199</f>
        <v>0</v>
      </c>
      <c r="T1710" s="35">
        <f t="shared" si="367"/>
        <v>36</v>
      </c>
    </row>
    <row r="1711" spans="1:20">
      <c r="A1711" s="61" t="str">
        <f ca="1">IF(ISERROR(MATCH(C1711,Код_Раздел,0)),"",INDIRECT(ADDRESS(MATCH(C1711,Код_Раздел,0)+1,2,,,"Раздел")))</f>
        <v>Физическая культура и спорт</v>
      </c>
      <c r="B1711" s="112" t="s">
        <v>367</v>
      </c>
      <c r="C1711" s="8" t="s">
        <v>222</v>
      </c>
      <c r="D1711" s="1"/>
      <c r="E1711" s="113"/>
      <c r="F1711" s="7"/>
      <c r="G1711" s="7"/>
      <c r="H1711" s="35"/>
      <c r="I1711" s="7">
        <f>I1712+I1715</f>
        <v>4413.8999999999996</v>
      </c>
      <c r="J1711" s="35">
        <f t="shared" ref="J1711:J1718" si="382">H1711+I1711</f>
        <v>4413.8999999999996</v>
      </c>
      <c r="K1711" s="7">
        <f>K1712+K1715</f>
        <v>0</v>
      </c>
      <c r="L1711" s="35">
        <f t="shared" si="374"/>
        <v>4413.8999999999996</v>
      </c>
      <c r="M1711" s="7">
        <f>M1712+M1715</f>
        <v>0</v>
      </c>
      <c r="N1711" s="35">
        <f t="shared" si="381"/>
        <v>4413.8999999999996</v>
      </c>
      <c r="O1711" s="7">
        <f>O1712+O1715</f>
        <v>0</v>
      </c>
      <c r="P1711" s="35">
        <f t="shared" si="379"/>
        <v>4413.8999999999996</v>
      </c>
      <c r="Q1711" s="7">
        <f>Q1712+Q1715</f>
        <v>0</v>
      </c>
      <c r="R1711" s="35">
        <f t="shared" si="375"/>
        <v>4413.8999999999996</v>
      </c>
      <c r="S1711" s="7">
        <f>S1712+S1715</f>
        <v>0</v>
      </c>
      <c r="T1711" s="35">
        <f t="shared" si="367"/>
        <v>4413.8999999999996</v>
      </c>
    </row>
    <row r="1712" spans="1:20">
      <c r="A1712" s="12" t="s">
        <v>264</v>
      </c>
      <c r="B1712" s="112" t="s">
        <v>367</v>
      </c>
      <c r="C1712" s="8" t="s">
        <v>222</v>
      </c>
      <c r="D1712" s="1" t="s">
        <v>212</v>
      </c>
      <c r="E1712" s="113"/>
      <c r="F1712" s="7"/>
      <c r="G1712" s="7"/>
      <c r="H1712" s="35"/>
      <c r="I1712" s="7">
        <f>I1713</f>
        <v>1600</v>
      </c>
      <c r="J1712" s="35">
        <f t="shared" si="382"/>
        <v>1600</v>
      </c>
      <c r="K1712" s="7">
        <f>K1713</f>
        <v>0</v>
      </c>
      <c r="L1712" s="35">
        <f t="shared" si="374"/>
        <v>1600</v>
      </c>
      <c r="M1712" s="7">
        <f>M1713</f>
        <v>0</v>
      </c>
      <c r="N1712" s="35">
        <f t="shared" si="381"/>
        <v>1600</v>
      </c>
      <c r="O1712" s="7">
        <f>O1713</f>
        <v>0</v>
      </c>
      <c r="P1712" s="35">
        <f t="shared" si="379"/>
        <v>1600</v>
      </c>
      <c r="Q1712" s="7">
        <f>Q1713</f>
        <v>0</v>
      </c>
      <c r="R1712" s="35">
        <f t="shared" si="375"/>
        <v>1600</v>
      </c>
      <c r="S1712" s="7">
        <f>S1713</f>
        <v>0</v>
      </c>
      <c r="T1712" s="35">
        <f t="shared" si="367"/>
        <v>1600</v>
      </c>
    </row>
    <row r="1713" spans="1:20" ht="23.25" customHeight="1">
      <c r="A1713" s="61" t="str">
        <f ca="1">IF(ISERROR(MATCH(E1713,Код_КВР,0)),"",INDIRECT(ADDRESS(MATCH(E1713,Код_КВР,0)+1,2,,,"КВР")))</f>
        <v>Иные бюджетные ассигнования</v>
      </c>
      <c r="B1713" s="113" t="s">
        <v>367</v>
      </c>
      <c r="C1713" s="8" t="s">
        <v>222</v>
      </c>
      <c r="D1713" s="1" t="s">
        <v>212</v>
      </c>
      <c r="E1713" s="113">
        <v>800</v>
      </c>
      <c r="F1713" s="7"/>
      <c r="G1713" s="7"/>
      <c r="H1713" s="35"/>
      <c r="I1713" s="7">
        <f>I1714</f>
        <v>1600</v>
      </c>
      <c r="J1713" s="35">
        <f t="shared" si="382"/>
        <v>1600</v>
      </c>
      <c r="K1713" s="7">
        <f>K1714</f>
        <v>0</v>
      </c>
      <c r="L1713" s="35">
        <f t="shared" si="374"/>
        <v>1600</v>
      </c>
      <c r="M1713" s="7">
        <f>M1714</f>
        <v>0</v>
      </c>
      <c r="N1713" s="35">
        <f t="shared" si="381"/>
        <v>1600</v>
      </c>
      <c r="O1713" s="7">
        <f>O1714</f>
        <v>0</v>
      </c>
      <c r="P1713" s="35">
        <f t="shared" si="379"/>
        <v>1600</v>
      </c>
      <c r="Q1713" s="7">
        <f>Q1714</f>
        <v>0</v>
      </c>
      <c r="R1713" s="35">
        <f t="shared" si="375"/>
        <v>1600</v>
      </c>
      <c r="S1713" s="7">
        <f>S1714</f>
        <v>0</v>
      </c>
      <c r="T1713" s="35">
        <f t="shared" si="367"/>
        <v>1600</v>
      </c>
    </row>
    <row r="1714" spans="1:20" ht="49.5">
      <c r="A1714" s="61" t="str">
        <f ca="1">IF(ISERROR(MATCH(E1714,Код_КВР,0)),"",INDIRECT(ADDRESS(MATCH(E1714,Код_КВР,0)+1,2,,,"КВР")))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714" s="113" t="s">
        <v>367</v>
      </c>
      <c r="C1714" s="8" t="s">
        <v>222</v>
      </c>
      <c r="D1714" s="1" t="s">
        <v>212</v>
      </c>
      <c r="E1714" s="113">
        <v>810</v>
      </c>
      <c r="F1714" s="7"/>
      <c r="G1714" s="7"/>
      <c r="H1714" s="35"/>
      <c r="I1714" s="7">
        <f>прил.6!J1280</f>
        <v>1600</v>
      </c>
      <c r="J1714" s="35">
        <f t="shared" si="382"/>
        <v>1600</v>
      </c>
      <c r="K1714" s="7">
        <f>прил.6!L1280</f>
        <v>0</v>
      </c>
      <c r="L1714" s="35">
        <f t="shared" si="374"/>
        <v>1600</v>
      </c>
      <c r="M1714" s="7">
        <f>прил.6!N1280</f>
        <v>0</v>
      </c>
      <c r="N1714" s="35">
        <f t="shared" si="381"/>
        <v>1600</v>
      </c>
      <c r="O1714" s="7">
        <f>прил.6!P1280</f>
        <v>0</v>
      </c>
      <c r="P1714" s="35">
        <f t="shared" si="379"/>
        <v>1600</v>
      </c>
      <c r="Q1714" s="7">
        <f>прил.6!R1280</f>
        <v>0</v>
      </c>
      <c r="R1714" s="35">
        <f t="shared" si="375"/>
        <v>1600</v>
      </c>
      <c r="S1714" s="7">
        <f>прил.6!T1280</f>
        <v>0</v>
      </c>
      <c r="T1714" s="35">
        <f t="shared" si="367"/>
        <v>1600</v>
      </c>
    </row>
    <row r="1715" spans="1:20">
      <c r="A1715" s="12" t="s">
        <v>190</v>
      </c>
      <c r="B1715" s="112" t="s">
        <v>367</v>
      </c>
      <c r="C1715" s="8" t="s">
        <v>222</v>
      </c>
      <c r="D1715" s="1" t="s">
        <v>219</v>
      </c>
      <c r="E1715" s="113"/>
      <c r="F1715" s="7"/>
      <c r="G1715" s="7"/>
      <c r="H1715" s="35"/>
      <c r="I1715" s="7">
        <f>I1716</f>
        <v>2813.9</v>
      </c>
      <c r="J1715" s="35">
        <f t="shared" si="382"/>
        <v>2813.9</v>
      </c>
      <c r="K1715" s="7">
        <f>K1716</f>
        <v>0</v>
      </c>
      <c r="L1715" s="35">
        <f t="shared" si="374"/>
        <v>2813.9</v>
      </c>
      <c r="M1715" s="7">
        <f>M1716</f>
        <v>0</v>
      </c>
      <c r="N1715" s="35">
        <f t="shared" si="381"/>
        <v>2813.9</v>
      </c>
      <c r="O1715" s="7">
        <f>O1716</f>
        <v>0</v>
      </c>
      <c r="P1715" s="35">
        <f t="shared" si="379"/>
        <v>2813.9</v>
      </c>
      <c r="Q1715" s="7">
        <f>Q1716</f>
        <v>0</v>
      </c>
      <c r="R1715" s="35">
        <f t="shared" si="375"/>
        <v>2813.9</v>
      </c>
      <c r="S1715" s="7">
        <f>S1716</f>
        <v>0</v>
      </c>
      <c r="T1715" s="35">
        <f t="shared" si="367"/>
        <v>2813.9</v>
      </c>
    </row>
    <row r="1716" spans="1:20" ht="33">
      <c r="A1716" s="61" t="str">
        <f ca="1">IF(ISERROR(MATCH(E1716,Код_КВР,0)),"",INDIRECT(ADDRESS(MATCH(E1716,Код_КВР,0)+1,2,,,"КВР")))</f>
        <v>Капитальные вложения в объекты недвижимого имущества муниципальной собственности</v>
      </c>
      <c r="B1716" s="113" t="s">
        <v>367</v>
      </c>
      <c r="C1716" s="8" t="s">
        <v>222</v>
      </c>
      <c r="D1716" s="1" t="s">
        <v>219</v>
      </c>
      <c r="E1716" s="113">
        <v>400</v>
      </c>
      <c r="F1716" s="7"/>
      <c r="G1716" s="7"/>
      <c r="H1716" s="35"/>
      <c r="I1716" s="7">
        <f>I1717</f>
        <v>2813.9</v>
      </c>
      <c r="J1716" s="35">
        <f t="shared" si="382"/>
        <v>2813.9</v>
      </c>
      <c r="K1716" s="7">
        <f>K1717</f>
        <v>0</v>
      </c>
      <c r="L1716" s="35">
        <f t="shared" si="374"/>
        <v>2813.9</v>
      </c>
      <c r="M1716" s="7">
        <f>M1717</f>
        <v>0</v>
      </c>
      <c r="N1716" s="35">
        <f t="shared" si="381"/>
        <v>2813.9</v>
      </c>
      <c r="O1716" s="7">
        <f>O1717</f>
        <v>0</v>
      </c>
      <c r="P1716" s="35">
        <f t="shared" si="379"/>
        <v>2813.9</v>
      </c>
      <c r="Q1716" s="7">
        <f>Q1717</f>
        <v>0</v>
      </c>
      <c r="R1716" s="35">
        <f t="shared" si="375"/>
        <v>2813.9</v>
      </c>
      <c r="S1716" s="7">
        <f>S1717</f>
        <v>0</v>
      </c>
      <c r="T1716" s="35">
        <f t="shared" si="367"/>
        <v>2813.9</v>
      </c>
    </row>
    <row r="1717" spans="1:20" ht="20.25" customHeight="1">
      <c r="A1717" s="61" t="str">
        <f ca="1">IF(ISERROR(MATCH(E1717,Код_КВР,0)),"",INDIRECT(ADDRESS(MATCH(E1717,Код_КВР,0)+1,2,,,"КВР")))</f>
        <v>Бюджетные инвестиции</v>
      </c>
      <c r="B1717" s="113" t="s">
        <v>367</v>
      </c>
      <c r="C1717" s="8" t="s">
        <v>222</v>
      </c>
      <c r="D1717" s="1" t="s">
        <v>219</v>
      </c>
      <c r="E1717" s="113">
        <v>410</v>
      </c>
      <c r="F1717" s="7"/>
      <c r="G1717" s="7"/>
      <c r="H1717" s="35"/>
      <c r="I1717" s="7">
        <f>I1718</f>
        <v>2813.9</v>
      </c>
      <c r="J1717" s="35">
        <f t="shared" si="382"/>
        <v>2813.9</v>
      </c>
      <c r="K1717" s="7">
        <f>K1718</f>
        <v>0</v>
      </c>
      <c r="L1717" s="35">
        <f t="shared" si="374"/>
        <v>2813.9</v>
      </c>
      <c r="M1717" s="7">
        <f>M1718</f>
        <v>0</v>
      </c>
      <c r="N1717" s="35">
        <f t="shared" si="381"/>
        <v>2813.9</v>
      </c>
      <c r="O1717" s="7">
        <f>O1718</f>
        <v>0</v>
      </c>
      <c r="P1717" s="35">
        <f t="shared" si="379"/>
        <v>2813.9</v>
      </c>
      <c r="Q1717" s="7">
        <f>Q1718</f>
        <v>0</v>
      </c>
      <c r="R1717" s="35">
        <f t="shared" si="375"/>
        <v>2813.9</v>
      </c>
      <c r="S1717" s="7">
        <f>S1718</f>
        <v>0</v>
      </c>
      <c r="T1717" s="35">
        <f t="shared" si="367"/>
        <v>2813.9</v>
      </c>
    </row>
    <row r="1718" spans="1:20" ht="35.25" customHeight="1">
      <c r="A1718" s="61" t="str">
        <f ca="1">IF(ISERROR(MATCH(E1718,Код_КВР,0)),"",INDIRECT(ADDRESS(MATCH(E1718,Код_КВР,0)+1,2,,,"КВР")))</f>
        <v>Бюджетные инвестиции в объекты капитального строительства муниципальной собственности</v>
      </c>
      <c r="B1718" s="113" t="s">
        <v>367</v>
      </c>
      <c r="C1718" s="8" t="s">
        <v>222</v>
      </c>
      <c r="D1718" s="1" t="s">
        <v>219</v>
      </c>
      <c r="E1718" s="113">
        <v>414</v>
      </c>
      <c r="F1718" s="7"/>
      <c r="G1718" s="7"/>
      <c r="H1718" s="35"/>
      <c r="I1718" s="7">
        <f>прил.6!J1707</f>
        <v>2813.9</v>
      </c>
      <c r="J1718" s="35">
        <f t="shared" si="382"/>
        <v>2813.9</v>
      </c>
      <c r="K1718" s="7">
        <f>прил.6!L1707</f>
        <v>0</v>
      </c>
      <c r="L1718" s="35">
        <f t="shared" si="374"/>
        <v>2813.9</v>
      </c>
      <c r="M1718" s="7">
        <f>прил.6!N1707</f>
        <v>0</v>
      </c>
      <c r="N1718" s="35">
        <f t="shared" si="381"/>
        <v>2813.9</v>
      </c>
      <c r="O1718" s="7">
        <f>прил.6!P1707</f>
        <v>0</v>
      </c>
      <c r="P1718" s="35">
        <f t="shared" si="379"/>
        <v>2813.9</v>
      </c>
      <c r="Q1718" s="7">
        <f>прил.6!R1707</f>
        <v>0</v>
      </c>
      <c r="R1718" s="35">
        <f t="shared" si="375"/>
        <v>2813.9</v>
      </c>
      <c r="S1718" s="7">
        <f>прил.6!T1707</f>
        <v>0</v>
      </c>
      <c r="T1718" s="35">
        <f t="shared" si="367"/>
        <v>2813.9</v>
      </c>
    </row>
    <row r="1719" spans="1:20" ht="135.75" customHeight="1">
      <c r="A1719" s="61" t="str">
        <f ca="1">IF(ISERROR(MATCH(B1719,Код_КЦСР,0)),"",INDIRECT(ADDRESS(MATCH(B1719,Код_КЦСР,0)+1,2,,,"КЦСР")))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719" s="112" t="s">
        <v>386</v>
      </c>
      <c r="C1719" s="8"/>
      <c r="D1719" s="1"/>
      <c r="E1719" s="113"/>
      <c r="F1719" s="7">
        <f>F1720</f>
        <v>6969.8</v>
      </c>
      <c r="G1719" s="7">
        <f>G1720</f>
        <v>0</v>
      </c>
      <c r="H1719" s="35">
        <f t="shared" si="363"/>
        <v>6969.8</v>
      </c>
      <c r="I1719" s="7">
        <f>I1720</f>
        <v>0</v>
      </c>
      <c r="J1719" s="35">
        <f t="shared" si="360"/>
        <v>6969.8</v>
      </c>
      <c r="K1719" s="7">
        <f>K1720</f>
        <v>0</v>
      </c>
      <c r="L1719" s="35">
        <f t="shared" si="374"/>
        <v>6969.8</v>
      </c>
      <c r="M1719" s="7">
        <f>M1720</f>
        <v>0</v>
      </c>
      <c r="N1719" s="35">
        <f t="shared" si="381"/>
        <v>6969.8</v>
      </c>
      <c r="O1719" s="7">
        <f>O1720</f>
        <v>0</v>
      </c>
      <c r="P1719" s="35">
        <f t="shared" si="379"/>
        <v>6969.8</v>
      </c>
      <c r="Q1719" s="7">
        <f>Q1720</f>
        <v>0</v>
      </c>
      <c r="R1719" s="35">
        <f t="shared" si="375"/>
        <v>6969.8</v>
      </c>
      <c r="S1719" s="7">
        <f>S1720</f>
        <v>496</v>
      </c>
      <c r="T1719" s="35">
        <f t="shared" si="367"/>
        <v>7465.8</v>
      </c>
    </row>
    <row r="1720" spans="1:20">
      <c r="A1720" s="61" t="str">
        <f ca="1">IF(ISERROR(MATCH(C1720,Код_Раздел,0)),"",INDIRECT(ADDRESS(MATCH(C1720,Код_Раздел,0)+1,2,,,"Раздел")))</f>
        <v>Образование</v>
      </c>
      <c r="B1720" s="112" t="s">
        <v>386</v>
      </c>
      <c r="C1720" s="8" t="s">
        <v>193</v>
      </c>
      <c r="D1720" s="1"/>
      <c r="E1720" s="113"/>
      <c r="F1720" s="7">
        <f>F1721</f>
        <v>6969.8</v>
      </c>
      <c r="G1720" s="7">
        <f>G1721</f>
        <v>0</v>
      </c>
      <c r="H1720" s="35">
        <f t="shared" si="363"/>
        <v>6969.8</v>
      </c>
      <c r="I1720" s="7">
        <f>I1721</f>
        <v>0</v>
      </c>
      <c r="J1720" s="35">
        <f t="shared" si="360"/>
        <v>6969.8</v>
      </c>
      <c r="K1720" s="7">
        <f>K1721</f>
        <v>0</v>
      </c>
      <c r="L1720" s="35">
        <f t="shared" si="374"/>
        <v>6969.8</v>
      </c>
      <c r="M1720" s="7">
        <f>M1721</f>
        <v>0</v>
      </c>
      <c r="N1720" s="35">
        <f t="shared" si="381"/>
        <v>6969.8</v>
      </c>
      <c r="O1720" s="7">
        <f>O1721</f>
        <v>0</v>
      </c>
      <c r="P1720" s="35">
        <f t="shared" si="379"/>
        <v>6969.8</v>
      </c>
      <c r="Q1720" s="7">
        <f>Q1721</f>
        <v>0</v>
      </c>
      <c r="R1720" s="35">
        <f t="shared" si="375"/>
        <v>6969.8</v>
      </c>
      <c r="S1720" s="7">
        <f>S1721</f>
        <v>496</v>
      </c>
      <c r="T1720" s="35">
        <f t="shared" si="367"/>
        <v>7465.8</v>
      </c>
    </row>
    <row r="1721" spans="1:20">
      <c r="A1721" s="12" t="s">
        <v>249</v>
      </c>
      <c r="B1721" s="112" t="s">
        <v>386</v>
      </c>
      <c r="C1721" s="8" t="s">
        <v>193</v>
      </c>
      <c r="D1721" s="1" t="s">
        <v>217</v>
      </c>
      <c r="E1721" s="113"/>
      <c r="F1721" s="7">
        <f>F1722+F1724</f>
        <v>6969.8</v>
      </c>
      <c r="G1721" s="7">
        <f>G1722+G1724</f>
        <v>0</v>
      </c>
      <c r="H1721" s="35">
        <f t="shared" si="363"/>
        <v>6969.8</v>
      </c>
      <c r="I1721" s="7">
        <f>I1722+I1724</f>
        <v>0</v>
      </c>
      <c r="J1721" s="35">
        <f t="shared" si="360"/>
        <v>6969.8</v>
      </c>
      <c r="K1721" s="7">
        <f>K1722+K1724</f>
        <v>0</v>
      </c>
      <c r="L1721" s="35">
        <f t="shared" si="374"/>
        <v>6969.8</v>
      </c>
      <c r="M1721" s="7">
        <f>M1722+M1724</f>
        <v>0</v>
      </c>
      <c r="N1721" s="35">
        <f t="shared" si="381"/>
        <v>6969.8</v>
      </c>
      <c r="O1721" s="7">
        <f>O1722+O1724</f>
        <v>0</v>
      </c>
      <c r="P1721" s="35">
        <f t="shared" si="379"/>
        <v>6969.8</v>
      </c>
      <c r="Q1721" s="7">
        <f>Q1722+Q1724</f>
        <v>0</v>
      </c>
      <c r="R1721" s="35">
        <f t="shared" si="375"/>
        <v>6969.8</v>
      </c>
      <c r="S1721" s="7">
        <f>S1722+S1724</f>
        <v>496</v>
      </c>
      <c r="T1721" s="35">
        <f t="shared" si="367"/>
        <v>7465.8</v>
      </c>
    </row>
    <row r="1722" spans="1:20" ht="33">
      <c r="A1722" s="61" t="str">
        <f ca="1">IF(ISERROR(MATCH(E1722,Код_КВР,0)),"",INDIRECT(ADDRESS(MATCH(E1722,Код_КВР,0)+1,2,,,"КВР")))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22" s="112" t="s">
        <v>386</v>
      </c>
      <c r="C1722" s="8" t="s">
        <v>193</v>
      </c>
      <c r="D1722" s="1" t="s">
        <v>217</v>
      </c>
      <c r="E1722" s="113">
        <v>100</v>
      </c>
      <c r="F1722" s="7">
        <f>F1723</f>
        <v>6501.2</v>
      </c>
      <c r="G1722" s="7">
        <f>G1723</f>
        <v>0</v>
      </c>
      <c r="H1722" s="35">
        <f t="shared" si="363"/>
        <v>6501.2</v>
      </c>
      <c r="I1722" s="7">
        <f>I1723</f>
        <v>0</v>
      </c>
      <c r="J1722" s="35">
        <f t="shared" si="360"/>
        <v>6501.2</v>
      </c>
      <c r="K1722" s="7">
        <f>K1723</f>
        <v>0</v>
      </c>
      <c r="L1722" s="35">
        <f t="shared" si="374"/>
        <v>6501.2</v>
      </c>
      <c r="M1722" s="7">
        <f>M1723</f>
        <v>0</v>
      </c>
      <c r="N1722" s="35">
        <f t="shared" si="381"/>
        <v>6501.2</v>
      </c>
      <c r="O1722" s="7">
        <f>O1723</f>
        <v>-2</v>
      </c>
      <c r="P1722" s="35">
        <f t="shared" si="379"/>
        <v>6499.2</v>
      </c>
      <c r="Q1722" s="7">
        <f>Q1723</f>
        <v>167</v>
      </c>
      <c r="R1722" s="35">
        <f t="shared" si="375"/>
        <v>6666.2</v>
      </c>
      <c r="S1722" s="7">
        <f>S1723</f>
        <v>496</v>
      </c>
      <c r="T1722" s="35">
        <f t="shared" ref="T1722:T1786" si="383">R1722+S1722</f>
        <v>7162.2</v>
      </c>
    </row>
    <row r="1723" spans="1:20">
      <c r="A1723" s="61" t="str">
        <f ca="1">IF(ISERROR(MATCH(E1723,Код_КВР,0)),"",INDIRECT(ADDRESS(MATCH(E1723,Код_КВР,0)+1,2,,,"КВР")))</f>
        <v>Расходы на выплаты персоналу муниципальных органов</v>
      </c>
      <c r="B1723" s="112" t="s">
        <v>386</v>
      </c>
      <c r="C1723" s="8" t="s">
        <v>193</v>
      </c>
      <c r="D1723" s="1" t="s">
        <v>217</v>
      </c>
      <c r="E1723" s="113">
        <v>120</v>
      </c>
      <c r="F1723" s="7">
        <f>прил.6!G820</f>
        <v>6501.2</v>
      </c>
      <c r="G1723" s="7">
        <f>прил.6!H820</f>
        <v>0</v>
      </c>
      <c r="H1723" s="35">
        <f t="shared" si="363"/>
        <v>6501.2</v>
      </c>
      <c r="I1723" s="7">
        <f>прил.6!J820</f>
        <v>0</v>
      </c>
      <c r="J1723" s="35">
        <f t="shared" si="360"/>
        <v>6501.2</v>
      </c>
      <c r="K1723" s="7">
        <f>прил.6!L820</f>
        <v>0</v>
      </c>
      <c r="L1723" s="35">
        <f t="shared" si="374"/>
        <v>6501.2</v>
      </c>
      <c r="M1723" s="7">
        <f>прил.6!N820</f>
        <v>0</v>
      </c>
      <c r="N1723" s="35">
        <f t="shared" si="381"/>
        <v>6501.2</v>
      </c>
      <c r="O1723" s="7">
        <f>прил.6!P820</f>
        <v>-2</v>
      </c>
      <c r="P1723" s="35">
        <f t="shared" si="379"/>
        <v>6499.2</v>
      </c>
      <c r="Q1723" s="7">
        <f>прил.6!R820</f>
        <v>167</v>
      </c>
      <c r="R1723" s="35">
        <f t="shared" si="375"/>
        <v>6666.2</v>
      </c>
      <c r="S1723" s="7">
        <f>прил.6!T820</f>
        <v>496</v>
      </c>
      <c r="T1723" s="35">
        <f t="shared" si="383"/>
        <v>7162.2</v>
      </c>
    </row>
    <row r="1724" spans="1:20">
      <c r="A1724" s="61" t="str">
        <f ca="1">IF(ISERROR(MATCH(E1724,Код_КВР,0)),"",INDIRECT(ADDRESS(MATCH(E1724,Код_КВР,0)+1,2,,,"КВР")))</f>
        <v>Закупка товаров, работ и услуг для муниципальных нужд</v>
      </c>
      <c r="B1724" s="112" t="s">
        <v>386</v>
      </c>
      <c r="C1724" s="8" t="s">
        <v>193</v>
      </c>
      <c r="D1724" s="1" t="s">
        <v>217</v>
      </c>
      <c r="E1724" s="113">
        <v>200</v>
      </c>
      <c r="F1724" s="7">
        <f>F1725</f>
        <v>468.6</v>
      </c>
      <c r="G1724" s="7">
        <f>G1725</f>
        <v>0</v>
      </c>
      <c r="H1724" s="35">
        <f t="shared" si="363"/>
        <v>468.6</v>
      </c>
      <c r="I1724" s="7">
        <f>I1725</f>
        <v>0</v>
      </c>
      <c r="J1724" s="35">
        <f t="shared" si="360"/>
        <v>468.6</v>
      </c>
      <c r="K1724" s="7">
        <f>K1725</f>
        <v>0</v>
      </c>
      <c r="L1724" s="35">
        <f t="shared" si="374"/>
        <v>468.6</v>
      </c>
      <c r="M1724" s="7">
        <f>M1725</f>
        <v>0</v>
      </c>
      <c r="N1724" s="35">
        <f t="shared" si="381"/>
        <v>468.6</v>
      </c>
      <c r="O1724" s="7">
        <f>O1725</f>
        <v>2</v>
      </c>
      <c r="P1724" s="35">
        <f t="shared" si="379"/>
        <v>470.6</v>
      </c>
      <c r="Q1724" s="7">
        <f>Q1725</f>
        <v>-167</v>
      </c>
      <c r="R1724" s="35">
        <f t="shared" si="375"/>
        <v>303.60000000000002</v>
      </c>
      <c r="S1724" s="7">
        <f>S1725</f>
        <v>0</v>
      </c>
      <c r="T1724" s="35">
        <f t="shared" si="383"/>
        <v>303.60000000000002</v>
      </c>
    </row>
    <row r="1725" spans="1:20" ht="33">
      <c r="A1725" s="61" t="str">
        <f ca="1">IF(ISERROR(MATCH(E1725,Код_КВР,0)),"",INDIRECT(ADDRESS(MATCH(E1725,Код_КВР,0)+1,2,,,"КВР")))</f>
        <v>Иные закупки товаров, работ и услуг для обеспечения муниципальных нужд</v>
      </c>
      <c r="B1725" s="112" t="s">
        <v>386</v>
      </c>
      <c r="C1725" s="8" t="s">
        <v>193</v>
      </c>
      <c r="D1725" s="1" t="s">
        <v>217</v>
      </c>
      <c r="E1725" s="113">
        <v>240</v>
      </c>
      <c r="F1725" s="7">
        <f>F1726</f>
        <v>468.6</v>
      </c>
      <c r="G1725" s="7">
        <f>G1726</f>
        <v>0</v>
      </c>
      <c r="H1725" s="35">
        <f t="shared" si="363"/>
        <v>468.6</v>
      </c>
      <c r="I1725" s="7">
        <f>I1726</f>
        <v>0</v>
      </c>
      <c r="J1725" s="35">
        <f t="shared" si="360"/>
        <v>468.6</v>
      </c>
      <c r="K1725" s="7">
        <f>K1726</f>
        <v>0</v>
      </c>
      <c r="L1725" s="35">
        <f t="shared" si="374"/>
        <v>468.6</v>
      </c>
      <c r="M1725" s="7">
        <f>M1726</f>
        <v>0</v>
      </c>
      <c r="N1725" s="35">
        <f t="shared" si="381"/>
        <v>468.6</v>
      </c>
      <c r="O1725" s="7">
        <f>O1726</f>
        <v>2</v>
      </c>
      <c r="P1725" s="35">
        <f t="shared" si="379"/>
        <v>470.6</v>
      </c>
      <c r="Q1725" s="7">
        <f>Q1726</f>
        <v>-167</v>
      </c>
      <c r="R1725" s="35">
        <f t="shared" si="375"/>
        <v>303.60000000000002</v>
      </c>
      <c r="S1725" s="7">
        <f>S1726</f>
        <v>0</v>
      </c>
      <c r="T1725" s="35">
        <f t="shared" si="383"/>
        <v>303.60000000000002</v>
      </c>
    </row>
    <row r="1726" spans="1:20" ht="33">
      <c r="A1726" s="61" t="str">
        <f ca="1">IF(ISERROR(MATCH(E1726,Код_КВР,0)),"",INDIRECT(ADDRESS(MATCH(E1726,Код_КВР,0)+1,2,,,"КВР")))</f>
        <v xml:space="preserve">Прочая закупка товаров, работ и услуг для обеспечения муниципальных нужд         </v>
      </c>
      <c r="B1726" s="112" t="s">
        <v>386</v>
      </c>
      <c r="C1726" s="8" t="s">
        <v>193</v>
      </c>
      <c r="D1726" s="1" t="s">
        <v>217</v>
      </c>
      <c r="E1726" s="113">
        <v>244</v>
      </c>
      <c r="F1726" s="7">
        <f>прил.6!G823</f>
        <v>468.6</v>
      </c>
      <c r="G1726" s="7">
        <f>прил.6!H823</f>
        <v>0</v>
      </c>
      <c r="H1726" s="35">
        <f t="shared" si="363"/>
        <v>468.6</v>
      </c>
      <c r="I1726" s="7">
        <f>прил.6!J823</f>
        <v>0</v>
      </c>
      <c r="J1726" s="35">
        <f t="shared" si="360"/>
        <v>468.6</v>
      </c>
      <c r="K1726" s="7">
        <f>прил.6!L823</f>
        <v>0</v>
      </c>
      <c r="L1726" s="35">
        <f t="shared" si="374"/>
        <v>468.6</v>
      </c>
      <c r="M1726" s="7">
        <f>прил.6!N823</f>
        <v>0</v>
      </c>
      <c r="N1726" s="35">
        <f t="shared" si="381"/>
        <v>468.6</v>
      </c>
      <c r="O1726" s="7">
        <f>прил.6!P823</f>
        <v>2</v>
      </c>
      <c r="P1726" s="35">
        <f t="shared" si="379"/>
        <v>470.6</v>
      </c>
      <c r="Q1726" s="7">
        <f>прил.6!R823</f>
        <v>-167</v>
      </c>
      <c r="R1726" s="35">
        <f t="shared" si="375"/>
        <v>303.60000000000002</v>
      </c>
      <c r="S1726" s="7">
        <f>прил.6!T823</f>
        <v>0</v>
      </c>
      <c r="T1726" s="35">
        <f t="shared" si="383"/>
        <v>303.60000000000002</v>
      </c>
    </row>
    <row r="1727" spans="1:20" ht="86.25" customHeight="1">
      <c r="A1727" s="61" t="str">
        <f ca="1">IF(ISERROR(MATCH(B1727,Код_КЦСР,0)),"",INDIRECT(ADDRESS(MATCH(B1727,Код_КЦСР,0)+1,2,,,"КЦСР")))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727" s="112" t="s">
        <v>395</v>
      </c>
      <c r="C1727" s="8"/>
      <c r="D1727" s="1"/>
      <c r="E1727" s="113"/>
      <c r="F1727" s="7">
        <f>F1728</f>
        <v>21882.500000000004</v>
      </c>
      <c r="G1727" s="7">
        <f>G1728</f>
        <v>0</v>
      </c>
      <c r="H1727" s="35">
        <f t="shared" si="363"/>
        <v>21882.500000000004</v>
      </c>
      <c r="I1727" s="7">
        <f>I1728</f>
        <v>0</v>
      </c>
      <c r="J1727" s="35">
        <f t="shared" si="360"/>
        <v>21882.500000000004</v>
      </c>
      <c r="K1727" s="7">
        <f>K1728</f>
        <v>0</v>
      </c>
      <c r="L1727" s="35">
        <f t="shared" si="374"/>
        <v>21882.500000000004</v>
      </c>
      <c r="M1727" s="7">
        <f>M1728</f>
        <v>0</v>
      </c>
      <c r="N1727" s="35">
        <f t="shared" si="381"/>
        <v>21882.500000000004</v>
      </c>
      <c r="O1727" s="7">
        <f>O1728</f>
        <v>0</v>
      </c>
      <c r="P1727" s="35">
        <f t="shared" si="379"/>
        <v>21882.500000000004</v>
      </c>
      <c r="Q1727" s="7">
        <f>Q1728</f>
        <v>4672.6000000000004</v>
      </c>
      <c r="R1727" s="35">
        <f t="shared" si="375"/>
        <v>26555.100000000006</v>
      </c>
      <c r="S1727" s="7">
        <f>S1728</f>
        <v>0</v>
      </c>
      <c r="T1727" s="35">
        <f t="shared" si="383"/>
        <v>26555.100000000006</v>
      </c>
    </row>
    <row r="1728" spans="1:20">
      <c r="A1728" s="61" t="str">
        <f ca="1">IF(ISERROR(MATCH(C1728,Код_Раздел,0)),"",INDIRECT(ADDRESS(MATCH(C1728,Код_Раздел,0)+1,2,,,"Раздел")))</f>
        <v>Социальная политика</v>
      </c>
      <c r="B1728" s="112" t="s">
        <v>395</v>
      </c>
      <c r="C1728" s="8" t="s">
        <v>186</v>
      </c>
      <c r="D1728" s="1"/>
      <c r="E1728" s="113"/>
      <c r="F1728" s="7">
        <f>F1729</f>
        <v>21882.500000000004</v>
      </c>
      <c r="G1728" s="7">
        <f>G1729</f>
        <v>0</v>
      </c>
      <c r="H1728" s="35">
        <f t="shared" si="363"/>
        <v>21882.500000000004</v>
      </c>
      <c r="I1728" s="7">
        <f>I1729</f>
        <v>0</v>
      </c>
      <c r="J1728" s="35">
        <f t="shared" si="360"/>
        <v>21882.500000000004</v>
      </c>
      <c r="K1728" s="7">
        <f>K1729</f>
        <v>0</v>
      </c>
      <c r="L1728" s="35">
        <f t="shared" si="374"/>
        <v>21882.500000000004</v>
      </c>
      <c r="M1728" s="7">
        <f>M1729</f>
        <v>0</v>
      </c>
      <c r="N1728" s="35">
        <f t="shared" si="381"/>
        <v>21882.500000000004</v>
      </c>
      <c r="O1728" s="7">
        <f>O1729</f>
        <v>0</v>
      </c>
      <c r="P1728" s="35">
        <f t="shared" si="379"/>
        <v>21882.500000000004</v>
      </c>
      <c r="Q1728" s="7">
        <f>Q1729</f>
        <v>4672.6000000000004</v>
      </c>
      <c r="R1728" s="35">
        <f t="shared" si="375"/>
        <v>26555.100000000006</v>
      </c>
      <c r="S1728" s="7">
        <f>S1729</f>
        <v>0</v>
      </c>
      <c r="T1728" s="35">
        <f t="shared" si="383"/>
        <v>26555.100000000006</v>
      </c>
    </row>
    <row r="1729" spans="1:20">
      <c r="A1729" s="12" t="s">
        <v>187</v>
      </c>
      <c r="B1729" s="112" t="s">
        <v>395</v>
      </c>
      <c r="C1729" s="8" t="s">
        <v>186</v>
      </c>
      <c r="D1729" s="1" t="s">
        <v>215</v>
      </c>
      <c r="E1729" s="113"/>
      <c r="F1729" s="7">
        <f>F1730+F1732</f>
        <v>21882.500000000004</v>
      </c>
      <c r="G1729" s="7">
        <f>G1730+G1732</f>
        <v>0</v>
      </c>
      <c r="H1729" s="35">
        <f t="shared" si="363"/>
        <v>21882.500000000004</v>
      </c>
      <c r="I1729" s="7">
        <f>I1730+I1732+I1735</f>
        <v>0</v>
      </c>
      <c r="J1729" s="35">
        <f t="shared" si="360"/>
        <v>21882.500000000004</v>
      </c>
      <c r="K1729" s="7">
        <f>K1730+K1732+K1735</f>
        <v>0</v>
      </c>
      <c r="L1729" s="35">
        <f t="shared" si="374"/>
        <v>21882.500000000004</v>
      </c>
      <c r="M1729" s="7">
        <f>M1730+M1732+M1735</f>
        <v>0</v>
      </c>
      <c r="N1729" s="35">
        <f t="shared" si="381"/>
        <v>21882.500000000004</v>
      </c>
      <c r="O1729" s="7">
        <f>O1730+O1732+O1735</f>
        <v>0</v>
      </c>
      <c r="P1729" s="35">
        <f t="shared" si="379"/>
        <v>21882.500000000004</v>
      </c>
      <c r="Q1729" s="7">
        <f>Q1730+Q1732+Q1735</f>
        <v>4672.6000000000004</v>
      </c>
      <c r="R1729" s="35">
        <f t="shared" si="375"/>
        <v>26555.100000000006</v>
      </c>
      <c r="S1729" s="7">
        <f>S1730+S1732+S1735</f>
        <v>0</v>
      </c>
      <c r="T1729" s="35">
        <f t="shared" si="383"/>
        <v>26555.100000000006</v>
      </c>
    </row>
    <row r="1730" spans="1:20" ht="33">
      <c r="A1730" s="61" t="str">
        <f ca="1">IF(ISERROR(MATCH(E1730,Код_КВР,0)),"",INDIRECT(ADDRESS(MATCH(E1730,Код_КВР,0)+1,2,,,"КВР")))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30" s="112" t="s">
        <v>395</v>
      </c>
      <c r="C1730" s="8" t="s">
        <v>186</v>
      </c>
      <c r="D1730" s="1" t="s">
        <v>215</v>
      </c>
      <c r="E1730" s="113">
        <v>100</v>
      </c>
      <c r="F1730" s="7">
        <f>F1731</f>
        <v>20191.300000000003</v>
      </c>
      <c r="G1730" s="7">
        <f>G1731</f>
        <v>0</v>
      </c>
      <c r="H1730" s="35">
        <f t="shared" si="363"/>
        <v>20191.300000000003</v>
      </c>
      <c r="I1730" s="7">
        <f>I1731</f>
        <v>7.5</v>
      </c>
      <c r="J1730" s="35">
        <f t="shared" si="360"/>
        <v>20198.800000000003</v>
      </c>
      <c r="K1730" s="7">
        <f>K1731</f>
        <v>0</v>
      </c>
      <c r="L1730" s="35">
        <f t="shared" si="374"/>
        <v>20198.800000000003</v>
      </c>
      <c r="M1730" s="7">
        <f>M1731</f>
        <v>0</v>
      </c>
      <c r="N1730" s="35">
        <f t="shared" si="381"/>
        <v>20198.800000000003</v>
      </c>
      <c r="O1730" s="7">
        <f>O1731</f>
        <v>0</v>
      </c>
      <c r="P1730" s="35">
        <f t="shared" si="379"/>
        <v>20198.800000000003</v>
      </c>
      <c r="Q1730" s="7">
        <f>Q1731</f>
        <v>3240.9</v>
      </c>
      <c r="R1730" s="35">
        <f t="shared" si="375"/>
        <v>23439.700000000004</v>
      </c>
      <c r="S1730" s="7">
        <f>S1731</f>
        <v>-0.8</v>
      </c>
      <c r="T1730" s="35">
        <f t="shared" si="383"/>
        <v>23438.900000000005</v>
      </c>
    </row>
    <row r="1731" spans="1:20">
      <c r="A1731" s="61" t="str">
        <f ca="1">IF(ISERROR(MATCH(E1731,Код_КВР,0)),"",INDIRECT(ADDRESS(MATCH(E1731,Код_КВР,0)+1,2,,,"КВР")))</f>
        <v>Расходы на выплаты персоналу муниципальных органов</v>
      </c>
      <c r="B1731" s="112" t="s">
        <v>395</v>
      </c>
      <c r="C1731" s="8" t="s">
        <v>186</v>
      </c>
      <c r="D1731" s="1" t="s">
        <v>215</v>
      </c>
      <c r="E1731" s="113">
        <v>120</v>
      </c>
      <c r="F1731" s="7">
        <f>прил.6!G1469</f>
        <v>20191.300000000003</v>
      </c>
      <c r="G1731" s="7">
        <f>прил.6!H1469</f>
        <v>0</v>
      </c>
      <c r="H1731" s="35">
        <f t="shared" si="363"/>
        <v>20191.300000000003</v>
      </c>
      <c r="I1731" s="7">
        <f>прил.6!J1469</f>
        <v>7.5</v>
      </c>
      <c r="J1731" s="35">
        <f t="shared" si="360"/>
        <v>20198.800000000003</v>
      </c>
      <c r="K1731" s="7">
        <f>прил.6!L1469</f>
        <v>0</v>
      </c>
      <c r="L1731" s="35">
        <f t="shared" si="374"/>
        <v>20198.800000000003</v>
      </c>
      <c r="M1731" s="7">
        <f>прил.6!N1469</f>
        <v>0</v>
      </c>
      <c r="N1731" s="35">
        <f t="shared" si="381"/>
        <v>20198.800000000003</v>
      </c>
      <c r="O1731" s="7">
        <f>прил.6!P1469</f>
        <v>0</v>
      </c>
      <c r="P1731" s="35">
        <f t="shared" si="379"/>
        <v>20198.800000000003</v>
      </c>
      <c r="Q1731" s="7">
        <f>прил.6!R1469</f>
        <v>3240.9</v>
      </c>
      <c r="R1731" s="35">
        <f t="shared" si="375"/>
        <v>23439.700000000004</v>
      </c>
      <c r="S1731" s="7">
        <f>прил.6!T1469</f>
        <v>-0.8</v>
      </c>
      <c r="T1731" s="35">
        <f t="shared" si="383"/>
        <v>23438.900000000005</v>
      </c>
    </row>
    <row r="1732" spans="1:20">
      <c r="A1732" s="61" t="str">
        <f ca="1">IF(ISERROR(MATCH(E1732,Код_КВР,0)),"",INDIRECT(ADDRESS(MATCH(E1732,Код_КВР,0)+1,2,,,"КВР")))</f>
        <v>Закупка товаров, работ и услуг для муниципальных нужд</v>
      </c>
      <c r="B1732" s="112" t="s">
        <v>395</v>
      </c>
      <c r="C1732" s="8" t="s">
        <v>186</v>
      </c>
      <c r="D1732" s="1" t="s">
        <v>215</v>
      </c>
      <c r="E1732" s="113">
        <v>200</v>
      </c>
      <c r="F1732" s="7">
        <f>F1733</f>
        <v>1691.1999999999998</v>
      </c>
      <c r="G1732" s="7">
        <f>G1733</f>
        <v>0</v>
      </c>
      <c r="H1732" s="35">
        <f t="shared" si="363"/>
        <v>1691.1999999999998</v>
      </c>
      <c r="I1732" s="7">
        <f>I1733</f>
        <v>-24.9</v>
      </c>
      <c r="J1732" s="35">
        <f t="shared" si="360"/>
        <v>1666.2999999999997</v>
      </c>
      <c r="K1732" s="7">
        <f>K1733</f>
        <v>0</v>
      </c>
      <c r="L1732" s="35">
        <f t="shared" ref="L1732:L1805" si="384">J1732+K1732</f>
        <v>1666.2999999999997</v>
      </c>
      <c r="M1732" s="7">
        <f>M1733</f>
        <v>0</v>
      </c>
      <c r="N1732" s="35">
        <f t="shared" si="381"/>
        <v>1666.2999999999997</v>
      </c>
      <c r="O1732" s="7">
        <f>O1733</f>
        <v>0</v>
      </c>
      <c r="P1732" s="35">
        <f t="shared" si="379"/>
        <v>1666.2999999999997</v>
      </c>
      <c r="Q1732" s="7">
        <f>Q1733</f>
        <v>1431.4</v>
      </c>
      <c r="R1732" s="35">
        <f t="shared" si="375"/>
        <v>3097.7</v>
      </c>
      <c r="S1732" s="7">
        <f>S1733</f>
        <v>0</v>
      </c>
      <c r="T1732" s="35">
        <f t="shared" si="383"/>
        <v>3097.7</v>
      </c>
    </row>
    <row r="1733" spans="1:20" ht="33">
      <c r="A1733" s="61" t="str">
        <f ca="1">IF(ISERROR(MATCH(E1733,Код_КВР,0)),"",INDIRECT(ADDRESS(MATCH(E1733,Код_КВР,0)+1,2,,,"КВР")))</f>
        <v>Иные закупки товаров, работ и услуг для обеспечения муниципальных нужд</v>
      </c>
      <c r="B1733" s="112" t="s">
        <v>395</v>
      </c>
      <c r="C1733" s="8" t="s">
        <v>186</v>
      </c>
      <c r="D1733" s="1" t="s">
        <v>215</v>
      </c>
      <c r="E1733" s="113">
        <v>240</v>
      </c>
      <c r="F1733" s="7">
        <f>F1734</f>
        <v>1691.1999999999998</v>
      </c>
      <c r="G1733" s="7">
        <f>G1734</f>
        <v>0</v>
      </c>
      <c r="H1733" s="35">
        <f t="shared" si="363"/>
        <v>1691.1999999999998</v>
      </c>
      <c r="I1733" s="7">
        <f>I1734</f>
        <v>-24.9</v>
      </c>
      <c r="J1733" s="35">
        <f t="shared" si="360"/>
        <v>1666.2999999999997</v>
      </c>
      <c r="K1733" s="7">
        <f>K1734</f>
        <v>0</v>
      </c>
      <c r="L1733" s="35">
        <f t="shared" si="384"/>
        <v>1666.2999999999997</v>
      </c>
      <c r="M1733" s="7">
        <f>M1734</f>
        <v>0</v>
      </c>
      <c r="N1733" s="35">
        <f t="shared" si="381"/>
        <v>1666.2999999999997</v>
      </c>
      <c r="O1733" s="7">
        <f>O1734</f>
        <v>0</v>
      </c>
      <c r="P1733" s="35">
        <f t="shared" si="379"/>
        <v>1666.2999999999997</v>
      </c>
      <c r="Q1733" s="7">
        <f>Q1734</f>
        <v>1431.4</v>
      </c>
      <c r="R1733" s="35">
        <f t="shared" si="375"/>
        <v>3097.7</v>
      </c>
      <c r="S1733" s="7">
        <f>S1734</f>
        <v>0</v>
      </c>
      <c r="T1733" s="35">
        <f t="shared" si="383"/>
        <v>3097.7</v>
      </c>
    </row>
    <row r="1734" spans="1:20" ht="33">
      <c r="A1734" s="61" t="str">
        <f ca="1">IF(ISERROR(MATCH(E1734,Код_КВР,0)),"",INDIRECT(ADDRESS(MATCH(E1734,Код_КВР,0)+1,2,,,"КВР")))</f>
        <v xml:space="preserve">Прочая закупка товаров, работ и услуг для обеспечения муниципальных нужд         </v>
      </c>
      <c r="B1734" s="112" t="s">
        <v>395</v>
      </c>
      <c r="C1734" s="8" t="s">
        <v>186</v>
      </c>
      <c r="D1734" s="1" t="s">
        <v>215</v>
      </c>
      <c r="E1734" s="113">
        <v>244</v>
      </c>
      <c r="F1734" s="7">
        <f>прил.6!G1472</f>
        <v>1691.1999999999998</v>
      </c>
      <c r="G1734" s="7">
        <f>прил.6!H1472</f>
        <v>0</v>
      </c>
      <c r="H1734" s="35">
        <f t="shared" si="363"/>
        <v>1691.1999999999998</v>
      </c>
      <c r="I1734" s="7">
        <f>прил.6!J1472</f>
        <v>-24.9</v>
      </c>
      <c r="J1734" s="35">
        <f t="shared" si="360"/>
        <v>1666.2999999999997</v>
      </c>
      <c r="K1734" s="7">
        <f>прил.6!L1472</f>
        <v>0</v>
      </c>
      <c r="L1734" s="35">
        <f t="shared" si="384"/>
        <v>1666.2999999999997</v>
      </c>
      <c r="M1734" s="7">
        <f>прил.6!N1472</f>
        <v>0</v>
      </c>
      <c r="N1734" s="35">
        <f t="shared" si="381"/>
        <v>1666.2999999999997</v>
      </c>
      <c r="O1734" s="7">
        <f>прил.6!P1472</f>
        <v>0</v>
      </c>
      <c r="P1734" s="35">
        <f t="shared" si="379"/>
        <v>1666.2999999999997</v>
      </c>
      <c r="Q1734" s="7">
        <f>прил.6!R1472</f>
        <v>1431.4</v>
      </c>
      <c r="R1734" s="35">
        <f t="shared" si="375"/>
        <v>3097.7</v>
      </c>
      <c r="S1734" s="7">
        <f>прил.6!T1472</f>
        <v>0</v>
      </c>
      <c r="T1734" s="35">
        <f t="shared" si="383"/>
        <v>3097.7</v>
      </c>
    </row>
    <row r="1735" spans="1:20">
      <c r="A1735" s="61" t="str">
        <f t="shared" ref="A1735:A1740" ca="1" si="385">IF(ISERROR(MATCH(E1735,Код_КВР,0)),"",INDIRECT(ADDRESS(MATCH(E1735,Код_КВР,0)+1,2,,,"КВР")))</f>
        <v>Иные бюджетные ассигнования</v>
      </c>
      <c r="B1735" s="112" t="s">
        <v>395</v>
      </c>
      <c r="C1735" s="8" t="s">
        <v>186</v>
      </c>
      <c r="D1735" s="1" t="s">
        <v>215</v>
      </c>
      <c r="E1735" s="113">
        <v>800</v>
      </c>
      <c r="F1735" s="7"/>
      <c r="G1735" s="7"/>
      <c r="H1735" s="35"/>
      <c r="I1735" s="7">
        <f>I1738</f>
        <v>17.399999999999999</v>
      </c>
      <c r="J1735" s="35">
        <f t="shared" si="360"/>
        <v>17.399999999999999</v>
      </c>
      <c r="K1735" s="7">
        <f>K1738</f>
        <v>0</v>
      </c>
      <c r="L1735" s="35">
        <f t="shared" si="384"/>
        <v>17.399999999999999</v>
      </c>
      <c r="M1735" s="7">
        <f>M1738</f>
        <v>0</v>
      </c>
      <c r="N1735" s="35">
        <f t="shared" si="381"/>
        <v>17.399999999999999</v>
      </c>
      <c r="O1735" s="7">
        <f>O1738</f>
        <v>0</v>
      </c>
      <c r="P1735" s="35">
        <f t="shared" si="379"/>
        <v>17.399999999999999</v>
      </c>
      <c r="Q1735" s="7">
        <f>Q1738+Q1736</f>
        <v>0.29999999999999982</v>
      </c>
      <c r="R1735" s="35">
        <f t="shared" si="375"/>
        <v>17.7</v>
      </c>
      <c r="S1735" s="7">
        <f>S1738+S1736</f>
        <v>0.8</v>
      </c>
      <c r="T1735" s="35">
        <f t="shared" si="383"/>
        <v>18.5</v>
      </c>
    </row>
    <row r="1736" spans="1:20">
      <c r="A1736" s="61" t="str">
        <f t="shared" ref="A1736:A1737" ca="1" si="386">IF(ISERROR(MATCH(E1736,Код_КВР,0)),"",INDIRECT(ADDRESS(MATCH(E1736,Код_КВР,0)+1,2,,,"КВР")))</f>
        <v>Исполнение судебных актов</v>
      </c>
      <c r="B1736" s="112" t="s">
        <v>395</v>
      </c>
      <c r="C1736" s="8" t="s">
        <v>186</v>
      </c>
      <c r="D1736" s="1" t="s">
        <v>215</v>
      </c>
      <c r="E1736" s="113">
        <v>830</v>
      </c>
      <c r="F1736" s="7"/>
      <c r="G1736" s="7"/>
      <c r="H1736" s="35"/>
      <c r="I1736" s="7"/>
      <c r="J1736" s="35"/>
      <c r="K1736" s="7"/>
      <c r="L1736" s="35"/>
      <c r="M1736" s="7"/>
      <c r="N1736" s="35"/>
      <c r="O1736" s="7"/>
      <c r="P1736" s="35"/>
      <c r="Q1736" s="7">
        <f>Q1737</f>
        <v>4.0999999999999996</v>
      </c>
      <c r="R1736" s="35">
        <f t="shared" si="375"/>
        <v>4.0999999999999996</v>
      </c>
      <c r="S1736" s="7">
        <f>S1737</f>
        <v>0.9</v>
      </c>
      <c r="T1736" s="35">
        <f t="shared" si="383"/>
        <v>5</v>
      </c>
    </row>
    <row r="1737" spans="1:20" ht="86.25" customHeight="1">
      <c r="A1737" s="61" t="str">
        <f t="shared" ca="1" si="386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737" s="112" t="s">
        <v>395</v>
      </c>
      <c r="C1737" s="8" t="s">
        <v>186</v>
      </c>
      <c r="D1737" s="1" t="s">
        <v>215</v>
      </c>
      <c r="E1737" s="113">
        <v>831</v>
      </c>
      <c r="F1737" s="7"/>
      <c r="G1737" s="7"/>
      <c r="H1737" s="35"/>
      <c r="I1737" s="7"/>
      <c r="J1737" s="35"/>
      <c r="K1737" s="7"/>
      <c r="L1737" s="35"/>
      <c r="M1737" s="7"/>
      <c r="N1737" s="35"/>
      <c r="O1737" s="7"/>
      <c r="P1737" s="35"/>
      <c r="Q1737" s="7">
        <f>прил.6!R1475</f>
        <v>4.0999999999999996</v>
      </c>
      <c r="R1737" s="35">
        <f t="shared" si="375"/>
        <v>4.0999999999999996</v>
      </c>
      <c r="S1737" s="7">
        <f>прил.6!T1475</f>
        <v>0.9</v>
      </c>
      <c r="T1737" s="35">
        <f t="shared" si="383"/>
        <v>5</v>
      </c>
    </row>
    <row r="1738" spans="1:20">
      <c r="A1738" s="61" t="str">
        <f t="shared" ca="1" si="385"/>
        <v>Уплата налогов, сборов и иных платежей</v>
      </c>
      <c r="B1738" s="112" t="s">
        <v>395</v>
      </c>
      <c r="C1738" s="8" t="s">
        <v>186</v>
      </c>
      <c r="D1738" s="1" t="s">
        <v>215</v>
      </c>
      <c r="E1738" s="113">
        <v>850</v>
      </c>
      <c r="F1738" s="7"/>
      <c r="G1738" s="7"/>
      <c r="H1738" s="35"/>
      <c r="I1738" s="7">
        <f>I1739+I1740</f>
        <v>17.399999999999999</v>
      </c>
      <c r="J1738" s="35">
        <f t="shared" si="360"/>
        <v>17.399999999999999</v>
      </c>
      <c r="K1738" s="7">
        <f>K1739+K1740</f>
        <v>0</v>
      </c>
      <c r="L1738" s="35">
        <f t="shared" si="384"/>
        <v>17.399999999999999</v>
      </c>
      <c r="M1738" s="7">
        <f>M1739+M1740</f>
        <v>0</v>
      </c>
      <c r="N1738" s="35">
        <f t="shared" si="381"/>
        <v>17.399999999999999</v>
      </c>
      <c r="O1738" s="7">
        <f>O1739+O1740</f>
        <v>0</v>
      </c>
      <c r="P1738" s="35">
        <f t="shared" si="379"/>
        <v>17.399999999999999</v>
      </c>
      <c r="Q1738" s="7">
        <f>Q1739+Q1740</f>
        <v>-3.8</v>
      </c>
      <c r="R1738" s="35">
        <f t="shared" si="375"/>
        <v>13.599999999999998</v>
      </c>
      <c r="S1738" s="7">
        <f>S1739+S1740</f>
        <v>-0.1</v>
      </c>
      <c r="T1738" s="35">
        <f t="shared" si="383"/>
        <v>13.499999999999998</v>
      </c>
    </row>
    <row r="1739" spans="1:20">
      <c r="A1739" s="61" t="str">
        <f t="shared" ca="1" si="385"/>
        <v>Уплата налога на имущество организаций и земельного налога</v>
      </c>
      <c r="B1739" s="112" t="s">
        <v>395</v>
      </c>
      <c r="C1739" s="8" t="s">
        <v>186</v>
      </c>
      <c r="D1739" s="1" t="s">
        <v>215</v>
      </c>
      <c r="E1739" s="113">
        <v>851</v>
      </c>
      <c r="F1739" s="7"/>
      <c r="G1739" s="7"/>
      <c r="H1739" s="35"/>
      <c r="I1739" s="7">
        <f>прил.6!J1477</f>
        <v>7.4</v>
      </c>
      <c r="J1739" s="35">
        <f t="shared" si="360"/>
        <v>7.4</v>
      </c>
      <c r="K1739" s="7">
        <f>прил.6!L1477</f>
        <v>0</v>
      </c>
      <c r="L1739" s="35">
        <f t="shared" si="384"/>
        <v>7.4</v>
      </c>
      <c r="M1739" s="7">
        <f>прил.6!N1477</f>
        <v>0</v>
      </c>
      <c r="N1739" s="35">
        <f t="shared" si="381"/>
        <v>7.4</v>
      </c>
      <c r="O1739" s="7">
        <f>прил.6!P1477</f>
        <v>0</v>
      </c>
      <c r="P1739" s="35">
        <f t="shared" si="379"/>
        <v>7.4</v>
      </c>
      <c r="Q1739" s="7">
        <f>прил.6!R1477</f>
        <v>-3</v>
      </c>
      <c r="R1739" s="35">
        <f t="shared" si="375"/>
        <v>4.4000000000000004</v>
      </c>
      <c r="S1739" s="7">
        <f>прил.6!T1477</f>
        <v>-0.1</v>
      </c>
      <c r="T1739" s="35">
        <f t="shared" si="383"/>
        <v>4.3000000000000007</v>
      </c>
    </row>
    <row r="1740" spans="1:20">
      <c r="A1740" s="61" t="str">
        <f t="shared" ca="1" si="385"/>
        <v>Уплата прочих налогов, сборов и иных платежей</v>
      </c>
      <c r="B1740" s="112" t="s">
        <v>395</v>
      </c>
      <c r="C1740" s="8" t="s">
        <v>186</v>
      </c>
      <c r="D1740" s="1" t="s">
        <v>215</v>
      </c>
      <c r="E1740" s="113">
        <v>852</v>
      </c>
      <c r="F1740" s="7"/>
      <c r="G1740" s="7"/>
      <c r="H1740" s="35"/>
      <c r="I1740" s="7">
        <f>прил.6!J1478</f>
        <v>10</v>
      </c>
      <c r="J1740" s="35">
        <f t="shared" si="360"/>
        <v>10</v>
      </c>
      <c r="K1740" s="7">
        <f>прил.6!L1478</f>
        <v>0</v>
      </c>
      <c r="L1740" s="35">
        <f t="shared" si="384"/>
        <v>10</v>
      </c>
      <c r="M1740" s="7">
        <f>прил.6!N1478</f>
        <v>0</v>
      </c>
      <c r="N1740" s="35">
        <f t="shared" si="381"/>
        <v>10</v>
      </c>
      <c r="O1740" s="7">
        <f>прил.6!P1478</f>
        <v>0</v>
      </c>
      <c r="P1740" s="35">
        <f t="shared" si="379"/>
        <v>10</v>
      </c>
      <c r="Q1740" s="7">
        <f>прил.6!R1478</f>
        <v>-0.8</v>
      </c>
      <c r="R1740" s="35">
        <f t="shared" si="375"/>
        <v>9.1999999999999993</v>
      </c>
      <c r="S1740" s="7">
        <f>прил.6!T1478</f>
        <v>0</v>
      </c>
      <c r="T1740" s="35">
        <f t="shared" si="383"/>
        <v>9.1999999999999993</v>
      </c>
    </row>
    <row r="1741" spans="1:20" ht="150.75" customHeight="1">
      <c r="A1741" s="61" t="str">
        <f ca="1">IF(ISERROR(MATCH(B1741,Код_КЦСР,0)),"",INDIRECT(ADDRESS(MATCH(B1741,Код_КЦСР,0)+1,2,,,"КЦСР")))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741" s="112" t="s">
        <v>390</v>
      </c>
      <c r="C1741" s="8"/>
      <c r="D1741" s="1"/>
      <c r="E1741" s="113"/>
      <c r="F1741" s="7">
        <f>F1742</f>
        <v>2682.5</v>
      </c>
      <c r="G1741" s="7">
        <f>G1742</f>
        <v>0</v>
      </c>
      <c r="H1741" s="35">
        <f t="shared" si="363"/>
        <v>2682.5</v>
      </c>
      <c r="I1741" s="7">
        <f>I1742</f>
        <v>0</v>
      </c>
      <c r="J1741" s="35">
        <f t="shared" si="360"/>
        <v>2682.5</v>
      </c>
      <c r="K1741" s="7">
        <f>K1742</f>
        <v>0</v>
      </c>
      <c r="L1741" s="35">
        <f t="shared" si="384"/>
        <v>2682.5</v>
      </c>
      <c r="M1741" s="7">
        <f>M1742</f>
        <v>0</v>
      </c>
      <c r="N1741" s="35">
        <f t="shared" si="381"/>
        <v>2682.5</v>
      </c>
      <c r="O1741" s="7">
        <f>O1742</f>
        <v>0</v>
      </c>
      <c r="P1741" s="35">
        <f t="shared" si="379"/>
        <v>2682.5</v>
      </c>
      <c r="Q1741" s="7">
        <f>Q1742</f>
        <v>0</v>
      </c>
      <c r="R1741" s="35">
        <f t="shared" si="375"/>
        <v>2682.5</v>
      </c>
      <c r="S1741" s="7">
        <f>S1742</f>
        <v>0</v>
      </c>
      <c r="T1741" s="35">
        <f t="shared" si="383"/>
        <v>2682.5</v>
      </c>
    </row>
    <row r="1742" spans="1:20">
      <c r="A1742" s="61" t="str">
        <f ca="1">IF(ISERROR(MATCH(C1742,Код_Раздел,0)),"",INDIRECT(ADDRESS(MATCH(C1742,Код_Раздел,0)+1,2,,,"Раздел")))</f>
        <v>Социальная политика</v>
      </c>
      <c r="B1742" s="112" t="s">
        <v>390</v>
      </c>
      <c r="C1742" s="8" t="s">
        <v>186</v>
      </c>
      <c r="D1742" s="1"/>
      <c r="E1742" s="113"/>
      <c r="F1742" s="7">
        <f>F1743</f>
        <v>2682.5</v>
      </c>
      <c r="G1742" s="7">
        <f>G1743</f>
        <v>0</v>
      </c>
      <c r="H1742" s="35">
        <f t="shared" si="363"/>
        <v>2682.5</v>
      </c>
      <c r="I1742" s="7">
        <f>I1743</f>
        <v>0</v>
      </c>
      <c r="J1742" s="35">
        <f t="shared" si="360"/>
        <v>2682.5</v>
      </c>
      <c r="K1742" s="7">
        <f>K1743</f>
        <v>0</v>
      </c>
      <c r="L1742" s="35">
        <f t="shared" si="384"/>
        <v>2682.5</v>
      </c>
      <c r="M1742" s="7">
        <f>M1743</f>
        <v>0</v>
      </c>
      <c r="N1742" s="35">
        <f t="shared" si="381"/>
        <v>2682.5</v>
      </c>
      <c r="O1742" s="7">
        <f>O1743</f>
        <v>0</v>
      </c>
      <c r="P1742" s="35">
        <f t="shared" si="379"/>
        <v>2682.5</v>
      </c>
      <c r="Q1742" s="7">
        <f>Q1743</f>
        <v>0</v>
      </c>
      <c r="R1742" s="35">
        <f t="shared" ref="R1742:R1819" si="387">P1742+Q1742</f>
        <v>2682.5</v>
      </c>
      <c r="S1742" s="7">
        <f>S1743</f>
        <v>0</v>
      </c>
      <c r="T1742" s="35">
        <f t="shared" si="383"/>
        <v>2682.5</v>
      </c>
    </row>
    <row r="1743" spans="1:20">
      <c r="A1743" s="12" t="s">
        <v>187</v>
      </c>
      <c r="B1743" s="112" t="s">
        <v>390</v>
      </c>
      <c r="C1743" s="8" t="s">
        <v>186</v>
      </c>
      <c r="D1743" s="1" t="s">
        <v>215</v>
      </c>
      <c r="E1743" s="113"/>
      <c r="F1743" s="7">
        <f>F1744+F1746</f>
        <v>2682.5</v>
      </c>
      <c r="G1743" s="7">
        <f>G1744+G1746</f>
        <v>0</v>
      </c>
      <c r="H1743" s="35">
        <f t="shared" si="363"/>
        <v>2682.5</v>
      </c>
      <c r="I1743" s="7">
        <f>I1744+I1746</f>
        <v>0</v>
      </c>
      <c r="J1743" s="35">
        <f t="shared" si="360"/>
        <v>2682.5</v>
      </c>
      <c r="K1743" s="7">
        <f>K1744+K1746</f>
        <v>0</v>
      </c>
      <c r="L1743" s="35">
        <f t="shared" si="384"/>
        <v>2682.5</v>
      </c>
      <c r="M1743" s="7">
        <f>M1744+M1746</f>
        <v>0</v>
      </c>
      <c r="N1743" s="35">
        <f t="shared" si="381"/>
        <v>2682.5</v>
      </c>
      <c r="O1743" s="7">
        <f>O1744+O1746</f>
        <v>0</v>
      </c>
      <c r="P1743" s="35">
        <f t="shared" si="379"/>
        <v>2682.5</v>
      </c>
      <c r="Q1743" s="7">
        <f>Q1744+Q1746</f>
        <v>0</v>
      </c>
      <c r="R1743" s="35">
        <f t="shared" si="387"/>
        <v>2682.5</v>
      </c>
      <c r="S1743" s="7">
        <f>S1744+S1746</f>
        <v>0</v>
      </c>
      <c r="T1743" s="35">
        <f t="shared" si="383"/>
        <v>2682.5</v>
      </c>
    </row>
    <row r="1744" spans="1:20" ht="33">
      <c r="A1744" s="61" t="str">
        <f ca="1">IF(ISERROR(MATCH(E1744,Код_КВР,0)),"",INDIRECT(ADDRESS(MATCH(E1744,Код_КВР,0)+1,2,,,"КВР")))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44" s="112" t="s">
        <v>390</v>
      </c>
      <c r="C1744" s="8" t="s">
        <v>186</v>
      </c>
      <c r="D1744" s="1" t="s">
        <v>215</v>
      </c>
      <c r="E1744" s="113">
        <v>100</v>
      </c>
      <c r="F1744" s="7">
        <f>F1745</f>
        <v>2180.9</v>
      </c>
      <c r="G1744" s="7">
        <f>G1745</f>
        <v>0</v>
      </c>
      <c r="H1744" s="35">
        <f t="shared" si="363"/>
        <v>2180.9</v>
      </c>
      <c r="I1744" s="7">
        <f>I1745</f>
        <v>0</v>
      </c>
      <c r="J1744" s="35">
        <f t="shared" si="360"/>
        <v>2180.9</v>
      </c>
      <c r="K1744" s="7">
        <f>K1745</f>
        <v>0</v>
      </c>
      <c r="L1744" s="35">
        <f t="shared" si="384"/>
        <v>2180.9</v>
      </c>
      <c r="M1744" s="7">
        <f>M1745</f>
        <v>0</v>
      </c>
      <c r="N1744" s="35">
        <f t="shared" si="381"/>
        <v>2180.9</v>
      </c>
      <c r="O1744" s="7">
        <f>O1745</f>
        <v>0</v>
      </c>
      <c r="P1744" s="35">
        <f t="shared" si="379"/>
        <v>2180.9</v>
      </c>
      <c r="Q1744" s="7">
        <f>Q1745</f>
        <v>0</v>
      </c>
      <c r="R1744" s="35">
        <f t="shared" si="387"/>
        <v>2180.9</v>
      </c>
      <c r="S1744" s="7">
        <f>S1745</f>
        <v>0</v>
      </c>
      <c r="T1744" s="35">
        <f t="shared" si="383"/>
        <v>2180.9</v>
      </c>
    </row>
    <row r="1745" spans="1:20">
      <c r="A1745" s="61" t="str">
        <f ca="1">IF(ISERROR(MATCH(E1745,Код_КВР,0)),"",INDIRECT(ADDRESS(MATCH(E1745,Код_КВР,0)+1,2,,,"КВР")))</f>
        <v>Расходы на выплаты персоналу муниципальных органов</v>
      </c>
      <c r="B1745" s="112" t="s">
        <v>390</v>
      </c>
      <c r="C1745" s="8" t="s">
        <v>186</v>
      </c>
      <c r="D1745" s="1" t="s">
        <v>215</v>
      </c>
      <c r="E1745" s="113">
        <v>120</v>
      </c>
      <c r="F1745" s="7">
        <f>прил.6!G1481</f>
        <v>2180.9</v>
      </c>
      <c r="G1745" s="7">
        <f>прил.6!H1481</f>
        <v>0</v>
      </c>
      <c r="H1745" s="35">
        <f t="shared" si="363"/>
        <v>2180.9</v>
      </c>
      <c r="I1745" s="7">
        <f>прил.6!J1481</f>
        <v>0</v>
      </c>
      <c r="J1745" s="35">
        <f t="shared" ref="J1745:J1822" si="388">H1745+I1745</f>
        <v>2180.9</v>
      </c>
      <c r="K1745" s="7">
        <f>прил.6!L1481</f>
        <v>0</v>
      </c>
      <c r="L1745" s="35">
        <f t="shared" si="384"/>
        <v>2180.9</v>
      </c>
      <c r="M1745" s="7">
        <f>прил.6!N1481</f>
        <v>0</v>
      </c>
      <c r="N1745" s="35">
        <f t="shared" si="381"/>
        <v>2180.9</v>
      </c>
      <c r="O1745" s="7">
        <f>прил.6!P1481</f>
        <v>0</v>
      </c>
      <c r="P1745" s="35">
        <f t="shared" si="379"/>
        <v>2180.9</v>
      </c>
      <c r="Q1745" s="7">
        <f>прил.6!R1481</f>
        <v>0</v>
      </c>
      <c r="R1745" s="35">
        <f t="shared" si="387"/>
        <v>2180.9</v>
      </c>
      <c r="S1745" s="7">
        <f>прил.6!T1481</f>
        <v>0</v>
      </c>
      <c r="T1745" s="35">
        <f t="shared" si="383"/>
        <v>2180.9</v>
      </c>
    </row>
    <row r="1746" spans="1:20">
      <c r="A1746" s="61" t="str">
        <f ca="1">IF(ISERROR(MATCH(E1746,Код_КВР,0)),"",INDIRECT(ADDRESS(MATCH(E1746,Код_КВР,0)+1,2,,,"КВР")))</f>
        <v>Закупка товаров, работ и услуг для муниципальных нужд</v>
      </c>
      <c r="B1746" s="112" t="s">
        <v>390</v>
      </c>
      <c r="C1746" s="8" t="s">
        <v>186</v>
      </c>
      <c r="D1746" s="1" t="s">
        <v>215</v>
      </c>
      <c r="E1746" s="113">
        <v>200</v>
      </c>
      <c r="F1746" s="7">
        <f>F1747</f>
        <v>501.6</v>
      </c>
      <c r="G1746" s="7">
        <f>G1747</f>
        <v>0</v>
      </c>
      <c r="H1746" s="35">
        <f t="shared" si="363"/>
        <v>501.6</v>
      </c>
      <c r="I1746" s="7">
        <f>I1747</f>
        <v>0</v>
      </c>
      <c r="J1746" s="35">
        <f t="shared" si="388"/>
        <v>501.6</v>
      </c>
      <c r="K1746" s="7">
        <f>K1747</f>
        <v>0</v>
      </c>
      <c r="L1746" s="35">
        <f t="shared" si="384"/>
        <v>501.6</v>
      </c>
      <c r="M1746" s="7">
        <f>M1747</f>
        <v>0</v>
      </c>
      <c r="N1746" s="35">
        <f t="shared" si="381"/>
        <v>501.6</v>
      </c>
      <c r="O1746" s="7">
        <f>O1747</f>
        <v>0</v>
      </c>
      <c r="P1746" s="35">
        <f t="shared" si="379"/>
        <v>501.6</v>
      </c>
      <c r="Q1746" s="7">
        <f>Q1747</f>
        <v>0</v>
      </c>
      <c r="R1746" s="35">
        <f t="shared" si="387"/>
        <v>501.6</v>
      </c>
      <c r="S1746" s="7">
        <f>S1747</f>
        <v>0</v>
      </c>
      <c r="T1746" s="35">
        <f t="shared" si="383"/>
        <v>501.6</v>
      </c>
    </row>
    <row r="1747" spans="1:20" ht="33">
      <c r="A1747" s="61" t="str">
        <f ca="1">IF(ISERROR(MATCH(E1747,Код_КВР,0)),"",INDIRECT(ADDRESS(MATCH(E1747,Код_КВР,0)+1,2,,,"КВР")))</f>
        <v>Иные закупки товаров, работ и услуг для обеспечения муниципальных нужд</v>
      </c>
      <c r="B1747" s="112" t="s">
        <v>390</v>
      </c>
      <c r="C1747" s="8" t="s">
        <v>186</v>
      </c>
      <c r="D1747" s="1" t="s">
        <v>215</v>
      </c>
      <c r="E1747" s="113">
        <v>240</v>
      </c>
      <c r="F1747" s="7">
        <f>F1748</f>
        <v>501.6</v>
      </c>
      <c r="G1747" s="7">
        <f>G1748</f>
        <v>0</v>
      </c>
      <c r="H1747" s="35">
        <f t="shared" si="363"/>
        <v>501.6</v>
      </c>
      <c r="I1747" s="7">
        <f>I1748</f>
        <v>0</v>
      </c>
      <c r="J1747" s="35">
        <f t="shared" si="388"/>
        <v>501.6</v>
      </c>
      <c r="K1747" s="7">
        <f>K1748</f>
        <v>0</v>
      </c>
      <c r="L1747" s="35">
        <f t="shared" si="384"/>
        <v>501.6</v>
      </c>
      <c r="M1747" s="7">
        <f>M1748</f>
        <v>0</v>
      </c>
      <c r="N1747" s="35">
        <f t="shared" si="381"/>
        <v>501.6</v>
      </c>
      <c r="O1747" s="7">
        <f>O1748</f>
        <v>0</v>
      </c>
      <c r="P1747" s="35">
        <f t="shared" si="379"/>
        <v>501.6</v>
      </c>
      <c r="Q1747" s="7">
        <f>Q1748</f>
        <v>0</v>
      </c>
      <c r="R1747" s="35">
        <f t="shared" si="387"/>
        <v>501.6</v>
      </c>
      <c r="S1747" s="7">
        <f>S1748</f>
        <v>0</v>
      </c>
      <c r="T1747" s="35">
        <f t="shared" si="383"/>
        <v>501.6</v>
      </c>
    </row>
    <row r="1748" spans="1:20" ht="33">
      <c r="A1748" s="61" t="str">
        <f ca="1">IF(ISERROR(MATCH(E1748,Код_КВР,0)),"",INDIRECT(ADDRESS(MATCH(E1748,Код_КВР,0)+1,2,,,"КВР")))</f>
        <v xml:space="preserve">Прочая закупка товаров, работ и услуг для обеспечения муниципальных нужд         </v>
      </c>
      <c r="B1748" s="112" t="s">
        <v>390</v>
      </c>
      <c r="C1748" s="8" t="s">
        <v>186</v>
      </c>
      <c r="D1748" s="1" t="s">
        <v>215</v>
      </c>
      <c r="E1748" s="113">
        <v>244</v>
      </c>
      <c r="F1748" s="7">
        <f>прил.6!G1484</f>
        <v>501.6</v>
      </c>
      <c r="G1748" s="7">
        <f>прил.6!H1484</f>
        <v>0</v>
      </c>
      <c r="H1748" s="35">
        <f t="shared" si="363"/>
        <v>501.6</v>
      </c>
      <c r="I1748" s="7">
        <f>прил.6!J1484</f>
        <v>0</v>
      </c>
      <c r="J1748" s="35">
        <f t="shared" si="388"/>
        <v>501.6</v>
      </c>
      <c r="K1748" s="7">
        <f>прил.6!L1484</f>
        <v>0</v>
      </c>
      <c r="L1748" s="35">
        <f t="shared" si="384"/>
        <v>501.6</v>
      </c>
      <c r="M1748" s="7">
        <f>прил.6!N1484</f>
        <v>0</v>
      </c>
      <c r="N1748" s="35">
        <f t="shared" si="381"/>
        <v>501.6</v>
      </c>
      <c r="O1748" s="7">
        <f>прил.6!P1484</f>
        <v>0</v>
      </c>
      <c r="P1748" s="35">
        <f t="shared" si="379"/>
        <v>501.6</v>
      </c>
      <c r="Q1748" s="7">
        <f>прил.6!R1484</f>
        <v>0</v>
      </c>
      <c r="R1748" s="35">
        <f t="shared" si="387"/>
        <v>501.6</v>
      </c>
      <c r="S1748" s="7">
        <f>прил.6!T1484</f>
        <v>0</v>
      </c>
      <c r="T1748" s="35">
        <f t="shared" si="383"/>
        <v>501.6</v>
      </c>
    </row>
    <row r="1749" spans="1:20" ht="120" customHeight="1">
      <c r="A1749" s="61" t="str">
        <f ca="1">IF(ISERROR(MATCH(B1749,Код_КЦСР,0)),"",INDIRECT(ADDRESS(MATCH(B1749,Код_КЦСР,0)+1,2,,,"КЦСР")))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749" s="112" t="s">
        <v>372</v>
      </c>
      <c r="C1749" s="8"/>
      <c r="D1749" s="1"/>
      <c r="E1749" s="113"/>
      <c r="F1749" s="7">
        <f>F1750</f>
        <v>1026.5999999999999</v>
      </c>
      <c r="G1749" s="7">
        <f>G1750</f>
        <v>0</v>
      </c>
      <c r="H1749" s="35">
        <f t="shared" si="363"/>
        <v>1026.5999999999999</v>
      </c>
      <c r="I1749" s="7">
        <f>I1750</f>
        <v>0</v>
      </c>
      <c r="J1749" s="35">
        <f t="shared" si="388"/>
        <v>1026.5999999999999</v>
      </c>
      <c r="K1749" s="7">
        <f>K1750</f>
        <v>0</v>
      </c>
      <c r="L1749" s="35">
        <f t="shared" si="384"/>
        <v>1026.5999999999999</v>
      </c>
      <c r="M1749" s="7">
        <f>M1750</f>
        <v>0</v>
      </c>
      <c r="N1749" s="35">
        <f t="shared" si="381"/>
        <v>1026.5999999999999</v>
      </c>
      <c r="O1749" s="7">
        <f>O1750</f>
        <v>0</v>
      </c>
      <c r="P1749" s="35">
        <f t="shared" si="379"/>
        <v>1026.5999999999999</v>
      </c>
      <c r="Q1749" s="7">
        <f>Q1750</f>
        <v>0</v>
      </c>
      <c r="R1749" s="35">
        <f t="shared" si="387"/>
        <v>1026.5999999999999</v>
      </c>
      <c r="S1749" s="7">
        <f>S1750</f>
        <v>0</v>
      </c>
      <c r="T1749" s="35">
        <f t="shared" si="383"/>
        <v>1026.5999999999999</v>
      </c>
    </row>
    <row r="1750" spans="1:20" ht="19.5" customHeight="1">
      <c r="A1750" s="61" t="str">
        <f ca="1">IF(ISERROR(MATCH(C1750,Код_Раздел,0)),"",INDIRECT(ADDRESS(MATCH(C1750,Код_Раздел,0)+1,2,,,"Раздел")))</f>
        <v>Общегосударственные  вопросы</v>
      </c>
      <c r="B1750" s="112" t="s">
        <v>372</v>
      </c>
      <c r="C1750" s="8" t="s">
        <v>211</v>
      </c>
      <c r="D1750" s="1"/>
      <c r="E1750" s="113"/>
      <c r="F1750" s="7">
        <f>F1751</f>
        <v>1026.5999999999999</v>
      </c>
      <c r="G1750" s="7">
        <f>G1751</f>
        <v>0</v>
      </c>
      <c r="H1750" s="35">
        <f t="shared" si="363"/>
        <v>1026.5999999999999</v>
      </c>
      <c r="I1750" s="7">
        <f>I1751</f>
        <v>0</v>
      </c>
      <c r="J1750" s="35">
        <f t="shared" si="388"/>
        <v>1026.5999999999999</v>
      </c>
      <c r="K1750" s="7">
        <f>K1751</f>
        <v>0</v>
      </c>
      <c r="L1750" s="35">
        <f t="shared" si="384"/>
        <v>1026.5999999999999</v>
      </c>
      <c r="M1750" s="7">
        <f>M1751</f>
        <v>0</v>
      </c>
      <c r="N1750" s="35">
        <f t="shared" si="381"/>
        <v>1026.5999999999999</v>
      </c>
      <c r="O1750" s="7">
        <f>O1751</f>
        <v>0</v>
      </c>
      <c r="P1750" s="35">
        <f t="shared" si="379"/>
        <v>1026.5999999999999</v>
      </c>
      <c r="Q1750" s="7">
        <f>Q1751</f>
        <v>0</v>
      </c>
      <c r="R1750" s="35">
        <f t="shared" si="387"/>
        <v>1026.5999999999999</v>
      </c>
      <c r="S1750" s="7">
        <f>S1751</f>
        <v>0</v>
      </c>
      <c r="T1750" s="35">
        <f t="shared" si="383"/>
        <v>1026.5999999999999</v>
      </c>
    </row>
    <row r="1751" spans="1:20" ht="55.5" customHeight="1">
      <c r="A1751" s="75" t="s">
        <v>233</v>
      </c>
      <c r="B1751" s="112" t="s">
        <v>372</v>
      </c>
      <c r="C1751" s="8" t="s">
        <v>211</v>
      </c>
      <c r="D1751" s="1" t="s">
        <v>214</v>
      </c>
      <c r="E1751" s="113"/>
      <c r="F1751" s="7">
        <f>F1752+F1754</f>
        <v>1026.5999999999999</v>
      </c>
      <c r="G1751" s="7">
        <f>G1752+G1754</f>
        <v>0</v>
      </c>
      <c r="H1751" s="35">
        <f t="shared" si="363"/>
        <v>1026.5999999999999</v>
      </c>
      <c r="I1751" s="7">
        <f>I1752+I1754</f>
        <v>0</v>
      </c>
      <c r="J1751" s="35">
        <f t="shared" si="388"/>
        <v>1026.5999999999999</v>
      </c>
      <c r="K1751" s="7">
        <f>K1752+K1754</f>
        <v>0</v>
      </c>
      <c r="L1751" s="35">
        <f t="shared" si="384"/>
        <v>1026.5999999999999</v>
      </c>
      <c r="M1751" s="7">
        <f>M1752+M1754</f>
        <v>0</v>
      </c>
      <c r="N1751" s="35">
        <f t="shared" si="381"/>
        <v>1026.5999999999999</v>
      </c>
      <c r="O1751" s="7">
        <f>O1752+O1754</f>
        <v>0</v>
      </c>
      <c r="P1751" s="35">
        <f t="shared" ref="P1751:P1823" si="389">N1751+O1751</f>
        <v>1026.5999999999999</v>
      </c>
      <c r="Q1751" s="7">
        <f>Q1752+Q1754</f>
        <v>0</v>
      </c>
      <c r="R1751" s="35">
        <f t="shared" si="387"/>
        <v>1026.5999999999999</v>
      </c>
      <c r="S1751" s="7">
        <f>S1752+S1754</f>
        <v>0</v>
      </c>
      <c r="T1751" s="35">
        <f t="shared" si="383"/>
        <v>1026.5999999999999</v>
      </c>
    </row>
    <row r="1752" spans="1:20" ht="33">
      <c r="A1752" s="61" t="str">
        <f ca="1">IF(ISERROR(MATCH(E1752,Код_КВР,0)),"",INDIRECT(ADDRESS(MATCH(E1752,Код_КВР,0)+1,2,,,"КВР")))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52" s="112" t="s">
        <v>372</v>
      </c>
      <c r="C1752" s="8" t="s">
        <v>211</v>
      </c>
      <c r="D1752" s="1" t="s">
        <v>214</v>
      </c>
      <c r="E1752" s="113">
        <v>100</v>
      </c>
      <c r="F1752" s="7">
        <f>F1753</f>
        <v>1016.6</v>
      </c>
      <c r="G1752" s="7">
        <f>G1753</f>
        <v>0</v>
      </c>
      <c r="H1752" s="35">
        <f t="shared" si="363"/>
        <v>1016.6</v>
      </c>
      <c r="I1752" s="7">
        <f>I1753</f>
        <v>0</v>
      </c>
      <c r="J1752" s="35">
        <f t="shared" si="388"/>
        <v>1016.6</v>
      </c>
      <c r="K1752" s="7">
        <f>K1753</f>
        <v>0</v>
      </c>
      <c r="L1752" s="35">
        <f t="shared" si="384"/>
        <v>1016.6</v>
      </c>
      <c r="M1752" s="7">
        <f>M1753</f>
        <v>0</v>
      </c>
      <c r="N1752" s="35">
        <f t="shared" si="381"/>
        <v>1016.6</v>
      </c>
      <c r="O1752" s="7">
        <f>O1753</f>
        <v>0</v>
      </c>
      <c r="P1752" s="35">
        <f t="shared" si="389"/>
        <v>1016.6</v>
      </c>
      <c r="Q1752" s="7">
        <f>Q1753</f>
        <v>0</v>
      </c>
      <c r="R1752" s="35">
        <f t="shared" si="387"/>
        <v>1016.6</v>
      </c>
      <c r="S1752" s="7">
        <f>S1753</f>
        <v>2.2999999999999998</v>
      </c>
      <c r="T1752" s="35">
        <f t="shared" si="383"/>
        <v>1018.9</v>
      </c>
    </row>
    <row r="1753" spans="1:20">
      <c r="A1753" s="61" t="str">
        <f ca="1">IF(ISERROR(MATCH(E1753,Код_КВР,0)),"",INDIRECT(ADDRESS(MATCH(E1753,Код_КВР,0)+1,2,,,"КВР")))</f>
        <v>Расходы на выплаты персоналу муниципальных органов</v>
      </c>
      <c r="B1753" s="112" t="s">
        <v>372</v>
      </c>
      <c r="C1753" s="8" t="s">
        <v>211</v>
      </c>
      <c r="D1753" s="1" t="s">
        <v>214</v>
      </c>
      <c r="E1753" s="113">
        <v>120</v>
      </c>
      <c r="F1753" s="7">
        <f>прил.6!G45</f>
        <v>1016.6</v>
      </c>
      <c r="G1753" s="7">
        <f>прил.6!H45</f>
        <v>0</v>
      </c>
      <c r="H1753" s="35">
        <f t="shared" ref="H1753:H1823" si="390">F1753+G1753</f>
        <v>1016.6</v>
      </c>
      <c r="I1753" s="7">
        <f>прил.6!J45</f>
        <v>0</v>
      </c>
      <c r="J1753" s="35">
        <f t="shared" si="388"/>
        <v>1016.6</v>
      </c>
      <c r="K1753" s="7">
        <f>прил.6!L45</f>
        <v>0</v>
      </c>
      <c r="L1753" s="35">
        <f t="shared" si="384"/>
        <v>1016.6</v>
      </c>
      <c r="M1753" s="7">
        <f>прил.6!N45</f>
        <v>0</v>
      </c>
      <c r="N1753" s="35">
        <f t="shared" si="381"/>
        <v>1016.6</v>
      </c>
      <c r="O1753" s="7">
        <f>прил.6!P45</f>
        <v>0</v>
      </c>
      <c r="P1753" s="35">
        <f t="shared" si="389"/>
        <v>1016.6</v>
      </c>
      <c r="Q1753" s="7">
        <f>прил.6!R45</f>
        <v>0</v>
      </c>
      <c r="R1753" s="35">
        <f t="shared" si="387"/>
        <v>1016.6</v>
      </c>
      <c r="S1753" s="7">
        <f>прил.6!T45</f>
        <v>2.2999999999999998</v>
      </c>
      <c r="T1753" s="35">
        <f t="shared" si="383"/>
        <v>1018.9</v>
      </c>
    </row>
    <row r="1754" spans="1:20">
      <c r="A1754" s="61" t="str">
        <f ca="1">IF(ISERROR(MATCH(E1754,Код_КВР,0)),"",INDIRECT(ADDRESS(MATCH(E1754,Код_КВР,0)+1,2,,,"КВР")))</f>
        <v>Закупка товаров, работ и услуг для муниципальных нужд</v>
      </c>
      <c r="B1754" s="112" t="s">
        <v>372</v>
      </c>
      <c r="C1754" s="8" t="s">
        <v>211</v>
      </c>
      <c r="D1754" s="1" t="s">
        <v>214</v>
      </c>
      <c r="E1754" s="113">
        <v>200</v>
      </c>
      <c r="F1754" s="7">
        <f>F1755</f>
        <v>10</v>
      </c>
      <c r="G1754" s="7">
        <f>G1755</f>
        <v>0</v>
      </c>
      <c r="H1754" s="35">
        <f t="shared" si="390"/>
        <v>10</v>
      </c>
      <c r="I1754" s="7">
        <f>I1755</f>
        <v>0</v>
      </c>
      <c r="J1754" s="35">
        <f t="shared" si="388"/>
        <v>10</v>
      </c>
      <c r="K1754" s="7">
        <f>K1755</f>
        <v>0</v>
      </c>
      <c r="L1754" s="35">
        <f t="shared" si="384"/>
        <v>10</v>
      </c>
      <c r="M1754" s="7">
        <f>M1755</f>
        <v>0</v>
      </c>
      <c r="N1754" s="35">
        <f t="shared" si="381"/>
        <v>10</v>
      </c>
      <c r="O1754" s="7">
        <f>O1755</f>
        <v>0</v>
      </c>
      <c r="P1754" s="35">
        <f t="shared" si="389"/>
        <v>10</v>
      </c>
      <c r="Q1754" s="7">
        <f>Q1755</f>
        <v>0</v>
      </c>
      <c r="R1754" s="35">
        <f t="shared" si="387"/>
        <v>10</v>
      </c>
      <c r="S1754" s="7">
        <f>S1755</f>
        <v>-2.2999999999999998</v>
      </c>
      <c r="T1754" s="35">
        <f t="shared" si="383"/>
        <v>7.7</v>
      </c>
    </row>
    <row r="1755" spans="1:20" ht="33">
      <c r="A1755" s="61" t="str">
        <f ca="1">IF(ISERROR(MATCH(E1755,Код_КВР,0)),"",INDIRECT(ADDRESS(MATCH(E1755,Код_КВР,0)+1,2,,,"КВР")))</f>
        <v>Иные закупки товаров, работ и услуг для обеспечения муниципальных нужд</v>
      </c>
      <c r="B1755" s="112" t="s">
        <v>372</v>
      </c>
      <c r="C1755" s="8" t="s">
        <v>211</v>
      </c>
      <c r="D1755" s="1" t="s">
        <v>214</v>
      </c>
      <c r="E1755" s="113">
        <v>240</v>
      </c>
      <c r="F1755" s="7">
        <f>F1756</f>
        <v>10</v>
      </c>
      <c r="G1755" s="7">
        <f>G1756</f>
        <v>0</v>
      </c>
      <c r="H1755" s="35">
        <f t="shared" si="390"/>
        <v>10</v>
      </c>
      <c r="I1755" s="7">
        <f>I1756</f>
        <v>0</v>
      </c>
      <c r="J1755" s="35">
        <f t="shared" si="388"/>
        <v>10</v>
      </c>
      <c r="K1755" s="7">
        <f>K1756</f>
        <v>0</v>
      </c>
      <c r="L1755" s="35">
        <f t="shared" si="384"/>
        <v>10</v>
      </c>
      <c r="M1755" s="7">
        <f>M1756</f>
        <v>0</v>
      </c>
      <c r="N1755" s="35">
        <f t="shared" si="381"/>
        <v>10</v>
      </c>
      <c r="O1755" s="7">
        <f>O1756</f>
        <v>0</v>
      </c>
      <c r="P1755" s="35">
        <f t="shared" si="389"/>
        <v>10</v>
      </c>
      <c r="Q1755" s="7">
        <f>Q1756</f>
        <v>0</v>
      </c>
      <c r="R1755" s="35">
        <f t="shared" si="387"/>
        <v>10</v>
      </c>
      <c r="S1755" s="7">
        <f>S1756</f>
        <v>-2.2999999999999998</v>
      </c>
      <c r="T1755" s="35">
        <f t="shared" si="383"/>
        <v>7.7</v>
      </c>
    </row>
    <row r="1756" spans="1:20" ht="33">
      <c r="A1756" s="61" t="str">
        <f ca="1">IF(ISERROR(MATCH(E1756,Код_КВР,0)),"",INDIRECT(ADDRESS(MATCH(E1756,Код_КВР,0)+1,2,,,"КВР")))</f>
        <v xml:space="preserve">Прочая закупка товаров, работ и услуг для обеспечения муниципальных нужд         </v>
      </c>
      <c r="B1756" s="112" t="s">
        <v>372</v>
      </c>
      <c r="C1756" s="8" t="s">
        <v>211</v>
      </c>
      <c r="D1756" s="1" t="s">
        <v>214</v>
      </c>
      <c r="E1756" s="113">
        <v>244</v>
      </c>
      <c r="F1756" s="7">
        <f>прил.6!G48</f>
        <v>10</v>
      </c>
      <c r="G1756" s="7">
        <f>прил.6!H48</f>
        <v>0</v>
      </c>
      <c r="H1756" s="35">
        <f t="shared" si="390"/>
        <v>10</v>
      </c>
      <c r="I1756" s="7">
        <f>прил.6!J48</f>
        <v>0</v>
      </c>
      <c r="J1756" s="35">
        <f t="shared" si="388"/>
        <v>10</v>
      </c>
      <c r="K1756" s="7">
        <f>прил.6!L48</f>
        <v>0</v>
      </c>
      <c r="L1756" s="35">
        <f t="shared" si="384"/>
        <v>10</v>
      </c>
      <c r="M1756" s="7">
        <f>прил.6!N48</f>
        <v>0</v>
      </c>
      <c r="N1756" s="35">
        <f t="shared" si="381"/>
        <v>10</v>
      </c>
      <c r="O1756" s="7">
        <f>прил.6!P48</f>
        <v>0</v>
      </c>
      <c r="P1756" s="35">
        <f t="shared" si="389"/>
        <v>10</v>
      </c>
      <c r="Q1756" s="7">
        <f>прил.6!R48</f>
        <v>0</v>
      </c>
      <c r="R1756" s="35">
        <f t="shared" si="387"/>
        <v>10</v>
      </c>
      <c r="S1756" s="7">
        <f>прил.6!T48</f>
        <v>-2.2999999999999998</v>
      </c>
      <c r="T1756" s="35">
        <f t="shared" si="383"/>
        <v>7.7</v>
      </c>
    </row>
    <row r="1757" spans="1:20" ht="121.5" customHeight="1">
      <c r="A1757" s="61" t="str">
        <f ca="1">IF(ISERROR(MATCH(B1757,Код_КЦСР,0)),"",INDIRECT(ADDRESS(MATCH(B1757,Код_КЦСР,0)+1,2,,,"КЦСР")))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757" s="112" t="s">
        <v>373</v>
      </c>
      <c r="C1757" s="8"/>
      <c r="D1757" s="1"/>
      <c r="E1757" s="113"/>
      <c r="F1757" s="7">
        <f t="shared" ref="F1757:S1760" si="391">F1758</f>
        <v>495</v>
      </c>
      <c r="G1757" s="7">
        <f t="shared" si="391"/>
        <v>0</v>
      </c>
      <c r="H1757" s="35">
        <f t="shared" si="390"/>
        <v>495</v>
      </c>
      <c r="I1757" s="7">
        <f t="shared" si="391"/>
        <v>0</v>
      </c>
      <c r="J1757" s="35">
        <f t="shared" si="388"/>
        <v>495</v>
      </c>
      <c r="K1757" s="7">
        <f t="shared" si="391"/>
        <v>0</v>
      </c>
      <c r="L1757" s="35">
        <f t="shared" si="384"/>
        <v>495</v>
      </c>
      <c r="M1757" s="7">
        <f t="shared" si="391"/>
        <v>0</v>
      </c>
      <c r="N1757" s="35">
        <f t="shared" si="381"/>
        <v>495</v>
      </c>
      <c r="O1757" s="7">
        <f t="shared" si="391"/>
        <v>0</v>
      </c>
      <c r="P1757" s="35">
        <f t="shared" si="389"/>
        <v>495</v>
      </c>
      <c r="Q1757" s="7">
        <f t="shared" si="391"/>
        <v>0</v>
      </c>
      <c r="R1757" s="35">
        <f t="shared" si="387"/>
        <v>495</v>
      </c>
      <c r="S1757" s="7">
        <f t="shared" si="391"/>
        <v>0</v>
      </c>
      <c r="T1757" s="35">
        <f t="shared" si="383"/>
        <v>495</v>
      </c>
    </row>
    <row r="1758" spans="1:20">
      <c r="A1758" s="61" t="str">
        <f ca="1">IF(ISERROR(MATCH(C1758,Код_Раздел,0)),"",INDIRECT(ADDRESS(MATCH(C1758,Код_Раздел,0)+1,2,,,"Раздел")))</f>
        <v>Общегосударственные  вопросы</v>
      </c>
      <c r="B1758" s="112" t="s">
        <v>373</v>
      </c>
      <c r="C1758" s="8" t="s">
        <v>211</v>
      </c>
      <c r="D1758" s="1"/>
      <c r="E1758" s="113"/>
      <c r="F1758" s="7">
        <f t="shared" si="391"/>
        <v>495</v>
      </c>
      <c r="G1758" s="7">
        <f t="shared" si="391"/>
        <v>0</v>
      </c>
      <c r="H1758" s="35">
        <f t="shared" si="390"/>
        <v>495</v>
      </c>
      <c r="I1758" s="7">
        <f t="shared" si="391"/>
        <v>0</v>
      </c>
      <c r="J1758" s="35">
        <f t="shared" si="388"/>
        <v>495</v>
      </c>
      <c r="K1758" s="7">
        <f t="shared" si="391"/>
        <v>0</v>
      </c>
      <c r="L1758" s="35">
        <f t="shared" si="384"/>
        <v>495</v>
      </c>
      <c r="M1758" s="7">
        <f t="shared" si="391"/>
        <v>0</v>
      </c>
      <c r="N1758" s="35">
        <f t="shared" si="381"/>
        <v>495</v>
      </c>
      <c r="O1758" s="7">
        <f t="shared" si="391"/>
        <v>0</v>
      </c>
      <c r="P1758" s="35">
        <f t="shared" si="389"/>
        <v>495</v>
      </c>
      <c r="Q1758" s="7">
        <f t="shared" si="391"/>
        <v>0</v>
      </c>
      <c r="R1758" s="35">
        <f t="shared" si="387"/>
        <v>495</v>
      </c>
      <c r="S1758" s="7">
        <f t="shared" si="391"/>
        <v>0</v>
      </c>
      <c r="T1758" s="35">
        <f t="shared" si="383"/>
        <v>495</v>
      </c>
    </row>
    <row r="1759" spans="1:20" ht="49.5">
      <c r="A1759" s="75" t="s">
        <v>233</v>
      </c>
      <c r="B1759" s="112" t="s">
        <v>373</v>
      </c>
      <c r="C1759" s="8" t="s">
        <v>211</v>
      </c>
      <c r="D1759" s="1" t="s">
        <v>214</v>
      </c>
      <c r="E1759" s="113"/>
      <c r="F1759" s="7">
        <f t="shared" si="391"/>
        <v>495</v>
      </c>
      <c r="G1759" s="7">
        <f t="shared" si="391"/>
        <v>0</v>
      </c>
      <c r="H1759" s="35">
        <f t="shared" si="390"/>
        <v>495</v>
      </c>
      <c r="I1759" s="7">
        <f t="shared" si="391"/>
        <v>0</v>
      </c>
      <c r="J1759" s="35">
        <f t="shared" si="388"/>
        <v>495</v>
      </c>
      <c r="K1759" s="7">
        <f t="shared" si="391"/>
        <v>0</v>
      </c>
      <c r="L1759" s="35">
        <f t="shared" si="384"/>
        <v>495</v>
      </c>
      <c r="M1759" s="7">
        <f t="shared" si="391"/>
        <v>0</v>
      </c>
      <c r="N1759" s="35">
        <f t="shared" si="381"/>
        <v>495</v>
      </c>
      <c r="O1759" s="7">
        <f t="shared" si="391"/>
        <v>0</v>
      </c>
      <c r="P1759" s="35">
        <f t="shared" si="389"/>
        <v>495</v>
      </c>
      <c r="Q1759" s="7">
        <f t="shared" si="391"/>
        <v>0</v>
      </c>
      <c r="R1759" s="35">
        <f t="shared" si="387"/>
        <v>495</v>
      </c>
      <c r="S1759" s="7">
        <f t="shared" si="391"/>
        <v>0</v>
      </c>
      <c r="T1759" s="35">
        <f t="shared" si="383"/>
        <v>495</v>
      </c>
    </row>
    <row r="1760" spans="1:20" ht="39" customHeight="1">
      <c r="A1760" s="61" t="str">
        <f ca="1">IF(ISERROR(MATCH(E1760,Код_КВР,0)),"",INDIRECT(ADDRESS(MATCH(E1760,Код_КВР,0)+1,2,,,"КВР")))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60" s="112" t="s">
        <v>373</v>
      </c>
      <c r="C1760" s="8" t="s">
        <v>211</v>
      </c>
      <c r="D1760" s="1" t="s">
        <v>214</v>
      </c>
      <c r="E1760" s="113">
        <v>100</v>
      </c>
      <c r="F1760" s="7">
        <f t="shared" si="391"/>
        <v>495</v>
      </c>
      <c r="G1760" s="7">
        <f t="shared" si="391"/>
        <v>0</v>
      </c>
      <c r="H1760" s="35">
        <f t="shared" si="390"/>
        <v>495</v>
      </c>
      <c r="I1760" s="7">
        <f t="shared" si="391"/>
        <v>0</v>
      </c>
      <c r="J1760" s="35">
        <f t="shared" si="388"/>
        <v>495</v>
      </c>
      <c r="K1760" s="7">
        <f t="shared" si="391"/>
        <v>0</v>
      </c>
      <c r="L1760" s="35">
        <f t="shared" si="384"/>
        <v>495</v>
      </c>
      <c r="M1760" s="7">
        <f t="shared" si="391"/>
        <v>0</v>
      </c>
      <c r="N1760" s="35">
        <f t="shared" si="381"/>
        <v>495</v>
      </c>
      <c r="O1760" s="7">
        <f t="shared" si="391"/>
        <v>0</v>
      </c>
      <c r="P1760" s="35">
        <f t="shared" si="389"/>
        <v>495</v>
      </c>
      <c r="Q1760" s="7">
        <f t="shared" si="391"/>
        <v>0</v>
      </c>
      <c r="R1760" s="35">
        <f t="shared" si="387"/>
        <v>495</v>
      </c>
      <c r="S1760" s="7">
        <f t="shared" si="391"/>
        <v>0</v>
      </c>
      <c r="T1760" s="35">
        <f t="shared" si="383"/>
        <v>495</v>
      </c>
    </row>
    <row r="1761" spans="1:20">
      <c r="A1761" s="61" t="str">
        <f ca="1">IF(ISERROR(MATCH(E1761,Код_КВР,0)),"",INDIRECT(ADDRESS(MATCH(E1761,Код_КВР,0)+1,2,,,"КВР")))</f>
        <v>Расходы на выплаты персоналу муниципальных органов</v>
      </c>
      <c r="B1761" s="112" t="s">
        <v>373</v>
      </c>
      <c r="C1761" s="8" t="s">
        <v>211</v>
      </c>
      <c r="D1761" s="1" t="s">
        <v>214</v>
      </c>
      <c r="E1761" s="113">
        <v>120</v>
      </c>
      <c r="F1761" s="7">
        <f>прил.6!G51</f>
        <v>495</v>
      </c>
      <c r="G1761" s="7">
        <f>прил.6!H51</f>
        <v>0</v>
      </c>
      <c r="H1761" s="35">
        <f t="shared" si="390"/>
        <v>495</v>
      </c>
      <c r="I1761" s="7">
        <f>прил.6!J51</f>
        <v>0</v>
      </c>
      <c r="J1761" s="35">
        <f t="shared" si="388"/>
        <v>495</v>
      </c>
      <c r="K1761" s="7">
        <f>прил.6!L51</f>
        <v>0</v>
      </c>
      <c r="L1761" s="35">
        <f t="shared" si="384"/>
        <v>495</v>
      </c>
      <c r="M1761" s="7">
        <f>прил.6!N51</f>
        <v>0</v>
      </c>
      <c r="N1761" s="35">
        <f t="shared" si="381"/>
        <v>495</v>
      </c>
      <c r="O1761" s="7">
        <f>прил.6!P51</f>
        <v>0</v>
      </c>
      <c r="P1761" s="35">
        <f t="shared" si="389"/>
        <v>495</v>
      </c>
      <c r="Q1761" s="7">
        <f>прил.6!R51</f>
        <v>0</v>
      </c>
      <c r="R1761" s="35">
        <f t="shared" si="387"/>
        <v>495</v>
      </c>
      <c r="S1761" s="7">
        <f>прил.6!T51</f>
        <v>0</v>
      </c>
      <c r="T1761" s="35">
        <f t="shared" si="383"/>
        <v>495</v>
      </c>
    </row>
    <row r="1762" spans="1:20" ht="169.5" customHeight="1">
      <c r="A1762" s="61" t="str">
        <f ca="1">IF(ISERROR(MATCH(B1762,Код_КЦСР,0)),"",INDIRECT(ADDRESS(MATCH(B1762,Код_КЦСР,0)+1,2,,,"КЦСР")))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762" s="112" t="s">
        <v>374</v>
      </c>
      <c r="C1762" s="8"/>
      <c r="D1762" s="1"/>
      <c r="E1762" s="113"/>
      <c r="F1762" s="7">
        <f t="shared" ref="F1762:S1766" si="392">F1763</f>
        <v>0.7</v>
      </c>
      <c r="G1762" s="7">
        <f t="shared" si="392"/>
        <v>0</v>
      </c>
      <c r="H1762" s="35">
        <f t="shared" si="390"/>
        <v>0.7</v>
      </c>
      <c r="I1762" s="7">
        <f t="shared" si="392"/>
        <v>0</v>
      </c>
      <c r="J1762" s="35">
        <f t="shared" si="388"/>
        <v>0.7</v>
      </c>
      <c r="K1762" s="7">
        <f t="shared" si="392"/>
        <v>0</v>
      </c>
      <c r="L1762" s="35">
        <f t="shared" si="384"/>
        <v>0.7</v>
      </c>
      <c r="M1762" s="7">
        <f t="shared" si="392"/>
        <v>0</v>
      </c>
      <c r="N1762" s="35">
        <f t="shared" si="381"/>
        <v>0.7</v>
      </c>
      <c r="O1762" s="7">
        <f t="shared" si="392"/>
        <v>0</v>
      </c>
      <c r="P1762" s="35">
        <f t="shared" si="389"/>
        <v>0.7</v>
      </c>
      <c r="Q1762" s="7">
        <f t="shared" si="392"/>
        <v>0</v>
      </c>
      <c r="R1762" s="35">
        <f t="shared" si="387"/>
        <v>0.7</v>
      </c>
      <c r="S1762" s="7">
        <f t="shared" si="392"/>
        <v>0</v>
      </c>
      <c r="T1762" s="35">
        <f t="shared" si="383"/>
        <v>0.7</v>
      </c>
    </row>
    <row r="1763" spans="1:20">
      <c r="A1763" s="61" t="str">
        <f ca="1">IF(ISERROR(MATCH(C1763,Код_Раздел,0)),"",INDIRECT(ADDRESS(MATCH(C1763,Код_Раздел,0)+1,2,,,"Раздел")))</f>
        <v>Общегосударственные  вопросы</v>
      </c>
      <c r="B1763" s="112" t="s">
        <v>374</v>
      </c>
      <c r="C1763" s="8" t="s">
        <v>211</v>
      </c>
      <c r="D1763" s="1"/>
      <c r="E1763" s="113"/>
      <c r="F1763" s="7">
        <f t="shared" si="392"/>
        <v>0.7</v>
      </c>
      <c r="G1763" s="7">
        <f t="shared" si="392"/>
        <v>0</v>
      </c>
      <c r="H1763" s="35">
        <f t="shared" si="390"/>
        <v>0.7</v>
      </c>
      <c r="I1763" s="7">
        <f t="shared" si="392"/>
        <v>0</v>
      </c>
      <c r="J1763" s="35">
        <f t="shared" si="388"/>
        <v>0.7</v>
      </c>
      <c r="K1763" s="7">
        <f t="shared" si="392"/>
        <v>0</v>
      </c>
      <c r="L1763" s="35">
        <f t="shared" si="384"/>
        <v>0.7</v>
      </c>
      <c r="M1763" s="7">
        <f t="shared" si="392"/>
        <v>0</v>
      </c>
      <c r="N1763" s="35">
        <f t="shared" si="381"/>
        <v>0.7</v>
      </c>
      <c r="O1763" s="7">
        <f t="shared" si="392"/>
        <v>0</v>
      </c>
      <c r="P1763" s="35">
        <f t="shared" si="389"/>
        <v>0.7</v>
      </c>
      <c r="Q1763" s="7">
        <f t="shared" si="392"/>
        <v>0</v>
      </c>
      <c r="R1763" s="35">
        <f t="shared" si="387"/>
        <v>0.7</v>
      </c>
      <c r="S1763" s="7">
        <f t="shared" si="392"/>
        <v>0</v>
      </c>
      <c r="T1763" s="35">
        <f t="shared" si="383"/>
        <v>0.7</v>
      </c>
    </row>
    <row r="1764" spans="1:20" ht="49.5">
      <c r="A1764" s="75" t="s">
        <v>233</v>
      </c>
      <c r="B1764" s="112" t="s">
        <v>374</v>
      </c>
      <c r="C1764" s="8" t="s">
        <v>211</v>
      </c>
      <c r="D1764" s="1" t="s">
        <v>214</v>
      </c>
      <c r="E1764" s="113"/>
      <c r="F1764" s="7">
        <f>F1765</f>
        <v>0.7</v>
      </c>
      <c r="G1764" s="7">
        <f>G1766</f>
        <v>0</v>
      </c>
      <c r="H1764" s="35">
        <f>F1764+G1764</f>
        <v>0.7</v>
      </c>
      <c r="I1764" s="7">
        <f>I1766</f>
        <v>0</v>
      </c>
      <c r="J1764" s="35">
        <f t="shared" si="388"/>
        <v>0.7</v>
      </c>
      <c r="K1764" s="7">
        <f>K1766</f>
        <v>0</v>
      </c>
      <c r="L1764" s="35">
        <f t="shared" si="384"/>
        <v>0.7</v>
      </c>
      <c r="M1764" s="7">
        <f>M1766</f>
        <v>0</v>
      </c>
      <c r="N1764" s="35">
        <f t="shared" si="381"/>
        <v>0.7</v>
      </c>
      <c r="O1764" s="7">
        <f>O1766</f>
        <v>0</v>
      </c>
      <c r="P1764" s="35">
        <f t="shared" si="389"/>
        <v>0.7</v>
      </c>
      <c r="Q1764" s="7">
        <f>Q1766</f>
        <v>0</v>
      </c>
      <c r="R1764" s="35">
        <f>P1764+Q1764</f>
        <v>0.7</v>
      </c>
      <c r="S1764" s="7">
        <f>S1766</f>
        <v>0</v>
      </c>
      <c r="T1764" s="35">
        <f t="shared" si="383"/>
        <v>0.7</v>
      </c>
    </row>
    <row r="1765" spans="1:20" ht="24.75" customHeight="1">
      <c r="A1765" s="61" t="str">
        <f ca="1">IF(ISERROR(MATCH(E1765,Код_КВР,0)),"",INDIRECT(ADDRESS(MATCH(E1765,Код_КВР,0)+1,2,,,"КВР")))</f>
        <v>Закупка товаров, работ и услуг для муниципальных нужд</v>
      </c>
      <c r="B1765" s="133" t="s">
        <v>374</v>
      </c>
      <c r="C1765" s="8" t="s">
        <v>211</v>
      </c>
      <c r="D1765" s="1" t="s">
        <v>214</v>
      </c>
      <c r="E1765" s="134">
        <v>200</v>
      </c>
      <c r="F1765" s="7">
        <v>0.7</v>
      </c>
      <c r="G1765" s="7"/>
      <c r="H1765" s="35">
        <f>H1766</f>
        <v>0.7</v>
      </c>
      <c r="I1765" s="7"/>
      <c r="J1765" s="35">
        <f>J1766</f>
        <v>0.7</v>
      </c>
      <c r="K1765" s="7"/>
      <c r="L1765" s="35">
        <f>L1766</f>
        <v>0.7</v>
      </c>
      <c r="M1765" s="7"/>
      <c r="N1765" s="35">
        <f>N1766</f>
        <v>0.7</v>
      </c>
      <c r="O1765" s="7"/>
      <c r="P1765" s="35">
        <f>P1766</f>
        <v>0.7</v>
      </c>
      <c r="Q1765" s="7"/>
      <c r="R1765" s="35">
        <f>R1764</f>
        <v>0.7</v>
      </c>
      <c r="S1765" s="7"/>
      <c r="T1765" s="35">
        <f t="shared" si="383"/>
        <v>0.7</v>
      </c>
    </row>
    <row r="1766" spans="1:20" ht="33">
      <c r="A1766" s="61" t="str">
        <f ca="1">IF(ISERROR(MATCH(E1766,Код_КВР,0)),"",INDIRECT(ADDRESS(MATCH(E1766,Код_КВР,0)+1,2,,,"КВР")))</f>
        <v>Иные закупки товаров, работ и услуг для обеспечения муниципальных нужд</v>
      </c>
      <c r="B1766" s="112" t="s">
        <v>374</v>
      </c>
      <c r="C1766" s="8" t="s">
        <v>211</v>
      </c>
      <c r="D1766" s="1" t="s">
        <v>214</v>
      </c>
      <c r="E1766" s="113">
        <v>240</v>
      </c>
      <c r="F1766" s="7">
        <f t="shared" si="392"/>
        <v>0.7</v>
      </c>
      <c r="G1766" s="7">
        <f t="shared" si="392"/>
        <v>0</v>
      </c>
      <c r="H1766" s="35">
        <f t="shared" si="390"/>
        <v>0.7</v>
      </c>
      <c r="I1766" s="7">
        <f t="shared" si="392"/>
        <v>0</v>
      </c>
      <c r="J1766" s="35">
        <f t="shared" si="388"/>
        <v>0.7</v>
      </c>
      <c r="K1766" s="7">
        <f t="shared" si="392"/>
        <v>0</v>
      </c>
      <c r="L1766" s="35">
        <f t="shared" si="384"/>
        <v>0.7</v>
      </c>
      <c r="M1766" s="7">
        <f t="shared" si="392"/>
        <v>0</v>
      </c>
      <c r="N1766" s="35">
        <f t="shared" si="381"/>
        <v>0.7</v>
      </c>
      <c r="O1766" s="7">
        <f t="shared" si="392"/>
        <v>0</v>
      </c>
      <c r="P1766" s="35">
        <f t="shared" si="389"/>
        <v>0.7</v>
      </c>
      <c r="Q1766" s="7">
        <f t="shared" si="392"/>
        <v>0</v>
      </c>
      <c r="R1766" s="35">
        <f t="shared" si="387"/>
        <v>0.7</v>
      </c>
      <c r="S1766" s="7">
        <f t="shared" si="392"/>
        <v>0</v>
      </c>
      <c r="T1766" s="35">
        <f t="shared" si="383"/>
        <v>0.7</v>
      </c>
    </row>
    <row r="1767" spans="1:20" ht="33">
      <c r="A1767" s="61" t="str">
        <f ca="1">IF(ISERROR(MATCH(E1767,Код_КВР,0)),"",INDIRECT(ADDRESS(MATCH(E1767,Код_КВР,0)+1,2,,,"КВР")))</f>
        <v xml:space="preserve">Прочая закупка товаров, работ и услуг для обеспечения муниципальных нужд         </v>
      </c>
      <c r="B1767" s="112" t="s">
        <v>374</v>
      </c>
      <c r="C1767" s="8" t="s">
        <v>211</v>
      </c>
      <c r="D1767" s="1" t="s">
        <v>214</v>
      </c>
      <c r="E1767" s="113">
        <v>244</v>
      </c>
      <c r="F1767" s="7">
        <f>прил.6!G55</f>
        <v>0.7</v>
      </c>
      <c r="G1767" s="7">
        <f>прил.6!H55</f>
        <v>0</v>
      </c>
      <c r="H1767" s="35">
        <f t="shared" si="390"/>
        <v>0.7</v>
      </c>
      <c r="I1767" s="7">
        <f>прил.6!J55</f>
        <v>0</v>
      </c>
      <c r="J1767" s="35">
        <f t="shared" si="388"/>
        <v>0.7</v>
      </c>
      <c r="K1767" s="7">
        <f>прил.6!L55</f>
        <v>0</v>
      </c>
      <c r="L1767" s="35">
        <f t="shared" si="384"/>
        <v>0.7</v>
      </c>
      <c r="M1767" s="7">
        <f>прил.6!N55</f>
        <v>0</v>
      </c>
      <c r="N1767" s="35">
        <f t="shared" si="381"/>
        <v>0.7</v>
      </c>
      <c r="O1767" s="7">
        <f>прил.6!P55</f>
        <v>0</v>
      </c>
      <c r="P1767" s="35">
        <f t="shared" si="389"/>
        <v>0.7</v>
      </c>
      <c r="Q1767" s="7">
        <f>прил.6!R55</f>
        <v>0</v>
      </c>
      <c r="R1767" s="35">
        <f t="shared" si="387"/>
        <v>0.7</v>
      </c>
      <c r="S1767" s="7">
        <f>прил.6!T55</f>
        <v>0</v>
      </c>
      <c r="T1767" s="35">
        <f t="shared" si="383"/>
        <v>0.7</v>
      </c>
    </row>
    <row r="1768" spans="1:20" ht="99">
      <c r="A1768" s="61" t="str">
        <f ca="1">IF(ISERROR(MATCH(B1768,Код_КЦСР,0)),"",INDIRECT(ADDRESS(MATCH(B1768,Код_КЦСР,0)+1,2,,,"КЦСР")))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768" s="112" t="s">
        <v>399</v>
      </c>
      <c r="C1768" s="8"/>
      <c r="D1768" s="1"/>
      <c r="E1768" s="113"/>
      <c r="F1768" s="7">
        <f>F1776</f>
        <v>902.7</v>
      </c>
      <c r="G1768" s="7">
        <f>G1776</f>
        <v>0</v>
      </c>
      <c r="H1768" s="35">
        <f t="shared" si="390"/>
        <v>902.7</v>
      </c>
      <c r="I1768" s="7">
        <f>I1776</f>
        <v>0</v>
      </c>
      <c r="J1768" s="35">
        <f t="shared" si="388"/>
        <v>902.7</v>
      </c>
      <c r="K1768" s="7">
        <f>K1776</f>
        <v>0</v>
      </c>
      <c r="L1768" s="35">
        <f t="shared" si="384"/>
        <v>902.7</v>
      </c>
      <c r="M1768" s="7">
        <f>M1776</f>
        <v>0</v>
      </c>
      <c r="N1768" s="35">
        <f t="shared" si="381"/>
        <v>902.7</v>
      </c>
      <c r="O1768" s="7">
        <f>O1776</f>
        <v>0</v>
      </c>
      <c r="P1768" s="35">
        <f t="shared" si="389"/>
        <v>902.7</v>
      </c>
      <c r="Q1768" s="7">
        <f>Q1776+Q1769</f>
        <v>0</v>
      </c>
      <c r="R1768" s="35">
        <f t="shared" si="387"/>
        <v>902.7</v>
      </c>
      <c r="S1768" s="7">
        <f>S1776+S1769</f>
        <v>0</v>
      </c>
      <c r="T1768" s="35">
        <f t="shared" si="383"/>
        <v>902.7</v>
      </c>
    </row>
    <row r="1769" spans="1:20" ht="24.75" customHeight="1">
      <c r="A1769" s="61" t="str">
        <f ca="1">IF(ISERROR(MATCH(C1769,Код_Раздел,0)),"",INDIRECT(ADDRESS(MATCH(C1769,Код_Раздел,0)+1,2,,,"Раздел")))</f>
        <v>Общегосударственные  вопросы</v>
      </c>
      <c r="B1769" s="112" t="s">
        <v>399</v>
      </c>
      <c r="C1769" s="8" t="s">
        <v>211</v>
      </c>
      <c r="D1769" s="1"/>
      <c r="E1769" s="113"/>
      <c r="F1769" s="7"/>
      <c r="G1769" s="7"/>
      <c r="H1769" s="35"/>
      <c r="I1769" s="7"/>
      <c r="J1769" s="35"/>
      <c r="K1769" s="7"/>
      <c r="L1769" s="35"/>
      <c r="M1769" s="7"/>
      <c r="N1769" s="35"/>
      <c r="O1769" s="7"/>
      <c r="P1769" s="35"/>
      <c r="Q1769" s="7">
        <f>Q1770</f>
        <v>676.7</v>
      </c>
      <c r="R1769" s="35">
        <f t="shared" si="387"/>
        <v>676.7</v>
      </c>
      <c r="S1769" s="7">
        <f>S1770</f>
        <v>0</v>
      </c>
      <c r="T1769" s="35">
        <f t="shared" si="383"/>
        <v>676.7</v>
      </c>
    </row>
    <row r="1770" spans="1:20" ht="67.5" customHeight="1">
      <c r="A1770" s="75" t="s">
        <v>233</v>
      </c>
      <c r="B1770" s="112" t="s">
        <v>399</v>
      </c>
      <c r="C1770" s="8" t="s">
        <v>211</v>
      </c>
      <c r="D1770" s="1" t="s">
        <v>214</v>
      </c>
      <c r="E1770" s="113"/>
      <c r="F1770" s="7"/>
      <c r="G1770" s="7"/>
      <c r="H1770" s="35"/>
      <c r="I1770" s="7"/>
      <c r="J1770" s="35"/>
      <c r="K1770" s="7"/>
      <c r="L1770" s="35"/>
      <c r="M1770" s="7"/>
      <c r="N1770" s="35"/>
      <c r="O1770" s="7"/>
      <c r="P1770" s="35"/>
      <c r="Q1770" s="7">
        <f>Q1771+Q1773</f>
        <v>676.7</v>
      </c>
      <c r="R1770" s="35">
        <f t="shared" si="387"/>
        <v>676.7</v>
      </c>
      <c r="S1770" s="7">
        <f>S1771+S1773</f>
        <v>0</v>
      </c>
      <c r="T1770" s="35">
        <f t="shared" si="383"/>
        <v>676.7</v>
      </c>
    </row>
    <row r="1771" spans="1:20" ht="33">
      <c r="A1771" s="61" t="str">
        <f ca="1">IF(ISERROR(MATCH(E1771,Код_КВР,0)),"",INDIRECT(ADDRESS(MATCH(E1771,Код_КВР,0)+1,2,,,"КВР")))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71" s="112" t="s">
        <v>399</v>
      </c>
      <c r="C1771" s="8" t="s">
        <v>211</v>
      </c>
      <c r="D1771" s="1" t="s">
        <v>214</v>
      </c>
      <c r="E1771" s="113">
        <v>100</v>
      </c>
      <c r="F1771" s="7"/>
      <c r="G1771" s="7"/>
      <c r="H1771" s="35"/>
      <c r="I1771" s="7"/>
      <c r="J1771" s="35"/>
      <c r="K1771" s="7"/>
      <c r="L1771" s="35"/>
      <c r="M1771" s="7"/>
      <c r="N1771" s="35"/>
      <c r="O1771" s="7"/>
      <c r="P1771" s="35"/>
      <c r="Q1771" s="7">
        <f>Q1772</f>
        <v>662.7</v>
      </c>
      <c r="R1771" s="35">
        <f t="shared" si="387"/>
        <v>662.7</v>
      </c>
      <c r="S1771" s="7">
        <f>S1772</f>
        <v>0</v>
      </c>
      <c r="T1771" s="35">
        <f t="shared" si="383"/>
        <v>662.7</v>
      </c>
    </row>
    <row r="1772" spans="1:20">
      <c r="A1772" s="61" t="str">
        <f ca="1">IF(ISERROR(MATCH(E1772,Код_КВР,0)),"",INDIRECT(ADDRESS(MATCH(E1772,Код_КВР,0)+1,2,,,"КВР")))</f>
        <v>Расходы на выплаты персоналу муниципальных органов</v>
      </c>
      <c r="B1772" s="112" t="s">
        <v>399</v>
      </c>
      <c r="C1772" s="8" t="s">
        <v>211</v>
      </c>
      <c r="D1772" s="1" t="s">
        <v>214</v>
      </c>
      <c r="E1772" s="113">
        <v>120</v>
      </c>
      <c r="F1772" s="7"/>
      <c r="G1772" s="7"/>
      <c r="H1772" s="35"/>
      <c r="I1772" s="7"/>
      <c r="J1772" s="35"/>
      <c r="K1772" s="7"/>
      <c r="L1772" s="35"/>
      <c r="M1772" s="7"/>
      <c r="N1772" s="35"/>
      <c r="O1772" s="7"/>
      <c r="P1772" s="35"/>
      <c r="Q1772" s="7">
        <f>прил.6!R58</f>
        <v>662.7</v>
      </c>
      <c r="R1772" s="35">
        <f t="shared" si="387"/>
        <v>662.7</v>
      </c>
      <c r="S1772" s="7">
        <f>прил.6!T58</f>
        <v>0</v>
      </c>
      <c r="T1772" s="35">
        <f t="shared" si="383"/>
        <v>662.7</v>
      </c>
    </row>
    <row r="1773" spans="1:20" ht="23.25" customHeight="1">
      <c r="A1773" s="61" t="str">
        <f ca="1">IF(ISERROR(MATCH(E1773,Код_КВР,0)),"",INDIRECT(ADDRESS(MATCH(E1773,Код_КВР,0)+1,2,,,"КВР")))</f>
        <v>Закупка товаров, работ и услуг для муниципальных нужд</v>
      </c>
      <c r="B1773" s="112" t="s">
        <v>399</v>
      </c>
      <c r="C1773" s="8" t="s">
        <v>211</v>
      </c>
      <c r="D1773" s="1" t="s">
        <v>214</v>
      </c>
      <c r="E1773" s="113">
        <v>200</v>
      </c>
      <c r="F1773" s="7"/>
      <c r="G1773" s="7"/>
      <c r="H1773" s="35"/>
      <c r="I1773" s="7"/>
      <c r="J1773" s="35"/>
      <c r="K1773" s="7"/>
      <c r="L1773" s="35"/>
      <c r="M1773" s="7"/>
      <c r="N1773" s="35"/>
      <c r="O1773" s="7"/>
      <c r="P1773" s="35"/>
      <c r="Q1773" s="7">
        <f>Q1774</f>
        <v>14</v>
      </c>
      <c r="R1773" s="35">
        <f t="shared" si="387"/>
        <v>14</v>
      </c>
      <c r="S1773" s="7">
        <f>S1774</f>
        <v>0</v>
      </c>
      <c r="T1773" s="35">
        <f t="shared" si="383"/>
        <v>14</v>
      </c>
    </row>
    <row r="1774" spans="1:20" ht="33">
      <c r="A1774" s="61" t="str">
        <f ca="1">IF(ISERROR(MATCH(E1774,Код_КВР,0)),"",INDIRECT(ADDRESS(MATCH(E1774,Код_КВР,0)+1,2,,,"КВР")))</f>
        <v>Иные закупки товаров, работ и услуг для обеспечения муниципальных нужд</v>
      </c>
      <c r="B1774" s="112" t="s">
        <v>399</v>
      </c>
      <c r="C1774" s="8" t="s">
        <v>211</v>
      </c>
      <c r="D1774" s="1" t="s">
        <v>214</v>
      </c>
      <c r="E1774" s="113">
        <v>240</v>
      </c>
      <c r="F1774" s="7"/>
      <c r="G1774" s="7"/>
      <c r="H1774" s="35"/>
      <c r="I1774" s="7"/>
      <c r="J1774" s="35"/>
      <c r="K1774" s="7"/>
      <c r="L1774" s="35"/>
      <c r="M1774" s="7"/>
      <c r="N1774" s="35"/>
      <c r="O1774" s="7"/>
      <c r="P1774" s="35"/>
      <c r="Q1774" s="7">
        <f>Q1775</f>
        <v>14</v>
      </c>
      <c r="R1774" s="35">
        <f t="shared" si="387"/>
        <v>14</v>
      </c>
      <c r="S1774" s="7">
        <f>S1775</f>
        <v>0</v>
      </c>
      <c r="T1774" s="35">
        <f t="shared" si="383"/>
        <v>14</v>
      </c>
    </row>
    <row r="1775" spans="1:20" ht="33">
      <c r="A1775" s="61" t="str">
        <f ca="1">IF(ISERROR(MATCH(E1775,Код_КВР,0)),"",INDIRECT(ADDRESS(MATCH(E1775,Код_КВР,0)+1,2,,,"КВР")))</f>
        <v xml:space="preserve">Прочая закупка товаров, работ и услуг для обеспечения муниципальных нужд         </v>
      </c>
      <c r="B1775" s="112" t="s">
        <v>399</v>
      </c>
      <c r="C1775" s="8" t="s">
        <v>211</v>
      </c>
      <c r="D1775" s="1" t="s">
        <v>214</v>
      </c>
      <c r="E1775" s="113">
        <v>244</v>
      </c>
      <c r="F1775" s="7"/>
      <c r="G1775" s="7"/>
      <c r="H1775" s="35"/>
      <c r="I1775" s="7"/>
      <c r="J1775" s="35"/>
      <c r="K1775" s="7"/>
      <c r="L1775" s="35"/>
      <c r="M1775" s="7"/>
      <c r="N1775" s="35"/>
      <c r="O1775" s="7"/>
      <c r="P1775" s="35"/>
      <c r="Q1775" s="7">
        <f>прил.6!R61</f>
        <v>14</v>
      </c>
      <c r="R1775" s="35">
        <f t="shared" si="387"/>
        <v>14</v>
      </c>
      <c r="S1775" s="7">
        <f>прил.6!T61</f>
        <v>0</v>
      </c>
      <c r="T1775" s="35">
        <f t="shared" si="383"/>
        <v>14</v>
      </c>
    </row>
    <row r="1776" spans="1:20">
      <c r="A1776" s="61" t="str">
        <f ca="1">IF(ISERROR(MATCH(C1776,Код_Раздел,0)),"",INDIRECT(ADDRESS(MATCH(C1776,Код_Раздел,0)+1,2,,,"Раздел")))</f>
        <v>Социальная политика</v>
      </c>
      <c r="B1776" s="112" t="s">
        <v>399</v>
      </c>
      <c r="C1776" s="8" t="s">
        <v>186</v>
      </c>
      <c r="D1776" s="1"/>
      <c r="E1776" s="113"/>
      <c r="F1776" s="7">
        <f>F1777</f>
        <v>902.7</v>
      </c>
      <c r="G1776" s="7">
        <f>G1777</f>
        <v>0</v>
      </c>
      <c r="H1776" s="35">
        <f t="shared" si="390"/>
        <v>902.7</v>
      </c>
      <c r="I1776" s="7">
        <f>I1777</f>
        <v>0</v>
      </c>
      <c r="J1776" s="35">
        <f t="shared" si="388"/>
        <v>902.7</v>
      </c>
      <c r="K1776" s="7">
        <f>K1777</f>
        <v>0</v>
      </c>
      <c r="L1776" s="35">
        <f t="shared" si="384"/>
        <v>902.7</v>
      </c>
      <c r="M1776" s="7">
        <f>M1777</f>
        <v>0</v>
      </c>
      <c r="N1776" s="35">
        <f t="shared" si="381"/>
        <v>902.7</v>
      </c>
      <c r="O1776" s="7">
        <f>O1777</f>
        <v>0</v>
      </c>
      <c r="P1776" s="35">
        <f t="shared" si="389"/>
        <v>902.7</v>
      </c>
      <c r="Q1776" s="7">
        <f>Q1777</f>
        <v>-676.7</v>
      </c>
      <c r="R1776" s="35">
        <f t="shared" si="387"/>
        <v>226</v>
      </c>
      <c r="S1776" s="7">
        <f>S1777</f>
        <v>0</v>
      </c>
      <c r="T1776" s="35">
        <f t="shared" si="383"/>
        <v>226</v>
      </c>
    </row>
    <row r="1777" spans="1:21">
      <c r="A1777" s="12" t="s">
        <v>187</v>
      </c>
      <c r="B1777" s="112" t="s">
        <v>399</v>
      </c>
      <c r="C1777" s="8" t="s">
        <v>186</v>
      </c>
      <c r="D1777" s="1" t="s">
        <v>215</v>
      </c>
      <c r="E1777" s="113"/>
      <c r="F1777" s="7">
        <f>F1778+F1780</f>
        <v>902.7</v>
      </c>
      <c r="G1777" s="7">
        <f>G1778+G1780</f>
        <v>0</v>
      </c>
      <c r="H1777" s="35">
        <f t="shared" si="390"/>
        <v>902.7</v>
      </c>
      <c r="I1777" s="7">
        <f>I1778+I1780</f>
        <v>0</v>
      </c>
      <c r="J1777" s="35">
        <f t="shared" si="388"/>
        <v>902.7</v>
      </c>
      <c r="K1777" s="7">
        <f>K1778+K1780</f>
        <v>0</v>
      </c>
      <c r="L1777" s="35">
        <f t="shared" si="384"/>
        <v>902.7</v>
      </c>
      <c r="M1777" s="7">
        <f>M1778+M1780</f>
        <v>0</v>
      </c>
      <c r="N1777" s="35">
        <f t="shared" si="381"/>
        <v>902.7</v>
      </c>
      <c r="O1777" s="7">
        <f>O1778+O1780</f>
        <v>0</v>
      </c>
      <c r="P1777" s="35">
        <f t="shared" si="389"/>
        <v>902.7</v>
      </c>
      <c r="Q1777" s="7">
        <f>Q1778+Q1780</f>
        <v>-676.7</v>
      </c>
      <c r="R1777" s="35">
        <f t="shared" si="387"/>
        <v>226</v>
      </c>
      <c r="S1777" s="7">
        <f>S1778+S1780</f>
        <v>0</v>
      </c>
      <c r="T1777" s="35">
        <f t="shared" si="383"/>
        <v>226</v>
      </c>
    </row>
    <row r="1778" spans="1:21" ht="33">
      <c r="A1778" s="61" t="str">
        <f ca="1">IF(ISERROR(MATCH(E1778,Код_КВР,0)),"",INDIRECT(ADDRESS(MATCH(E1778,Код_КВР,0)+1,2,,,"КВР")))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78" s="112" t="s">
        <v>399</v>
      </c>
      <c r="C1778" s="8" t="s">
        <v>186</v>
      </c>
      <c r="D1778" s="1" t="s">
        <v>215</v>
      </c>
      <c r="E1778" s="113">
        <v>100</v>
      </c>
      <c r="F1778" s="7">
        <f>F1779</f>
        <v>722.2</v>
      </c>
      <c r="G1778" s="7">
        <f>G1779</f>
        <v>0</v>
      </c>
      <c r="H1778" s="35">
        <f t="shared" si="390"/>
        <v>722.2</v>
      </c>
      <c r="I1778" s="7">
        <f>I1779</f>
        <v>0</v>
      </c>
      <c r="J1778" s="35">
        <f t="shared" si="388"/>
        <v>722.2</v>
      </c>
      <c r="K1778" s="7">
        <f>K1779</f>
        <v>0</v>
      </c>
      <c r="L1778" s="35">
        <f t="shared" si="384"/>
        <v>722.2</v>
      </c>
      <c r="M1778" s="7">
        <f>M1779</f>
        <v>0</v>
      </c>
      <c r="N1778" s="35">
        <f t="shared" si="381"/>
        <v>722.2</v>
      </c>
      <c r="O1778" s="7">
        <f>O1779</f>
        <v>0</v>
      </c>
      <c r="P1778" s="35">
        <f t="shared" si="389"/>
        <v>722.2</v>
      </c>
      <c r="Q1778" s="7">
        <f>Q1779</f>
        <v>-541.6</v>
      </c>
      <c r="R1778" s="35">
        <f t="shared" si="387"/>
        <v>180.60000000000002</v>
      </c>
      <c r="S1778" s="7">
        <f>S1779</f>
        <v>0</v>
      </c>
      <c r="T1778" s="35">
        <f t="shared" si="383"/>
        <v>180.60000000000002</v>
      </c>
    </row>
    <row r="1779" spans="1:21">
      <c r="A1779" s="61" t="str">
        <f ca="1">IF(ISERROR(MATCH(E1779,Код_КВР,0)),"",INDIRECT(ADDRESS(MATCH(E1779,Код_КВР,0)+1,2,,,"КВР")))</f>
        <v>Расходы на выплаты персоналу муниципальных органов</v>
      </c>
      <c r="B1779" s="112" t="s">
        <v>399</v>
      </c>
      <c r="C1779" s="8" t="s">
        <v>186</v>
      </c>
      <c r="D1779" s="1" t="s">
        <v>215</v>
      </c>
      <c r="E1779" s="113">
        <v>120</v>
      </c>
      <c r="F1779" s="7">
        <f>прил.6!G1487</f>
        <v>722.2</v>
      </c>
      <c r="G1779" s="7">
        <f>прил.6!H1487</f>
        <v>0</v>
      </c>
      <c r="H1779" s="35">
        <f t="shared" si="390"/>
        <v>722.2</v>
      </c>
      <c r="I1779" s="7">
        <f>прил.6!J1487</f>
        <v>0</v>
      </c>
      <c r="J1779" s="35">
        <f t="shared" si="388"/>
        <v>722.2</v>
      </c>
      <c r="K1779" s="7">
        <f>прил.6!L1487</f>
        <v>0</v>
      </c>
      <c r="L1779" s="35">
        <f t="shared" si="384"/>
        <v>722.2</v>
      </c>
      <c r="M1779" s="7">
        <f>прил.6!N1487</f>
        <v>0</v>
      </c>
      <c r="N1779" s="35">
        <f t="shared" si="381"/>
        <v>722.2</v>
      </c>
      <c r="O1779" s="7">
        <f>прил.6!P1487</f>
        <v>0</v>
      </c>
      <c r="P1779" s="35">
        <f t="shared" si="389"/>
        <v>722.2</v>
      </c>
      <c r="Q1779" s="7">
        <f>прил.6!R1487</f>
        <v>-541.6</v>
      </c>
      <c r="R1779" s="35">
        <f t="shared" si="387"/>
        <v>180.60000000000002</v>
      </c>
      <c r="S1779" s="7">
        <f>прил.6!T1487</f>
        <v>0</v>
      </c>
      <c r="T1779" s="35">
        <f t="shared" si="383"/>
        <v>180.60000000000002</v>
      </c>
    </row>
    <row r="1780" spans="1:21">
      <c r="A1780" s="61" t="str">
        <f ca="1">IF(ISERROR(MATCH(E1780,Код_КВР,0)),"",INDIRECT(ADDRESS(MATCH(E1780,Код_КВР,0)+1,2,,,"КВР")))</f>
        <v>Закупка товаров, работ и услуг для муниципальных нужд</v>
      </c>
      <c r="B1780" s="112" t="s">
        <v>399</v>
      </c>
      <c r="C1780" s="8" t="s">
        <v>186</v>
      </c>
      <c r="D1780" s="1" t="s">
        <v>215</v>
      </c>
      <c r="E1780" s="113">
        <v>200</v>
      </c>
      <c r="F1780" s="7">
        <f>F1781</f>
        <v>180.5</v>
      </c>
      <c r="G1780" s="7">
        <f>G1781</f>
        <v>0</v>
      </c>
      <c r="H1780" s="35">
        <f t="shared" si="390"/>
        <v>180.5</v>
      </c>
      <c r="I1780" s="7">
        <f>I1781</f>
        <v>0</v>
      </c>
      <c r="J1780" s="35">
        <f t="shared" si="388"/>
        <v>180.5</v>
      </c>
      <c r="K1780" s="7">
        <f>K1781</f>
        <v>0</v>
      </c>
      <c r="L1780" s="35">
        <f t="shared" si="384"/>
        <v>180.5</v>
      </c>
      <c r="M1780" s="7">
        <f>M1781</f>
        <v>0</v>
      </c>
      <c r="N1780" s="35">
        <f t="shared" ref="N1780:N1823" si="393">L1780+M1780</f>
        <v>180.5</v>
      </c>
      <c r="O1780" s="7">
        <f>O1781</f>
        <v>0</v>
      </c>
      <c r="P1780" s="35">
        <f t="shared" si="389"/>
        <v>180.5</v>
      </c>
      <c r="Q1780" s="7">
        <f>Q1781</f>
        <v>-135.1</v>
      </c>
      <c r="R1780" s="35">
        <f t="shared" si="387"/>
        <v>45.400000000000006</v>
      </c>
      <c r="S1780" s="7">
        <f>S1781</f>
        <v>0</v>
      </c>
      <c r="T1780" s="35">
        <f t="shared" si="383"/>
        <v>45.400000000000006</v>
      </c>
    </row>
    <row r="1781" spans="1:21" ht="33">
      <c r="A1781" s="61" t="str">
        <f ca="1">IF(ISERROR(MATCH(E1781,Код_КВР,0)),"",INDIRECT(ADDRESS(MATCH(E1781,Код_КВР,0)+1,2,,,"КВР")))</f>
        <v>Иные закупки товаров, работ и услуг для обеспечения муниципальных нужд</v>
      </c>
      <c r="B1781" s="112" t="s">
        <v>399</v>
      </c>
      <c r="C1781" s="8" t="s">
        <v>186</v>
      </c>
      <c r="D1781" s="1" t="s">
        <v>215</v>
      </c>
      <c r="E1781" s="113">
        <v>240</v>
      </c>
      <c r="F1781" s="7">
        <f>F1782</f>
        <v>180.5</v>
      </c>
      <c r="G1781" s="7">
        <f>G1782</f>
        <v>0</v>
      </c>
      <c r="H1781" s="35">
        <f t="shared" si="390"/>
        <v>180.5</v>
      </c>
      <c r="I1781" s="7">
        <f>I1782</f>
        <v>0</v>
      </c>
      <c r="J1781" s="35">
        <f t="shared" si="388"/>
        <v>180.5</v>
      </c>
      <c r="K1781" s="7">
        <f>K1782</f>
        <v>0</v>
      </c>
      <c r="L1781" s="35">
        <f t="shared" si="384"/>
        <v>180.5</v>
      </c>
      <c r="M1781" s="7">
        <f>M1782</f>
        <v>0</v>
      </c>
      <c r="N1781" s="35">
        <f t="shared" si="393"/>
        <v>180.5</v>
      </c>
      <c r="O1781" s="7">
        <f>O1782</f>
        <v>0</v>
      </c>
      <c r="P1781" s="35">
        <f t="shared" si="389"/>
        <v>180.5</v>
      </c>
      <c r="Q1781" s="7">
        <f>Q1782</f>
        <v>-135.1</v>
      </c>
      <c r="R1781" s="35">
        <f t="shared" si="387"/>
        <v>45.400000000000006</v>
      </c>
      <c r="S1781" s="7">
        <f>S1782</f>
        <v>0</v>
      </c>
      <c r="T1781" s="35">
        <f t="shared" si="383"/>
        <v>45.400000000000006</v>
      </c>
    </row>
    <row r="1782" spans="1:21" ht="36.75" customHeight="1">
      <c r="A1782" s="61" t="str">
        <f ca="1">IF(ISERROR(MATCH(E1782,Код_КВР,0)),"",INDIRECT(ADDRESS(MATCH(E1782,Код_КВР,0)+1,2,,,"КВР")))</f>
        <v xml:space="preserve">Прочая закупка товаров, работ и услуг для обеспечения муниципальных нужд         </v>
      </c>
      <c r="B1782" s="112" t="s">
        <v>399</v>
      </c>
      <c r="C1782" s="8" t="s">
        <v>186</v>
      </c>
      <c r="D1782" s="1" t="s">
        <v>215</v>
      </c>
      <c r="E1782" s="113">
        <v>244</v>
      </c>
      <c r="F1782" s="7">
        <f>прил.6!G1490</f>
        <v>180.5</v>
      </c>
      <c r="G1782" s="7">
        <f>прил.6!H1490</f>
        <v>0</v>
      </c>
      <c r="H1782" s="35">
        <f t="shared" si="390"/>
        <v>180.5</v>
      </c>
      <c r="I1782" s="7">
        <f>прил.6!J1490</f>
        <v>0</v>
      </c>
      <c r="J1782" s="35">
        <f t="shared" si="388"/>
        <v>180.5</v>
      </c>
      <c r="K1782" s="7">
        <f>прил.6!L1490</f>
        <v>0</v>
      </c>
      <c r="L1782" s="35">
        <f t="shared" si="384"/>
        <v>180.5</v>
      </c>
      <c r="M1782" s="7">
        <f>прил.6!N1490</f>
        <v>0</v>
      </c>
      <c r="N1782" s="35">
        <f t="shared" si="393"/>
        <v>180.5</v>
      </c>
      <c r="O1782" s="7">
        <f>прил.6!P1490</f>
        <v>0</v>
      </c>
      <c r="P1782" s="35">
        <f t="shared" si="389"/>
        <v>180.5</v>
      </c>
      <c r="Q1782" s="7">
        <f>прил.6!R1490</f>
        <v>-135.1</v>
      </c>
      <c r="R1782" s="35">
        <f t="shared" si="387"/>
        <v>45.400000000000006</v>
      </c>
      <c r="S1782" s="7">
        <f>прил.6!T1490</f>
        <v>0</v>
      </c>
      <c r="T1782" s="35">
        <f t="shared" si="383"/>
        <v>45.400000000000006</v>
      </c>
    </row>
    <row r="1783" spans="1:21" ht="84.75" customHeight="1">
      <c r="A1783" s="61" t="str">
        <f ca="1">IF(ISERROR(MATCH(B1783,Код_КЦСР,0)),"",INDIRECT(ADDRESS(MATCH(B1783,Код_КЦСР,0)+1,2,,,"КЦСР")))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783" s="112" t="s">
        <v>403</v>
      </c>
      <c r="C1783" s="8"/>
      <c r="D1783" s="1"/>
      <c r="E1783" s="113"/>
      <c r="F1783" s="7">
        <f>F1784</f>
        <v>1703.5</v>
      </c>
      <c r="G1783" s="7">
        <f>G1784</f>
        <v>0</v>
      </c>
      <c r="H1783" s="35">
        <f t="shared" si="390"/>
        <v>1703.5</v>
      </c>
      <c r="I1783" s="7">
        <f>I1784</f>
        <v>0</v>
      </c>
      <c r="J1783" s="35">
        <f t="shared" si="388"/>
        <v>1703.5</v>
      </c>
      <c r="K1783" s="7">
        <f>K1784</f>
        <v>0</v>
      </c>
      <c r="L1783" s="35">
        <f t="shared" si="384"/>
        <v>1703.5</v>
      </c>
      <c r="M1783" s="7">
        <f>M1784</f>
        <v>0</v>
      </c>
      <c r="N1783" s="35">
        <f t="shared" si="393"/>
        <v>1703.5</v>
      </c>
      <c r="O1783" s="7">
        <f>O1784</f>
        <v>0</v>
      </c>
      <c r="P1783" s="35">
        <f t="shared" si="389"/>
        <v>1703.5</v>
      </c>
      <c r="Q1783" s="7">
        <f>Q1784</f>
        <v>0</v>
      </c>
      <c r="R1783" s="35">
        <f t="shared" si="387"/>
        <v>1703.5</v>
      </c>
      <c r="S1783" s="7">
        <f>S1784</f>
        <v>0</v>
      </c>
      <c r="T1783" s="35">
        <f t="shared" si="383"/>
        <v>1703.5</v>
      </c>
    </row>
    <row r="1784" spans="1:21">
      <c r="A1784" s="61" t="str">
        <f ca="1">IF(ISERROR(MATCH(C1784,Код_Раздел,0)),"",INDIRECT(ADDRESS(MATCH(C1784,Код_Раздел,0)+1,2,,,"Раздел")))</f>
        <v>Охрана окружающей среды</v>
      </c>
      <c r="B1784" s="112" t="s">
        <v>403</v>
      </c>
      <c r="C1784" s="8" t="s">
        <v>215</v>
      </c>
      <c r="D1784" s="1"/>
      <c r="E1784" s="113"/>
      <c r="F1784" s="7">
        <f>F1785</f>
        <v>1703.5</v>
      </c>
      <c r="G1784" s="7">
        <f>G1785</f>
        <v>0</v>
      </c>
      <c r="H1784" s="35">
        <f t="shared" si="390"/>
        <v>1703.5</v>
      </c>
      <c r="I1784" s="7">
        <f>I1785</f>
        <v>0</v>
      </c>
      <c r="J1784" s="35">
        <f t="shared" si="388"/>
        <v>1703.5</v>
      </c>
      <c r="K1784" s="7">
        <f>K1785</f>
        <v>0</v>
      </c>
      <c r="L1784" s="35">
        <f t="shared" si="384"/>
        <v>1703.5</v>
      </c>
      <c r="M1784" s="7">
        <f>M1785</f>
        <v>0</v>
      </c>
      <c r="N1784" s="35">
        <f t="shared" si="393"/>
        <v>1703.5</v>
      </c>
      <c r="O1784" s="7">
        <f>O1785</f>
        <v>0</v>
      </c>
      <c r="P1784" s="35">
        <f t="shared" si="389"/>
        <v>1703.5</v>
      </c>
      <c r="Q1784" s="7">
        <f>Q1785</f>
        <v>0</v>
      </c>
      <c r="R1784" s="35">
        <f t="shared" si="387"/>
        <v>1703.5</v>
      </c>
      <c r="S1784" s="7">
        <f>S1785</f>
        <v>0</v>
      </c>
      <c r="T1784" s="35">
        <f t="shared" si="383"/>
        <v>1703.5</v>
      </c>
    </row>
    <row r="1785" spans="1:21" ht="35.25" customHeight="1">
      <c r="A1785" s="61" t="s">
        <v>158</v>
      </c>
      <c r="B1785" s="112" t="s">
        <v>403</v>
      </c>
      <c r="C1785" s="8" t="s">
        <v>215</v>
      </c>
      <c r="D1785" s="1" t="s">
        <v>213</v>
      </c>
      <c r="E1785" s="113"/>
      <c r="F1785" s="7">
        <f>F1786+F1788</f>
        <v>1703.5</v>
      </c>
      <c r="G1785" s="7">
        <f>G1786+G1788</f>
        <v>0</v>
      </c>
      <c r="H1785" s="35">
        <f t="shared" si="390"/>
        <v>1703.5</v>
      </c>
      <c r="I1785" s="7">
        <f>I1786+I1788</f>
        <v>0</v>
      </c>
      <c r="J1785" s="35">
        <f t="shared" si="388"/>
        <v>1703.5</v>
      </c>
      <c r="K1785" s="7">
        <f>K1786+K1788</f>
        <v>0</v>
      </c>
      <c r="L1785" s="35">
        <f t="shared" si="384"/>
        <v>1703.5</v>
      </c>
      <c r="M1785" s="7">
        <f>M1786+M1788</f>
        <v>0</v>
      </c>
      <c r="N1785" s="35">
        <f t="shared" si="393"/>
        <v>1703.5</v>
      </c>
      <c r="O1785" s="7">
        <f>O1786+O1788</f>
        <v>0</v>
      </c>
      <c r="P1785" s="35">
        <f t="shared" si="389"/>
        <v>1703.5</v>
      </c>
      <c r="Q1785" s="7">
        <f>Q1786+Q1788</f>
        <v>0</v>
      </c>
      <c r="R1785" s="35">
        <f t="shared" si="387"/>
        <v>1703.5</v>
      </c>
      <c r="S1785" s="7">
        <f>S1786+S1788</f>
        <v>0</v>
      </c>
      <c r="T1785" s="35">
        <f t="shared" si="383"/>
        <v>1703.5</v>
      </c>
    </row>
    <row r="1786" spans="1:21" ht="36" customHeight="1">
      <c r="A1786" s="61" t="str">
        <f ca="1">IF(ISERROR(MATCH(E1786,Код_КВР,0)),"",INDIRECT(ADDRESS(MATCH(E1786,Код_КВР,0)+1,2,,,"КВР")))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86" s="112" t="s">
        <v>403</v>
      </c>
      <c r="C1786" s="8" t="s">
        <v>215</v>
      </c>
      <c r="D1786" s="1" t="s">
        <v>213</v>
      </c>
      <c r="E1786" s="113">
        <v>100</v>
      </c>
      <c r="F1786" s="7">
        <f>F1787</f>
        <v>1653.5</v>
      </c>
      <c r="G1786" s="7">
        <f>G1787</f>
        <v>0</v>
      </c>
      <c r="H1786" s="35">
        <f t="shared" si="390"/>
        <v>1653.5</v>
      </c>
      <c r="I1786" s="7">
        <f>I1787</f>
        <v>0</v>
      </c>
      <c r="J1786" s="35">
        <f t="shared" si="388"/>
        <v>1653.5</v>
      </c>
      <c r="K1786" s="7">
        <f>K1787</f>
        <v>0</v>
      </c>
      <c r="L1786" s="35">
        <f t="shared" si="384"/>
        <v>1653.5</v>
      </c>
      <c r="M1786" s="7">
        <f>M1787</f>
        <v>0</v>
      </c>
      <c r="N1786" s="35">
        <f t="shared" si="393"/>
        <v>1653.5</v>
      </c>
      <c r="O1786" s="7">
        <f>O1787</f>
        <v>0</v>
      </c>
      <c r="P1786" s="35">
        <f t="shared" si="389"/>
        <v>1653.5</v>
      </c>
      <c r="Q1786" s="7">
        <f>Q1787</f>
        <v>0</v>
      </c>
      <c r="R1786" s="35">
        <f t="shared" si="387"/>
        <v>1653.5</v>
      </c>
      <c r="S1786" s="7">
        <f>S1787</f>
        <v>50</v>
      </c>
      <c r="T1786" s="35">
        <f t="shared" si="383"/>
        <v>1703.5</v>
      </c>
    </row>
    <row r="1787" spans="1:21">
      <c r="A1787" s="61" t="str">
        <f ca="1">IF(ISERROR(MATCH(E1787,Код_КВР,0)),"",INDIRECT(ADDRESS(MATCH(E1787,Код_КВР,0)+1,2,,,"КВР")))</f>
        <v>Расходы на выплаты персоналу муниципальных органов</v>
      </c>
      <c r="B1787" s="112" t="s">
        <v>403</v>
      </c>
      <c r="C1787" s="8" t="s">
        <v>215</v>
      </c>
      <c r="D1787" s="1" t="s">
        <v>213</v>
      </c>
      <c r="E1787" s="113">
        <v>120</v>
      </c>
      <c r="F1787" s="7">
        <f>прил.6!G1730</f>
        <v>1653.5</v>
      </c>
      <c r="G1787" s="7">
        <f>прил.6!H1730</f>
        <v>0</v>
      </c>
      <c r="H1787" s="35">
        <f t="shared" si="390"/>
        <v>1653.5</v>
      </c>
      <c r="I1787" s="7">
        <f>прил.6!J1730</f>
        <v>0</v>
      </c>
      <c r="J1787" s="35">
        <f t="shared" si="388"/>
        <v>1653.5</v>
      </c>
      <c r="K1787" s="7">
        <f>прил.6!L1730</f>
        <v>0</v>
      </c>
      <c r="L1787" s="35">
        <f t="shared" si="384"/>
        <v>1653.5</v>
      </c>
      <c r="M1787" s="7">
        <f>прил.6!N1730</f>
        <v>0</v>
      </c>
      <c r="N1787" s="35">
        <f t="shared" si="393"/>
        <v>1653.5</v>
      </c>
      <c r="O1787" s="7">
        <f>прил.6!P1730</f>
        <v>0</v>
      </c>
      <c r="P1787" s="35">
        <f t="shared" si="389"/>
        <v>1653.5</v>
      </c>
      <c r="Q1787" s="7">
        <f>прил.6!R1730</f>
        <v>0</v>
      </c>
      <c r="R1787" s="35">
        <f t="shared" si="387"/>
        <v>1653.5</v>
      </c>
      <c r="S1787" s="7">
        <f>прил.6!T1730</f>
        <v>50</v>
      </c>
      <c r="T1787" s="35">
        <f t="shared" ref="T1787:T1822" si="394">R1787+S1787</f>
        <v>1703.5</v>
      </c>
    </row>
    <row r="1788" spans="1:21" hidden="1">
      <c r="A1788" s="61" t="str">
        <f ca="1">IF(ISERROR(MATCH(E1788,Код_КВР,0)),"",INDIRECT(ADDRESS(MATCH(E1788,Код_КВР,0)+1,2,,,"КВР")))</f>
        <v>Закупка товаров, работ и услуг для муниципальных нужд</v>
      </c>
      <c r="B1788" s="112" t="s">
        <v>403</v>
      </c>
      <c r="C1788" s="8" t="s">
        <v>215</v>
      </c>
      <c r="D1788" s="1" t="s">
        <v>213</v>
      </c>
      <c r="E1788" s="113">
        <v>200</v>
      </c>
      <c r="F1788" s="7">
        <f>F1789</f>
        <v>50</v>
      </c>
      <c r="G1788" s="7">
        <f>G1789</f>
        <v>0</v>
      </c>
      <c r="H1788" s="35">
        <f t="shared" si="390"/>
        <v>50</v>
      </c>
      <c r="I1788" s="7">
        <f>I1789</f>
        <v>0</v>
      </c>
      <c r="J1788" s="35">
        <f t="shared" si="388"/>
        <v>50</v>
      </c>
      <c r="K1788" s="7">
        <f>K1789</f>
        <v>0</v>
      </c>
      <c r="L1788" s="35">
        <f t="shared" si="384"/>
        <v>50</v>
      </c>
      <c r="M1788" s="7">
        <f>M1789</f>
        <v>0</v>
      </c>
      <c r="N1788" s="35">
        <f t="shared" si="393"/>
        <v>50</v>
      </c>
      <c r="O1788" s="7">
        <f>O1789</f>
        <v>0</v>
      </c>
      <c r="P1788" s="35">
        <f t="shared" si="389"/>
        <v>50</v>
      </c>
      <c r="Q1788" s="7">
        <f>Q1789</f>
        <v>0</v>
      </c>
      <c r="R1788" s="35">
        <f t="shared" si="387"/>
        <v>50</v>
      </c>
      <c r="S1788" s="7">
        <f>S1789</f>
        <v>-50</v>
      </c>
      <c r="T1788" s="35">
        <f t="shared" si="394"/>
        <v>0</v>
      </c>
      <c r="U1788" s="20" t="s">
        <v>706</v>
      </c>
    </row>
    <row r="1789" spans="1:21" ht="33" hidden="1">
      <c r="A1789" s="61" t="str">
        <f ca="1">IF(ISERROR(MATCH(E1789,Код_КВР,0)),"",INDIRECT(ADDRESS(MATCH(E1789,Код_КВР,0)+1,2,,,"КВР")))</f>
        <v>Иные закупки товаров, работ и услуг для обеспечения муниципальных нужд</v>
      </c>
      <c r="B1789" s="112" t="s">
        <v>403</v>
      </c>
      <c r="C1789" s="8" t="s">
        <v>215</v>
      </c>
      <c r="D1789" s="1" t="s">
        <v>213</v>
      </c>
      <c r="E1789" s="113">
        <v>240</v>
      </c>
      <c r="F1789" s="7">
        <f>F1790</f>
        <v>50</v>
      </c>
      <c r="G1789" s="7">
        <f>G1790</f>
        <v>0</v>
      </c>
      <c r="H1789" s="35">
        <f t="shared" si="390"/>
        <v>50</v>
      </c>
      <c r="I1789" s="7">
        <f>I1790</f>
        <v>0</v>
      </c>
      <c r="J1789" s="35">
        <f t="shared" si="388"/>
        <v>50</v>
      </c>
      <c r="K1789" s="7">
        <f>K1790</f>
        <v>0</v>
      </c>
      <c r="L1789" s="35">
        <f t="shared" si="384"/>
        <v>50</v>
      </c>
      <c r="M1789" s="7">
        <f>M1790</f>
        <v>0</v>
      </c>
      <c r="N1789" s="35">
        <f t="shared" si="393"/>
        <v>50</v>
      </c>
      <c r="O1789" s="7">
        <f>O1790</f>
        <v>0</v>
      </c>
      <c r="P1789" s="35">
        <f t="shared" si="389"/>
        <v>50</v>
      </c>
      <c r="Q1789" s="7">
        <f>Q1790</f>
        <v>0</v>
      </c>
      <c r="R1789" s="35">
        <f t="shared" si="387"/>
        <v>50</v>
      </c>
      <c r="S1789" s="7">
        <f>S1790</f>
        <v>-50</v>
      </c>
      <c r="T1789" s="35">
        <f t="shared" si="394"/>
        <v>0</v>
      </c>
      <c r="U1789" s="20" t="s">
        <v>706</v>
      </c>
    </row>
    <row r="1790" spans="1:21" ht="33" hidden="1">
      <c r="A1790" s="61" t="str">
        <f ca="1">IF(ISERROR(MATCH(E1790,Код_КВР,0)),"",INDIRECT(ADDRESS(MATCH(E1790,Код_КВР,0)+1,2,,,"КВР")))</f>
        <v xml:space="preserve">Прочая закупка товаров, работ и услуг для обеспечения муниципальных нужд         </v>
      </c>
      <c r="B1790" s="112" t="s">
        <v>403</v>
      </c>
      <c r="C1790" s="8" t="s">
        <v>215</v>
      </c>
      <c r="D1790" s="1" t="s">
        <v>213</v>
      </c>
      <c r="E1790" s="113">
        <v>244</v>
      </c>
      <c r="F1790" s="7">
        <f>прил.6!G1733</f>
        <v>50</v>
      </c>
      <c r="G1790" s="7">
        <f>прил.6!H1733</f>
        <v>0</v>
      </c>
      <c r="H1790" s="35">
        <f t="shared" si="390"/>
        <v>50</v>
      </c>
      <c r="I1790" s="7">
        <f>прил.6!J1733</f>
        <v>0</v>
      </c>
      <c r="J1790" s="35">
        <f t="shared" si="388"/>
        <v>50</v>
      </c>
      <c r="K1790" s="7">
        <f>прил.6!L1733</f>
        <v>0</v>
      </c>
      <c r="L1790" s="35">
        <f t="shared" si="384"/>
        <v>50</v>
      </c>
      <c r="M1790" s="7">
        <f>прил.6!N1733</f>
        <v>0</v>
      </c>
      <c r="N1790" s="35">
        <f t="shared" si="393"/>
        <v>50</v>
      </c>
      <c r="O1790" s="7">
        <f>прил.6!P1733</f>
        <v>0</v>
      </c>
      <c r="P1790" s="35">
        <f t="shared" si="389"/>
        <v>50</v>
      </c>
      <c r="Q1790" s="7">
        <f>прил.6!R1733</f>
        <v>0</v>
      </c>
      <c r="R1790" s="35">
        <f t="shared" si="387"/>
        <v>50</v>
      </c>
      <c r="S1790" s="7">
        <f>прил.6!T1733</f>
        <v>-50</v>
      </c>
      <c r="T1790" s="35">
        <f t="shared" si="394"/>
        <v>0</v>
      </c>
      <c r="U1790" s="20" t="s">
        <v>706</v>
      </c>
    </row>
    <row r="1791" spans="1:21" ht="102.75" customHeight="1">
      <c r="A1791" s="61" t="str">
        <f ca="1">IF(ISERROR(MATCH(B1791,Код_КЦСР,0)),"",INDIRECT(ADDRESS(MATCH(B1791,Код_КЦСР,0)+1,2,,,"КЦСР")))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791" s="112" t="s">
        <v>376</v>
      </c>
      <c r="C1791" s="8"/>
      <c r="D1791" s="1"/>
      <c r="E1791" s="113"/>
      <c r="F1791" s="7">
        <f t="shared" ref="F1791:S1794" si="395">F1792</f>
        <v>341.6</v>
      </c>
      <c r="G1791" s="7">
        <f t="shared" si="395"/>
        <v>0</v>
      </c>
      <c r="H1791" s="35">
        <f t="shared" si="390"/>
        <v>341.6</v>
      </c>
      <c r="I1791" s="7">
        <f t="shared" si="395"/>
        <v>0</v>
      </c>
      <c r="J1791" s="35">
        <f t="shared" si="388"/>
        <v>341.6</v>
      </c>
      <c r="K1791" s="7">
        <f t="shared" si="395"/>
        <v>0</v>
      </c>
      <c r="L1791" s="35">
        <f t="shared" si="384"/>
        <v>341.6</v>
      </c>
      <c r="M1791" s="7">
        <f t="shared" si="395"/>
        <v>0</v>
      </c>
      <c r="N1791" s="35">
        <f t="shared" si="393"/>
        <v>341.6</v>
      </c>
      <c r="O1791" s="7">
        <f t="shared" si="395"/>
        <v>0</v>
      </c>
      <c r="P1791" s="35">
        <f t="shared" si="389"/>
        <v>341.6</v>
      </c>
      <c r="Q1791" s="7">
        <f t="shared" si="395"/>
        <v>0</v>
      </c>
      <c r="R1791" s="35">
        <f t="shared" si="387"/>
        <v>341.6</v>
      </c>
      <c r="S1791" s="7">
        <f t="shared" si="395"/>
        <v>0</v>
      </c>
      <c r="T1791" s="35">
        <f t="shared" si="394"/>
        <v>341.6</v>
      </c>
    </row>
    <row r="1792" spans="1:21">
      <c r="A1792" s="61" t="str">
        <f ca="1">IF(ISERROR(MATCH(C1792,Код_Раздел,0)),"",INDIRECT(ADDRESS(MATCH(C1792,Код_Раздел,0)+1,2,,,"Раздел")))</f>
        <v>Общегосударственные  вопросы</v>
      </c>
      <c r="B1792" s="112" t="s">
        <v>376</v>
      </c>
      <c r="C1792" s="8" t="s">
        <v>211</v>
      </c>
      <c r="D1792" s="1"/>
      <c r="E1792" s="113"/>
      <c r="F1792" s="7">
        <f t="shared" si="395"/>
        <v>341.6</v>
      </c>
      <c r="G1792" s="7">
        <f t="shared" si="395"/>
        <v>0</v>
      </c>
      <c r="H1792" s="35">
        <f t="shared" si="390"/>
        <v>341.6</v>
      </c>
      <c r="I1792" s="7">
        <f t="shared" si="395"/>
        <v>0</v>
      </c>
      <c r="J1792" s="35">
        <f t="shared" si="388"/>
        <v>341.6</v>
      </c>
      <c r="K1792" s="7">
        <f t="shared" si="395"/>
        <v>0</v>
      </c>
      <c r="L1792" s="35">
        <f t="shared" si="384"/>
        <v>341.6</v>
      </c>
      <c r="M1792" s="7">
        <f t="shared" si="395"/>
        <v>0</v>
      </c>
      <c r="N1792" s="35">
        <f t="shared" si="393"/>
        <v>341.6</v>
      </c>
      <c r="O1792" s="7">
        <f t="shared" si="395"/>
        <v>0</v>
      </c>
      <c r="P1792" s="35">
        <f t="shared" si="389"/>
        <v>341.6</v>
      </c>
      <c r="Q1792" s="7">
        <f t="shared" si="395"/>
        <v>0</v>
      </c>
      <c r="R1792" s="35">
        <f t="shared" si="387"/>
        <v>341.6</v>
      </c>
      <c r="S1792" s="7">
        <f t="shared" si="395"/>
        <v>0</v>
      </c>
      <c r="T1792" s="35">
        <f t="shared" si="394"/>
        <v>341.6</v>
      </c>
    </row>
    <row r="1793" spans="1:20" ht="57" customHeight="1">
      <c r="A1793" s="75" t="s">
        <v>233</v>
      </c>
      <c r="B1793" s="112" t="s">
        <v>376</v>
      </c>
      <c r="C1793" s="8" t="s">
        <v>211</v>
      </c>
      <c r="D1793" s="1" t="s">
        <v>214</v>
      </c>
      <c r="E1793" s="113"/>
      <c r="F1793" s="7">
        <f t="shared" si="395"/>
        <v>341.6</v>
      </c>
      <c r="G1793" s="7">
        <f t="shared" si="395"/>
        <v>0</v>
      </c>
      <c r="H1793" s="35">
        <f t="shared" si="390"/>
        <v>341.6</v>
      </c>
      <c r="I1793" s="7">
        <f t="shared" si="395"/>
        <v>0</v>
      </c>
      <c r="J1793" s="35">
        <f t="shared" si="388"/>
        <v>341.6</v>
      </c>
      <c r="K1793" s="7">
        <f t="shared" si="395"/>
        <v>0</v>
      </c>
      <c r="L1793" s="35">
        <f t="shared" si="384"/>
        <v>341.6</v>
      </c>
      <c r="M1793" s="7">
        <f t="shared" si="395"/>
        <v>0</v>
      </c>
      <c r="N1793" s="35">
        <f t="shared" si="393"/>
        <v>341.6</v>
      </c>
      <c r="O1793" s="7">
        <f t="shared" si="395"/>
        <v>0</v>
      </c>
      <c r="P1793" s="35">
        <f t="shared" si="389"/>
        <v>341.6</v>
      </c>
      <c r="Q1793" s="7">
        <f t="shared" si="395"/>
        <v>0</v>
      </c>
      <c r="R1793" s="35">
        <f t="shared" si="387"/>
        <v>341.6</v>
      </c>
      <c r="S1793" s="7">
        <f t="shared" si="395"/>
        <v>0</v>
      </c>
      <c r="T1793" s="35">
        <f t="shared" si="394"/>
        <v>341.6</v>
      </c>
    </row>
    <row r="1794" spans="1:20" ht="36.75" customHeight="1">
      <c r="A1794" s="61" t="str">
        <f ca="1">IF(ISERROR(MATCH(E1794,Код_КВР,0)),"",INDIRECT(ADDRESS(MATCH(E1794,Код_КВР,0)+1,2,,,"КВР")))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94" s="112" t="s">
        <v>376</v>
      </c>
      <c r="C1794" s="8" t="s">
        <v>211</v>
      </c>
      <c r="D1794" s="1" t="s">
        <v>214</v>
      </c>
      <c r="E1794" s="113">
        <v>100</v>
      </c>
      <c r="F1794" s="7">
        <f t="shared" si="395"/>
        <v>341.6</v>
      </c>
      <c r="G1794" s="7">
        <f t="shared" si="395"/>
        <v>0</v>
      </c>
      <c r="H1794" s="35">
        <f t="shared" si="390"/>
        <v>341.6</v>
      </c>
      <c r="I1794" s="7">
        <f t="shared" si="395"/>
        <v>0</v>
      </c>
      <c r="J1794" s="35">
        <f t="shared" si="388"/>
        <v>341.6</v>
      </c>
      <c r="K1794" s="7">
        <f t="shared" si="395"/>
        <v>0</v>
      </c>
      <c r="L1794" s="35">
        <f t="shared" si="384"/>
        <v>341.6</v>
      </c>
      <c r="M1794" s="7">
        <f t="shared" si="395"/>
        <v>0</v>
      </c>
      <c r="N1794" s="35">
        <f t="shared" si="393"/>
        <v>341.6</v>
      </c>
      <c r="O1794" s="7">
        <f t="shared" si="395"/>
        <v>0</v>
      </c>
      <c r="P1794" s="35">
        <f t="shared" si="389"/>
        <v>341.6</v>
      </c>
      <c r="Q1794" s="7">
        <f t="shared" si="395"/>
        <v>0</v>
      </c>
      <c r="R1794" s="35">
        <f t="shared" si="387"/>
        <v>341.6</v>
      </c>
      <c r="S1794" s="7">
        <f t="shared" si="395"/>
        <v>0</v>
      </c>
      <c r="T1794" s="35">
        <f t="shared" si="394"/>
        <v>341.6</v>
      </c>
    </row>
    <row r="1795" spans="1:20">
      <c r="A1795" s="61" t="str">
        <f ca="1">IF(ISERROR(MATCH(E1795,Код_КВР,0)),"",INDIRECT(ADDRESS(MATCH(E1795,Код_КВР,0)+1,2,,,"КВР")))</f>
        <v>Расходы на выплаты персоналу муниципальных органов</v>
      </c>
      <c r="B1795" s="112" t="s">
        <v>376</v>
      </c>
      <c r="C1795" s="8" t="s">
        <v>211</v>
      </c>
      <c r="D1795" s="1" t="s">
        <v>214</v>
      </c>
      <c r="E1795" s="113">
        <v>120</v>
      </c>
      <c r="F1795" s="7">
        <f>прил.6!G64</f>
        <v>341.6</v>
      </c>
      <c r="G1795" s="7">
        <f>прил.6!H64</f>
        <v>0</v>
      </c>
      <c r="H1795" s="35">
        <f t="shared" si="390"/>
        <v>341.6</v>
      </c>
      <c r="I1795" s="7">
        <f>прил.6!J64</f>
        <v>0</v>
      </c>
      <c r="J1795" s="35">
        <f t="shared" si="388"/>
        <v>341.6</v>
      </c>
      <c r="K1795" s="7">
        <f>прил.6!L64</f>
        <v>0</v>
      </c>
      <c r="L1795" s="35">
        <f t="shared" si="384"/>
        <v>341.6</v>
      </c>
      <c r="M1795" s="7">
        <f>прил.6!N64</f>
        <v>0</v>
      </c>
      <c r="N1795" s="35">
        <f t="shared" si="393"/>
        <v>341.6</v>
      </c>
      <c r="O1795" s="7">
        <f>прил.6!P64</f>
        <v>0</v>
      </c>
      <c r="P1795" s="35">
        <f t="shared" si="389"/>
        <v>341.6</v>
      </c>
      <c r="Q1795" s="7">
        <f>прил.6!R64</f>
        <v>0</v>
      </c>
      <c r="R1795" s="35">
        <f t="shared" si="387"/>
        <v>341.6</v>
      </c>
      <c r="S1795" s="7">
        <f>прил.6!T64</f>
        <v>0</v>
      </c>
      <c r="T1795" s="35">
        <f t="shared" si="394"/>
        <v>341.6</v>
      </c>
    </row>
    <row r="1796" spans="1:20" ht="109.5" customHeight="1">
      <c r="A1796" s="61" t="str">
        <f ca="1">IF(ISERROR(MATCH(B1796,Код_КЦСР,0)),"",INDIRECT(ADDRESS(MATCH(B1796,Код_КЦСР,0)+1,2,,,"КЦСР")))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796" s="112" t="s">
        <v>388</v>
      </c>
      <c r="C1796" s="8"/>
      <c r="D1796" s="1"/>
      <c r="E1796" s="113"/>
      <c r="F1796" s="7">
        <f t="shared" ref="F1796:S1799" si="396">F1797</f>
        <v>247.7</v>
      </c>
      <c r="G1796" s="7">
        <f t="shared" si="396"/>
        <v>0</v>
      </c>
      <c r="H1796" s="35">
        <f t="shared" si="390"/>
        <v>247.7</v>
      </c>
      <c r="I1796" s="7">
        <f t="shared" si="396"/>
        <v>0</v>
      </c>
      <c r="J1796" s="35">
        <f t="shared" si="388"/>
        <v>247.7</v>
      </c>
      <c r="K1796" s="7">
        <f t="shared" si="396"/>
        <v>0</v>
      </c>
      <c r="L1796" s="35">
        <f t="shared" si="384"/>
        <v>247.7</v>
      </c>
      <c r="M1796" s="7">
        <f t="shared" si="396"/>
        <v>0</v>
      </c>
      <c r="N1796" s="35">
        <f t="shared" si="393"/>
        <v>247.7</v>
      </c>
      <c r="O1796" s="7">
        <f t="shared" si="396"/>
        <v>0</v>
      </c>
      <c r="P1796" s="35">
        <f t="shared" si="389"/>
        <v>247.7</v>
      </c>
      <c r="Q1796" s="7">
        <f t="shared" si="396"/>
        <v>0</v>
      </c>
      <c r="R1796" s="35">
        <f t="shared" si="387"/>
        <v>247.7</v>
      </c>
      <c r="S1796" s="7">
        <f t="shared" si="396"/>
        <v>0</v>
      </c>
      <c r="T1796" s="35">
        <f t="shared" si="394"/>
        <v>247.7</v>
      </c>
    </row>
    <row r="1797" spans="1:20">
      <c r="A1797" s="61" t="str">
        <f ca="1">IF(ISERROR(MATCH(C1797,Код_Раздел,0)),"",INDIRECT(ADDRESS(MATCH(C1797,Код_Раздел,0)+1,2,,,"Раздел")))</f>
        <v>Общегосударственные  вопросы</v>
      </c>
      <c r="B1797" s="112" t="s">
        <v>388</v>
      </c>
      <c r="C1797" s="8" t="s">
        <v>211</v>
      </c>
      <c r="D1797" s="1"/>
      <c r="E1797" s="113"/>
      <c r="F1797" s="7">
        <f t="shared" si="396"/>
        <v>247.7</v>
      </c>
      <c r="G1797" s="7">
        <f t="shared" si="396"/>
        <v>0</v>
      </c>
      <c r="H1797" s="35">
        <f t="shared" si="390"/>
        <v>247.7</v>
      </c>
      <c r="I1797" s="7">
        <f t="shared" si="396"/>
        <v>0</v>
      </c>
      <c r="J1797" s="35">
        <f t="shared" si="388"/>
        <v>247.7</v>
      </c>
      <c r="K1797" s="7">
        <f t="shared" si="396"/>
        <v>0</v>
      </c>
      <c r="L1797" s="35">
        <f t="shared" si="384"/>
        <v>247.7</v>
      </c>
      <c r="M1797" s="7">
        <f t="shared" si="396"/>
        <v>0</v>
      </c>
      <c r="N1797" s="35">
        <f t="shared" si="393"/>
        <v>247.7</v>
      </c>
      <c r="O1797" s="7">
        <f t="shared" si="396"/>
        <v>0</v>
      </c>
      <c r="P1797" s="35">
        <f t="shared" si="389"/>
        <v>247.7</v>
      </c>
      <c r="Q1797" s="7">
        <f t="shared" si="396"/>
        <v>0</v>
      </c>
      <c r="R1797" s="35">
        <f t="shared" si="387"/>
        <v>247.7</v>
      </c>
      <c r="S1797" s="7">
        <f t="shared" si="396"/>
        <v>0</v>
      </c>
      <c r="T1797" s="35">
        <f t="shared" si="394"/>
        <v>247.7</v>
      </c>
    </row>
    <row r="1798" spans="1:20" ht="33">
      <c r="A1798" s="12" t="s">
        <v>163</v>
      </c>
      <c r="B1798" s="112" t="s">
        <v>388</v>
      </c>
      <c r="C1798" s="8" t="s">
        <v>211</v>
      </c>
      <c r="D1798" s="1" t="s">
        <v>215</v>
      </c>
      <c r="E1798" s="113"/>
      <c r="F1798" s="7">
        <f t="shared" si="396"/>
        <v>247.7</v>
      </c>
      <c r="G1798" s="7">
        <f t="shared" si="396"/>
        <v>0</v>
      </c>
      <c r="H1798" s="35">
        <f t="shared" si="390"/>
        <v>247.7</v>
      </c>
      <c r="I1798" s="7">
        <f t="shared" si="396"/>
        <v>0</v>
      </c>
      <c r="J1798" s="35">
        <f t="shared" si="388"/>
        <v>247.7</v>
      </c>
      <c r="K1798" s="7">
        <f t="shared" si="396"/>
        <v>0</v>
      </c>
      <c r="L1798" s="35">
        <f t="shared" si="384"/>
        <v>247.7</v>
      </c>
      <c r="M1798" s="7">
        <f t="shared" si="396"/>
        <v>0</v>
      </c>
      <c r="N1798" s="35">
        <f t="shared" si="393"/>
        <v>247.7</v>
      </c>
      <c r="O1798" s="7">
        <f t="shared" si="396"/>
        <v>0</v>
      </c>
      <c r="P1798" s="35">
        <f t="shared" si="389"/>
        <v>247.7</v>
      </c>
      <c r="Q1798" s="7">
        <f t="shared" si="396"/>
        <v>0</v>
      </c>
      <c r="R1798" s="35">
        <f t="shared" si="387"/>
        <v>247.7</v>
      </c>
      <c r="S1798" s="7">
        <f t="shared" si="396"/>
        <v>0</v>
      </c>
      <c r="T1798" s="35">
        <f t="shared" si="394"/>
        <v>247.7</v>
      </c>
    </row>
    <row r="1799" spans="1:20" ht="33">
      <c r="A1799" s="61" t="str">
        <f ca="1">IF(ISERROR(MATCH(E1799,Код_КВР,0)),"",INDIRECT(ADDRESS(MATCH(E1799,Код_КВР,0)+1,2,,,"КВР")))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99" s="112" t="s">
        <v>388</v>
      </c>
      <c r="C1799" s="8" t="s">
        <v>211</v>
      </c>
      <c r="D1799" s="1" t="s">
        <v>215</v>
      </c>
      <c r="E1799" s="113">
        <v>100</v>
      </c>
      <c r="F1799" s="7">
        <f t="shared" si="396"/>
        <v>247.7</v>
      </c>
      <c r="G1799" s="7">
        <f t="shared" si="396"/>
        <v>0</v>
      </c>
      <c r="H1799" s="35">
        <f t="shared" si="390"/>
        <v>247.7</v>
      </c>
      <c r="I1799" s="7">
        <f t="shared" si="396"/>
        <v>0</v>
      </c>
      <c r="J1799" s="35">
        <f t="shared" si="388"/>
        <v>247.7</v>
      </c>
      <c r="K1799" s="7">
        <f t="shared" si="396"/>
        <v>0</v>
      </c>
      <c r="L1799" s="35">
        <f t="shared" si="384"/>
        <v>247.7</v>
      </c>
      <c r="M1799" s="7">
        <f t="shared" si="396"/>
        <v>0</v>
      </c>
      <c r="N1799" s="35">
        <f t="shared" si="393"/>
        <v>247.7</v>
      </c>
      <c r="O1799" s="7">
        <f t="shared" si="396"/>
        <v>0</v>
      </c>
      <c r="P1799" s="35">
        <f t="shared" si="389"/>
        <v>247.7</v>
      </c>
      <c r="Q1799" s="7">
        <f t="shared" si="396"/>
        <v>0</v>
      </c>
      <c r="R1799" s="35">
        <f t="shared" si="387"/>
        <v>247.7</v>
      </c>
      <c r="S1799" s="7">
        <f t="shared" si="396"/>
        <v>0</v>
      </c>
      <c r="T1799" s="35">
        <f t="shared" si="394"/>
        <v>247.7</v>
      </c>
    </row>
    <row r="1800" spans="1:20">
      <c r="A1800" s="61" t="str">
        <f ca="1">IF(ISERROR(MATCH(E1800,Код_КВР,0)),"",INDIRECT(ADDRESS(MATCH(E1800,Код_КВР,0)+1,2,,,"КВР")))</f>
        <v>Расходы на выплаты персоналу муниципальных органов</v>
      </c>
      <c r="B1800" s="112" t="s">
        <v>388</v>
      </c>
      <c r="C1800" s="8" t="s">
        <v>211</v>
      </c>
      <c r="D1800" s="1" t="s">
        <v>215</v>
      </c>
      <c r="E1800" s="113">
        <v>120</v>
      </c>
      <c r="F1800" s="7">
        <f>прил.6!G882</f>
        <v>247.7</v>
      </c>
      <c r="G1800" s="7">
        <f>прил.6!H882</f>
        <v>0</v>
      </c>
      <c r="H1800" s="35">
        <f t="shared" si="390"/>
        <v>247.7</v>
      </c>
      <c r="I1800" s="7">
        <f>прил.6!J882</f>
        <v>0</v>
      </c>
      <c r="J1800" s="35">
        <f t="shared" si="388"/>
        <v>247.7</v>
      </c>
      <c r="K1800" s="7">
        <f>прил.6!L882</f>
        <v>0</v>
      </c>
      <c r="L1800" s="35">
        <f t="shared" si="384"/>
        <v>247.7</v>
      </c>
      <c r="M1800" s="7">
        <f>прил.6!N882</f>
        <v>0</v>
      </c>
      <c r="N1800" s="35">
        <f t="shared" si="393"/>
        <v>247.7</v>
      </c>
      <c r="O1800" s="7">
        <f>прил.6!P882</f>
        <v>0</v>
      </c>
      <c r="P1800" s="35">
        <f t="shared" si="389"/>
        <v>247.7</v>
      </c>
      <c r="Q1800" s="7">
        <f>прил.6!R882</f>
        <v>0</v>
      </c>
      <c r="R1800" s="35">
        <f t="shared" si="387"/>
        <v>247.7</v>
      </c>
      <c r="S1800" s="7">
        <f>прил.6!T882</f>
        <v>0</v>
      </c>
      <c r="T1800" s="35">
        <f t="shared" si="394"/>
        <v>247.7</v>
      </c>
    </row>
    <row r="1801" spans="1:20" ht="156.75" customHeight="1">
      <c r="A1801" s="61" t="str">
        <f ca="1">IF(ISERROR(MATCH(B1801,Код_КЦСР,0)),"",INDIRECT(ADDRESS(MATCH(B1801,Код_КЦСР,0)+1,2,,,"КЦСР")))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801" s="112" t="s">
        <v>417</v>
      </c>
      <c r="C1801" s="8"/>
      <c r="D1801" s="1"/>
      <c r="E1801" s="113"/>
      <c r="F1801" s="7">
        <f t="shared" ref="F1801:S1804" si="397">F1802</f>
        <v>112.3</v>
      </c>
      <c r="G1801" s="7">
        <f t="shared" si="397"/>
        <v>0</v>
      </c>
      <c r="H1801" s="35">
        <f t="shared" si="390"/>
        <v>112.3</v>
      </c>
      <c r="I1801" s="7">
        <f t="shared" si="397"/>
        <v>0</v>
      </c>
      <c r="J1801" s="35">
        <f t="shared" si="388"/>
        <v>112.3</v>
      </c>
      <c r="K1801" s="7">
        <f t="shared" si="397"/>
        <v>0</v>
      </c>
      <c r="L1801" s="35">
        <f t="shared" si="384"/>
        <v>112.3</v>
      </c>
      <c r="M1801" s="7">
        <f t="shared" si="397"/>
        <v>0</v>
      </c>
      <c r="N1801" s="35">
        <f t="shared" si="393"/>
        <v>112.3</v>
      </c>
      <c r="O1801" s="7">
        <f t="shared" si="397"/>
        <v>0</v>
      </c>
      <c r="P1801" s="35">
        <f t="shared" si="389"/>
        <v>112.3</v>
      </c>
      <c r="Q1801" s="7">
        <f t="shared" si="397"/>
        <v>0</v>
      </c>
      <c r="R1801" s="35">
        <f t="shared" si="387"/>
        <v>112.3</v>
      </c>
      <c r="S1801" s="7">
        <f t="shared" si="397"/>
        <v>-91.4</v>
      </c>
      <c r="T1801" s="35">
        <f t="shared" si="394"/>
        <v>20.899999999999991</v>
      </c>
    </row>
    <row r="1802" spans="1:20">
      <c r="A1802" s="61" t="str">
        <f ca="1">IF(ISERROR(MATCH(C1802,Код_Раздел,0)),"",INDIRECT(ADDRESS(MATCH(C1802,Код_Раздел,0)+1,2,,,"Раздел")))</f>
        <v>Национальная экономика</v>
      </c>
      <c r="B1802" s="112" t="s">
        <v>417</v>
      </c>
      <c r="C1802" s="8" t="s">
        <v>214</v>
      </c>
      <c r="D1802" s="1"/>
      <c r="E1802" s="113"/>
      <c r="F1802" s="7">
        <f t="shared" si="397"/>
        <v>112.3</v>
      </c>
      <c r="G1802" s="7">
        <f t="shared" si="397"/>
        <v>0</v>
      </c>
      <c r="H1802" s="35">
        <f t="shared" si="390"/>
        <v>112.3</v>
      </c>
      <c r="I1802" s="7">
        <f t="shared" si="397"/>
        <v>0</v>
      </c>
      <c r="J1802" s="35">
        <f t="shared" si="388"/>
        <v>112.3</v>
      </c>
      <c r="K1802" s="7">
        <f t="shared" si="397"/>
        <v>0</v>
      </c>
      <c r="L1802" s="35">
        <f t="shared" si="384"/>
        <v>112.3</v>
      </c>
      <c r="M1802" s="7">
        <f t="shared" si="397"/>
        <v>0</v>
      </c>
      <c r="N1802" s="35">
        <f t="shared" si="393"/>
        <v>112.3</v>
      </c>
      <c r="O1802" s="7">
        <f t="shared" si="397"/>
        <v>0</v>
      </c>
      <c r="P1802" s="35">
        <f t="shared" si="389"/>
        <v>112.3</v>
      </c>
      <c r="Q1802" s="7">
        <f t="shared" si="397"/>
        <v>0</v>
      </c>
      <c r="R1802" s="35">
        <f t="shared" si="387"/>
        <v>112.3</v>
      </c>
      <c r="S1802" s="7">
        <f t="shared" si="397"/>
        <v>-91.4</v>
      </c>
      <c r="T1802" s="35">
        <f t="shared" si="394"/>
        <v>20.899999999999991</v>
      </c>
    </row>
    <row r="1803" spans="1:20">
      <c r="A1803" s="12" t="s">
        <v>221</v>
      </c>
      <c r="B1803" s="112" t="s">
        <v>417</v>
      </c>
      <c r="C1803" s="8" t="s">
        <v>214</v>
      </c>
      <c r="D1803" s="1" t="s">
        <v>194</v>
      </c>
      <c r="E1803" s="113"/>
      <c r="F1803" s="7">
        <f t="shared" si="397"/>
        <v>112.3</v>
      </c>
      <c r="G1803" s="7">
        <f t="shared" si="397"/>
        <v>0</v>
      </c>
      <c r="H1803" s="35">
        <f t="shared" si="390"/>
        <v>112.3</v>
      </c>
      <c r="I1803" s="7">
        <f t="shared" si="397"/>
        <v>0</v>
      </c>
      <c r="J1803" s="35">
        <f t="shared" si="388"/>
        <v>112.3</v>
      </c>
      <c r="K1803" s="7">
        <f t="shared" si="397"/>
        <v>0</v>
      </c>
      <c r="L1803" s="35">
        <f t="shared" si="384"/>
        <v>112.3</v>
      </c>
      <c r="M1803" s="7">
        <f t="shared" si="397"/>
        <v>0</v>
      </c>
      <c r="N1803" s="35">
        <f t="shared" si="393"/>
        <v>112.3</v>
      </c>
      <c r="O1803" s="7">
        <f t="shared" si="397"/>
        <v>0</v>
      </c>
      <c r="P1803" s="35">
        <f t="shared" si="389"/>
        <v>112.3</v>
      </c>
      <c r="Q1803" s="7">
        <f t="shared" si="397"/>
        <v>0</v>
      </c>
      <c r="R1803" s="35">
        <f t="shared" si="387"/>
        <v>112.3</v>
      </c>
      <c r="S1803" s="7">
        <f t="shared" si="397"/>
        <v>-91.4</v>
      </c>
      <c r="T1803" s="35">
        <f t="shared" si="394"/>
        <v>20.899999999999991</v>
      </c>
    </row>
    <row r="1804" spans="1:20" ht="33">
      <c r="A1804" s="61" t="str">
        <f ca="1">IF(ISERROR(MATCH(E1804,Код_КВР,0)),"",INDIRECT(ADDRESS(MATCH(E1804,Код_КВР,0)+1,2,,,"КВР")))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04" s="112" t="s">
        <v>417</v>
      </c>
      <c r="C1804" s="8" t="s">
        <v>214</v>
      </c>
      <c r="D1804" s="1" t="s">
        <v>194</v>
      </c>
      <c r="E1804" s="113">
        <v>100</v>
      </c>
      <c r="F1804" s="7">
        <f t="shared" si="397"/>
        <v>112.3</v>
      </c>
      <c r="G1804" s="7">
        <f t="shared" si="397"/>
        <v>0</v>
      </c>
      <c r="H1804" s="35">
        <f t="shared" si="390"/>
        <v>112.3</v>
      </c>
      <c r="I1804" s="7">
        <f t="shared" si="397"/>
        <v>0</v>
      </c>
      <c r="J1804" s="35">
        <f t="shared" si="388"/>
        <v>112.3</v>
      </c>
      <c r="K1804" s="7">
        <f t="shared" si="397"/>
        <v>0</v>
      </c>
      <c r="L1804" s="35">
        <f t="shared" si="384"/>
        <v>112.3</v>
      </c>
      <c r="M1804" s="7">
        <f t="shared" si="397"/>
        <v>0</v>
      </c>
      <c r="N1804" s="35">
        <f t="shared" si="393"/>
        <v>112.3</v>
      </c>
      <c r="O1804" s="7">
        <f t="shared" si="397"/>
        <v>0</v>
      </c>
      <c r="P1804" s="35">
        <f t="shared" si="389"/>
        <v>112.3</v>
      </c>
      <c r="Q1804" s="7">
        <f t="shared" si="397"/>
        <v>0</v>
      </c>
      <c r="R1804" s="35">
        <f t="shared" si="387"/>
        <v>112.3</v>
      </c>
      <c r="S1804" s="7">
        <f t="shared" si="397"/>
        <v>-91.4</v>
      </c>
      <c r="T1804" s="35">
        <f t="shared" si="394"/>
        <v>20.899999999999991</v>
      </c>
    </row>
    <row r="1805" spans="1:20">
      <c r="A1805" s="61" t="str">
        <f ca="1">IF(ISERROR(MATCH(E1805,Код_КВР,0)),"",INDIRECT(ADDRESS(MATCH(E1805,Код_КВР,0)+1,2,,,"КВР")))</f>
        <v>Расходы на выплаты персоналу муниципальных органов</v>
      </c>
      <c r="B1805" s="112" t="s">
        <v>417</v>
      </c>
      <c r="C1805" s="8" t="s">
        <v>214</v>
      </c>
      <c r="D1805" s="1" t="s">
        <v>194</v>
      </c>
      <c r="E1805" s="113">
        <v>120</v>
      </c>
      <c r="F1805" s="7">
        <f>прил.6!G1603</f>
        <v>112.3</v>
      </c>
      <c r="G1805" s="7">
        <f>прил.6!H1603</f>
        <v>0</v>
      </c>
      <c r="H1805" s="35">
        <f t="shared" si="390"/>
        <v>112.3</v>
      </c>
      <c r="I1805" s="7">
        <f>прил.6!J1603</f>
        <v>0</v>
      </c>
      <c r="J1805" s="35">
        <f t="shared" si="388"/>
        <v>112.3</v>
      </c>
      <c r="K1805" s="7">
        <f>прил.6!L1603</f>
        <v>0</v>
      </c>
      <c r="L1805" s="35">
        <f t="shared" si="384"/>
        <v>112.3</v>
      </c>
      <c r="M1805" s="7">
        <f>прил.6!N1603</f>
        <v>0</v>
      </c>
      <c r="N1805" s="35">
        <f t="shared" si="393"/>
        <v>112.3</v>
      </c>
      <c r="O1805" s="7">
        <f>прил.6!P1603</f>
        <v>0</v>
      </c>
      <c r="P1805" s="35">
        <f t="shared" si="389"/>
        <v>112.3</v>
      </c>
      <c r="Q1805" s="7">
        <f>прил.6!R1603</f>
        <v>0</v>
      </c>
      <c r="R1805" s="35">
        <f t="shared" si="387"/>
        <v>112.3</v>
      </c>
      <c r="S1805" s="7">
        <f>прил.6!T1603</f>
        <v>-91.4</v>
      </c>
      <c r="T1805" s="35">
        <f t="shared" si="394"/>
        <v>20.899999999999991</v>
      </c>
    </row>
    <row r="1806" spans="1:20" ht="59.25" customHeight="1">
      <c r="A1806" s="61" t="str">
        <f ca="1">IF(ISERROR(MATCH(B1806,Код_КЦСР,0)),"",INDIRECT(ADDRESS(MATCH(B1806,Код_КЦСР,0)+1,2,,,"КЦСР")))</f>
        <v xml:space="preserve">Поддержка общеобразовательных организаций, работающих в сложных социальных условиях за счет иных межбюджетных трансфертов из областного бюджета </v>
      </c>
      <c r="B1806" s="112" t="s">
        <v>699</v>
      </c>
      <c r="C1806" s="8"/>
      <c r="D1806" s="1"/>
      <c r="E1806" s="113"/>
      <c r="F1806" s="7"/>
      <c r="G1806" s="7"/>
      <c r="H1806" s="35"/>
      <c r="I1806" s="7"/>
      <c r="J1806" s="35"/>
      <c r="K1806" s="7"/>
      <c r="L1806" s="35"/>
      <c r="M1806" s="7"/>
      <c r="N1806" s="35"/>
      <c r="O1806" s="7"/>
      <c r="P1806" s="35"/>
      <c r="Q1806" s="7"/>
      <c r="R1806" s="35"/>
      <c r="S1806" s="7">
        <f>S1807</f>
        <v>750</v>
      </c>
      <c r="T1806" s="35">
        <f t="shared" si="394"/>
        <v>750</v>
      </c>
    </row>
    <row r="1807" spans="1:20">
      <c r="A1807" s="61" t="str">
        <f ca="1">IF(ISERROR(MATCH(C1807,Код_Раздел,0)),"",INDIRECT(ADDRESS(MATCH(C1807,Код_Раздел,0)+1,2,,,"Раздел")))</f>
        <v>Образование</v>
      </c>
      <c r="B1807" s="131" t="s">
        <v>699</v>
      </c>
      <c r="C1807" s="8" t="s">
        <v>193</v>
      </c>
      <c r="D1807" s="1"/>
      <c r="E1807" s="132"/>
      <c r="F1807" s="7"/>
      <c r="G1807" s="7"/>
      <c r="H1807" s="35"/>
      <c r="I1807" s="7"/>
      <c r="J1807" s="35"/>
      <c r="K1807" s="7"/>
      <c r="L1807" s="35"/>
      <c r="M1807" s="7"/>
      <c r="N1807" s="35"/>
      <c r="O1807" s="7"/>
      <c r="P1807" s="35"/>
      <c r="Q1807" s="7"/>
      <c r="R1807" s="35"/>
      <c r="S1807" s="7">
        <f>S1808</f>
        <v>750</v>
      </c>
      <c r="T1807" s="35">
        <f t="shared" si="394"/>
        <v>750</v>
      </c>
    </row>
    <row r="1808" spans="1:20">
      <c r="A1808" s="12" t="s">
        <v>248</v>
      </c>
      <c r="B1808" s="112" t="s">
        <v>699</v>
      </c>
      <c r="C1808" s="8" t="s">
        <v>193</v>
      </c>
      <c r="D1808" s="1" t="s">
        <v>212</v>
      </c>
      <c r="E1808" s="113"/>
      <c r="F1808" s="7"/>
      <c r="G1808" s="7"/>
      <c r="H1808" s="35"/>
      <c r="I1808" s="7"/>
      <c r="J1808" s="35"/>
      <c r="K1808" s="7"/>
      <c r="L1808" s="35"/>
      <c r="M1808" s="7"/>
      <c r="N1808" s="35"/>
      <c r="O1808" s="7"/>
      <c r="P1808" s="35"/>
      <c r="Q1808" s="7"/>
      <c r="R1808" s="35"/>
      <c r="S1808" s="7">
        <f>S1809</f>
        <v>750</v>
      </c>
      <c r="T1808" s="35">
        <f t="shared" si="394"/>
        <v>750</v>
      </c>
    </row>
    <row r="1809" spans="1:20" ht="37.5" customHeight="1">
      <c r="A1809" s="61" t="str">
        <f ca="1">IF(ISERROR(MATCH(E1809,Код_КВР,0)),"",INDIRECT(ADDRESS(MATCH(E1809,Код_КВР,0)+1,2,,,"КВР")))</f>
        <v>Предоставление субсидий бюджетным, автономным учреждениям и иным некоммерческим организациям</v>
      </c>
      <c r="B1809" s="112" t="s">
        <v>699</v>
      </c>
      <c r="C1809" s="8" t="s">
        <v>193</v>
      </c>
      <c r="D1809" s="1" t="s">
        <v>212</v>
      </c>
      <c r="E1809" s="113">
        <v>600</v>
      </c>
      <c r="F1809" s="7"/>
      <c r="G1809" s="7"/>
      <c r="H1809" s="35"/>
      <c r="I1809" s="7"/>
      <c r="J1809" s="35"/>
      <c r="K1809" s="7"/>
      <c r="L1809" s="35"/>
      <c r="M1809" s="7"/>
      <c r="N1809" s="35"/>
      <c r="O1809" s="7"/>
      <c r="P1809" s="35"/>
      <c r="Q1809" s="7"/>
      <c r="R1809" s="35"/>
      <c r="S1809" s="7">
        <f>S1810</f>
        <v>750</v>
      </c>
      <c r="T1809" s="35">
        <f t="shared" si="394"/>
        <v>750</v>
      </c>
    </row>
    <row r="1810" spans="1:20">
      <c r="A1810" s="61" t="str">
        <f ca="1">IF(ISERROR(MATCH(E1810,Код_КВР,0)),"",INDIRECT(ADDRESS(MATCH(E1810,Код_КВР,0)+1,2,,,"КВР")))</f>
        <v>Субсидии бюджетным учреждениям</v>
      </c>
      <c r="B1810" s="112" t="s">
        <v>699</v>
      </c>
      <c r="C1810" s="8" t="s">
        <v>193</v>
      </c>
      <c r="D1810" s="1" t="s">
        <v>212</v>
      </c>
      <c r="E1810" s="113">
        <v>610</v>
      </c>
      <c r="F1810" s="7"/>
      <c r="G1810" s="7"/>
      <c r="H1810" s="35"/>
      <c r="I1810" s="7"/>
      <c r="J1810" s="35"/>
      <c r="K1810" s="7"/>
      <c r="L1810" s="35"/>
      <c r="M1810" s="7"/>
      <c r="N1810" s="35"/>
      <c r="O1810" s="7"/>
      <c r="P1810" s="35"/>
      <c r="Q1810" s="7"/>
      <c r="R1810" s="35"/>
      <c r="S1810" s="7">
        <f>S1811</f>
        <v>750</v>
      </c>
      <c r="T1810" s="35">
        <f t="shared" si="394"/>
        <v>750</v>
      </c>
    </row>
    <row r="1811" spans="1:20">
      <c r="A1811" s="61" t="str">
        <f ca="1">IF(ISERROR(MATCH(E1811,Код_КВР,0)),"",INDIRECT(ADDRESS(MATCH(E1811,Код_КВР,0)+1,2,,,"КВР")))</f>
        <v>Субсидии бюджетным учреждениям на иные цели</v>
      </c>
      <c r="B1811" s="112" t="s">
        <v>699</v>
      </c>
      <c r="C1811" s="8" t="s">
        <v>193</v>
      </c>
      <c r="D1811" s="1" t="s">
        <v>212</v>
      </c>
      <c r="E1811" s="113">
        <v>612</v>
      </c>
      <c r="F1811" s="7"/>
      <c r="G1811" s="7"/>
      <c r="H1811" s="35"/>
      <c r="I1811" s="7"/>
      <c r="J1811" s="35"/>
      <c r="K1811" s="7"/>
      <c r="L1811" s="35"/>
      <c r="M1811" s="7"/>
      <c r="N1811" s="35"/>
      <c r="O1811" s="7"/>
      <c r="P1811" s="35"/>
      <c r="Q1811" s="7"/>
      <c r="R1811" s="35"/>
      <c r="S1811" s="7">
        <f>прил.6!T696</f>
        <v>750</v>
      </c>
      <c r="T1811" s="35">
        <f t="shared" si="394"/>
        <v>750</v>
      </c>
    </row>
    <row r="1812" spans="1:20">
      <c r="A1812" s="61" t="str">
        <f ca="1">IF(ISERROR(MATCH(B1812,Код_КЦСР,0)),"",INDIRECT(ADDRESS(MATCH(B1812,Код_КЦСР,0)+1,2,,,"КЦСР")))</f>
        <v>Резервные фонды</v>
      </c>
      <c r="B1812" s="112" t="s">
        <v>438</v>
      </c>
      <c r="C1812" s="8"/>
      <c r="D1812" s="1"/>
      <c r="E1812" s="113"/>
      <c r="F1812" s="7">
        <f t="shared" ref="F1812:S1816" si="398">F1813</f>
        <v>69251.3</v>
      </c>
      <c r="G1812" s="7">
        <f t="shared" si="398"/>
        <v>-9691.9</v>
      </c>
      <c r="H1812" s="35">
        <f t="shared" si="390"/>
        <v>59559.4</v>
      </c>
      <c r="I1812" s="7">
        <f t="shared" si="398"/>
        <v>-630.1</v>
      </c>
      <c r="J1812" s="35">
        <f t="shared" si="388"/>
        <v>58929.3</v>
      </c>
      <c r="K1812" s="7">
        <f t="shared" si="398"/>
        <v>-42706.7</v>
      </c>
      <c r="L1812" s="35">
        <f t="shared" ref="L1812:L1823" si="399">J1812+K1812</f>
        <v>16222.600000000006</v>
      </c>
      <c r="M1812" s="7">
        <f t="shared" si="398"/>
        <v>-4163</v>
      </c>
      <c r="N1812" s="35">
        <f t="shared" si="393"/>
        <v>12059.600000000006</v>
      </c>
      <c r="O1812" s="7">
        <f t="shared" si="398"/>
        <v>0</v>
      </c>
      <c r="P1812" s="35">
        <f t="shared" si="389"/>
        <v>12059.600000000006</v>
      </c>
      <c r="Q1812" s="7">
        <f t="shared" si="398"/>
        <v>-310.09999999999991</v>
      </c>
      <c r="R1812" s="35">
        <f t="shared" si="387"/>
        <v>11749.500000000005</v>
      </c>
      <c r="S1812" s="7">
        <f t="shared" si="398"/>
        <v>0</v>
      </c>
      <c r="T1812" s="35">
        <f t="shared" si="394"/>
        <v>11749.500000000005</v>
      </c>
    </row>
    <row r="1813" spans="1:20">
      <c r="A1813" s="61" t="str">
        <f ca="1">IF(ISERROR(MATCH(B1813,Код_КЦСР,0)),"",INDIRECT(ADDRESS(MATCH(B1813,Код_КЦСР,0)+1,2,,,"КЦСР")))</f>
        <v>Резервные фонды мэрии города</v>
      </c>
      <c r="B1813" s="112" t="s">
        <v>439</v>
      </c>
      <c r="C1813" s="8"/>
      <c r="D1813" s="1"/>
      <c r="E1813" s="113"/>
      <c r="F1813" s="7">
        <f t="shared" si="398"/>
        <v>69251.3</v>
      </c>
      <c r="G1813" s="7">
        <f t="shared" si="398"/>
        <v>-9691.9</v>
      </c>
      <c r="H1813" s="35">
        <f t="shared" si="390"/>
        <v>59559.4</v>
      </c>
      <c r="I1813" s="7">
        <f t="shared" si="398"/>
        <v>-630.1</v>
      </c>
      <c r="J1813" s="35">
        <f t="shared" si="388"/>
        <v>58929.3</v>
      </c>
      <c r="K1813" s="7">
        <f t="shared" si="398"/>
        <v>-42706.7</v>
      </c>
      <c r="L1813" s="35">
        <f t="shared" si="399"/>
        <v>16222.600000000006</v>
      </c>
      <c r="M1813" s="7">
        <f t="shared" si="398"/>
        <v>-4163</v>
      </c>
      <c r="N1813" s="35">
        <f t="shared" si="393"/>
        <v>12059.600000000006</v>
      </c>
      <c r="O1813" s="7">
        <f t="shared" si="398"/>
        <v>0</v>
      </c>
      <c r="P1813" s="35">
        <f t="shared" si="389"/>
        <v>12059.600000000006</v>
      </c>
      <c r="Q1813" s="7">
        <f t="shared" si="398"/>
        <v>-310.09999999999991</v>
      </c>
      <c r="R1813" s="35">
        <f t="shared" si="387"/>
        <v>11749.500000000005</v>
      </c>
      <c r="S1813" s="7">
        <f t="shared" si="398"/>
        <v>0</v>
      </c>
      <c r="T1813" s="35">
        <f t="shared" si="394"/>
        <v>11749.500000000005</v>
      </c>
    </row>
    <row r="1814" spans="1:20">
      <c r="A1814" s="61" t="str">
        <f ca="1">IF(ISERROR(MATCH(C1814,Код_Раздел,0)),"",INDIRECT(ADDRESS(MATCH(C1814,Код_Раздел,0)+1,2,,,"Раздел")))</f>
        <v>Общегосударственные  вопросы</v>
      </c>
      <c r="B1814" s="112" t="s">
        <v>439</v>
      </c>
      <c r="C1814" s="8" t="s">
        <v>211</v>
      </c>
      <c r="D1814" s="1"/>
      <c r="E1814" s="113"/>
      <c r="F1814" s="7">
        <f t="shared" si="398"/>
        <v>69251.3</v>
      </c>
      <c r="G1814" s="7">
        <f t="shared" si="398"/>
        <v>-9691.9</v>
      </c>
      <c r="H1814" s="35">
        <f t="shared" si="390"/>
        <v>59559.4</v>
      </c>
      <c r="I1814" s="7">
        <f t="shared" si="398"/>
        <v>-630.1</v>
      </c>
      <c r="J1814" s="35">
        <f t="shared" si="388"/>
        <v>58929.3</v>
      </c>
      <c r="K1814" s="7">
        <f t="shared" si="398"/>
        <v>-42706.7</v>
      </c>
      <c r="L1814" s="35">
        <f t="shared" si="399"/>
        <v>16222.600000000006</v>
      </c>
      <c r="M1814" s="7">
        <f t="shared" si="398"/>
        <v>-4163</v>
      </c>
      <c r="N1814" s="35">
        <f t="shared" si="393"/>
        <v>12059.600000000006</v>
      </c>
      <c r="O1814" s="7">
        <f t="shared" si="398"/>
        <v>0</v>
      </c>
      <c r="P1814" s="35">
        <f t="shared" si="389"/>
        <v>12059.600000000006</v>
      </c>
      <c r="Q1814" s="7">
        <f t="shared" si="398"/>
        <v>-310.09999999999991</v>
      </c>
      <c r="R1814" s="35">
        <f t="shared" si="387"/>
        <v>11749.500000000005</v>
      </c>
      <c r="S1814" s="7">
        <f t="shared" si="398"/>
        <v>0</v>
      </c>
      <c r="T1814" s="35">
        <f t="shared" si="394"/>
        <v>11749.500000000005</v>
      </c>
    </row>
    <row r="1815" spans="1:20">
      <c r="A1815" s="12" t="s">
        <v>198</v>
      </c>
      <c r="B1815" s="112" t="s">
        <v>439</v>
      </c>
      <c r="C1815" s="8" t="s">
        <v>211</v>
      </c>
      <c r="D1815" s="1" t="s">
        <v>222</v>
      </c>
      <c r="E1815" s="113"/>
      <c r="F1815" s="7">
        <f t="shared" si="398"/>
        <v>69251.3</v>
      </c>
      <c r="G1815" s="7">
        <f t="shared" si="398"/>
        <v>-9691.9</v>
      </c>
      <c r="H1815" s="35">
        <f t="shared" si="390"/>
        <v>59559.4</v>
      </c>
      <c r="I1815" s="7">
        <f t="shared" si="398"/>
        <v>-630.1</v>
      </c>
      <c r="J1815" s="35">
        <f t="shared" si="388"/>
        <v>58929.3</v>
      </c>
      <c r="K1815" s="7">
        <f t="shared" si="398"/>
        <v>-42706.7</v>
      </c>
      <c r="L1815" s="35">
        <f t="shared" si="399"/>
        <v>16222.600000000006</v>
      </c>
      <c r="M1815" s="7">
        <f t="shared" si="398"/>
        <v>-4163</v>
      </c>
      <c r="N1815" s="35">
        <f t="shared" si="393"/>
        <v>12059.600000000006</v>
      </c>
      <c r="O1815" s="7">
        <f t="shared" si="398"/>
        <v>0</v>
      </c>
      <c r="P1815" s="35">
        <f t="shared" si="389"/>
        <v>12059.600000000006</v>
      </c>
      <c r="Q1815" s="7">
        <f t="shared" si="398"/>
        <v>-310.09999999999991</v>
      </c>
      <c r="R1815" s="35">
        <f t="shared" si="387"/>
        <v>11749.500000000005</v>
      </c>
      <c r="S1815" s="7">
        <f t="shared" si="398"/>
        <v>0</v>
      </c>
      <c r="T1815" s="35">
        <f t="shared" si="394"/>
        <v>11749.500000000005</v>
      </c>
    </row>
    <row r="1816" spans="1:20">
      <c r="A1816" s="61" t="str">
        <f ca="1">IF(ISERROR(MATCH(E1816,Код_КВР,0)),"",INDIRECT(ADDRESS(MATCH(E1816,Код_КВР,0)+1,2,,,"КВР")))</f>
        <v>Иные бюджетные ассигнования</v>
      </c>
      <c r="B1816" s="112" t="s">
        <v>439</v>
      </c>
      <c r="C1816" s="8" t="s">
        <v>211</v>
      </c>
      <c r="D1816" s="1" t="s">
        <v>222</v>
      </c>
      <c r="E1816" s="113">
        <v>800</v>
      </c>
      <c r="F1816" s="7">
        <f t="shared" si="398"/>
        <v>69251.3</v>
      </c>
      <c r="G1816" s="7">
        <f t="shared" si="398"/>
        <v>-9691.9</v>
      </c>
      <c r="H1816" s="35">
        <f t="shared" si="390"/>
        <v>59559.4</v>
      </c>
      <c r="I1816" s="7">
        <f t="shared" si="398"/>
        <v>-630.1</v>
      </c>
      <c r="J1816" s="35">
        <f t="shared" si="388"/>
        <v>58929.3</v>
      </c>
      <c r="K1816" s="7">
        <f t="shared" si="398"/>
        <v>-42706.7</v>
      </c>
      <c r="L1816" s="35">
        <f t="shared" si="399"/>
        <v>16222.600000000006</v>
      </c>
      <c r="M1816" s="7">
        <f t="shared" si="398"/>
        <v>-4163</v>
      </c>
      <c r="N1816" s="35">
        <f t="shared" si="393"/>
        <v>12059.600000000006</v>
      </c>
      <c r="O1816" s="7">
        <f t="shared" si="398"/>
        <v>0</v>
      </c>
      <c r="P1816" s="35">
        <f t="shared" si="389"/>
        <v>12059.600000000006</v>
      </c>
      <c r="Q1816" s="7">
        <f t="shared" si="398"/>
        <v>-310.09999999999991</v>
      </c>
      <c r="R1816" s="35">
        <f t="shared" si="387"/>
        <v>11749.500000000005</v>
      </c>
      <c r="S1816" s="7">
        <f t="shared" si="398"/>
        <v>0</v>
      </c>
      <c r="T1816" s="35">
        <f t="shared" si="394"/>
        <v>11749.500000000005</v>
      </c>
    </row>
    <row r="1817" spans="1:20">
      <c r="A1817" s="61" t="str">
        <f ca="1">IF(ISERROR(MATCH(E1817,Код_КВР,0)),"",INDIRECT(ADDRESS(MATCH(E1817,Код_КВР,0)+1,2,,,"КВР")))</f>
        <v>Резервные средства</v>
      </c>
      <c r="B1817" s="112" t="s">
        <v>439</v>
      </c>
      <c r="C1817" s="8" t="s">
        <v>211</v>
      </c>
      <c r="D1817" s="1" t="s">
        <v>222</v>
      </c>
      <c r="E1817" s="113">
        <v>870</v>
      </c>
      <c r="F1817" s="7">
        <f>прил.6!G889</f>
        <v>69251.3</v>
      </c>
      <c r="G1817" s="7">
        <f>прил.6!H889</f>
        <v>-9691.9</v>
      </c>
      <c r="H1817" s="35">
        <f t="shared" si="390"/>
        <v>59559.4</v>
      </c>
      <c r="I1817" s="7">
        <f>прил.6!J889</f>
        <v>-630.1</v>
      </c>
      <c r="J1817" s="35">
        <f t="shared" si="388"/>
        <v>58929.3</v>
      </c>
      <c r="K1817" s="7">
        <f>прил.6!L889</f>
        <v>-42706.7</v>
      </c>
      <c r="L1817" s="35">
        <f t="shared" si="399"/>
        <v>16222.600000000006</v>
      </c>
      <c r="M1817" s="7">
        <f>прил.6!N889</f>
        <v>-4163</v>
      </c>
      <c r="N1817" s="35">
        <f t="shared" si="393"/>
        <v>12059.600000000006</v>
      </c>
      <c r="O1817" s="7">
        <f>прил.6!P889</f>
        <v>0</v>
      </c>
      <c r="P1817" s="35">
        <f t="shared" si="389"/>
        <v>12059.600000000006</v>
      </c>
      <c r="Q1817" s="7">
        <f>прил.6!R889</f>
        <v>-310.09999999999991</v>
      </c>
      <c r="R1817" s="35">
        <f t="shared" si="387"/>
        <v>11749.500000000005</v>
      </c>
      <c r="S1817" s="7">
        <f>прил.6!T889</f>
        <v>0</v>
      </c>
      <c r="T1817" s="35">
        <f t="shared" si="394"/>
        <v>11749.500000000005</v>
      </c>
    </row>
    <row r="1818" spans="1:20" ht="49.5">
      <c r="A1818" s="61" t="str">
        <f ca="1">IF(ISERROR(MATCH(B1818,Код_КЦСР,0)),"",INDIRECT(ADDRESS(MATCH(B1818,Код_КЦСР,0)+1,2,,,"КЦСР")))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818" s="63" t="s">
        <v>440</v>
      </c>
      <c r="C1818" s="8"/>
      <c r="D1818" s="1"/>
      <c r="E1818" s="113"/>
      <c r="F1818" s="7">
        <f t="shared" ref="F1818:S1821" si="400">F1819</f>
        <v>35000</v>
      </c>
      <c r="G1818" s="7">
        <f t="shared" si="400"/>
        <v>0</v>
      </c>
      <c r="H1818" s="35">
        <f t="shared" si="390"/>
        <v>35000</v>
      </c>
      <c r="I1818" s="7">
        <f t="shared" si="400"/>
        <v>0</v>
      </c>
      <c r="J1818" s="35">
        <f t="shared" si="388"/>
        <v>35000</v>
      </c>
      <c r="K1818" s="7">
        <f t="shared" si="400"/>
        <v>0</v>
      </c>
      <c r="L1818" s="35">
        <f t="shared" si="399"/>
        <v>35000</v>
      </c>
      <c r="M1818" s="7">
        <f t="shared" si="400"/>
        <v>0</v>
      </c>
      <c r="N1818" s="35">
        <f t="shared" si="393"/>
        <v>35000</v>
      </c>
      <c r="O1818" s="7">
        <f t="shared" si="400"/>
        <v>0</v>
      </c>
      <c r="P1818" s="35">
        <f t="shared" si="389"/>
        <v>35000</v>
      </c>
      <c r="Q1818" s="7">
        <f t="shared" si="400"/>
        <v>0</v>
      </c>
      <c r="R1818" s="35">
        <f t="shared" si="387"/>
        <v>35000</v>
      </c>
      <c r="S1818" s="7">
        <f t="shared" si="400"/>
        <v>0</v>
      </c>
      <c r="T1818" s="35">
        <f t="shared" si="394"/>
        <v>35000</v>
      </c>
    </row>
    <row r="1819" spans="1:20">
      <c r="A1819" s="61" t="str">
        <f ca="1">IF(ISERROR(MATCH(C1819,Код_Раздел,0)),"",INDIRECT(ADDRESS(MATCH(C1819,Код_Раздел,0)+1,2,,,"Раздел")))</f>
        <v>Национальная экономика</v>
      </c>
      <c r="B1819" s="63" t="s">
        <v>440</v>
      </c>
      <c r="C1819" s="8" t="s">
        <v>214</v>
      </c>
      <c r="D1819" s="1"/>
      <c r="E1819" s="113"/>
      <c r="F1819" s="7">
        <f t="shared" si="400"/>
        <v>35000</v>
      </c>
      <c r="G1819" s="7">
        <f t="shared" si="400"/>
        <v>0</v>
      </c>
      <c r="H1819" s="35">
        <f t="shared" si="390"/>
        <v>35000</v>
      </c>
      <c r="I1819" s="7">
        <f t="shared" si="400"/>
        <v>0</v>
      </c>
      <c r="J1819" s="35">
        <f t="shared" si="388"/>
        <v>35000</v>
      </c>
      <c r="K1819" s="7">
        <f t="shared" si="400"/>
        <v>0</v>
      </c>
      <c r="L1819" s="35">
        <f t="shared" si="399"/>
        <v>35000</v>
      </c>
      <c r="M1819" s="7">
        <f t="shared" si="400"/>
        <v>0</v>
      </c>
      <c r="N1819" s="35">
        <f t="shared" si="393"/>
        <v>35000</v>
      </c>
      <c r="O1819" s="7">
        <f t="shared" si="400"/>
        <v>0</v>
      </c>
      <c r="P1819" s="35">
        <f t="shared" si="389"/>
        <v>35000</v>
      </c>
      <c r="Q1819" s="7">
        <f t="shared" si="400"/>
        <v>0</v>
      </c>
      <c r="R1819" s="35">
        <f t="shared" si="387"/>
        <v>35000</v>
      </c>
      <c r="S1819" s="7">
        <f t="shared" si="400"/>
        <v>0</v>
      </c>
      <c r="T1819" s="35">
        <f t="shared" si="394"/>
        <v>35000</v>
      </c>
    </row>
    <row r="1820" spans="1:20">
      <c r="A1820" s="76" t="s">
        <v>178</v>
      </c>
      <c r="B1820" s="63" t="s">
        <v>440</v>
      </c>
      <c r="C1820" s="8" t="s">
        <v>214</v>
      </c>
      <c r="D1820" s="1" t="s">
        <v>217</v>
      </c>
      <c r="E1820" s="113"/>
      <c r="F1820" s="7">
        <f t="shared" si="400"/>
        <v>35000</v>
      </c>
      <c r="G1820" s="7">
        <f t="shared" si="400"/>
        <v>0</v>
      </c>
      <c r="H1820" s="35">
        <f t="shared" si="390"/>
        <v>35000</v>
      </c>
      <c r="I1820" s="7">
        <f t="shared" si="400"/>
        <v>0</v>
      </c>
      <c r="J1820" s="35">
        <f t="shared" si="388"/>
        <v>35000</v>
      </c>
      <c r="K1820" s="7">
        <f t="shared" si="400"/>
        <v>0</v>
      </c>
      <c r="L1820" s="35">
        <f t="shared" si="399"/>
        <v>35000</v>
      </c>
      <c r="M1820" s="7">
        <f t="shared" si="400"/>
        <v>0</v>
      </c>
      <c r="N1820" s="35">
        <f t="shared" si="393"/>
        <v>35000</v>
      </c>
      <c r="O1820" s="7">
        <f t="shared" si="400"/>
        <v>0</v>
      </c>
      <c r="P1820" s="35">
        <f t="shared" si="389"/>
        <v>35000</v>
      </c>
      <c r="Q1820" s="7">
        <f t="shared" si="400"/>
        <v>0</v>
      </c>
      <c r="R1820" s="35">
        <f t="shared" ref="R1820:R1823" si="401">P1820+Q1820</f>
        <v>35000</v>
      </c>
      <c r="S1820" s="7">
        <f t="shared" si="400"/>
        <v>0</v>
      </c>
      <c r="T1820" s="35">
        <f t="shared" si="394"/>
        <v>35000</v>
      </c>
    </row>
    <row r="1821" spans="1:20" ht="18.75" customHeight="1">
      <c r="A1821" s="61" t="str">
        <f ca="1">IF(ISERROR(MATCH(E1821,Код_КВР,0)),"",INDIRECT(ADDRESS(MATCH(E1821,Код_КВР,0)+1,2,,,"КВР")))</f>
        <v>Иные бюджетные ассигнования</v>
      </c>
      <c r="B1821" s="63" t="s">
        <v>440</v>
      </c>
      <c r="C1821" s="8" t="s">
        <v>214</v>
      </c>
      <c r="D1821" s="1" t="s">
        <v>217</v>
      </c>
      <c r="E1821" s="113">
        <v>800</v>
      </c>
      <c r="F1821" s="7">
        <f t="shared" si="400"/>
        <v>35000</v>
      </c>
      <c r="G1821" s="7">
        <f t="shared" si="400"/>
        <v>0</v>
      </c>
      <c r="H1821" s="35">
        <f t="shared" si="390"/>
        <v>35000</v>
      </c>
      <c r="I1821" s="7">
        <f t="shared" si="400"/>
        <v>0</v>
      </c>
      <c r="J1821" s="35">
        <f t="shared" si="388"/>
        <v>35000</v>
      </c>
      <c r="K1821" s="7">
        <f t="shared" si="400"/>
        <v>0</v>
      </c>
      <c r="L1821" s="35">
        <f t="shared" si="399"/>
        <v>35000</v>
      </c>
      <c r="M1821" s="7">
        <f t="shared" si="400"/>
        <v>0</v>
      </c>
      <c r="N1821" s="35">
        <f t="shared" si="393"/>
        <v>35000</v>
      </c>
      <c r="O1821" s="7">
        <f t="shared" si="400"/>
        <v>0</v>
      </c>
      <c r="P1821" s="35">
        <f t="shared" si="389"/>
        <v>35000</v>
      </c>
      <c r="Q1821" s="7">
        <f t="shared" si="400"/>
        <v>0</v>
      </c>
      <c r="R1821" s="35">
        <f t="shared" si="401"/>
        <v>35000</v>
      </c>
      <c r="S1821" s="7">
        <f t="shared" si="400"/>
        <v>0</v>
      </c>
      <c r="T1821" s="35">
        <f t="shared" si="394"/>
        <v>35000</v>
      </c>
    </row>
    <row r="1822" spans="1:20" ht="50.25" customHeight="1">
      <c r="A1822" s="61" t="str">
        <f ca="1">IF(ISERROR(MATCH(E1822,Код_КВР,0)),"",INDIRECT(ADDRESS(MATCH(E1822,Код_КВР,0)+1,2,,,"КВР")))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822" s="63" t="s">
        <v>440</v>
      </c>
      <c r="C1822" s="8" t="s">
        <v>214</v>
      </c>
      <c r="D1822" s="1" t="s">
        <v>217</v>
      </c>
      <c r="E1822" s="113">
        <v>810</v>
      </c>
      <c r="F1822" s="7">
        <f>прил.6!G462</f>
        <v>35000</v>
      </c>
      <c r="G1822" s="7">
        <f>прил.6!H462</f>
        <v>0</v>
      </c>
      <c r="H1822" s="35">
        <f t="shared" si="390"/>
        <v>35000</v>
      </c>
      <c r="I1822" s="7">
        <f>прил.6!J462</f>
        <v>0</v>
      </c>
      <c r="J1822" s="35">
        <f t="shared" si="388"/>
        <v>35000</v>
      </c>
      <c r="K1822" s="7">
        <f>прил.6!L462</f>
        <v>0</v>
      </c>
      <c r="L1822" s="35">
        <f t="shared" si="399"/>
        <v>35000</v>
      </c>
      <c r="M1822" s="7">
        <f>прил.6!N462</f>
        <v>0</v>
      </c>
      <c r="N1822" s="35">
        <f>L1822+M1822</f>
        <v>35000</v>
      </c>
      <c r="O1822" s="7">
        <f>прил.6!P462</f>
        <v>0</v>
      </c>
      <c r="P1822" s="35">
        <f t="shared" si="389"/>
        <v>35000</v>
      </c>
      <c r="Q1822" s="7">
        <f>прил.6!R462</f>
        <v>0</v>
      </c>
      <c r="R1822" s="35">
        <f t="shared" si="401"/>
        <v>35000</v>
      </c>
      <c r="S1822" s="7">
        <f>прил.6!T462</f>
        <v>0</v>
      </c>
      <c r="T1822" s="35">
        <f t="shared" si="394"/>
        <v>35000</v>
      </c>
    </row>
    <row r="1823" spans="1:20">
      <c r="A1823" s="61" t="s">
        <v>164</v>
      </c>
      <c r="B1823" s="1"/>
      <c r="C1823" s="1"/>
      <c r="D1823" s="2"/>
      <c r="E1823" s="2"/>
      <c r="F1823" s="2">
        <f>F18+F239+F464+F522+F543+F572+F579+F595+F611+F630+F731+F745+F763+F954+F987+F995+F1007+F1020+F1084+F1108+F1264+F1371+F1425+F1473+F1521</f>
        <v>6670495.8999999985</v>
      </c>
      <c r="G1823" s="2">
        <f>G18+G239+G464+G522+G543+G572+G579+G595+G611+G630+G731+G745+G763+G954+G987+G995+G1007+G1020+G1084+G1108+G1264+G1371+G1425+G1473+G1521</f>
        <v>-22308.299999999996</v>
      </c>
      <c r="H1823" s="35">
        <f t="shared" si="390"/>
        <v>6648187.5999999987</v>
      </c>
      <c r="I1823" s="2">
        <f>I18+I239+I464+I522+I543+I572+I579+I595+I611+I630+I731+I745+I763+I954+I987+I995+I1007+I1020+I1084+I1108+I1264+I1371+I1425+I1473+I1521</f>
        <v>0</v>
      </c>
      <c r="J1823" s="35">
        <f>H1823+I1823</f>
        <v>6648187.5999999987</v>
      </c>
      <c r="K1823" s="2">
        <f>K18+K239+K464+K522+K543+K572+K579+K595+K611+K630+K731+K745+K763+K954+K987+K995+K1007+K1020+K1084+K1108+K1264+K1371+K1425+K1473+K1521</f>
        <v>-65000</v>
      </c>
      <c r="L1823" s="35">
        <f t="shared" si="399"/>
        <v>6583187.5999999987</v>
      </c>
      <c r="M1823" s="2">
        <f>M18+M239+M464+M522+M543+M572+M579+M595+M611+M630+M731+M745+M763+M954+M987+M995+M1007+M1020+M1084+M1108+M1264+M1371+M1425+M1473+M1521</f>
        <v>-939.59999999999945</v>
      </c>
      <c r="N1823" s="35">
        <f t="shared" si="393"/>
        <v>6582247.9999999991</v>
      </c>
      <c r="O1823" s="2">
        <f>O18+O239+O464+O522+O543+O572+O579+O595+O611+O630+O731+O745+O763+O954+O987+O995+O1007+O1020+O1084+O1108+O1264+O1371+O1425+O1473+O1521</f>
        <v>12800</v>
      </c>
      <c r="P1823" s="35">
        <f t="shared" si="389"/>
        <v>6595047.9999999991</v>
      </c>
      <c r="Q1823" s="2">
        <f>Q18+Q239+Q464+Q522+Q543+Q572+Q579+Q595+Q611+Q630+Q731+Q745+Q763+Q954+Q987+Q995+Q1007+Q1020+Q1084+Q1108+Q1264+Q1371+Q1425+Q1473+Q1521</f>
        <v>393555.50000000006</v>
      </c>
      <c r="R1823" s="35">
        <f t="shared" si="401"/>
        <v>6988603.4999999991</v>
      </c>
      <c r="S1823" s="2">
        <f>S18+S239+S464+S522+S543+S572+S579+S595+S611+S630+S731+S745+S763+S954+S987+S995+S1007+S1020+S1084+S1108+S1264+S1371+S1425+S1473+S1521+S1514</f>
        <v>91441.600000000006</v>
      </c>
      <c r="T1823" s="2">
        <f>T18+T239+T464+T522+T543+T572+T579+T595+T611+T630+T731+T745+T763+T954+T987+T995+T1007+T1020+T1084+T1108+T1264+T1371+T1425+T1473+T1521+T1514</f>
        <v>7080045.1000000015</v>
      </c>
    </row>
    <row r="1824" spans="1:20">
      <c r="A1824" s="18"/>
      <c r="B1824" s="28"/>
      <c r="C1824" s="28"/>
      <c r="D1824" s="28"/>
      <c r="E1824" s="28"/>
      <c r="F1824" s="29"/>
    </row>
    <row r="1825" spans="1:20">
      <c r="A1825" s="18"/>
      <c r="B1825" s="28"/>
      <c r="C1825" s="28"/>
      <c r="D1825" s="28"/>
      <c r="E1825" s="28"/>
      <c r="F1825" s="29"/>
      <c r="Q1825" s="32">
        <f>Q1823-прил.6!R1752</f>
        <v>0</v>
      </c>
      <c r="R1825" s="32">
        <f>R1823-прил.6!S1752</f>
        <v>0</v>
      </c>
      <c r="T1825" s="32"/>
    </row>
    <row r="1826" spans="1:20">
      <c r="A1826" s="18"/>
      <c r="B1826" s="28"/>
      <c r="C1826" s="28"/>
      <c r="D1826" s="28"/>
      <c r="E1826" s="28"/>
      <c r="F1826" s="29"/>
      <c r="S1826" s="32"/>
    </row>
    <row r="1827" spans="1:20">
      <c r="A1827" s="18"/>
      <c r="B1827" s="28"/>
      <c r="C1827" s="28"/>
      <c r="D1827" s="28"/>
      <c r="E1827" s="28"/>
      <c r="F1827" s="29"/>
      <c r="R1827" s="20">
        <f>Q1827</f>
        <v>0</v>
      </c>
    </row>
    <row r="1828" spans="1:20">
      <c r="A1828" s="73"/>
      <c r="B1828" s="28"/>
      <c r="C1828" s="28"/>
      <c r="D1828" s="28"/>
      <c r="E1828" s="28"/>
      <c r="F1828" s="29"/>
      <c r="R1828" s="20">
        <f>Q1828</f>
        <v>0</v>
      </c>
    </row>
    <row r="1829" spans="1:20">
      <c r="A1829" s="80"/>
      <c r="B1829" s="28"/>
      <c r="C1829" s="28"/>
      <c r="D1829" s="28"/>
      <c r="E1829" s="28"/>
      <c r="F1829" s="29"/>
      <c r="Q1829" s="20">
        <f>SUM(Q1827:Q1828)</f>
        <v>0</v>
      </c>
      <c r="R1829" s="20">
        <f>SUM(R1827:R1828)</f>
        <v>0</v>
      </c>
    </row>
    <row r="1830" spans="1:20">
      <c r="A1830" s="73"/>
      <c r="B1830" s="28"/>
      <c r="C1830" s="28"/>
      <c r="D1830" s="28"/>
      <c r="E1830" s="28"/>
      <c r="F1830" s="29"/>
    </row>
    <row r="1831" spans="1:20">
      <c r="A1831" s="73"/>
      <c r="B1831" s="28"/>
      <c r="C1831" s="28"/>
      <c r="D1831" s="28"/>
      <c r="E1831" s="28"/>
      <c r="F1831" s="29"/>
    </row>
    <row r="1832" spans="1:20">
      <c r="A1832" s="81"/>
      <c r="B1832" s="28"/>
      <c r="C1832" s="28"/>
      <c r="D1832" s="28"/>
      <c r="E1832" s="28"/>
      <c r="F1832" s="29"/>
    </row>
    <row r="1833" spans="1:20">
      <c r="A1833" s="73"/>
      <c r="B1833" s="28"/>
      <c r="C1833" s="28"/>
      <c r="D1833" s="28"/>
      <c r="E1833" s="28"/>
      <c r="F1833" s="29"/>
    </row>
    <row r="1834" spans="1:20">
      <c r="A1834" s="73"/>
      <c r="B1834" s="28"/>
      <c r="C1834" s="28"/>
      <c r="D1834" s="28"/>
      <c r="E1834" s="28"/>
      <c r="F1834" s="29"/>
    </row>
    <row r="1835" spans="1:20">
      <c r="A1835" s="18"/>
      <c r="B1835" s="28"/>
      <c r="C1835" s="28"/>
      <c r="D1835" s="28"/>
      <c r="E1835" s="28"/>
      <c r="F1835" s="29"/>
    </row>
    <row r="1836" spans="1:20">
      <c r="A1836" s="18"/>
      <c r="B1836" s="28"/>
      <c r="C1836" s="28"/>
      <c r="D1836" s="28"/>
      <c r="E1836" s="28"/>
      <c r="F1836" s="29"/>
    </row>
    <row r="1837" spans="1:20">
      <c r="A1837" s="73"/>
      <c r="B1837" s="28"/>
      <c r="C1837" s="28"/>
      <c r="D1837" s="28"/>
      <c r="E1837" s="28"/>
      <c r="F1837" s="29"/>
    </row>
    <row r="1838" spans="1:20">
      <c r="A1838" s="81"/>
      <c r="B1838" s="28"/>
      <c r="C1838" s="28"/>
      <c r="D1838" s="28"/>
      <c r="E1838" s="28"/>
      <c r="F1838" s="29"/>
    </row>
    <row r="1839" spans="1:20">
      <c r="A1839" s="18"/>
      <c r="B1839" s="28"/>
      <c r="C1839" s="28"/>
      <c r="D1839" s="28"/>
      <c r="E1839" s="28"/>
      <c r="F1839" s="29"/>
    </row>
    <row r="1840" spans="1:20">
      <c r="A1840" s="18"/>
      <c r="B1840" s="28"/>
      <c r="C1840" s="28"/>
      <c r="D1840" s="28"/>
      <c r="E1840" s="28"/>
      <c r="F1840" s="29"/>
    </row>
    <row r="1841" spans="1:6">
      <c r="A1841" s="73"/>
      <c r="B1841" s="28"/>
      <c r="C1841" s="28"/>
      <c r="D1841" s="28"/>
      <c r="E1841" s="28"/>
      <c r="F1841" s="29"/>
    </row>
    <row r="1842" spans="1:6">
      <c r="A1842" s="73"/>
      <c r="B1842" s="28"/>
      <c r="C1842" s="28"/>
      <c r="D1842" s="28"/>
      <c r="E1842" s="28"/>
      <c r="F1842" s="29"/>
    </row>
    <row r="1843" spans="1:6">
      <c r="A1843" s="73"/>
      <c r="B1843" s="28"/>
      <c r="C1843" s="28"/>
      <c r="D1843" s="28"/>
      <c r="E1843" s="28"/>
      <c r="F1843" s="29"/>
    </row>
    <row r="1844" spans="1:6">
      <c r="A1844" s="81"/>
      <c r="B1844" s="30"/>
      <c r="C1844" s="30"/>
      <c r="D1844" s="30"/>
      <c r="E1844" s="30"/>
      <c r="F1844" s="29"/>
    </row>
    <row r="1845" spans="1:6">
      <c r="A1845" s="82"/>
      <c r="B1845" s="30"/>
      <c r="C1845" s="30"/>
      <c r="D1845" s="30"/>
      <c r="E1845" s="30"/>
      <c r="F1845" s="29"/>
    </row>
    <row r="1846" spans="1:6">
      <c r="A1846" s="83"/>
      <c r="B1846" s="30"/>
      <c r="C1846" s="30"/>
      <c r="D1846" s="30"/>
      <c r="E1846" s="30"/>
      <c r="F1846" s="29"/>
    </row>
    <row r="1847" spans="1:6">
      <c r="A1847" s="81"/>
      <c r="B1847" s="30"/>
      <c r="C1847" s="30"/>
      <c r="D1847" s="30"/>
      <c r="E1847" s="30"/>
      <c r="F1847" s="29"/>
    </row>
    <row r="1848" spans="1:6">
      <c r="A1848" s="73"/>
      <c r="B1848" s="28"/>
      <c r="C1848" s="28"/>
      <c r="D1848" s="28"/>
      <c r="E1848" s="28"/>
      <c r="F1848" s="29"/>
    </row>
    <row r="1849" spans="1:6">
      <c r="A1849" s="81"/>
      <c r="B1849" s="28"/>
      <c r="C1849" s="28"/>
      <c r="D1849" s="28"/>
      <c r="E1849" s="28"/>
      <c r="F1849" s="29"/>
    </row>
    <row r="1850" spans="1:6">
      <c r="A1850" s="81"/>
      <c r="B1850" s="28"/>
      <c r="C1850" s="28"/>
      <c r="D1850" s="28"/>
      <c r="E1850" s="28"/>
      <c r="F1850" s="29"/>
    </row>
    <row r="1851" spans="1:6">
      <c r="A1851" s="81"/>
      <c r="B1851" s="28"/>
      <c r="C1851" s="28"/>
      <c r="D1851" s="28"/>
      <c r="E1851" s="28"/>
      <c r="F1851" s="29"/>
    </row>
    <row r="1852" spans="1:6">
      <c r="A1852" s="73"/>
      <c r="B1852" s="28"/>
      <c r="C1852" s="28"/>
      <c r="D1852" s="28"/>
      <c r="E1852" s="28"/>
      <c r="F1852" s="29"/>
    </row>
    <row r="1853" spans="1:6">
      <c r="A1853" s="18"/>
      <c r="B1853" s="28"/>
      <c r="C1853" s="28"/>
      <c r="D1853" s="28"/>
      <c r="E1853" s="28"/>
      <c r="F1853" s="29"/>
    </row>
    <row r="1854" spans="1:6">
      <c r="A1854" s="81"/>
      <c r="B1854" s="28"/>
      <c r="C1854" s="28"/>
      <c r="D1854" s="28"/>
      <c r="E1854" s="28"/>
      <c r="F1854" s="29"/>
    </row>
    <row r="1855" spans="1:6">
      <c r="A1855" s="18"/>
      <c r="B1855" s="28"/>
      <c r="C1855" s="28"/>
      <c r="D1855" s="28"/>
      <c r="E1855" s="28"/>
      <c r="F1855" s="29"/>
    </row>
    <row r="1856" spans="1:6">
      <c r="A1856" s="81"/>
      <c r="B1856" s="28"/>
      <c r="C1856" s="28"/>
      <c r="D1856" s="28"/>
      <c r="E1856" s="28"/>
      <c r="F1856" s="29"/>
    </row>
    <row r="1857" spans="1:6">
      <c r="A1857" s="81"/>
      <c r="B1857" s="28"/>
      <c r="C1857" s="28"/>
      <c r="D1857" s="28"/>
      <c r="E1857" s="28"/>
      <c r="F1857" s="29"/>
    </row>
    <row r="1858" spans="1:6">
      <c r="A1858" s="81"/>
      <c r="B1858" s="28"/>
      <c r="C1858" s="28"/>
      <c r="D1858" s="28"/>
      <c r="E1858" s="28"/>
      <c r="F1858" s="29"/>
    </row>
    <row r="1859" spans="1:6">
      <c r="A1859" s="18"/>
      <c r="B1859" s="30"/>
      <c r="C1859" s="30"/>
      <c r="D1859" s="30"/>
      <c r="E1859" s="30"/>
      <c r="F1859" s="29"/>
    </row>
    <row r="1860" spans="1:6">
      <c r="A1860" s="81"/>
      <c r="B1860" s="28"/>
      <c r="C1860" s="28"/>
      <c r="D1860" s="28"/>
      <c r="E1860" s="28"/>
      <c r="F1860" s="29"/>
    </row>
    <row r="1861" spans="1:6">
      <c r="A1861" s="73"/>
      <c r="B1861" s="28"/>
      <c r="C1861" s="28"/>
      <c r="D1861" s="28"/>
      <c r="E1861" s="28"/>
      <c r="F1861" s="29"/>
    </row>
    <row r="1862" spans="1:6">
      <c r="A1862" s="18"/>
      <c r="B1862" s="28"/>
      <c r="C1862" s="28"/>
      <c r="D1862" s="28"/>
      <c r="E1862" s="28"/>
      <c r="F1862" s="29"/>
    </row>
    <row r="1863" spans="1:6">
      <c r="A1863" s="73"/>
      <c r="B1863" s="28"/>
      <c r="C1863" s="28"/>
      <c r="D1863" s="28"/>
      <c r="E1863" s="28"/>
      <c r="F1863" s="29"/>
    </row>
    <row r="1864" spans="1:6">
      <c r="A1864" s="73"/>
      <c r="B1864" s="28"/>
      <c r="C1864" s="28"/>
      <c r="D1864" s="28"/>
      <c r="E1864" s="28"/>
      <c r="F1864" s="29"/>
    </row>
    <row r="1865" spans="1:6">
      <c r="A1865" s="18"/>
      <c r="B1865" s="30"/>
      <c r="C1865" s="30"/>
      <c r="D1865" s="30"/>
      <c r="E1865" s="30"/>
      <c r="F1865" s="29"/>
    </row>
    <row r="1866" spans="1:6">
      <c r="A1866" s="81"/>
      <c r="B1866" s="28"/>
      <c r="C1866" s="28"/>
      <c r="D1866" s="28"/>
      <c r="E1866" s="28"/>
      <c r="F1866" s="29"/>
    </row>
    <row r="1867" spans="1:6">
      <c r="A1867" s="73"/>
      <c r="B1867" s="28"/>
      <c r="C1867" s="28"/>
      <c r="D1867" s="28"/>
      <c r="E1867" s="28"/>
      <c r="F1867" s="29"/>
    </row>
    <row r="1868" spans="1:6">
      <c r="A1868" s="81"/>
      <c r="B1868" s="28"/>
      <c r="C1868" s="28"/>
      <c r="D1868" s="28"/>
      <c r="E1868" s="28"/>
      <c r="F1868" s="29"/>
    </row>
    <row r="1869" spans="1:6">
      <c r="A1869" s="81"/>
      <c r="B1869" s="30"/>
      <c r="C1869" s="30"/>
      <c r="D1869" s="30"/>
      <c r="E1869" s="30"/>
      <c r="F1869" s="31"/>
    </row>
    <row r="1870" spans="1:6">
      <c r="A1870" s="81"/>
      <c r="B1870" s="28"/>
      <c r="C1870" s="28"/>
      <c r="D1870" s="28"/>
      <c r="E1870" s="28"/>
      <c r="F1870" s="29"/>
    </row>
    <row r="1871" spans="1:6">
      <c r="A1871" s="82"/>
      <c r="B1871" s="28"/>
      <c r="C1871" s="28"/>
      <c r="D1871" s="28"/>
      <c r="E1871" s="28"/>
      <c r="F1871" s="29"/>
    </row>
    <row r="1872" spans="1:6">
      <c r="A1872" s="81"/>
      <c r="B1872" s="28"/>
      <c r="C1872" s="28"/>
      <c r="D1872" s="28"/>
      <c r="E1872" s="28"/>
      <c r="F1872" s="29"/>
    </row>
    <row r="1873" spans="1:6">
      <c r="A1873" s="73"/>
      <c r="B1873" s="30"/>
      <c r="C1873" s="28"/>
      <c r="D1873" s="28"/>
      <c r="E1873" s="30"/>
      <c r="F1873" s="29"/>
    </row>
    <row r="1874" spans="1:6">
      <c r="A1874" s="73"/>
      <c r="B1874" s="28"/>
      <c r="C1874" s="28"/>
      <c r="D1874" s="28"/>
      <c r="E1874" s="30"/>
      <c r="F1874" s="29"/>
    </row>
    <row r="1875" spans="1:6">
      <c r="A1875" s="73"/>
      <c r="B1875" s="30"/>
      <c r="C1875" s="28"/>
      <c r="D1875" s="28"/>
      <c r="E1875" s="30"/>
      <c r="F1875" s="29"/>
    </row>
    <row r="1876" spans="1:6">
      <c r="A1876" s="18"/>
      <c r="B1876" s="30"/>
      <c r="C1876" s="28"/>
      <c r="D1876" s="28"/>
      <c r="E1876" s="30"/>
      <c r="F1876" s="29"/>
    </row>
    <row r="1877" spans="1:6">
      <c r="A1877" s="81"/>
      <c r="B1877" s="30"/>
      <c r="C1877" s="28"/>
      <c r="D1877" s="28"/>
      <c r="E1877" s="30"/>
      <c r="F1877" s="29"/>
    </row>
    <row r="1878" spans="1:6">
      <c r="A1878" s="18"/>
      <c r="B1878" s="30"/>
      <c r="C1878" s="28"/>
      <c r="D1878" s="28"/>
      <c r="E1878" s="30"/>
      <c r="F1878" s="29"/>
    </row>
    <row r="1879" spans="1:6">
      <c r="A1879" s="18"/>
      <c r="B1879" s="30"/>
      <c r="C1879" s="30"/>
      <c r="D1879" s="30"/>
      <c r="E1879" s="30"/>
      <c r="F1879" s="29"/>
    </row>
    <row r="1880" spans="1:6">
      <c r="A1880" s="73"/>
      <c r="B1880" s="30"/>
      <c r="C1880" s="30"/>
      <c r="D1880" s="30"/>
      <c r="E1880" s="30"/>
      <c r="F1880" s="29"/>
    </row>
    <row r="1881" spans="1:6">
      <c r="A1881" s="73"/>
      <c r="B1881" s="30"/>
      <c r="C1881" s="30"/>
      <c r="D1881" s="30"/>
      <c r="E1881" s="30"/>
      <c r="F1881" s="29"/>
    </row>
    <row r="1882" spans="1:6">
      <c r="A1882" s="81"/>
      <c r="B1882" s="30"/>
      <c r="C1882" s="30"/>
      <c r="D1882" s="30"/>
      <c r="E1882" s="30"/>
      <c r="F1882" s="29"/>
    </row>
    <row r="1883" spans="1:6">
      <c r="A1883" s="83"/>
      <c r="B1883" s="30"/>
      <c r="C1883" s="30"/>
      <c r="D1883" s="30"/>
      <c r="E1883" s="30"/>
      <c r="F1883" s="29"/>
    </row>
    <row r="1884" spans="1:6">
      <c r="A1884" s="73"/>
      <c r="B1884" s="30"/>
      <c r="C1884" s="30"/>
      <c r="D1884" s="30"/>
      <c r="E1884" s="30"/>
      <c r="F1884" s="29"/>
    </row>
    <row r="1885" spans="1:6">
      <c r="A1885" s="81"/>
      <c r="B1885" s="30"/>
      <c r="C1885" s="30"/>
      <c r="D1885" s="30"/>
      <c r="E1885" s="30"/>
      <c r="F1885" s="29"/>
    </row>
    <row r="1886" spans="1:6">
      <c r="A1886" s="73"/>
      <c r="B1886" s="30"/>
      <c r="C1886" s="30"/>
      <c r="D1886" s="30"/>
      <c r="E1886" s="30"/>
      <c r="F1886" s="29"/>
    </row>
    <row r="1887" spans="1:6">
      <c r="A1887" s="73"/>
      <c r="B1887" s="28"/>
      <c r="C1887" s="28"/>
      <c r="D1887" s="28"/>
      <c r="E1887" s="28"/>
      <c r="F1887" s="29"/>
    </row>
    <row r="1888" spans="1:6">
      <c r="A1888" s="73"/>
      <c r="B1888" s="28"/>
      <c r="C1888" s="28"/>
      <c r="D1888" s="28"/>
      <c r="E1888" s="28"/>
      <c r="F1888" s="29"/>
    </row>
    <row r="1889" spans="1:6">
      <c r="A1889" s="73"/>
      <c r="B1889" s="28"/>
      <c r="C1889" s="28"/>
      <c r="D1889" s="28"/>
      <c r="E1889" s="28"/>
      <c r="F1889" s="29"/>
    </row>
    <row r="1890" spans="1:6">
      <c r="A1890" s="81"/>
      <c r="B1890" s="28"/>
      <c r="C1890" s="28"/>
      <c r="D1890" s="28"/>
      <c r="E1890" s="28"/>
      <c r="F1890" s="29"/>
    </row>
    <row r="1891" spans="1:6">
      <c r="A1891" s="18"/>
      <c r="B1891" s="28"/>
      <c r="C1891" s="28"/>
      <c r="D1891" s="28"/>
      <c r="E1891" s="28"/>
      <c r="F1891" s="29"/>
    </row>
    <row r="1892" spans="1:6">
      <c r="A1892" s="81"/>
      <c r="B1892" s="28"/>
      <c r="C1892" s="28"/>
      <c r="D1892" s="28"/>
      <c r="E1892" s="28"/>
      <c r="F1892" s="29"/>
    </row>
    <row r="1893" spans="1:6">
      <c r="A1893" s="73"/>
      <c r="B1893" s="28"/>
      <c r="C1893" s="28"/>
      <c r="D1893" s="28"/>
      <c r="E1893" s="28"/>
      <c r="F1893" s="29"/>
    </row>
    <row r="1894" spans="1:6">
      <c r="A1894" s="73"/>
      <c r="B1894" s="28"/>
      <c r="C1894" s="28"/>
      <c r="D1894" s="28"/>
      <c r="E1894" s="28"/>
      <c r="F1894" s="29"/>
    </row>
    <row r="1895" spans="1:6">
      <c r="A1895" s="73"/>
      <c r="B1895" s="28"/>
      <c r="C1895" s="28"/>
      <c r="D1895" s="28"/>
      <c r="E1895" s="28"/>
      <c r="F1895" s="29"/>
    </row>
    <row r="1896" spans="1:6">
      <c r="A1896" s="18"/>
      <c r="B1896" s="28"/>
      <c r="C1896" s="28"/>
      <c r="D1896" s="28"/>
      <c r="E1896" s="28"/>
      <c r="F1896" s="29"/>
    </row>
    <row r="1897" spans="1:6">
      <c r="A1897" s="73"/>
      <c r="B1897" s="28"/>
      <c r="C1897" s="28"/>
      <c r="D1897" s="28"/>
      <c r="E1897" s="28"/>
      <c r="F1897" s="29"/>
    </row>
    <row r="1898" spans="1:6">
      <c r="A1898" s="73"/>
      <c r="B1898" s="28"/>
      <c r="C1898" s="28"/>
      <c r="D1898" s="28"/>
      <c r="E1898" s="28"/>
      <c r="F1898" s="29"/>
    </row>
    <row r="1899" spans="1:6">
      <c r="A1899" s="73"/>
      <c r="B1899" s="28"/>
      <c r="C1899" s="28"/>
      <c r="D1899" s="28"/>
      <c r="E1899" s="28"/>
      <c r="F1899" s="29"/>
    </row>
    <row r="1900" spans="1:6">
      <c r="A1900" s="73"/>
      <c r="B1900" s="28"/>
      <c r="C1900" s="28"/>
      <c r="D1900" s="28"/>
      <c r="E1900" s="28"/>
      <c r="F1900" s="29"/>
    </row>
    <row r="1901" spans="1:6">
      <c r="A1901" s="73"/>
      <c r="B1901" s="28"/>
      <c r="C1901" s="28"/>
      <c r="D1901" s="28"/>
      <c r="E1901" s="28"/>
      <c r="F1901" s="29"/>
    </row>
    <row r="1902" spans="1:6">
      <c r="A1902" s="81"/>
      <c r="B1902" s="28"/>
      <c r="C1902" s="28"/>
      <c r="D1902" s="28"/>
      <c r="E1902" s="28"/>
      <c r="F1902" s="29"/>
    </row>
    <row r="1903" spans="1:6">
      <c r="A1903" s="81"/>
      <c r="B1903" s="28"/>
      <c r="C1903" s="28"/>
      <c r="D1903" s="28"/>
      <c r="E1903" s="28"/>
      <c r="F1903" s="29"/>
    </row>
    <row r="1904" spans="1:6">
      <c r="A1904" s="81"/>
      <c r="B1904" s="28"/>
      <c r="C1904" s="28"/>
      <c r="D1904" s="28"/>
      <c r="E1904" s="28"/>
      <c r="F1904" s="29"/>
    </row>
    <row r="1905" spans="1:6">
      <c r="A1905" s="81"/>
      <c r="B1905" s="28"/>
      <c r="C1905" s="28"/>
      <c r="D1905" s="28"/>
      <c r="E1905" s="28"/>
      <c r="F1905" s="29"/>
    </row>
    <row r="1906" spans="1:6">
      <c r="A1906" s="81"/>
      <c r="B1906" s="28"/>
      <c r="C1906" s="28"/>
      <c r="D1906" s="28"/>
      <c r="E1906" s="28"/>
      <c r="F1906" s="29"/>
    </row>
    <row r="1907" spans="1:6">
      <c r="A1907" s="81"/>
      <c r="B1907" s="28"/>
      <c r="C1907" s="28"/>
      <c r="D1907" s="28"/>
      <c r="E1907" s="28"/>
      <c r="F1907" s="29"/>
    </row>
    <row r="1908" spans="1:6">
      <c r="A1908" s="18"/>
      <c r="B1908" s="28"/>
      <c r="C1908" s="28"/>
      <c r="D1908" s="28"/>
      <c r="E1908" s="28"/>
      <c r="F1908" s="29"/>
    </row>
    <row r="1909" spans="1:6">
      <c r="A1909" s="81"/>
      <c r="B1909" s="28"/>
      <c r="C1909" s="28"/>
      <c r="D1909" s="28"/>
      <c r="E1909" s="28"/>
      <c r="F1909" s="29"/>
    </row>
    <row r="1910" spans="1:6">
      <c r="A1910" s="73"/>
      <c r="B1910" s="28"/>
      <c r="C1910" s="28"/>
      <c r="D1910" s="28"/>
      <c r="E1910" s="28"/>
      <c r="F1910" s="29"/>
    </row>
    <row r="1911" spans="1:6">
      <c r="A1911" s="81"/>
      <c r="B1911" s="28"/>
      <c r="C1911" s="28"/>
      <c r="D1911" s="28"/>
      <c r="E1911" s="28"/>
      <c r="F1911" s="29"/>
    </row>
    <row r="1912" spans="1:6">
      <c r="A1912" s="73"/>
      <c r="B1912" s="28"/>
      <c r="C1912" s="28"/>
      <c r="D1912" s="28"/>
      <c r="E1912" s="28"/>
      <c r="F1912" s="29"/>
    </row>
    <row r="1913" spans="1:6">
      <c r="A1913" s="73"/>
      <c r="B1913" s="28"/>
      <c r="C1913" s="28"/>
      <c r="D1913" s="28"/>
      <c r="E1913" s="28"/>
      <c r="F1913" s="29"/>
    </row>
    <row r="1914" spans="1:6">
      <c r="A1914" s="18"/>
      <c r="B1914" s="28"/>
      <c r="C1914" s="28"/>
      <c r="D1914" s="28"/>
      <c r="E1914" s="28"/>
      <c r="F1914" s="29"/>
    </row>
    <row r="1915" spans="1:6">
      <c r="A1915" s="73"/>
      <c r="B1915" s="28"/>
      <c r="C1915" s="28"/>
      <c r="D1915" s="28"/>
      <c r="E1915" s="28"/>
      <c r="F1915" s="29"/>
    </row>
    <row r="1916" spans="1:6">
      <c r="A1916" s="73"/>
      <c r="B1916" s="28"/>
      <c r="C1916" s="28"/>
      <c r="D1916" s="28"/>
      <c r="E1916" s="28"/>
      <c r="F1916" s="29"/>
    </row>
    <row r="1917" spans="1:6">
      <c r="A1917" s="81"/>
      <c r="B1917" s="28"/>
      <c r="C1917" s="28"/>
      <c r="D1917" s="28"/>
      <c r="E1917" s="28"/>
      <c r="F1917" s="29"/>
    </row>
    <row r="1918" spans="1:6">
      <c r="A1918" s="73"/>
      <c r="B1918" s="28"/>
      <c r="C1918" s="28"/>
      <c r="D1918" s="28"/>
      <c r="E1918" s="28"/>
      <c r="F1918" s="29"/>
    </row>
    <row r="1919" spans="1:6">
      <c r="A1919" s="73"/>
      <c r="B1919" s="28"/>
      <c r="C1919" s="28"/>
      <c r="D1919" s="28"/>
      <c r="E1919" s="28"/>
      <c r="F1919" s="29"/>
    </row>
    <row r="1920" spans="1:6">
      <c r="A1920" s="73"/>
      <c r="B1920" s="28"/>
      <c r="C1920" s="28"/>
      <c r="D1920" s="28"/>
      <c r="E1920" s="28"/>
      <c r="F1920" s="29"/>
    </row>
    <row r="1921" spans="1:6">
      <c r="A1921" s="81"/>
      <c r="B1921" s="28"/>
      <c r="C1921" s="28"/>
      <c r="D1921" s="28"/>
      <c r="E1921" s="28"/>
      <c r="F1921" s="29"/>
    </row>
    <row r="1922" spans="1:6">
      <c r="A1922" s="73"/>
      <c r="B1922" s="28"/>
      <c r="C1922" s="28"/>
      <c r="D1922" s="28"/>
      <c r="E1922" s="28"/>
      <c r="F1922" s="29"/>
    </row>
    <row r="1923" spans="1:6">
      <c r="A1923" s="81"/>
      <c r="B1923" s="28"/>
      <c r="C1923" s="28"/>
      <c r="D1923" s="28"/>
      <c r="E1923" s="28"/>
      <c r="F1923" s="29"/>
    </row>
    <row r="1924" spans="1:6">
      <c r="A1924" s="73"/>
      <c r="B1924" s="28"/>
      <c r="C1924" s="28"/>
      <c r="D1924" s="28"/>
      <c r="E1924" s="28"/>
      <c r="F1924" s="29"/>
    </row>
    <row r="1925" spans="1:6">
      <c r="A1925" s="73"/>
      <c r="B1925" s="28"/>
      <c r="C1925" s="28"/>
      <c r="D1925" s="28"/>
      <c r="E1925" s="28"/>
      <c r="F1925" s="29"/>
    </row>
    <row r="1926" spans="1:6">
      <c r="A1926" s="73"/>
      <c r="B1926" s="28"/>
      <c r="C1926" s="28"/>
      <c r="D1926" s="28"/>
      <c r="E1926" s="28"/>
      <c r="F1926" s="29"/>
    </row>
    <row r="1927" spans="1:6">
      <c r="A1927" s="73"/>
      <c r="B1927" s="28"/>
      <c r="C1927" s="28"/>
      <c r="D1927" s="28"/>
      <c r="E1927" s="28"/>
      <c r="F1927" s="29"/>
    </row>
    <row r="1928" spans="1:6">
      <c r="A1928" s="81"/>
      <c r="B1928" s="28"/>
      <c r="C1928" s="28"/>
      <c r="D1928" s="28"/>
      <c r="E1928" s="28"/>
      <c r="F1928" s="29"/>
    </row>
    <row r="1929" spans="1:6">
      <c r="A1929" s="73"/>
      <c r="B1929" s="28"/>
      <c r="C1929" s="28"/>
      <c r="D1929" s="28"/>
      <c r="E1929" s="28"/>
      <c r="F1929" s="29"/>
    </row>
    <row r="1930" spans="1:6">
      <c r="A1930" s="18"/>
      <c r="B1930" s="28"/>
      <c r="C1930" s="28"/>
      <c r="D1930" s="28"/>
      <c r="E1930" s="28"/>
      <c r="F1930" s="29"/>
    </row>
    <row r="1931" spans="1:6">
      <c r="F1931" s="32"/>
    </row>
    <row r="1932" spans="1:6">
      <c r="F1932" s="32"/>
    </row>
    <row r="1936" spans="1:6">
      <c r="F1936" s="32"/>
    </row>
    <row r="1937" spans="2:6">
      <c r="F1937" s="32"/>
    </row>
    <row r="1938" spans="2:6">
      <c r="F1938" s="32"/>
    </row>
    <row r="1943" spans="2:6">
      <c r="B1943" s="28"/>
      <c r="F1943" s="32"/>
    </row>
    <row r="1944" spans="2:6">
      <c r="B1944" s="28"/>
      <c r="F1944" s="32"/>
    </row>
    <row r="1945" spans="2:6">
      <c r="B1945" s="28"/>
      <c r="F1945" s="32"/>
    </row>
  </sheetData>
  <autoFilter ref="A17:AC1823">
    <filterColumn colId="20">
      <filters blank="1"/>
    </filterColumn>
  </autoFilter>
  <mergeCells count="10">
    <mergeCell ref="E9:P9"/>
    <mergeCell ref="E10:P10"/>
    <mergeCell ref="E16:N16"/>
    <mergeCell ref="A15:F15"/>
    <mergeCell ref="A14:F14"/>
    <mergeCell ref="E1:P1"/>
    <mergeCell ref="E3:P3"/>
    <mergeCell ref="E7:P7"/>
    <mergeCell ref="E4:P4"/>
    <mergeCell ref="A2:T2"/>
  </mergeCells>
  <phoneticPr fontId="8" type="noConversion"/>
  <dataValidations count="3">
    <dataValidation type="list" allowBlank="1" showInputMessage="1" showErrorMessage="1" sqref="B18:B1822">
      <formula1>Код_КЦСР</formula1>
    </dataValidation>
    <dataValidation type="list" allowBlank="1" showInputMessage="1" showErrorMessage="1" sqref="E18:E1822">
      <formula1>Код_КВР</formula1>
    </dataValidation>
    <dataValidation type="list" allowBlank="1" showInputMessage="1" showErrorMessage="1" sqref="C18:C1822">
      <formula1>Код_Раздел</formula1>
    </dataValidation>
  </dataValidations>
  <pageMargins left="1.1811023622047245" right="0.39370078740157483" top="0.78740157480314965" bottom="0.78740157480314965" header="0.31496062992125984" footer="0.31496062992125984"/>
  <pageSetup paperSize="9" scale="60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 filterMode="1">
    <pageSetUpPr fitToPage="1"/>
  </sheetPr>
  <dimension ref="A1:AD1770"/>
  <sheetViews>
    <sheetView showZeros="0" tabSelected="1" view="pageBreakPreview" topLeftCell="A69" zoomScale="79" zoomScaleNormal="84" zoomScaleSheetLayoutView="79" workbookViewId="0">
      <selection activeCell="A10" sqref="A10:XFD14"/>
    </sheetView>
  </sheetViews>
  <sheetFormatPr defaultColWidth="9.140625" defaultRowHeight="16.5" outlineLevelCol="1"/>
  <cols>
    <col min="1" max="1" width="80" style="18" customWidth="1"/>
    <col min="2" max="2" width="10.28515625" style="85" customWidth="1"/>
    <col min="3" max="3" width="9" style="85" customWidth="1"/>
    <col min="4" max="4" width="9.5703125" style="85" customWidth="1"/>
    <col min="5" max="5" width="15.85546875" style="23" customWidth="1"/>
    <col min="6" max="6" width="9.85546875" style="85" bestFit="1" customWidth="1"/>
    <col min="7" max="7" width="28.5703125" style="67" hidden="1" customWidth="1" outlineLevel="1"/>
    <col min="8" max="8" width="18.42578125" style="85" hidden="1" customWidth="1" outlineLevel="1"/>
    <col min="9" max="9" width="25.28515625" style="85" hidden="1" customWidth="1" outlineLevel="1"/>
    <col min="10" max="10" width="18.42578125" style="85" hidden="1" customWidth="1" outlineLevel="1"/>
    <col min="11" max="11" width="25.28515625" style="85" hidden="1" customWidth="1" outlineLevel="1"/>
    <col min="12" max="12" width="18" style="85" hidden="1" customWidth="1" outlineLevel="1"/>
    <col min="13" max="13" width="25.28515625" style="85" hidden="1" customWidth="1" outlineLevel="1"/>
    <col min="14" max="14" width="18.42578125" style="85" hidden="1" customWidth="1" outlineLevel="1"/>
    <col min="15" max="15" width="26.5703125" style="85" hidden="1" customWidth="1" outlineLevel="1"/>
    <col min="16" max="16" width="18.42578125" style="85" hidden="1" customWidth="1" outlineLevel="1"/>
    <col min="17" max="17" width="26.5703125" style="88" hidden="1" customWidth="1" outlineLevel="1"/>
    <col min="18" max="18" width="18.42578125" style="85" hidden="1" customWidth="1" outlineLevel="1"/>
    <col min="19" max="19" width="26.5703125" style="88" hidden="1" customWidth="1" collapsed="1"/>
    <col min="20" max="20" width="15.28515625" style="85" hidden="1" customWidth="1"/>
    <col min="21" max="21" width="29.85546875" style="88" customWidth="1"/>
    <col min="22" max="22" width="12.42578125" style="85" bestFit="1" customWidth="1"/>
    <col min="23" max="16384" width="9.140625" style="85"/>
  </cols>
  <sheetData>
    <row r="1" spans="1:30" ht="16.7" customHeight="1">
      <c r="T1" s="141"/>
      <c r="U1" s="165" t="s">
        <v>704</v>
      </c>
      <c r="V1" s="130"/>
      <c r="W1" s="130"/>
      <c r="X1" s="130"/>
      <c r="Y1" s="130"/>
      <c r="Z1" s="130"/>
      <c r="AA1" s="130"/>
      <c r="AB1" s="130"/>
      <c r="AC1" s="130"/>
      <c r="AD1" s="130"/>
    </row>
    <row r="2" spans="1:30">
      <c r="T2" s="139"/>
      <c r="U2" s="93" t="s">
        <v>712</v>
      </c>
      <c r="V2" s="127"/>
      <c r="W2" s="127"/>
      <c r="X2" s="127"/>
      <c r="Y2" s="127"/>
      <c r="Z2" s="127"/>
      <c r="AA2" s="127"/>
      <c r="AB2" s="127"/>
      <c r="AC2" s="127"/>
      <c r="AD2" s="127"/>
    </row>
    <row r="3" spans="1:30" hidden="1">
      <c r="T3" s="139"/>
      <c r="U3" s="139"/>
      <c r="V3" s="127"/>
      <c r="W3" s="127"/>
      <c r="X3" s="127"/>
      <c r="Y3" s="127"/>
      <c r="Z3" s="127"/>
      <c r="AA3" s="127"/>
      <c r="AB3" s="127"/>
      <c r="AC3" s="127"/>
      <c r="AD3" s="127"/>
    </row>
    <row r="4" spans="1:30" hidden="1">
      <c r="T4" s="139"/>
      <c r="U4" s="139"/>
      <c r="V4" s="127"/>
      <c r="W4" s="127"/>
      <c r="X4" s="127"/>
      <c r="Y4" s="127"/>
      <c r="Z4" s="127"/>
      <c r="AA4" s="127"/>
      <c r="AB4" s="127"/>
      <c r="AD4" s="88"/>
    </row>
    <row r="5" spans="1:30" hidden="1">
      <c r="T5" s="19"/>
      <c r="U5" s="93"/>
      <c r="V5" s="127"/>
      <c r="W5" s="19"/>
      <c r="X5" s="19"/>
      <c r="Y5" s="19"/>
      <c r="Z5" s="19"/>
      <c r="AA5" s="19"/>
      <c r="AB5" s="19"/>
      <c r="AD5" s="88"/>
    </row>
    <row r="6" spans="1:30">
      <c r="T6" s="19"/>
      <c r="U6" s="93"/>
      <c r="V6" s="127"/>
      <c r="W6" s="19"/>
      <c r="X6" s="19"/>
      <c r="Y6" s="19"/>
      <c r="Z6" s="19"/>
      <c r="AA6" s="19"/>
      <c r="AB6" s="19"/>
      <c r="AD6" s="88"/>
    </row>
    <row r="7" spans="1:30" ht="16.7" customHeight="1">
      <c r="T7" s="140"/>
      <c r="U7" s="165" t="s">
        <v>247</v>
      </c>
      <c r="V7" s="140"/>
      <c r="W7" s="129"/>
      <c r="X7" s="129"/>
      <c r="Y7" s="129"/>
      <c r="Z7" s="129"/>
      <c r="AA7" s="129"/>
      <c r="AB7" s="129"/>
      <c r="AC7" s="129"/>
      <c r="AD7" s="129"/>
    </row>
    <row r="8" spans="1:30">
      <c r="T8" s="139"/>
      <c r="U8" s="93" t="s">
        <v>711</v>
      </c>
      <c r="V8" s="93"/>
      <c r="W8" s="127"/>
      <c r="X8" s="127"/>
      <c r="Y8" s="127"/>
      <c r="Z8" s="127"/>
      <c r="AA8" s="127"/>
      <c r="AB8" s="127"/>
      <c r="AC8" s="127"/>
      <c r="AD8" s="127"/>
    </row>
    <row r="9" spans="1:30">
      <c r="T9" s="139"/>
      <c r="U9" s="139"/>
      <c r="V9" s="93"/>
      <c r="W9" s="127"/>
      <c r="X9" s="127"/>
      <c r="Y9" s="127"/>
      <c r="Z9" s="127"/>
      <c r="AA9" s="127"/>
      <c r="AB9" s="127"/>
      <c r="AC9" s="127"/>
      <c r="AD9" s="127"/>
    </row>
    <row r="10" spans="1:30" hidden="1">
      <c r="T10" s="139"/>
      <c r="U10" s="139"/>
      <c r="V10" s="93"/>
      <c r="W10" s="127"/>
      <c r="X10" s="127"/>
      <c r="Y10" s="127"/>
      <c r="Z10" s="127"/>
      <c r="AA10" s="127"/>
      <c r="AB10" s="127"/>
      <c r="AC10" s="127"/>
      <c r="AD10" s="127"/>
    </row>
    <row r="11" spans="1:30" hidden="1">
      <c r="F11" s="127"/>
      <c r="G11" s="20"/>
    </row>
    <row r="12" spans="1:30" hidden="1">
      <c r="F12" s="127"/>
      <c r="G12" s="20"/>
    </row>
    <row r="13" spans="1:30" hidden="1">
      <c r="F13" s="127"/>
      <c r="G13" s="20"/>
    </row>
    <row r="14" spans="1:30" hidden="1">
      <c r="E14" s="130"/>
      <c r="F14" s="130"/>
      <c r="G14" s="68"/>
    </row>
    <row r="15" spans="1:30">
      <c r="F15" s="130"/>
      <c r="G15" s="68"/>
    </row>
    <row r="16" spans="1:30">
      <c r="A16" s="160" t="s">
        <v>172</v>
      </c>
      <c r="B16" s="160"/>
      <c r="C16" s="160"/>
      <c r="D16" s="160"/>
      <c r="E16" s="160"/>
      <c r="F16" s="160"/>
      <c r="G16" s="160"/>
    </row>
    <row r="17" spans="1:26" ht="38.25" customHeight="1">
      <c r="A17" s="150" t="s">
        <v>393</v>
      </c>
      <c r="B17" s="150"/>
      <c r="C17" s="150"/>
      <c r="D17" s="150"/>
      <c r="E17" s="150"/>
      <c r="F17" s="150"/>
      <c r="G17" s="150"/>
    </row>
    <row r="18" spans="1:26">
      <c r="A18" s="73"/>
      <c r="B18" s="125"/>
      <c r="C18" s="130"/>
      <c r="D18" s="130"/>
      <c r="E18" s="130"/>
      <c r="F18" s="130"/>
    </row>
    <row r="19" spans="1:26" ht="16.7" customHeight="1">
      <c r="B19" s="130"/>
      <c r="C19" s="130"/>
      <c r="D19" s="130"/>
      <c r="E19" s="130"/>
      <c r="F19" s="31"/>
      <c r="G19" s="31"/>
      <c r="H19" s="31"/>
      <c r="I19" s="31"/>
      <c r="J19" s="31"/>
      <c r="K19" s="31"/>
      <c r="L19" s="31"/>
      <c r="M19" s="31"/>
      <c r="N19" s="31"/>
      <c r="O19" s="31"/>
      <c r="Q19" s="31"/>
      <c r="R19" s="31"/>
      <c r="S19" s="31"/>
      <c r="T19" s="31"/>
      <c r="U19" s="31" t="s">
        <v>266</v>
      </c>
      <c r="V19" s="31"/>
      <c r="W19" s="31"/>
      <c r="X19" s="31"/>
      <c r="Y19" s="31"/>
      <c r="Z19" s="31"/>
    </row>
    <row r="20" spans="1:26" s="128" customFormat="1" ht="81.75" customHeight="1">
      <c r="A20" s="124" t="s">
        <v>207</v>
      </c>
      <c r="B20" s="126" t="s">
        <v>195</v>
      </c>
      <c r="C20" s="126" t="s">
        <v>208</v>
      </c>
      <c r="D20" s="126" t="s">
        <v>225</v>
      </c>
      <c r="E20" s="126" t="s">
        <v>226</v>
      </c>
      <c r="F20" s="126" t="s">
        <v>227</v>
      </c>
      <c r="G20" s="101" t="s">
        <v>583</v>
      </c>
      <c r="H20" s="99" t="s">
        <v>582</v>
      </c>
      <c r="I20" s="99" t="s">
        <v>584</v>
      </c>
      <c r="J20" s="99" t="s">
        <v>582</v>
      </c>
      <c r="K20" s="99" t="s">
        <v>617</v>
      </c>
      <c r="L20" s="99" t="s">
        <v>616</v>
      </c>
      <c r="M20" s="99" t="s">
        <v>621</v>
      </c>
      <c r="N20" s="99" t="s">
        <v>582</v>
      </c>
      <c r="O20" s="99" t="s">
        <v>630</v>
      </c>
      <c r="P20" s="99" t="s">
        <v>582</v>
      </c>
      <c r="Q20" s="99" t="s">
        <v>634</v>
      </c>
      <c r="R20" s="99" t="s">
        <v>582</v>
      </c>
      <c r="S20" s="124" t="s">
        <v>705</v>
      </c>
      <c r="T20" s="124" t="s">
        <v>582</v>
      </c>
      <c r="U20" s="136" t="s">
        <v>708</v>
      </c>
    </row>
    <row r="21" spans="1:26" s="128" customFormat="1">
      <c r="A21" s="61" t="str">
        <f ca="1">IF(ISERROR(MATCH(B21,Код_ППП,0)),"",INDIRECT(ADDRESS(MATCH(B21,Код_ППП,0)+1,2,,,"ППП")))</f>
        <v>МЭРИЯ ГОРОДА</v>
      </c>
      <c r="B21" s="126">
        <v>801</v>
      </c>
      <c r="C21" s="8"/>
      <c r="D21" s="8"/>
      <c r="E21" s="126"/>
      <c r="F21" s="126"/>
      <c r="G21" s="69">
        <f>G22+G175+G233+G303+G333+G371</f>
        <v>465136.20000000007</v>
      </c>
      <c r="H21" s="69">
        <f>H22+H175+H233+H303+H333+H371</f>
        <v>0</v>
      </c>
      <c r="I21" s="69">
        <f>G21+H21</f>
        <v>465136.20000000007</v>
      </c>
      <c r="J21" s="69">
        <f>J22+J175+J233+J303+J333+J371</f>
        <v>10849.800000000003</v>
      </c>
      <c r="K21" s="84">
        <f>I21+J21</f>
        <v>475986.00000000006</v>
      </c>
      <c r="L21" s="13">
        <f>L22+L175+L233+L303+L333+L371</f>
        <v>-3492.2</v>
      </c>
      <c r="M21" s="84">
        <f>K21+L21</f>
        <v>472493.80000000005</v>
      </c>
      <c r="N21" s="13">
        <f>N22+N175+N233+N303+N333+N371</f>
        <v>805</v>
      </c>
      <c r="O21" s="84">
        <f>M21+N21</f>
        <v>473298.80000000005</v>
      </c>
      <c r="P21" s="13">
        <f>P22+P175+P233+P303+P333+P371</f>
        <v>12800</v>
      </c>
      <c r="Q21" s="84">
        <f>O21+P21</f>
        <v>486098.80000000005</v>
      </c>
      <c r="R21" s="13">
        <f>R22+R175+R233+R303+R333+R371</f>
        <v>-506.10000000000036</v>
      </c>
      <c r="S21" s="84">
        <f>Q21+R21</f>
        <v>485592.70000000007</v>
      </c>
      <c r="T21" s="13">
        <f>T22+T175+T233+T303+T333+T371</f>
        <v>5198.3999999999996</v>
      </c>
      <c r="U21" s="84">
        <f>S21+T21</f>
        <v>490791.10000000009</v>
      </c>
    </row>
    <row r="22" spans="1:26" s="128" customFormat="1">
      <c r="A22" s="61" t="str">
        <f ca="1">IF(ISERROR(MATCH(C22,Код_Раздел,0)),"",INDIRECT(ADDRESS(MATCH(C22,Код_Раздел,0)+1,2,,,"Раздел")))</f>
        <v>Общегосударственные  вопросы</v>
      </c>
      <c r="B22" s="126">
        <v>801</v>
      </c>
      <c r="C22" s="8" t="s">
        <v>211</v>
      </c>
      <c r="D22" s="8"/>
      <c r="E22" s="126"/>
      <c r="F22" s="126"/>
      <c r="G22" s="69">
        <f>G23+G30+G65+G72</f>
        <v>248789</v>
      </c>
      <c r="H22" s="69">
        <f>H23+H30+H65+H72</f>
        <v>0</v>
      </c>
      <c r="I22" s="69">
        <f t="shared" ref="I22:I94" si="0">G22+H22</f>
        <v>248789</v>
      </c>
      <c r="J22" s="69">
        <f>J23+J30+J65+J72</f>
        <v>9039.4000000000015</v>
      </c>
      <c r="K22" s="84">
        <f t="shared" ref="K22:K94" si="1">I22+J22</f>
        <v>257828.4</v>
      </c>
      <c r="L22" s="13">
        <f>L23+L30+L65+L72</f>
        <v>754.3</v>
      </c>
      <c r="M22" s="84">
        <f t="shared" ref="M22:M93" si="2">K22+L22</f>
        <v>258582.69999999998</v>
      </c>
      <c r="N22" s="13">
        <f>N23+N30+N65+N72</f>
        <v>450.5</v>
      </c>
      <c r="O22" s="84">
        <f t="shared" ref="O22:O93" si="3">M22+N22</f>
        <v>259033.19999999998</v>
      </c>
      <c r="P22" s="13">
        <f>P23+P30+P65+P72</f>
        <v>0</v>
      </c>
      <c r="Q22" s="84">
        <f t="shared" ref="Q22:Q91" si="4">O22+P22</f>
        <v>259033.19999999998</v>
      </c>
      <c r="R22" s="13">
        <f>R23+R30+R65+R72</f>
        <v>1784.9</v>
      </c>
      <c r="S22" s="84">
        <f t="shared" ref="S22:S91" si="5">Q22+R22</f>
        <v>260818.09999999998</v>
      </c>
      <c r="T22" s="13">
        <f>T23+T30+T65+T72</f>
        <v>4797.3999999999996</v>
      </c>
      <c r="U22" s="84">
        <f t="shared" ref="U22:U85" si="6">S22+T22</f>
        <v>265615.5</v>
      </c>
    </row>
    <row r="23" spans="1:26" s="128" customFormat="1" ht="33">
      <c r="A23" s="74" t="s">
        <v>231</v>
      </c>
      <c r="B23" s="126">
        <v>801</v>
      </c>
      <c r="C23" s="8" t="s">
        <v>211</v>
      </c>
      <c r="D23" s="8" t="s">
        <v>212</v>
      </c>
      <c r="E23" s="126"/>
      <c r="F23" s="126"/>
      <c r="G23" s="69">
        <f t="shared" ref="G23:T28" si="7">G24</f>
        <v>2998</v>
      </c>
      <c r="H23" s="69">
        <f t="shared" si="7"/>
        <v>0</v>
      </c>
      <c r="I23" s="69">
        <f t="shared" si="0"/>
        <v>2998</v>
      </c>
      <c r="J23" s="69">
        <f t="shared" si="7"/>
        <v>0</v>
      </c>
      <c r="K23" s="84">
        <f t="shared" si="1"/>
        <v>2998</v>
      </c>
      <c r="L23" s="13">
        <f t="shared" si="7"/>
        <v>0</v>
      </c>
      <c r="M23" s="84">
        <f t="shared" si="2"/>
        <v>2998</v>
      </c>
      <c r="N23" s="13">
        <f t="shared" si="7"/>
        <v>0</v>
      </c>
      <c r="O23" s="84">
        <f t="shared" si="3"/>
        <v>2998</v>
      </c>
      <c r="P23" s="13">
        <f t="shared" si="7"/>
        <v>0</v>
      </c>
      <c r="Q23" s="84">
        <f t="shared" si="4"/>
        <v>2998</v>
      </c>
      <c r="R23" s="13">
        <f t="shared" si="7"/>
        <v>0</v>
      </c>
      <c r="S23" s="84">
        <f t="shared" si="5"/>
        <v>2998</v>
      </c>
      <c r="T23" s="13">
        <f t="shared" si="7"/>
        <v>0</v>
      </c>
      <c r="U23" s="84">
        <f t="shared" si="6"/>
        <v>2998</v>
      </c>
    </row>
    <row r="24" spans="1:26" s="128" customFormat="1" ht="33">
      <c r="A24" s="61" t="str">
        <f ca="1">IF(ISERROR(MATCH(E24,Код_КЦСР,0)),"",INDIRECT(ADDRESS(MATCH(E24,Код_КЦСР,0)+1,2,,,"КЦСР")))</f>
        <v>Непрограммные направления деятельности органов местного самоуправления</v>
      </c>
      <c r="B24" s="126">
        <v>801</v>
      </c>
      <c r="C24" s="8" t="s">
        <v>211</v>
      </c>
      <c r="D24" s="8" t="s">
        <v>212</v>
      </c>
      <c r="E24" s="126" t="s">
        <v>295</v>
      </c>
      <c r="F24" s="126"/>
      <c r="G24" s="69">
        <f t="shared" si="7"/>
        <v>2998</v>
      </c>
      <c r="H24" s="69">
        <f t="shared" si="7"/>
        <v>0</v>
      </c>
      <c r="I24" s="69">
        <f t="shared" si="0"/>
        <v>2998</v>
      </c>
      <c r="J24" s="69">
        <f t="shared" si="7"/>
        <v>0</v>
      </c>
      <c r="K24" s="84">
        <f t="shared" si="1"/>
        <v>2998</v>
      </c>
      <c r="L24" s="13">
        <f t="shared" si="7"/>
        <v>0</v>
      </c>
      <c r="M24" s="84">
        <f t="shared" si="2"/>
        <v>2998</v>
      </c>
      <c r="N24" s="13">
        <f t="shared" si="7"/>
        <v>0</v>
      </c>
      <c r="O24" s="84">
        <f t="shared" si="3"/>
        <v>2998</v>
      </c>
      <c r="P24" s="13">
        <f t="shared" si="7"/>
        <v>0</v>
      </c>
      <c r="Q24" s="84">
        <f t="shared" si="4"/>
        <v>2998</v>
      </c>
      <c r="R24" s="13">
        <f t="shared" si="7"/>
        <v>0</v>
      </c>
      <c r="S24" s="84">
        <f t="shared" si="5"/>
        <v>2998</v>
      </c>
      <c r="T24" s="13">
        <f t="shared" si="7"/>
        <v>0</v>
      </c>
      <c r="U24" s="84">
        <f t="shared" si="6"/>
        <v>2998</v>
      </c>
    </row>
    <row r="25" spans="1:26" s="128" customFormat="1">
      <c r="A25" s="61" t="str">
        <f ca="1">IF(ISERROR(MATCH(E25,Код_КЦСР,0)),"",INDIRECT(ADDRESS(MATCH(E25,Код_КЦСР,0)+1,2,,,"КЦСР")))</f>
        <v>Расходы, не включенные в муниципальные программы города Череповца</v>
      </c>
      <c r="B25" s="126">
        <v>801</v>
      </c>
      <c r="C25" s="8" t="s">
        <v>211</v>
      </c>
      <c r="D25" s="8" t="s">
        <v>212</v>
      </c>
      <c r="E25" s="126" t="s">
        <v>297</v>
      </c>
      <c r="F25" s="126"/>
      <c r="G25" s="69">
        <f t="shared" si="7"/>
        <v>2998</v>
      </c>
      <c r="H25" s="69">
        <f t="shared" si="7"/>
        <v>0</v>
      </c>
      <c r="I25" s="69">
        <f t="shared" si="0"/>
        <v>2998</v>
      </c>
      <c r="J25" s="69">
        <f t="shared" si="7"/>
        <v>0</v>
      </c>
      <c r="K25" s="84">
        <f t="shared" si="1"/>
        <v>2998</v>
      </c>
      <c r="L25" s="13">
        <f t="shared" si="7"/>
        <v>0</v>
      </c>
      <c r="M25" s="84">
        <f t="shared" si="2"/>
        <v>2998</v>
      </c>
      <c r="N25" s="13">
        <f t="shared" si="7"/>
        <v>0</v>
      </c>
      <c r="O25" s="84">
        <f t="shared" si="3"/>
        <v>2998</v>
      </c>
      <c r="P25" s="13">
        <f t="shared" si="7"/>
        <v>0</v>
      </c>
      <c r="Q25" s="84">
        <f t="shared" si="4"/>
        <v>2998</v>
      </c>
      <c r="R25" s="13">
        <f t="shared" si="7"/>
        <v>0</v>
      </c>
      <c r="S25" s="84">
        <f t="shared" si="5"/>
        <v>2998</v>
      </c>
      <c r="T25" s="13">
        <f t="shared" si="7"/>
        <v>0</v>
      </c>
      <c r="U25" s="84">
        <f t="shared" si="6"/>
        <v>2998</v>
      </c>
    </row>
    <row r="26" spans="1:26" s="128" customFormat="1" ht="33">
      <c r="A26" s="61" t="str">
        <f ca="1">IF(ISERROR(MATCH(E26,Код_КЦСР,0)),"",INDIRECT(ADDRESS(MATCH(E26,Код_КЦСР,0)+1,2,,,"КЦСР")))</f>
        <v>Руководство и управление в сфере установленных функций органов местного самоуправления</v>
      </c>
      <c r="B26" s="126">
        <v>801</v>
      </c>
      <c r="C26" s="8" t="s">
        <v>211</v>
      </c>
      <c r="D26" s="8" t="s">
        <v>212</v>
      </c>
      <c r="E26" s="126" t="s">
        <v>299</v>
      </c>
      <c r="F26" s="126"/>
      <c r="G26" s="69">
        <f t="shared" si="7"/>
        <v>2998</v>
      </c>
      <c r="H26" s="69">
        <f t="shared" si="7"/>
        <v>0</v>
      </c>
      <c r="I26" s="69">
        <f t="shared" si="0"/>
        <v>2998</v>
      </c>
      <c r="J26" s="69">
        <f t="shared" si="7"/>
        <v>0</v>
      </c>
      <c r="K26" s="84">
        <f t="shared" si="1"/>
        <v>2998</v>
      </c>
      <c r="L26" s="13">
        <f t="shared" si="7"/>
        <v>0</v>
      </c>
      <c r="M26" s="84">
        <f t="shared" si="2"/>
        <v>2998</v>
      </c>
      <c r="N26" s="13">
        <f t="shared" si="7"/>
        <v>0</v>
      </c>
      <c r="O26" s="84">
        <f t="shared" si="3"/>
        <v>2998</v>
      </c>
      <c r="P26" s="13">
        <f t="shared" si="7"/>
        <v>0</v>
      </c>
      <c r="Q26" s="84">
        <f t="shared" si="4"/>
        <v>2998</v>
      </c>
      <c r="R26" s="13">
        <f t="shared" si="7"/>
        <v>0</v>
      </c>
      <c r="S26" s="84">
        <f t="shared" si="5"/>
        <v>2998</v>
      </c>
      <c r="T26" s="13">
        <f t="shared" si="7"/>
        <v>0</v>
      </c>
      <c r="U26" s="84">
        <f t="shared" si="6"/>
        <v>2998</v>
      </c>
    </row>
    <row r="27" spans="1:26" s="128" customFormat="1">
      <c r="A27" s="61" t="str">
        <f ca="1">IF(ISERROR(MATCH(E27,Код_КЦСР,0)),"",INDIRECT(ADDRESS(MATCH(E27,Код_КЦСР,0)+1,2,,,"КЦСР")))</f>
        <v>Глава муниципального образования</v>
      </c>
      <c r="B27" s="126">
        <v>801</v>
      </c>
      <c r="C27" s="8" t="s">
        <v>211</v>
      </c>
      <c r="D27" s="8" t="s">
        <v>212</v>
      </c>
      <c r="E27" s="126" t="s">
        <v>301</v>
      </c>
      <c r="F27" s="126"/>
      <c r="G27" s="69">
        <f t="shared" si="7"/>
        <v>2998</v>
      </c>
      <c r="H27" s="69">
        <f t="shared" si="7"/>
        <v>0</v>
      </c>
      <c r="I27" s="69">
        <f t="shared" si="0"/>
        <v>2998</v>
      </c>
      <c r="J27" s="69">
        <f t="shared" si="7"/>
        <v>0</v>
      </c>
      <c r="K27" s="84">
        <f t="shared" si="1"/>
        <v>2998</v>
      </c>
      <c r="L27" s="13">
        <f t="shared" si="7"/>
        <v>0</v>
      </c>
      <c r="M27" s="84">
        <f t="shared" si="2"/>
        <v>2998</v>
      </c>
      <c r="N27" s="13">
        <f t="shared" si="7"/>
        <v>0</v>
      </c>
      <c r="O27" s="84">
        <f t="shared" si="3"/>
        <v>2998</v>
      </c>
      <c r="P27" s="13">
        <f t="shared" si="7"/>
        <v>0</v>
      </c>
      <c r="Q27" s="84">
        <f t="shared" si="4"/>
        <v>2998</v>
      </c>
      <c r="R27" s="13">
        <f t="shared" si="7"/>
        <v>0</v>
      </c>
      <c r="S27" s="84">
        <f t="shared" si="5"/>
        <v>2998</v>
      </c>
      <c r="T27" s="13">
        <f t="shared" si="7"/>
        <v>0</v>
      </c>
      <c r="U27" s="84">
        <f t="shared" si="6"/>
        <v>2998</v>
      </c>
    </row>
    <row r="28" spans="1:26" s="128" customFormat="1" ht="33">
      <c r="A28" s="61" t="str">
        <f ca="1">IF(ISERROR(MATCH(F28,Код_КВР,0)),"",INDIRECT(ADDRESS(MATCH(F28,Код_КВР,0)+1,2,,,"КВР")))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8" s="126">
        <v>801</v>
      </c>
      <c r="C28" s="8" t="s">
        <v>211</v>
      </c>
      <c r="D28" s="8" t="s">
        <v>212</v>
      </c>
      <c r="E28" s="126" t="s">
        <v>301</v>
      </c>
      <c r="F28" s="126">
        <v>100</v>
      </c>
      <c r="G28" s="69">
        <f t="shared" si="7"/>
        <v>2998</v>
      </c>
      <c r="H28" s="69">
        <f t="shared" si="7"/>
        <v>0</v>
      </c>
      <c r="I28" s="69">
        <f t="shared" si="0"/>
        <v>2998</v>
      </c>
      <c r="J28" s="69">
        <f t="shared" si="7"/>
        <v>0</v>
      </c>
      <c r="K28" s="84">
        <f t="shared" si="1"/>
        <v>2998</v>
      </c>
      <c r="L28" s="13">
        <f t="shared" si="7"/>
        <v>0</v>
      </c>
      <c r="M28" s="84">
        <f t="shared" si="2"/>
        <v>2998</v>
      </c>
      <c r="N28" s="13">
        <f t="shared" si="7"/>
        <v>0</v>
      </c>
      <c r="O28" s="84">
        <f t="shared" si="3"/>
        <v>2998</v>
      </c>
      <c r="P28" s="13">
        <f t="shared" si="7"/>
        <v>0</v>
      </c>
      <c r="Q28" s="84">
        <f t="shared" si="4"/>
        <v>2998</v>
      </c>
      <c r="R28" s="13">
        <f t="shared" si="7"/>
        <v>0</v>
      </c>
      <c r="S28" s="84">
        <f t="shared" si="5"/>
        <v>2998</v>
      </c>
      <c r="T28" s="13">
        <f t="shared" si="7"/>
        <v>0</v>
      </c>
      <c r="U28" s="84">
        <f t="shared" si="6"/>
        <v>2998</v>
      </c>
    </row>
    <row r="29" spans="1:26" s="128" customFormat="1">
      <c r="A29" s="61" t="str">
        <f ca="1">IF(ISERROR(MATCH(F29,Код_КВР,0)),"",INDIRECT(ADDRESS(MATCH(F29,Код_КВР,0)+1,2,,,"КВР")))</f>
        <v>Расходы на выплаты персоналу муниципальных органов</v>
      </c>
      <c r="B29" s="126">
        <v>801</v>
      </c>
      <c r="C29" s="8" t="s">
        <v>211</v>
      </c>
      <c r="D29" s="8" t="s">
        <v>212</v>
      </c>
      <c r="E29" s="126" t="s">
        <v>301</v>
      </c>
      <c r="F29" s="126">
        <v>120</v>
      </c>
      <c r="G29" s="69">
        <v>2998</v>
      </c>
      <c r="H29" s="64"/>
      <c r="I29" s="69">
        <f t="shared" si="0"/>
        <v>2998</v>
      </c>
      <c r="J29" s="64"/>
      <c r="K29" s="84">
        <f t="shared" si="1"/>
        <v>2998</v>
      </c>
      <c r="L29" s="84"/>
      <c r="M29" s="84">
        <f t="shared" si="2"/>
        <v>2998</v>
      </c>
      <c r="N29" s="84"/>
      <c r="O29" s="84">
        <f t="shared" si="3"/>
        <v>2998</v>
      </c>
      <c r="P29" s="84"/>
      <c r="Q29" s="84">
        <f t="shared" si="4"/>
        <v>2998</v>
      </c>
      <c r="R29" s="84"/>
      <c r="S29" s="84">
        <f t="shared" si="5"/>
        <v>2998</v>
      </c>
      <c r="T29" s="84"/>
      <c r="U29" s="84">
        <f t="shared" si="6"/>
        <v>2998</v>
      </c>
    </row>
    <row r="30" spans="1:26" s="128" customFormat="1" ht="49.5">
      <c r="A30" s="75" t="s">
        <v>233</v>
      </c>
      <c r="B30" s="126">
        <v>801</v>
      </c>
      <c r="C30" s="8" t="s">
        <v>211</v>
      </c>
      <c r="D30" s="8" t="s">
        <v>214</v>
      </c>
      <c r="E30" s="126"/>
      <c r="F30" s="126"/>
      <c r="G30" s="69">
        <f>G31</f>
        <v>126109.40000000001</v>
      </c>
      <c r="H30" s="69">
        <f t="shared" ref="H30:T31" si="8">H31</f>
        <v>0</v>
      </c>
      <c r="I30" s="69">
        <f t="shared" si="0"/>
        <v>126109.40000000001</v>
      </c>
      <c r="J30" s="69">
        <f t="shared" si="8"/>
        <v>0</v>
      </c>
      <c r="K30" s="84">
        <f t="shared" si="1"/>
        <v>126109.40000000001</v>
      </c>
      <c r="L30" s="13">
        <f t="shared" si="8"/>
        <v>0</v>
      </c>
      <c r="M30" s="84">
        <f t="shared" si="2"/>
        <v>126109.40000000001</v>
      </c>
      <c r="N30" s="13">
        <f t="shared" si="8"/>
        <v>222.5</v>
      </c>
      <c r="O30" s="84">
        <f t="shared" si="3"/>
        <v>126331.90000000001</v>
      </c>
      <c r="P30" s="13">
        <f t="shared" si="8"/>
        <v>0</v>
      </c>
      <c r="Q30" s="84">
        <f t="shared" si="4"/>
        <v>126331.90000000001</v>
      </c>
      <c r="R30" s="13">
        <f t="shared" si="8"/>
        <v>1542.5</v>
      </c>
      <c r="S30" s="84">
        <f t="shared" si="5"/>
        <v>127874.40000000001</v>
      </c>
      <c r="T30" s="13">
        <f t="shared" si="8"/>
        <v>0</v>
      </c>
      <c r="U30" s="84">
        <f t="shared" si="6"/>
        <v>127874.40000000001</v>
      </c>
    </row>
    <row r="31" spans="1:26" s="128" customFormat="1" ht="33">
      <c r="A31" s="61" t="str">
        <f ca="1">IF(ISERROR(MATCH(E31,Код_КЦСР,0)),"",INDIRECT(ADDRESS(MATCH(E31,Код_КЦСР,0)+1,2,,,"КЦСР")))</f>
        <v>Непрограммные направления деятельности органов местного самоуправления</v>
      </c>
      <c r="B31" s="126">
        <v>801</v>
      </c>
      <c r="C31" s="8" t="s">
        <v>211</v>
      </c>
      <c r="D31" s="8" t="s">
        <v>214</v>
      </c>
      <c r="E31" s="126" t="s">
        <v>295</v>
      </c>
      <c r="F31" s="126"/>
      <c r="G31" s="69">
        <f>G32</f>
        <v>126109.40000000001</v>
      </c>
      <c r="H31" s="69">
        <f t="shared" si="8"/>
        <v>0</v>
      </c>
      <c r="I31" s="69">
        <f t="shared" si="0"/>
        <v>126109.40000000001</v>
      </c>
      <c r="J31" s="69">
        <f t="shared" si="8"/>
        <v>0</v>
      </c>
      <c r="K31" s="84">
        <f t="shared" si="1"/>
        <v>126109.40000000001</v>
      </c>
      <c r="L31" s="13">
        <f t="shared" si="8"/>
        <v>0</v>
      </c>
      <c r="M31" s="84">
        <f t="shared" si="2"/>
        <v>126109.40000000001</v>
      </c>
      <c r="N31" s="13">
        <f t="shared" si="8"/>
        <v>222.5</v>
      </c>
      <c r="O31" s="84">
        <f t="shared" si="3"/>
        <v>126331.90000000001</v>
      </c>
      <c r="P31" s="13">
        <f t="shared" si="8"/>
        <v>0</v>
      </c>
      <c r="Q31" s="84">
        <f t="shared" si="4"/>
        <v>126331.90000000001</v>
      </c>
      <c r="R31" s="13">
        <f t="shared" si="8"/>
        <v>1542.5</v>
      </c>
      <c r="S31" s="84">
        <f t="shared" si="5"/>
        <v>127874.40000000001</v>
      </c>
      <c r="T31" s="13">
        <f t="shared" si="8"/>
        <v>0</v>
      </c>
      <c r="U31" s="84">
        <f t="shared" si="6"/>
        <v>127874.40000000001</v>
      </c>
    </row>
    <row r="32" spans="1:26" s="128" customFormat="1">
      <c r="A32" s="61" t="str">
        <f ca="1">IF(ISERROR(MATCH(E32,Код_КЦСР,0)),"",INDIRECT(ADDRESS(MATCH(E32,Код_КЦСР,0)+1,2,,,"КЦСР")))</f>
        <v>Расходы, не включенные в муниципальные программы города Череповца</v>
      </c>
      <c r="B32" s="126">
        <v>801</v>
      </c>
      <c r="C32" s="8" t="s">
        <v>211</v>
      </c>
      <c r="D32" s="8" t="s">
        <v>214</v>
      </c>
      <c r="E32" s="126" t="s">
        <v>297</v>
      </c>
      <c r="F32" s="126"/>
      <c r="G32" s="69">
        <f>G33+G43+G49+G52+G62</f>
        <v>126109.40000000001</v>
      </c>
      <c r="H32" s="69">
        <f>H33+H43+H49+H52+H62</f>
        <v>0</v>
      </c>
      <c r="I32" s="69">
        <f t="shared" si="0"/>
        <v>126109.40000000001</v>
      </c>
      <c r="J32" s="69">
        <f>J33+J43+J49+J52+J62</f>
        <v>0</v>
      </c>
      <c r="K32" s="84">
        <f t="shared" si="1"/>
        <v>126109.40000000001</v>
      </c>
      <c r="L32" s="13">
        <f>L33+L43+L49+L52+L62</f>
        <v>0</v>
      </c>
      <c r="M32" s="84">
        <f t="shared" si="2"/>
        <v>126109.40000000001</v>
      </c>
      <c r="N32" s="13">
        <f>N33+N43+N49+N52+N62</f>
        <v>222.5</v>
      </c>
      <c r="O32" s="84">
        <f t="shared" si="3"/>
        <v>126331.90000000001</v>
      </c>
      <c r="P32" s="13">
        <f>P33+P43+P49+P52+P62</f>
        <v>0</v>
      </c>
      <c r="Q32" s="84">
        <f t="shared" si="4"/>
        <v>126331.90000000001</v>
      </c>
      <c r="R32" s="13">
        <f>R33+R43+R49+R52+R62+R56</f>
        <v>1542.5</v>
      </c>
      <c r="S32" s="84">
        <f t="shared" si="5"/>
        <v>127874.40000000001</v>
      </c>
      <c r="T32" s="13">
        <f>T33+T43+T49+T52+T62+T56</f>
        <v>0</v>
      </c>
      <c r="U32" s="84">
        <f t="shared" si="6"/>
        <v>127874.40000000001</v>
      </c>
    </row>
    <row r="33" spans="1:21" s="128" customFormat="1" ht="33">
      <c r="A33" s="61" t="str">
        <f ca="1">IF(ISERROR(MATCH(E33,Код_КЦСР,0)),"",INDIRECT(ADDRESS(MATCH(E33,Код_КЦСР,0)+1,2,,,"КЦСР")))</f>
        <v>Руководство и управление в сфере установленных функций органов местного самоуправления</v>
      </c>
      <c r="B33" s="126">
        <v>801</v>
      </c>
      <c r="C33" s="8" t="s">
        <v>211</v>
      </c>
      <c r="D33" s="8" t="s">
        <v>214</v>
      </c>
      <c r="E33" s="126" t="s">
        <v>299</v>
      </c>
      <c r="F33" s="126"/>
      <c r="G33" s="69">
        <f>G34</f>
        <v>124245.5</v>
      </c>
      <c r="H33" s="69">
        <f t="shared" ref="H33:T33" si="9">H34</f>
        <v>0</v>
      </c>
      <c r="I33" s="69">
        <f t="shared" si="0"/>
        <v>124245.5</v>
      </c>
      <c r="J33" s="69">
        <f t="shared" si="9"/>
        <v>0</v>
      </c>
      <c r="K33" s="84">
        <f t="shared" si="1"/>
        <v>124245.5</v>
      </c>
      <c r="L33" s="13">
        <f t="shared" si="9"/>
        <v>0</v>
      </c>
      <c r="M33" s="84">
        <f t="shared" si="2"/>
        <v>124245.5</v>
      </c>
      <c r="N33" s="13">
        <f t="shared" si="9"/>
        <v>222.5</v>
      </c>
      <c r="O33" s="84">
        <f t="shared" si="3"/>
        <v>124468</v>
      </c>
      <c r="P33" s="13">
        <f t="shared" si="9"/>
        <v>0</v>
      </c>
      <c r="Q33" s="84">
        <f t="shared" si="4"/>
        <v>124468</v>
      </c>
      <c r="R33" s="13">
        <f t="shared" si="9"/>
        <v>865.8</v>
      </c>
      <c r="S33" s="84">
        <f t="shared" si="5"/>
        <v>125333.8</v>
      </c>
      <c r="T33" s="13">
        <f t="shared" si="9"/>
        <v>0</v>
      </c>
      <c r="U33" s="84">
        <f t="shared" si="6"/>
        <v>125333.8</v>
      </c>
    </row>
    <row r="34" spans="1:21" s="128" customFormat="1">
      <c r="A34" s="61" t="str">
        <f ca="1">IF(ISERROR(MATCH(E34,Код_КЦСР,0)),"",INDIRECT(ADDRESS(MATCH(E34,Код_КЦСР,0)+1,2,,,"КЦСР")))</f>
        <v>Центральный аппарат</v>
      </c>
      <c r="B34" s="126">
        <v>801</v>
      </c>
      <c r="C34" s="8" t="s">
        <v>211</v>
      </c>
      <c r="D34" s="8" t="s">
        <v>214</v>
      </c>
      <c r="E34" s="126" t="s">
        <v>302</v>
      </c>
      <c r="F34" s="126"/>
      <c r="G34" s="69">
        <f>G35+G37+G40</f>
        <v>124245.5</v>
      </c>
      <c r="H34" s="69">
        <f t="shared" ref="H34:J34" si="10">H35+H37+H40</f>
        <v>0</v>
      </c>
      <c r="I34" s="69">
        <f t="shared" si="0"/>
        <v>124245.5</v>
      </c>
      <c r="J34" s="69">
        <f t="shared" si="10"/>
        <v>0</v>
      </c>
      <c r="K34" s="84">
        <f t="shared" si="1"/>
        <v>124245.5</v>
      </c>
      <c r="L34" s="13">
        <f t="shared" ref="L34" si="11">L35+L37+L40</f>
        <v>0</v>
      </c>
      <c r="M34" s="84">
        <f t="shared" si="2"/>
        <v>124245.5</v>
      </c>
      <c r="N34" s="13">
        <f>N35+N37+N40</f>
        <v>222.5</v>
      </c>
      <c r="O34" s="84">
        <f t="shared" si="3"/>
        <v>124468</v>
      </c>
      <c r="P34" s="13">
        <f>P35+P37+P40</f>
        <v>0</v>
      </c>
      <c r="Q34" s="84">
        <f t="shared" si="4"/>
        <v>124468</v>
      </c>
      <c r="R34" s="13">
        <f>R35+R37+R40</f>
        <v>865.8</v>
      </c>
      <c r="S34" s="84">
        <f t="shared" si="5"/>
        <v>125333.8</v>
      </c>
      <c r="T34" s="13">
        <f>T35+T37+T40</f>
        <v>0</v>
      </c>
      <c r="U34" s="84">
        <f t="shared" si="6"/>
        <v>125333.8</v>
      </c>
    </row>
    <row r="35" spans="1:21" s="128" customFormat="1" ht="33">
      <c r="A35" s="61" t="str">
        <f t="shared" ref="A35:A41" ca="1" si="12">IF(ISERROR(MATCH(F35,Код_КВР,0)),"",INDIRECT(ADDRESS(MATCH(F35,Код_КВР,0)+1,2,,,"КВР")))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" s="126">
        <v>801</v>
      </c>
      <c r="C35" s="8" t="s">
        <v>211</v>
      </c>
      <c r="D35" s="8" t="s">
        <v>214</v>
      </c>
      <c r="E35" s="126" t="s">
        <v>302</v>
      </c>
      <c r="F35" s="126">
        <v>100</v>
      </c>
      <c r="G35" s="69">
        <f>G36</f>
        <v>120035.7</v>
      </c>
      <c r="H35" s="69">
        <f>H36</f>
        <v>0</v>
      </c>
      <c r="I35" s="69">
        <f t="shared" si="0"/>
        <v>120035.7</v>
      </c>
      <c r="J35" s="69">
        <f>J36</f>
        <v>0</v>
      </c>
      <c r="K35" s="84">
        <f t="shared" si="1"/>
        <v>120035.7</v>
      </c>
      <c r="L35" s="13">
        <f>L36</f>
        <v>0</v>
      </c>
      <c r="M35" s="84">
        <f t="shared" si="2"/>
        <v>120035.7</v>
      </c>
      <c r="N35" s="13">
        <f>N36</f>
        <v>-0.5</v>
      </c>
      <c r="O35" s="84">
        <f t="shared" si="3"/>
        <v>120035.2</v>
      </c>
      <c r="P35" s="13">
        <f>P36</f>
        <v>0</v>
      </c>
      <c r="Q35" s="84">
        <f t="shared" si="4"/>
        <v>120035.2</v>
      </c>
      <c r="R35" s="13">
        <f>R36</f>
        <v>880</v>
      </c>
      <c r="S35" s="84">
        <f t="shared" si="5"/>
        <v>120915.2</v>
      </c>
      <c r="T35" s="13">
        <f>T36</f>
        <v>0</v>
      </c>
      <c r="U35" s="84">
        <f t="shared" si="6"/>
        <v>120915.2</v>
      </c>
    </row>
    <row r="36" spans="1:21" s="128" customFormat="1">
      <c r="A36" s="61" t="str">
        <f t="shared" ca="1" si="12"/>
        <v>Расходы на выплаты персоналу муниципальных органов</v>
      </c>
      <c r="B36" s="126">
        <v>801</v>
      </c>
      <c r="C36" s="8" t="s">
        <v>211</v>
      </c>
      <c r="D36" s="8" t="s">
        <v>214</v>
      </c>
      <c r="E36" s="126" t="s">
        <v>302</v>
      </c>
      <c r="F36" s="126">
        <v>120</v>
      </c>
      <c r="G36" s="69">
        <v>120035.7</v>
      </c>
      <c r="H36" s="64"/>
      <c r="I36" s="69">
        <f t="shared" si="0"/>
        <v>120035.7</v>
      </c>
      <c r="J36" s="64"/>
      <c r="K36" s="84">
        <f t="shared" si="1"/>
        <v>120035.7</v>
      </c>
      <c r="L36" s="84"/>
      <c r="M36" s="84">
        <f t="shared" si="2"/>
        <v>120035.7</v>
      </c>
      <c r="N36" s="84">
        <v>-0.5</v>
      </c>
      <c r="O36" s="84">
        <f t="shared" si="3"/>
        <v>120035.2</v>
      </c>
      <c r="P36" s="84"/>
      <c r="Q36" s="84">
        <f t="shared" si="4"/>
        <v>120035.2</v>
      </c>
      <c r="R36" s="84">
        <f>1074.7-174.7-20</f>
        <v>880</v>
      </c>
      <c r="S36" s="84">
        <f t="shared" si="5"/>
        <v>120915.2</v>
      </c>
      <c r="T36" s="84"/>
      <c r="U36" s="84">
        <f t="shared" si="6"/>
        <v>120915.2</v>
      </c>
    </row>
    <row r="37" spans="1:21" s="128" customFormat="1">
      <c r="A37" s="61" t="str">
        <f t="shared" ca="1" si="12"/>
        <v>Закупка товаров, работ и услуг для муниципальных нужд</v>
      </c>
      <c r="B37" s="126">
        <v>801</v>
      </c>
      <c r="C37" s="8" t="s">
        <v>211</v>
      </c>
      <c r="D37" s="8" t="s">
        <v>214</v>
      </c>
      <c r="E37" s="126" t="s">
        <v>302</v>
      </c>
      <c r="F37" s="126">
        <v>200</v>
      </c>
      <c r="G37" s="69">
        <f>G38</f>
        <v>4207.8</v>
      </c>
      <c r="H37" s="69">
        <f>H38</f>
        <v>0</v>
      </c>
      <c r="I37" s="69">
        <f t="shared" si="0"/>
        <v>4207.8</v>
      </c>
      <c r="J37" s="69">
        <f>J38</f>
        <v>0</v>
      </c>
      <c r="K37" s="84">
        <f t="shared" si="1"/>
        <v>4207.8</v>
      </c>
      <c r="L37" s="13">
        <f>L38</f>
        <v>0</v>
      </c>
      <c r="M37" s="84">
        <f t="shared" si="2"/>
        <v>4207.8</v>
      </c>
      <c r="N37" s="13">
        <f>N38</f>
        <v>223</v>
      </c>
      <c r="O37" s="84">
        <f t="shared" si="3"/>
        <v>4430.8</v>
      </c>
      <c r="P37" s="13">
        <f>P38</f>
        <v>0</v>
      </c>
      <c r="Q37" s="84">
        <f t="shared" si="4"/>
        <v>4430.8</v>
      </c>
      <c r="R37" s="13">
        <f>R38</f>
        <v>-14.2</v>
      </c>
      <c r="S37" s="84">
        <f t="shared" si="5"/>
        <v>4416.6000000000004</v>
      </c>
      <c r="T37" s="13">
        <f>T38</f>
        <v>0</v>
      </c>
      <c r="U37" s="84">
        <f t="shared" si="6"/>
        <v>4416.6000000000004</v>
      </c>
    </row>
    <row r="38" spans="1:21" s="128" customFormat="1" ht="33">
      <c r="A38" s="61" t="str">
        <f t="shared" ca="1" si="12"/>
        <v>Иные закупки товаров, работ и услуг для обеспечения муниципальных нужд</v>
      </c>
      <c r="B38" s="126">
        <v>801</v>
      </c>
      <c r="C38" s="8" t="s">
        <v>211</v>
      </c>
      <c r="D38" s="8" t="s">
        <v>214</v>
      </c>
      <c r="E38" s="126" t="s">
        <v>302</v>
      </c>
      <c r="F38" s="126">
        <v>240</v>
      </c>
      <c r="G38" s="69">
        <f>G39</f>
        <v>4207.8</v>
      </c>
      <c r="H38" s="69">
        <f>H39</f>
        <v>0</v>
      </c>
      <c r="I38" s="69">
        <f t="shared" si="0"/>
        <v>4207.8</v>
      </c>
      <c r="J38" s="69">
        <f>J39</f>
        <v>0</v>
      </c>
      <c r="K38" s="84">
        <f t="shared" si="1"/>
        <v>4207.8</v>
      </c>
      <c r="L38" s="13">
        <f>L39</f>
        <v>0</v>
      </c>
      <c r="M38" s="84">
        <f t="shared" si="2"/>
        <v>4207.8</v>
      </c>
      <c r="N38" s="13">
        <f>N39</f>
        <v>223</v>
      </c>
      <c r="O38" s="84">
        <f t="shared" si="3"/>
        <v>4430.8</v>
      </c>
      <c r="P38" s="13">
        <f>P39</f>
        <v>0</v>
      </c>
      <c r="Q38" s="84">
        <f t="shared" si="4"/>
        <v>4430.8</v>
      </c>
      <c r="R38" s="13">
        <f>R39</f>
        <v>-14.2</v>
      </c>
      <c r="S38" s="84">
        <f t="shared" si="5"/>
        <v>4416.6000000000004</v>
      </c>
      <c r="T38" s="13">
        <f>T39</f>
        <v>0</v>
      </c>
      <c r="U38" s="84">
        <f t="shared" si="6"/>
        <v>4416.6000000000004</v>
      </c>
    </row>
    <row r="39" spans="1:21" s="128" customFormat="1" ht="33">
      <c r="A39" s="61" t="str">
        <f t="shared" ca="1" si="12"/>
        <v xml:space="preserve">Прочая закупка товаров, работ и услуг для обеспечения муниципальных нужд         </v>
      </c>
      <c r="B39" s="126">
        <v>801</v>
      </c>
      <c r="C39" s="8" t="s">
        <v>211</v>
      </c>
      <c r="D39" s="8" t="s">
        <v>214</v>
      </c>
      <c r="E39" s="126" t="s">
        <v>302</v>
      </c>
      <c r="F39" s="126">
        <v>244</v>
      </c>
      <c r="G39" s="69">
        <v>4207.8</v>
      </c>
      <c r="H39" s="64"/>
      <c r="I39" s="69">
        <f t="shared" si="0"/>
        <v>4207.8</v>
      </c>
      <c r="J39" s="64"/>
      <c r="K39" s="84">
        <f t="shared" si="1"/>
        <v>4207.8</v>
      </c>
      <c r="L39" s="84"/>
      <c r="M39" s="84">
        <f t="shared" si="2"/>
        <v>4207.8</v>
      </c>
      <c r="N39" s="84">
        <v>223</v>
      </c>
      <c r="O39" s="84">
        <f t="shared" si="3"/>
        <v>4430.8</v>
      </c>
      <c r="P39" s="84"/>
      <c r="Q39" s="84">
        <f t="shared" si="4"/>
        <v>4430.8</v>
      </c>
      <c r="R39" s="84">
        <f>-14.2</f>
        <v>-14.2</v>
      </c>
      <c r="S39" s="84">
        <f t="shared" si="5"/>
        <v>4416.6000000000004</v>
      </c>
      <c r="T39" s="84"/>
      <c r="U39" s="84">
        <f t="shared" si="6"/>
        <v>4416.6000000000004</v>
      </c>
    </row>
    <row r="40" spans="1:21" s="128" customFormat="1">
      <c r="A40" s="61" t="str">
        <f t="shared" ca="1" si="12"/>
        <v>Иные бюджетные ассигнования</v>
      </c>
      <c r="B40" s="126">
        <v>801</v>
      </c>
      <c r="C40" s="8" t="s">
        <v>211</v>
      </c>
      <c r="D40" s="8" t="s">
        <v>214</v>
      </c>
      <c r="E40" s="126" t="s">
        <v>302</v>
      </c>
      <c r="F40" s="126">
        <v>800</v>
      </c>
      <c r="G40" s="69">
        <f>G41</f>
        <v>2</v>
      </c>
      <c r="H40" s="69">
        <f>H41</f>
        <v>0</v>
      </c>
      <c r="I40" s="69">
        <f t="shared" si="0"/>
        <v>2</v>
      </c>
      <c r="J40" s="69">
        <f>J41</f>
        <v>0</v>
      </c>
      <c r="K40" s="84">
        <f t="shared" si="1"/>
        <v>2</v>
      </c>
      <c r="L40" s="13">
        <f>L41</f>
        <v>0</v>
      </c>
      <c r="M40" s="84">
        <f t="shared" si="2"/>
        <v>2</v>
      </c>
      <c r="N40" s="13">
        <f>N41</f>
        <v>0</v>
      </c>
      <c r="O40" s="84">
        <f t="shared" si="3"/>
        <v>2</v>
      </c>
      <c r="P40" s="13">
        <f>P41</f>
        <v>0</v>
      </c>
      <c r="Q40" s="84">
        <f t="shared" si="4"/>
        <v>2</v>
      </c>
      <c r="R40" s="13">
        <f>R41</f>
        <v>0</v>
      </c>
      <c r="S40" s="84">
        <f t="shared" si="5"/>
        <v>2</v>
      </c>
      <c r="T40" s="13">
        <f>T41</f>
        <v>0</v>
      </c>
      <c r="U40" s="84">
        <f t="shared" si="6"/>
        <v>2</v>
      </c>
    </row>
    <row r="41" spans="1:21" s="128" customFormat="1">
      <c r="A41" s="61" t="str">
        <f t="shared" ca="1" si="12"/>
        <v>Уплата налогов, сборов и иных платежей</v>
      </c>
      <c r="B41" s="126">
        <v>801</v>
      </c>
      <c r="C41" s="8" t="s">
        <v>211</v>
      </c>
      <c r="D41" s="8" t="s">
        <v>214</v>
      </c>
      <c r="E41" s="126" t="s">
        <v>302</v>
      </c>
      <c r="F41" s="126">
        <v>850</v>
      </c>
      <c r="G41" s="69">
        <f>G42</f>
        <v>2</v>
      </c>
      <c r="H41" s="69">
        <f>H42</f>
        <v>0</v>
      </c>
      <c r="I41" s="69">
        <f t="shared" si="0"/>
        <v>2</v>
      </c>
      <c r="J41" s="69">
        <f>J42</f>
        <v>0</v>
      </c>
      <c r="K41" s="84">
        <f t="shared" si="1"/>
        <v>2</v>
      </c>
      <c r="L41" s="13">
        <f>L42</f>
        <v>0</v>
      </c>
      <c r="M41" s="84">
        <f t="shared" si="2"/>
        <v>2</v>
      </c>
      <c r="N41" s="13">
        <f>N42</f>
        <v>0</v>
      </c>
      <c r="O41" s="84">
        <f t="shared" si="3"/>
        <v>2</v>
      </c>
      <c r="P41" s="13">
        <f>P42</f>
        <v>0</v>
      </c>
      <c r="Q41" s="84">
        <f t="shared" si="4"/>
        <v>2</v>
      </c>
      <c r="R41" s="13">
        <f>R42</f>
        <v>0</v>
      </c>
      <c r="S41" s="84">
        <f t="shared" si="5"/>
        <v>2</v>
      </c>
      <c r="T41" s="13">
        <f>T42</f>
        <v>0</v>
      </c>
      <c r="U41" s="84">
        <f t="shared" si="6"/>
        <v>2</v>
      </c>
    </row>
    <row r="42" spans="1:21" s="128" customFormat="1">
      <c r="A42" s="61" t="str">
        <f ca="1">IF(ISERROR(MATCH(F42,Код_КВР,0)),"",INDIRECT(ADDRESS(MATCH(F42,Код_КВР,0)+1,2,,,"КВР")))</f>
        <v>Уплата прочих налогов, сборов и иных платежей</v>
      </c>
      <c r="B42" s="126">
        <v>801</v>
      </c>
      <c r="C42" s="8" t="s">
        <v>211</v>
      </c>
      <c r="D42" s="8" t="s">
        <v>214</v>
      </c>
      <c r="E42" s="126" t="s">
        <v>302</v>
      </c>
      <c r="F42" s="126">
        <v>852</v>
      </c>
      <c r="G42" s="69">
        <v>2</v>
      </c>
      <c r="H42" s="64"/>
      <c r="I42" s="69">
        <f t="shared" si="0"/>
        <v>2</v>
      </c>
      <c r="J42" s="64"/>
      <c r="K42" s="84">
        <f t="shared" si="1"/>
        <v>2</v>
      </c>
      <c r="L42" s="84"/>
      <c r="M42" s="84">
        <f t="shared" si="2"/>
        <v>2</v>
      </c>
      <c r="N42" s="84"/>
      <c r="O42" s="84">
        <f t="shared" si="3"/>
        <v>2</v>
      </c>
      <c r="P42" s="84"/>
      <c r="Q42" s="84">
        <f t="shared" si="4"/>
        <v>2</v>
      </c>
      <c r="R42" s="84"/>
      <c r="S42" s="84">
        <f t="shared" si="5"/>
        <v>2</v>
      </c>
      <c r="T42" s="84"/>
      <c r="U42" s="84">
        <f t="shared" si="6"/>
        <v>2</v>
      </c>
    </row>
    <row r="43" spans="1:21" s="128" customFormat="1" ht="114.75" customHeight="1">
      <c r="A43" s="61" t="str">
        <f ca="1">IF(ISERROR(MATCH(E43,Код_КЦСР,0)),"",INDIRECT(ADDRESS(MATCH(E43,Код_КЦСР,0)+1,2,,,"КЦСР")))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3" s="126">
        <v>801</v>
      </c>
      <c r="C43" s="8" t="s">
        <v>211</v>
      </c>
      <c r="D43" s="8" t="s">
        <v>214</v>
      </c>
      <c r="E43" s="126" t="s">
        <v>372</v>
      </c>
      <c r="F43" s="126"/>
      <c r="G43" s="69">
        <f>G44+G46</f>
        <v>1026.5999999999999</v>
      </c>
      <c r="H43" s="69">
        <f t="shared" ref="H43:J43" si="13">H44+H46</f>
        <v>0</v>
      </c>
      <c r="I43" s="69">
        <f t="shared" si="0"/>
        <v>1026.5999999999999</v>
      </c>
      <c r="J43" s="69">
        <f t="shared" si="13"/>
        <v>0</v>
      </c>
      <c r="K43" s="84">
        <f t="shared" si="1"/>
        <v>1026.5999999999999</v>
      </c>
      <c r="L43" s="13">
        <f t="shared" ref="L43:N43" si="14">L44+L46</f>
        <v>0</v>
      </c>
      <c r="M43" s="84">
        <f t="shared" si="2"/>
        <v>1026.5999999999999</v>
      </c>
      <c r="N43" s="13">
        <f t="shared" si="14"/>
        <v>0</v>
      </c>
      <c r="O43" s="84">
        <f t="shared" si="3"/>
        <v>1026.5999999999999</v>
      </c>
      <c r="P43" s="13">
        <f t="shared" ref="P43:R43" si="15">P44+P46</f>
        <v>0</v>
      </c>
      <c r="Q43" s="84">
        <f t="shared" si="4"/>
        <v>1026.5999999999999</v>
      </c>
      <c r="R43" s="13">
        <f t="shared" si="15"/>
        <v>0</v>
      </c>
      <c r="S43" s="84">
        <f t="shared" si="5"/>
        <v>1026.5999999999999</v>
      </c>
      <c r="T43" s="13">
        <f t="shared" ref="T43" si="16">T44+T46</f>
        <v>0</v>
      </c>
      <c r="U43" s="84">
        <f t="shared" si="6"/>
        <v>1026.5999999999999</v>
      </c>
    </row>
    <row r="44" spans="1:21" s="128" customFormat="1" ht="33">
      <c r="A44" s="61" t="str">
        <f ca="1">IF(ISERROR(MATCH(F44,Код_КВР,0)),"",INDIRECT(ADDRESS(MATCH(F44,Код_КВР,0)+1,2,,,"КВР")))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" s="126">
        <v>801</v>
      </c>
      <c r="C44" s="8" t="s">
        <v>211</v>
      </c>
      <c r="D44" s="8" t="s">
        <v>214</v>
      </c>
      <c r="E44" s="126" t="s">
        <v>372</v>
      </c>
      <c r="F44" s="126">
        <v>100</v>
      </c>
      <c r="G44" s="69">
        <f>G45</f>
        <v>1016.6</v>
      </c>
      <c r="H44" s="69">
        <f>H45</f>
        <v>0</v>
      </c>
      <c r="I44" s="69">
        <f t="shared" si="0"/>
        <v>1016.6</v>
      </c>
      <c r="J44" s="69">
        <f>J45</f>
        <v>0</v>
      </c>
      <c r="K44" s="84">
        <f t="shared" si="1"/>
        <v>1016.6</v>
      </c>
      <c r="L44" s="13">
        <f>L45</f>
        <v>0</v>
      </c>
      <c r="M44" s="84">
        <f t="shared" si="2"/>
        <v>1016.6</v>
      </c>
      <c r="N44" s="13">
        <f>N45</f>
        <v>0</v>
      </c>
      <c r="O44" s="84">
        <f t="shared" si="3"/>
        <v>1016.6</v>
      </c>
      <c r="P44" s="13">
        <f>P45</f>
        <v>0</v>
      </c>
      <c r="Q44" s="84">
        <f t="shared" si="4"/>
        <v>1016.6</v>
      </c>
      <c r="R44" s="13">
        <f>R45</f>
        <v>0</v>
      </c>
      <c r="S44" s="84">
        <f t="shared" si="5"/>
        <v>1016.6</v>
      </c>
      <c r="T44" s="13">
        <f>T45</f>
        <v>2.2999999999999998</v>
      </c>
      <c r="U44" s="84">
        <f t="shared" si="6"/>
        <v>1018.9</v>
      </c>
    </row>
    <row r="45" spans="1:21" s="128" customFormat="1">
      <c r="A45" s="61" t="str">
        <f ca="1">IF(ISERROR(MATCH(F45,Код_КВР,0)),"",INDIRECT(ADDRESS(MATCH(F45,Код_КВР,0)+1,2,,,"КВР")))</f>
        <v>Расходы на выплаты персоналу муниципальных органов</v>
      </c>
      <c r="B45" s="126">
        <v>801</v>
      </c>
      <c r="C45" s="8" t="s">
        <v>211</v>
      </c>
      <c r="D45" s="8" t="s">
        <v>214</v>
      </c>
      <c r="E45" s="126" t="s">
        <v>372</v>
      </c>
      <c r="F45" s="126">
        <v>120</v>
      </c>
      <c r="G45" s="69">
        <v>1016.6</v>
      </c>
      <c r="H45" s="69"/>
      <c r="I45" s="69">
        <f t="shared" si="0"/>
        <v>1016.6</v>
      </c>
      <c r="J45" s="69"/>
      <c r="K45" s="84">
        <f t="shared" si="1"/>
        <v>1016.6</v>
      </c>
      <c r="L45" s="13"/>
      <c r="M45" s="84">
        <f t="shared" si="2"/>
        <v>1016.6</v>
      </c>
      <c r="N45" s="13"/>
      <c r="O45" s="84">
        <f t="shared" si="3"/>
        <v>1016.6</v>
      </c>
      <c r="P45" s="13"/>
      <c r="Q45" s="84">
        <f t="shared" si="4"/>
        <v>1016.6</v>
      </c>
      <c r="R45" s="13"/>
      <c r="S45" s="84">
        <f t="shared" si="5"/>
        <v>1016.6</v>
      </c>
      <c r="T45" s="13">
        <f>2.3</f>
        <v>2.2999999999999998</v>
      </c>
      <c r="U45" s="84">
        <f t="shared" si="6"/>
        <v>1018.9</v>
      </c>
    </row>
    <row r="46" spans="1:21" s="128" customFormat="1">
      <c r="A46" s="61" t="str">
        <f ca="1">IF(ISERROR(MATCH(F46,Код_КВР,0)),"",INDIRECT(ADDRESS(MATCH(F46,Код_КВР,0)+1,2,,,"КВР")))</f>
        <v>Закупка товаров, работ и услуг для муниципальных нужд</v>
      </c>
      <c r="B46" s="126">
        <v>801</v>
      </c>
      <c r="C46" s="8" t="s">
        <v>211</v>
      </c>
      <c r="D46" s="8" t="s">
        <v>214</v>
      </c>
      <c r="E46" s="126" t="s">
        <v>372</v>
      </c>
      <c r="F46" s="126">
        <v>200</v>
      </c>
      <c r="G46" s="69">
        <f>G47</f>
        <v>10</v>
      </c>
      <c r="H46" s="69">
        <f>H47</f>
        <v>0</v>
      </c>
      <c r="I46" s="69">
        <f t="shared" si="0"/>
        <v>10</v>
      </c>
      <c r="J46" s="69">
        <f>J47</f>
        <v>0</v>
      </c>
      <c r="K46" s="84">
        <f t="shared" si="1"/>
        <v>10</v>
      </c>
      <c r="L46" s="13">
        <f>L47</f>
        <v>0</v>
      </c>
      <c r="M46" s="84">
        <f t="shared" si="2"/>
        <v>10</v>
      </c>
      <c r="N46" s="13">
        <f>N47</f>
        <v>0</v>
      </c>
      <c r="O46" s="84">
        <f t="shared" si="3"/>
        <v>10</v>
      </c>
      <c r="P46" s="13">
        <f>P47</f>
        <v>0</v>
      </c>
      <c r="Q46" s="84">
        <f t="shared" si="4"/>
        <v>10</v>
      </c>
      <c r="R46" s="13">
        <f>R47</f>
        <v>0</v>
      </c>
      <c r="S46" s="84">
        <f t="shared" si="5"/>
        <v>10</v>
      </c>
      <c r="T46" s="13">
        <f>T47</f>
        <v>-2.2999999999999998</v>
      </c>
      <c r="U46" s="84">
        <f t="shared" si="6"/>
        <v>7.7</v>
      </c>
    </row>
    <row r="47" spans="1:21" s="128" customFormat="1" ht="33">
      <c r="A47" s="61" t="str">
        <f ca="1">IF(ISERROR(MATCH(F47,Код_КВР,0)),"",INDIRECT(ADDRESS(MATCH(F47,Код_КВР,0)+1,2,,,"КВР")))</f>
        <v>Иные закупки товаров, работ и услуг для обеспечения муниципальных нужд</v>
      </c>
      <c r="B47" s="126">
        <v>801</v>
      </c>
      <c r="C47" s="8" t="s">
        <v>211</v>
      </c>
      <c r="D47" s="8" t="s">
        <v>214</v>
      </c>
      <c r="E47" s="126" t="s">
        <v>372</v>
      </c>
      <c r="F47" s="126">
        <v>240</v>
      </c>
      <c r="G47" s="69">
        <f>G48</f>
        <v>10</v>
      </c>
      <c r="H47" s="69">
        <f>H48</f>
        <v>0</v>
      </c>
      <c r="I47" s="69">
        <f t="shared" si="0"/>
        <v>10</v>
      </c>
      <c r="J47" s="69">
        <f>J48</f>
        <v>0</v>
      </c>
      <c r="K47" s="84">
        <f t="shared" si="1"/>
        <v>10</v>
      </c>
      <c r="L47" s="13">
        <f>L48</f>
        <v>0</v>
      </c>
      <c r="M47" s="84">
        <f t="shared" si="2"/>
        <v>10</v>
      </c>
      <c r="N47" s="13">
        <f>N48</f>
        <v>0</v>
      </c>
      <c r="O47" s="84">
        <f t="shared" si="3"/>
        <v>10</v>
      </c>
      <c r="P47" s="13">
        <f>P48</f>
        <v>0</v>
      </c>
      <c r="Q47" s="84">
        <f t="shared" si="4"/>
        <v>10</v>
      </c>
      <c r="R47" s="13">
        <f>R48</f>
        <v>0</v>
      </c>
      <c r="S47" s="84">
        <f t="shared" si="5"/>
        <v>10</v>
      </c>
      <c r="T47" s="13">
        <f>T48</f>
        <v>-2.2999999999999998</v>
      </c>
      <c r="U47" s="84">
        <f t="shared" si="6"/>
        <v>7.7</v>
      </c>
    </row>
    <row r="48" spans="1:21" s="128" customFormat="1" ht="33">
      <c r="A48" s="61" t="str">
        <f ca="1">IF(ISERROR(MATCH(F48,Код_КВР,0)),"",INDIRECT(ADDRESS(MATCH(F48,Код_КВР,0)+1,2,,,"КВР")))</f>
        <v xml:space="preserve">Прочая закупка товаров, работ и услуг для обеспечения муниципальных нужд         </v>
      </c>
      <c r="B48" s="126">
        <v>801</v>
      </c>
      <c r="C48" s="8" t="s">
        <v>211</v>
      </c>
      <c r="D48" s="8" t="s">
        <v>214</v>
      </c>
      <c r="E48" s="126" t="s">
        <v>372</v>
      </c>
      <c r="F48" s="126">
        <v>244</v>
      </c>
      <c r="G48" s="69">
        <v>10</v>
      </c>
      <c r="H48" s="64"/>
      <c r="I48" s="69">
        <f t="shared" si="0"/>
        <v>10</v>
      </c>
      <c r="J48" s="64"/>
      <c r="K48" s="84">
        <f t="shared" si="1"/>
        <v>10</v>
      </c>
      <c r="L48" s="84"/>
      <c r="M48" s="84">
        <f t="shared" si="2"/>
        <v>10</v>
      </c>
      <c r="N48" s="84"/>
      <c r="O48" s="84">
        <f t="shared" si="3"/>
        <v>10</v>
      </c>
      <c r="P48" s="84"/>
      <c r="Q48" s="84">
        <f t="shared" si="4"/>
        <v>10</v>
      </c>
      <c r="R48" s="84"/>
      <c r="S48" s="84">
        <f t="shared" si="5"/>
        <v>10</v>
      </c>
      <c r="T48" s="84">
        <f>-2.3</f>
        <v>-2.2999999999999998</v>
      </c>
      <c r="U48" s="84">
        <f t="shared" si="6"/>
        <v>7.7</v>
      </c>
    </row>
    <row r="49" spans="1:21" s="128" customFormat="1" ht="105.75" customHeight="1">
      <c r="A49" s="61" t="str">
        <f ca="1">IF(ISERROR(MATCH(E49,Код_КЦСР,0)),"",INDIRECT(ADDRESS(MATCH(E49,Код_КЦСР,0)+1,2,,,"КЦСР")))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9" s="126">
        <v>801</v>
      </c>
      <c r="C49" s="8" t="s">
        <v>211</v>
      </c>
      <c r="D49" s="8" t="s">
        <v>214</v>
      </c>
      <c r="E49" s="126" t="s">
        <v>373</v>
      </c>
      <c r="F49" s="126"/>
      <c r="G49" s="69">
        <f>G50</f>
        <v>495</v>
      </c>
      <c r="H49" s="69">
        <f t="shared" ref="H49:T49" si="17">H50</f>
        <v>0</v>
      </c>
      <c r="I49" s="69">
        <f t="shared" si="0"/>
        <v>495</v>
      </c>
      <c r="J49" s="69">
        <f t="shared" si="17"/>
        <v>0</v>
      </c>
      <c r="K49" s="84">
        <f t="shared" si="1"/>
        <v>495</v>
      </c>
      <c r="L49" s="13">
        <f t="shared" si="17"/>
        <v>0</v>
      </c>
      <c r="M49" s="84">
        <f t="shared" si="2"/>
        <v>495</v>
      </c>
      <c r="N49" s="13">
        <f t="shared" si="17"/>
        <v>0</v>
      </c>
      <c r="O49" s="84">
        <f t="shared" si="3"/>
        <v>495</v>
      </c>
      <c r="P49" s="13">
        <f t="shared" si="17"/>
        <v>0</v>
      </c>
      <c r="Q49" s="84">
        <f t="shared" si="4"/>
        <v>495</v>
      </c>
      <c r="R49" s="13">
        <f t="shared" si="17"/>
        <v>0</v>
      </c>
      <c r="S49" s="84">
        <f t="shared" si="5"/>
        <v>495</v>
      </c>
      <c r="T49" s="13">
        <f t="shared" si="17"/>
        <v>0</v>
      </c>
      <c r="U49" s="84">
        <f t="shared" si="6"/>
        <v>495</v>
      </c>
    </row>
    <row r="50" spans="1:21" s="128" customFormat="1" ht="33">
      <c r="A50" s="61" t="str">
        <f ca="1">IF(ISERROR(MATCH(F50,Код_КВР,0)),"",INDIRECT(ADDRESS(MATCH(F50,Код_КВР,0)+1,2,,,"КВР")))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0" s="126">
        <v>801</v>
      </c>
      <c r="C50" s="8" t="s">
        <v>211</v>
      </c>
      <c r="D50" s="8" t="s">
        <v>214</v>
      </c>
      <c r="E50" s="126" t="s">
        <v>373</v>
      </c>
      <c r="F50" s="126">
        <v>100</v>
      </c>
      <c r="G50" s="69">
        <f>G51</f>
        <v>495</v>
      </c>
      <c r="H50" s="64"/>
      <c r="I50" s="69">
        <f t="shared" si="0"/>
        <v>495</v>
      </c>
      <c r="J50" s="64"/>
      <c r="K50" s="84">
        <f t="shared" si="1"/>
        <v>495</v>
      </c>
      <c r="L50" s="84"/>
      <c r="M50" s="84">
        <f t="shared" si="2"/>
        <v>495</v>
      </c>
      <c r="N50" s="84"/>
      <c r="O50" s="84">
        <f t="shared" si="3"/>
        <v>495</v>
      </c>
      <c r="P50" s="84"/>
      <c r="Q50" s="84">
        <f t="shared" si="4"/>
        <v>495</v>
      </c>
      <c r="R50" s="84"/>
      <c r="S50" s="84">
        <f t="shared" si="5"/>
        <v>495</v>
      </c>
      <c r="T50" s="84"/>
      <c r="U50" s="84">
        <f t="shared" si="6"/>
        <v>495</v>
      </c>
    </row>
    <row r="51" spans="1:21" s="128" customFormat="1">
      <c r="A51" s="61" t="str">
        <f ca="1">IF(ISERROR(MATCH(F51,Код_КВР,0)),"",INDIRECT(ADDRESS(MATCH(F51,Код_КВР,0)+1,2,,,"КВР")))</f>
        <v>Расходы на выплаты персоналу муниципальных органов</v>
      </c>
      <c r="B51" s="126">
        <v>801</v>
      </c>
      <c r="C51" s="8" t="s">
        <v>211</v>
      </c>
      <c r="D51" s="8" t="s">
        <v>214</v>
      </c>
      <c r="E51" s="126" t="s">
        <v>373</v>
      </c>
      <c r="F51" s="126">
        <v>120</v>
      </c>
      <c r="G51" s="69">
        <v>495</v>
      </c>
      <c r="H51" s="64"/>
      <c r="I51" s="69">
        <f t="shared" si="0"/>
        <v>495</v>
      </c>
      <c r="J51" s="64"/>
      <c r="K51" s="84">
        <f t="shared" si="1"/>
        <v>495</v>
      </c>
      <c r="L51" s="84"/>
      <c r="M51" s="84">
        <f t="shared" si="2"/>
        <v>495</v>
      </c>
      <c r="N51" s="84"/>
      <c r="O51" s="84">
        <f t="shared" si="3"/>
        <v>495</v>
      </c>
      <c r="P51" s="84"/>
      <c r="Q51" s="84">
        <f t="shared" si="4"/>
        <v>495</v>
      </c>
      <c r="R51" s="84"/>
      <c r="S51" s="84">
        <f t="shared" si="5"/>
        <v>495</v>
      </c>
      <c r="T51" s="84"/>
      <c r="U51" s="84">
        <f t="shared" si="6"/>
        <v>495</v>
      </c>
    </row>
    <row r="52" spans="1:21" s="128" customFormat="1" ht="155.25" customHeight="1">
      <c r="A52" s="61" t="str">
        <f ca="1">IF(ISERROR(MATCH(E52,Код_КЦСР,0)),"",INDIRECT(ADDRESS(MATCH(E52,Код_КЦСР,0)+1,2,,,"КЦСР")))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2" s="126">
        <v>801</v>
      </c>
      <c r="C52" s="8" t="s">
        <v>211</v>
      </c>
      <c r="D52" s="8" t="s">
        <v>214</v>
      </c>
      <c r="E52" s="126" t="s">
        <v>374</v>
      </c>
      <c r="F52" s="126"/>
      <c r="G52" s="69">
        <f>G53</f>
        <v>0.7</v>
      </c>
      <c r="H52" s="69">
        <f t="shared" ref="H52:T52" si="18">H53</f>
        <v>0</v>
      </c>
      <c r="I52" s="69">
        <f t="shared" si="0"/>
        <v>0.7</v>
      </c>
      <c r="J52" s="69">
        <f t="shared" si="18"/>
        <v>0</v>
      </c>
      <c r="K52" s="84">
        <f t="shared" si="1"/>
        <v>0.7</v>
      </c>
      <c r="L52" s="13">
        <f t="shared" si="18"/>
        <v>0</v>
      </c>
      <c r="M52" s="84">
        <f t="shared" si="2"/>
        <v>0.7</v>
      </c>
      <c r="N52" s="13">
        <f t="shared" si="18"/>
        <v>0</v>
      </c>
      <c r="O52" s="84">
        <f t="shared" si="3"/>
        <v>0.7</v>
      </c>
      <c r="P52" s="13">
        <f t="shared" si="18"/>
        <v>0</v>
      </c>
      <c r="Q52" s="84">
        <f t="shared" si="4"/>
        <v>0.7</v>
      </c>
      <c r="R52" s="13">
        <f t="shared" si="18"/>
        <v>0</v>
      </c>
      <c r="S52" s="84">
        <f t="shared" si="5"/>
        <v>0.7</v>
      </c>
      <c r="T52" s="13">
        <f t="shared" si="18"/>
        <v>0</v>
      </c>
      <c r="U52" s="84">
        <f t="shared" si="6"/>
        <v>0.7</v>
      </c>
    </row>
    <row r="53" spans="1:21" s="128" customFormat="1">
      <c r="A53" s="61" t="str">
        <f ca="1">IF(ISERROR(MATCH(F53,Код_КВР,0)),"",INDIRECT(ADDRESS(MATCH(F53,Код_КВР,0)+1,2,,,"КВР")))</f>
        <v>Закупка товаров, работ и услуг для муниципальных нужд</v>
      </c>
      <c r="B53" s="126">
        <v>801</v>
      </c>
      <c r="C53" s="8" t="s">
        <v>211</v>
      </c>
      <c r="D53" s="8" t="s">
        <v>214</v>
      </c>
      <c r="E53" s="126" t="s">
        <v>374</v>
      </c>
      <c r="F53" s="126">
        <v>200</v>
      </c>
      <c r="G53" s="69">
        <f>G54</f>
        <v>0.7</v>
      </c>
      <c r="H53" s="69">
        <f>H54</f>
        <v>0</v>
      </c>
      <c r="I53" s="69">
        <f t="shared" si="0"/>
        <v>0.7</v>
      </c>
      <c r="J53" s="69">
        <f>J54</f>
        <v>0</v>
      </c>
      <c r="K53" s="84">
        <f t="shared" si="1"/>
        <v>0.7</v>
      </c>
      <c r="L53" s="13">
        <f>L54</f>
        <v>0</v>
      </c>
      <c r="M53" s="84">
        <f t="shared" si="2"/>
        <v>0.7</v>
      </c>
      <c r="N53" s="13">
        <f>N54</f>
        <v>0</v>
      </c>
      <c r="O53" s="84">
        <f t="shared" si="3"/>
        <v>0.7</v>
      </c>
      <c r="P53" s="13">
        <f>P54</f>
        <v>0</v>
      </c>
      <c r="Q53" s="84">
        <f t="shared" si="4"/>
        <v>0.7</v>
      </c>
      <c r="R53" s="13">
        <f>R54</f>
        <v>0</v>
      </c>
      <c r="S53" s="84">
        <f>Q53+R53</f>
        <v>0.7</v>
      </c>
      <c r="T53" s="13">
        <f>T54</f>
        <v>0</v>
      </c>
      <c r="U53" s="84">
        <f>S53+T53</f>
        <v>0.7</v>
      </c>
    </row>
    <row r="54" spans="1:21" s="128" customFormat="1" ht="33">
      <c r="A54" s="61" t="str">
        <f ca="1">IF(ISERROR(MATCH(F54,Код_КВР,0)),"",INDIRECT(ADDRESS(MATCH(F54,Код_КВР,0)+1,2,,,"КВР")))</f>
        <v>Иные закупки товаров, работ и услуг для обеспечения муниципальных нужд</v>
      </c>
      <c r="B54" s="126">
        <v>801</v>
      </c>
      <c r="C54" s="8" t="s">
        <v>211</v>
      </c>
      <c r="D54" s="8" t="s">
        <v>214</v>
      </c>
      <c r="E54" s="126" t="s">
        <v>374</v>
      </c>
      <c r="F54" s="126">
        <v>240</v>
      </c>
      <c r="G54" s="69">
        <f>G55</f>
        <v>0.7</v>
      </c>
      <c r="H54" s="69">
        <f>H55</f>
        <v>0</v>
      </c>
      <c r="I54" s="69">
        <f t="shared" si="0"/>
        <v>0.7</v>
      </c>
      <c r="J54" s="69">
        <f>J55</f>
        <v>0</v>
      </c>
      <c r="K54" s="84">
        <f t="shared" si="1"/>
        <v>0.7</v>
      </c>
      <c r="L54" s="13">
        <f>L55</f>
        <v>0</v>
      </c>
      <c r="M54" s="84">
        <f t="shared" si="2"/>
        <v>0.7</v>
      </c>
      <c r="N54" s="13">
        <f>N55</f>
        <v>0</v>
      </c>
      <c r="O54" s="84">
        <f t="shared" si="3"/>
        <v>0.7</v>
      </c>
      <c r="P54" s="13">
        <f>P55</f>
        <v>0</v>
      </c>
      <c r="Q54" s="84">
        <f t="shared" si="4"/>
        <v>0.7</v>
      </c>
      <c r="R54" s="13">
        <f>R55</f>
        <v>0</v>
      </c>
      <c r="S54" s="84">
        <f t="shared" si="5"/>
        <v>0.7</v>
      </c>
      <c r="T54" s="13">
        <f>T55</f>
        <v>0</v>
      </c>
      <c r="U54" s="84">
        <f t="shared" si="6"/>
        <v>0.7</v>
      </c>
    </row>
    <row r="55" spans="1:21" s="128" customFormat="1" ht="33">
      <c r="A55" s="61" t="str">
        <f ca="1">IF(ISERROR(MATCH(F55,Код_КВР,0)),"",INDIRECT(ADDRESS(MATCH(F55,Код_КВР,0)+1,2,,,"КВР")))</f>
        <v xml:space="preserve">Прочая закупка товаров, работ и услуг для обеспечения муниципальных нужд         </v>
      </c>
      <c r="B55" s="126">
        <v>801</v>
      </c>
      <c r="C55" s="8" t="s">
        <v>211</v>
      </c>
      <c r="D55" s="8" t="s">
        <v>214</v>
      </c>
      <c r="E55" s="126" t="s">
        <v>374</v>
      </c>
      <c r="F55" s="126">
        <v>244</v>
      </c>
      <c r="G55" s="69">
        <v>0.7</v>
      </c>
      <c r="H55" s="64"/>
      <c r="I55" s="69">
        <f t="shared" si="0"/>
        <v>0.7</v>
      </c>
      <c r="J55" s="64"/>
      <c r="K55" s="84">
        <f t="shared" si="1"/>
        <v>0.7</v>
      </c>
      <c r="L55" s="84"/>
      <c r="M55" s="84">
        <f t="shared" si="2"/>
        <v>0.7</v>
      </c>
      <c r="N55" s="84"/>
      <c r="O55" s="84">
        <f t="shared" si="3"/>
        <v>0.7</v>
      </c>
      <c r="P55" s="84"/>
      <c r="Q55" s="84">
        <f t="shared" si="4"/>
        <v>0.7</v>
      </c>
      <c r="R55" s="84"/>
      <c r="S55" s="84">
        <f t="shared" si="5"/>
        <v>0.7</v>
      </c>
      <c r="T55" s="84"/>
      <c r="U55" s="84">
        <f t="shared" si="6"/>
        <v>0.7</v>
      </c>
    </row>
    <row r="56" spans="1:21" s="128" customFormat="1" ht="92.25" customHeight="1">
      <c r="A56" s="61" t="str">
        <f ca="1">IF(ISERROR(MATCH(E56,Код_КЦСР,0)),"",INDIRECT(ADDRESS(MATCH(E56,Код_КЦСР,0)+1,2,,,"КЦСР")))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56" s="126">
        <v>801</v>
      </c>
      <c r="C56" s="8" t="s">
        <v>211</v>
      </c>
      <c r="D56" s="8" t="s">
        <v>214</v>
      </c>
      <c r="E56" s="126" t="s">
        <v>399</v>
      </c>
      <c r="F56" s="126"/>
      <c r="G56" s="69"/>
      <c r="H56" s="64"/>
      <c r="I56" s="69"/>
      <c r="J56" s="64"/>
      <c r="K56" s="84"/>
      <c r="L56" s="84"/>
      <c r="M56" s="84"/>
      <c r="N56" s="84"/>
      <c r="O56" s="84"/>
      <c r="P56" s="84"/>
      <c r="Q56" s="84"/>
      <c r="R56" s="84">
        <f>R57+R59</f>
        <v>676.7</v>
      </c>
      <c r="S56" s="84">
        <f t="shared" si="5"/>
        <v>676.7</v>
      </c>
      <c r="T56" s="84">
        <f>T57+T59</f>
        <v>0</v>
      </c>
      <c r="U56" s="84">
        <f t="shared" si="6"/>
        <v>676.7</v>
      </c>
    </row>
    <row r="57" spans="1:21" s="128" customFormat="1" ht="46.5" customHeight="1">
      <c r="A57" s="61" t="str">
        <f ca="1">IF(ISERROR(MATCH(F57,Код_КВР,0)),"",INDIRECT(ADDRESS(MATCH(F57,Код_КВР,0)+1,2,,,"КВР")))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7" s="126">
        <v>801</v>
      </c>
      <c r="C57" s="8" t="s">
        <v>211</v>
      </c>
      <c r="D57" s="8" t="s">
        <v>214</v>
      </c>
      <c r="E57" s="126" t="s">
        <v>399</v>
      </c>
      <c r="F57" s="126">
        <v>100</v>
      </c>
      <c r="G57" s="69"/>
      <c r="H57" s="64"/>
      <c r="I57" s="69"/>
      <c r="J57" s="64"/>
      <c r="K57" s="84"/>
      <c r="L57" s="84"/>
      <c r="M57" s="84"/>
      <c r="N57" s="84"/>
      <c r="O57" s="84"/>
      <c r="P57" s="84"/>
      <c r="Q57" s="84"/>
      <c r="R57" s="84">
        <f>R58</f>
        <v>662.7</v>
      </c>
      <c r="S57" s="84">
        <f t="shared" si="5"/>
        <v>662.7</v>
      </c>
      <c r="T57" s="84">
        <f>T58</f>
        <v>0</v>
      </c>
      <c r="U57" s="84">
        <f t="shared" si="6"/>
        <v>662.7</v>
      </c>
    </row>
    <row r="58" spans="1:21" s="128" customFormat="1">
      <c r="A58" s="61" t="str">
        <f ca="1">IF(ISERROR(MATCH(F58,Код_КВР,0)),"",INDIRECT(ADDRESS(MATCH(F58,Код_КВР,0)+1,2,,,"КВР")))</f>
        <v>Расходы на выплаты персоналу муниципальных органов</v>
      </c>
      <c r="B58" s="126">
        <v>801</v>
      </c>
      <c r="C58" s="8" t="s">
        <v>211</v>
      </c>
      <c r="D58" s="8" t="s">
        <v>214</v>
      </c>
      <c r="E58" s="126" t="s">
        <v>399</v>
      </c>
      <c r="F58" s="126">
        <v>120</v>
      </c>
      <c r="G58" s="69"/>
      <c r="H58" s="64"/>
      <c r="I58" s="69"/>
      <c r="J58" s="64"/>
      <c r="K58" s="84"/>
      <c r="L58" s="84"/>
      <c r="M58" s="84"/>
      <c r="N58" s="84"/>
      <c r="O58" s="84"/>
      <c r="P58" s="84"/>
      <c r="Q58" s="84"/>
      <c r="R58" s="84">
        <f>676.7-10.7-3.3</f>
        <v>662.7</v>
      </c>
      <c r="S58" s="84">
        <f t="shared" si="5"/>
        <v>662.7</v>
      </c>
      <c r="T58" s="84"/>
      <c r="U58" s="84">
        <f t="shared" si="6"/>
        <v>662.7</v>
      </c>
    </row>
    <row r="59" spans="1:21" s="128" customFormat="1">
      <c r="A59" s="61" t="str">
        <f ca="1">IF(ISERROR(MATCH(F59,Код_КВР,0)),"",INDIRECT(ADDRESS(MATCH(F59,Код_КВР,0)+1,2,,,"КВР")))</f>
        <v>Закупка товаров, работ и услуг для муниципальных нужд</v>
      </c>
      <c r="B59" s="126">
        <v>801</v>
      </c>
      <c r="C59" s="8" t="s">
        <v>211</v>
      </c>
      <c r="D59" s="8" t="s">
        <v>214</v>
      </c>
      <c r="E59" s="126" t="s">
        <v>399</v>
      </c>
      <c r="F59" s="126">
        <v>200</v>
      </c>
      <c r="G59" s="69"/>
      <c r="H59" s="64"/>
      <c r="I59" s="69"/>
      <c r="J59" s="64"/>
      <c r="K59" s="84"/>
      <c r="L59" s="84"/>
      <c r="M59" s="84"/>
      <c r="N59" s="84"/>
      <c r="O59" s="84"/>
      <c r="P59" s="84"/>
      <c r="Q59" s="84"/>
      <c r="R59" s="84">
        <f>R60</f>
        <v>14</v>
      </c>
      <c r="S59" s="84">
        <f t="shared" si="5"/>
        <v>14</v>
      </c>
      <c r="T59" s="84">
        <f>T60</f>
        <v>0</v>
      </c>
      <c r="U59" s="84">
        <f t="shared" si="6"/>
        <v>14</v>
      </c>
    </row>
    <row r="60" spans="1:21" s="128" customFormat="1" ht="33">
      <c r="A60" s="61" t="str">
        <f ca="1">IF(ISERROR(MATCH(F60,Код_КВР,0)),"",INDIRECT(ADDRESS(MATCH(F60,Код_КВР,0)+1,2,,,"КВР")))</f>
        <v>Иные закупки товаров, работ и услуг для обеспечения муниципальных нужд</v>
      </c>
      <c r="B60" s="126">
        <v>801</v>
      </c>
      <c r="C60" s="8" t="s">
        <v>211</v>
      </c>
      <c r="D60" s="8" t="s">
        <v>214</v>
      </c>
      <c r="E60" s="126" t="s">
        <v>399</v>
      </c>
      <c r="F60" s="126">
        <v>240</v>
      </c>
      <c r="G60" s="69"/>
      <c r="H60" s="64"/>
      <c r="I60" s="69"/>
      <c r="J60" s="64"/>
      <c r="K60" s="84"/>
      <c r="L60" s="84"/>
      <c r="M60" s="84"/>
      <c r="N60" s="84"/>
      <c r="O60" s="84"/>
      <c r="P60" s="84"/>
      <c r="Q60" s="84"/>
      <c r="R60" s="84">
        <f>R61</f>
        <v>14</v>
      </c>
      <c r="S60" s="84">
        <f t="shared" si="5"/>
        <v>14</v>
      </c>
      <c r="T60" s="84">
        <f>T61</f>
        <v>0</v>
      </c>
      <c r="U60" s="84">
        <f t="shared" si="6"/>
        <v>14</v>
      </c>
    </row>
    <row r="61" spans="1:21" s="128" customFormat="1" ht="33">
      <c r="A61" s="61" t="str">
        <f ca="1">IF(ISERROR(MATCH(F61,Код_КВР,0)),"",INDIRECT(ADDRESS(MATCH(F61,Код_КВР,0)+1,2,,,"КВР")))</f>
        <v xml:space="preserve">Прочая закупка товаров, работ и услуг для обеспечения муниципальных нужд         </v>
      </c>
      <c r="B61" s="126">
        <v>801</v>
      </c>
      <c r="C61" s="8" t="s">
        <v>211</v>
      </c>
      <c r="D61" s="8" t="s">
        <v>214</v>
      </c>
      <c r="E61" s="126" t="s">
        <v>399</v>
      </c>
      <c r="F61" s="126">
        <v>244</v>
      </c>
      <c r="G61" s="69"/>
      <c r="H61" s="64"/>
      <c r="I61" s="69"/>
      <c r="J61" s="64"/>
      <c r="K61" s="84"/>
      <c r="L61" s="84"/>
      <c r="M61" s="84"/>
      <c r="N61" s="84"/>
      <c r="O61" s="84"/>
      <c r="P61" s="84"/>
      <c r="Q61" s="84"/>
      <c r="R61" s="84">
        <v>14</v>
      </c>
      <c r="S61" s="84">
        <f t="shared" si="5"/>
        <v>14</v>
      </c>
      <c r="T61" s="84"/>
      <c r="U61" s="84">
        <f t="shared" si="6"/>
        <v>14</v>
      </c>
    </row>
    <row r="62" spans="1:21" s="128" customFormat="1" ht="100.5" customHeight="1">
      <c r="A62" s="61" t="str">
        <f ca="1">IF(ISERROR(MATCH(E62,Код_КЦСР,0)),"",INDIRECT(ADDRESS(MATCH(E62,Код_КЦСР,0)+1,2,,,"КЦСР")))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62" s="126">
        <v>801</v>
      </c>
      <c r="C62" s="8" t="s">
        <v>211</v>
      </c>
      <c r="D62" s="8" t="s">
        <v>214</v>
      </c>
      <c r="E62" s="126" t="s">
        <v>376</v>
      </c>
      <c r="F62" s="126"/>
      <c r="G62" s="69">
        <f>G63</f>
        <v>341.6</v>
      </c>
      <c r="H62" s="69">
        <f t="shared" ref="H62:T62" si="19">H63</f>
        <v>0</v>
      </c>
      <c r="I62" s="69">
        <f t="shared" si="0"/>
        <v>341.6</v>
      </c>
      <c r="J62" s="69">
        <f t="shared" si="19"/>
        <v>0</v>
      </c>
      <c r="K62" s="84">
        <f t="shared" si="1"/>
        <v>341.6</v>
      </c>
      <c r="L62" s="13">
        <f t="shared" si="19"/>
        <v>0</v>
      </c>
      <c r="M62" s="84">
        <f t="shared" si="2"/>
        <v>341.6</v>
      </c>
      <c r="N62" s="13">
        <f t="shared" si="19"/>
        <v>0</v>
      </c>
      <c r="O62" s="84">
        <f t="shared" si="3"/>
        <v>341.6</v>
      </c>
      <c r="P62" s="13">
        <f t="shared" si="19"/>
        <v>0</v>
      </c>
      <c r="Q62" s="84">
        <f t="shared" si="4"/>
        <v>341.6</v>
      </c>
      <c r="R62" s="13">
        <f t="shared" si="19"/>
        <v>0</v>
      </c>
      <c r="S62" s="84">
        <f t="shared" si="5"/>
        <v>341.6</v>
      </c>
      <c r="T62" s="13">
        <f t="shared" si="19"/>
        <v>0</v>
      </c>
      <c r="U62" s="84">
        <f t="shared" si="6"/>
        <v>341.6</v>
      </c>
    </row>
    <row r="63" spans="1:21" s="128" customFormat="1" ht="33">
      <c r="A63" s="61" t="str">
        <f ca="1">IF(ISERROR(MATCH(F63,Код_КВР,0)),"",INDIRECT(ADDRESS(MATCH(F63,Код_КВР,0)+1,2,,,"КВР")))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3" s="126">
        <v>801</v>
      </c>
      <c r="C63" s="8" t="s">
        <v>211</v>
      </c>
      <c r="D63" s="8" t="s">
        <v>214</v>
      </c>
      <c r="E63" s="126" t="s">
        <v>376</v>
      </c>
      <c r="F63" s="126">
        <v>100</v>
      </c>
      <c r="G63" s="69">
        <f>G64</f>
        <v>341.6</v>
      </c>
      <c r="H63" s="69">
        <f>H64</f>
        <v>0</v>
      </c>
      <c r="I63" s="69">
        <f t="shared" si="0"/>
        <v>341.6</v>
      </c>
      <c r="J63" s="69">
        <f>J64</f>
        <v>0</v>
      </c>
      <c r="K63" s="84">
        <f t="shared" si="1"/>
        <v>341.6</v>
      </c>
      <c r="L63" s="13">
        <f>L64</f>
        <v>0</v>
      </c>
      <c r="M63" s="84">
        <f t="shared" si="2"/>
        <v>341.6</v>
      </c>
      <c r="N63" s="13">
        <f>N64</f>
        <v>0</v>
      </c>
      <c r="O63" s="84">
        <f t="shared" si="3"/>
        <v>341.6</v>
      </c>
      <c r="P63" s="13">
        <f>P64</f>
        <v>0</v>
      </c>
      <c r="Q63" s="84">
        <f t="shared" si="4"/>
        <v>341.6</v>
      </c>
      <c r="R63" s="13">
        <f>R64</f>
        <v>0</v>
      </c>
      <c r="S63" s="84">
        <f t="shared" si="5"/>
        <v>341.6</v>
      </c>
      <c r="T63" s="13">
        <f>T64</f>
        <v>0</v>
      </c>
      <c r="U63" s="84">
        <f t="shared" si="6"/>
        <v>341.6</v>
      </c>
    </row>
    <row r="64" spans="1:21" s="128" customFormat="1">
      <c r="A64" s="61" t="str">
        <f ca="1">IF(ISERROR(MATCH(F64,Код_КВР,0)),"",INDIRECT(ADDRESS(MATCH(F64,Код_КВР,0)+1,2,,,"КВР")))</f>
        <v>Расходы на выплаты персоналу муниципальных органов</v>
      </c>
      <c r="B64" s="126">
        <v>801</v>
      </c>
      <c r="C64" s="8" t="s">
        <v>211</v>
      </c>
      <c r="D64" s="8" t="s">
        <v>214</v>
      </c>
      <c r="E64" s="126" t="s">
        <v>376</v>
      </c>
      <c r="F64" s="126">
        <v>120</v>
      </c>
      <c r="G64" s="69">
        <v>341.6</v>
      </c>
      <c r="H64" s="64"/>
      <c r="I64" s="69">
        <f t="shared" si="0"/>
        <v>341.6</v>
      </c>
      <c r="J64" s="64"/>
      <c r="K64" s="84">
        <f t="shared" si="1"/>
        <v>341.6</v>
      </c>
      <c r="L64" s="84"/>
      <c r="M64" s="84">
        <f t="shared" si="2"/>
        <v>341.6</v>
      </c>
      <c r="N64" s="84"/>
      <c r="O64" s="84">
        <f t="shared" si="3"/>
        <v>341.6</v>
      </c>
      <c r="P64" s="84"/>
      <c r="Q64" s="84">
        <f t="shared" si="4"/>
        <v>341.6</v>
      </c>
      <c r="R64" s="84"/>
      <c r="S64" s="84">
        <f t="shared" si="5"/>
        <v>341.6</v>
      </c>
      <c r="T64" s="84"/>
      <c r="U64" s="84">
        <f t="shared" si="6"/>
        <v>341.6</v>
      </c>
    </row>
    <row r="65" spans="1:21" s="128" customFormat="1">
      <c r="A65" s="75" t="s">
        <v>371</v>
      </c>
      <c r="B65" s="126">
        <v>801</v>
      </c>
      <c r="C65" s="8" t="s">
        <v>211</v>
      </c>
      <c r="D65" s="8" t="s">
        <v>219</v>
      </c>
      <c r="E65" s="126"/>
      <c r="F65" s="126"/>
      <c r="G65" s="69">
        <f>G68</f>
        <v>0</v>
      </c>
      <c r="H65" s="64"/>
      <c r="I65" s="69">
        <f t="shared" si="0"/>
        <v>0</v>
      </c>
      <c r="J65" s="64"/>
      <c r="K65" s="84">
        <f t="shared" si="1"/>
        <v>0</v>
      </c>
      <c r="L65" s="84"/>
      <c r="M65" s="84">
        <f t="shared" si="2"/>
        <v>0</v>
      </c>
      <c r="N65" s="84">
        <f t="shared" ref="N65:T70" si="20">N66</f>
        <v>21.9</v>
      </c>
      <c r="O65" s="84">
        <f t="shared" si="3"/>
        <v>21.9</v>
      </c>
      <c r="P65" s="84">
        <f t="shared" si="20"/>
        <v>0</v>
      </c>
      <c r="Q65" s="84">
        <f t="shared" si="4"/>
        <v>21.9</v>
      </c>
      <c r="R65" s="84">
        <f t="shared" si="20"/>
        <v>0</v>
      </c>
      <c r="S65" s="84">
        <f t="shared" si="5"/>
        <v>21.9</v>
      </c>
      <c r="T65" s="84">
        <f t="shared" si="20"/>
        <v>0</v>
      </c>
      <c r="U65" s="84">
        <f t="shared" si="6"/>
        <v>21.9</v>
      </c>
    </row>
    <row r="66" spans="1:21" s="128" customFormat="1" ht="33">
      <c r="A66" s="61" t="str">
        <f ca="1">IF(ISERROR(MATCH(E66,Код_КЦСР,0)),"",INDIRECT(ADDRESS(MATCH(E66,Код_КЦСР,0)+1,2,,,"КЦСР")))</f>
        <v>Непрограммные направления деятельности органов местного самоуправления</v>
      </c>
      <c r="B66" s="126">
        <v>801</v>
      </c>
      <c r="C66" s="8" t="s">
        <v>211</v>
      </c>
      <c r="D66" s="8" t="s">
        <v>219</v>
      </c>
      <c r="E66" s="126" t="s">
        <v>295</v>
      </c>
      <c r="F66" s="126"/>
      <c r="G66" s="69"/>
      <c r="H66" s="64"/>
      <c r="I66" s="69"/>
      <c r="J66" s="64"/>
      <c r="K66" s="84"/>
      <c r="L66" s="84"/>
      <c r="M66" s="84"/>
      <c r="N66" s="84">
        <f t="shared" si="20"/>
        <v>21.9</v>
      </c>
      <c r="O66" s="84">
        <f t="shared" si="3"/>
        <v>21.9</v>
      </c>
      <c r="P66" s="84">
        <f t="shared" si="20"/>
        <v>0</v>
      </c>
      <c r="Q66" s="84">
        <f t="shared" si="4"/>
        <v>21.9</v>
      </c>
      <c r="R66" s="84">
        <f t="shared" si="20"/>
        <v>0</v>
      </c>
      <c r="S66" s="84">
        <f t="shared" si="5"/>
        <v>21.9</v>
      </c>
      <c r="T66" s="84">
        <f t="shared" si="20"/>
        <v>0</v>
      </c>
      <c r="U66" s="84">
        <f t="shared" si="6"/>
        <v>21.9</v>
      </c>
    </row>
    <row r="67" spans="1:21" s="128" customFormat="1" ht="26.25" customHeight="1">
      <c r="A67" s="61" t="str">
        <f ca="1">IF(ISERROR(MATCH(E67,Код_КЦСР,0)),"",INDIRECT(ADDRESS(MATCH(E67,Код_КЦСР,0)+1,2,,,"КЦСР")))</f>
        <v>Расходы, не включенные в муниципальные программы города Череповца</v>
      </c>
      <c r="B67" s="126">
        <v>801</v>
      </c>
      <c r="C67" s="8" t="s">
        <v>211</v>
      </c>
      <c r="D67" s="8" t="s">
        <v>219</v>
      </c>
      <c r="E67" s="126" t="s">
        <v>297</v>
      </c>
      <c r="F67" s="126"/>
      <c r="G67" s="69"/>
      <c r="H67" s="64"/>
      <c r="I67" s="69"/>
      <c r="J67" s="64"/>
      <c r="K67" s="84"/>
      <c r="L67" s="84"/>
      <c r="M67" s="84"/>
      <c r="N67" s="84">
        <f t="shared" si="20"/>
        <v>21.9</v>
      </c>
      <c r="O67" s="84">
        <f t="shared" si="3"/>
        <v>21.9</v>
      </c>
      <c r="P67" s="84">
        <f t="shared" si="20"/>
        <v>0</v>
      </c>
      <c r="Q67" s="84">
        <f t="shared" si="4"/>
        <v>21.9</v>
      </c>
      <c r="R67" s="84">
        <f t="shared" si="20"/>
        <v>0</v>
      </c>
      <c r="S67" s="84">
        <f t="shared" si="5"/>
        <v>21.9</v>
      </c>
      <c r="T67" s="84">
        <f t="shared" si="20"/>
        <v>0</v>
      </c>
      <c r="U67" s="84">
        <f t="shared" si="6"/>
        <v>21.9</v>
      </c>
    </row>
    <row r="68" spans="1:21" s="128" customFormat="1" ht="66">
      <c r="A68" s="61" t="str">
        <f ca="1">IF(ISERROR(MATCH(E68,Код_КЦСР,0)),"",INDIRECT(ADDRESS(MATCH(E68,Код_КЦСР,0)+1,2,,,"КЦСР")))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68" s="126">
        <v>801</v>
      </c>
      <c r="C68" s="8" t="s">
        <v>211</v>
      </c>
      <c r="D68" s="8" t="s">
        <v>219</v>
      </c>
      <c r="E68" s="126" t="s">
        <v>379</v>
      </c>
      <c r="F68" s="126"/>
      <c r="G68" s="69">
        <f>G69</f>
        <v>0</v>
      </c>
      <c r="H68" s="64"/>
      <c r="I68" s="69">
        <f t="shared" si="0"/>
        <v>0</v>
      </c>
      <c r="J68" s="64"/>
      <c r="K68" s="84">
        <f t="shared" si="1"/>
        <v>0</v>
      </c>
      <c r="L68" s="84"/>
      <c r="M68" s="84">
        <f t="shared" si="2"/>
        <v>0</v>
      </c>
      <c r="N68" s="84">
        <f t="shared" si="20"/>
        <v>21.9</v>
      </c>
      <c r="O68" s="84">
        <f t="shared" si="3"/>
        <v>21.9</v>
      </c>
      <c r="P68" s="84">
        <f t="shared" si="20"/>
        <v>0</v>
      </c>
      <c r="Q68" s="84">
        <f t="shared" si="4"/>
        <v>21.9</v>
      </c>
      <c r="R68" s="84">
        <f t="shared" si="20"/>
        <v>0</v>
      </c>
      <c r="S68" s="84">
        <f t="shared" si="5"/>
        <v>21.9</v>
      </c>
      <c r="T68" s="84">
        <f t="shared" si="20"/>
        <v>0</v>
      </c>
      <c r="U68" s="84">
        <f t="shared" si="6"/>
        <v>21.9</v>
      </c>
    </row>
    <row r="69" spans="1:21" s="128" customFormat="1">
      <c r="A69" s="61" t="str">
        <f ca="1">IF(ISERROR(MATCH(F69,Код_КВР,0)),"",INDIRECT(ADDRESS(MATCH(F69,Код_КВР,0)+1,2,,,"КВР")))</f>
        <v>Закупка товаров, работ и услуг для муниципальных нужд</v>
      </c>
      <c r="B69" s="126">
        <v>801</v>
      </c>
      <c r="C69" s="8" t="s">
        <v>211</v>
      </c>
      <c r="D69" s="8" t="s">
        <v>219</v>
      </c>
      <c r="E69" s="126" t="s">
        <v>379</v>
      </c>
      <c r="F69" s="126">
        <v>200</v>
      </c>
      <c r="G69" s="69">
        <f>G70</f>
        <v>0</v>
      </c>
      <c r="H69" s="64"/>
      <c r="I69" s="69">
        <f t="shared" si="0"/>
        <v>0</v>
      </c>
      <c r="J69" s="64"/>
      <c r="K69" s="84">
        <f t="shared" si="1"/>
        <v>0</v>
      </c>
      <c r="L69" s="84"/>
      <c r="M69" s="84">
        <f t="shared" si="2"/>
        <v>0</v>
      </c>
      <c r="N69" s="84">
        <f t="shared" si="20"/>
        <v>21.9</v>
      </c>
      <c r="O69" s="84">
        <f t="shared" si="3"/>
        <v>21.9</v>
      </c>
      <c r="P69" s="84">
        <f t="shared" si="20"/>
        <v>0</v>
      </c>
      <c r="Q69" s="84">
        <f t="shared" si="4"/>
        <v>21.9</v>
      </c>
      <c r="R69" s="84">
        <f t="shared" si="20"/>
        <v>0</v>
      </c>
      <c r="S69" s="84">
        <f t="shared" si="5"/>
        <v>21.9</v>
      </c>
      <c r="T69" s="84">
        <f t="shared" si="20"/>
        <v>0</v>
      </c>
      <c r="U69" s="84">
        <f t="shared" si="6"/>
        <v>21.9</v>
      </c>
    </row>
    <row r="70" spans="1:21" s="128" customFormat="1" ht="33">
      <c r="A70" s="61" t="str">
        <f ca="1">IF(ISERROR(MATCH(F70,Код_КВР,0)),"",INDIRECT(ADDRESS(MATCH(F70,Код_КВР,0)+1,2,,,"КВР")))</f>
        <v>Иные закупки товаров, работ и услуг для обеспечения муниципальных нужд</v>
      </c>
      <c r="B70" s="126">
        <v>801</v>
      </c>
      <c r="C70" s="8" t="s">
        <v>211</v>
      </c>
      <c r="D70" s="8" t="s">
        <v>219</v>
      </c>
      <c r="E70" s="126" t="s">
        <v>379</v>
      </c>
      <c r="F70" s="126">
        <v>240</v>
      </c>
      <c r="G70" s="69">
        <f>G71</f>
        <v>0</v>
      </c>
      <c r="H70" s="64"/>
      <c r="I70" s="69">
        <f t="shared" si="0"/>
        <v>0</v>
      </c>
      <c r="J70" s="64"/>
      <c r="K70" s="84">
        <f t="shared" si="1"/>
        <v>0</v>
      </c>
      <c r="L70" s="84"/>
      <c r="M70" s="84">
        <f t="shared" si="2"/>
        <v>0</v>
      </c>
      <c r="N70" s="84">
        <f t="shared" si="20"/>
        <v>21.9</v>
      </c>
      <c r="O70" s="84">
        <f t="shared" si="3"/>
        <v>21.9</v>
      </c>
      <c r="P70" s="84">
        <f t="shared" si="20"/>
        <v>0</v>
      </c>
      <c r="Q70" s="84">
        <f t="shared" si="4"/>
        <v>21.9</v>
      </c>
      <c r="R70" s="84">
        <f t="shared" si="20"/>
        <v>0</v>
      </c>
      <c r="S70" s="84">
        <f t="shared" si="5"/>
        <v>21.9</v>
      </c>
      <c r="T70" s="84">
        <f t="shared" si="20"/>
        <v>0</v>
      </c>
      <c r="U70" s="84">
        <f t="shared" si="6"/>
        <v>21.9</v>
      </c>
    </row>
    <row r="71" spans="1:21" s="128" customFormat="1" ht="33">
      <c r="A71" s="61" t="str">
        <f ca="1">IF(ISERROR(MATCH(F71,Код_КВР,0)),"",INDIRECT(ADDRESS(MATCH(F71,Код_КВР,0)+1,2,,,"КВР")))</f>
        <v xml:space="preserve">Прочая закупка товаров, работ и услуг для обеспечения муниципальных нужд         </v>
      </c>
      <c r="B71" s="126">
        <v>801</v>
      </c>
      <c r="C71" s="8" t="s">
        <v>211</v>
      </c>
      <c r="D71" s="8" t="s">
        <v>219</v>
      </c>
      <c r="E71" s="126" t="s">
        <v>379</v>
      </c>
      <c r="F71" s="126">
        <v>244</v>
      </c>
      <c r="G71" s="69"/>
      <c r="H71" s="64"/>
      <c r="I71" s="69">
        <f t="shared" si="0"/>
        <v>0</v>
      </c>
      <c r="J71" s="64"/>
      <c r="K71" s="84">
        <f t="shared" si="1"/>
        <v>0</v>
      </c>
      <c r="L71" s="84"/>
      <c r="M71" s="84">
        <f t="shared" si="2"/>
        <v>0</v>
      </c>
      <c r="N71" s="84">
        <v>21.9</v>
      </c>
      <c r="O71" s="84">
        <f t="shared" si="3"/>
        <v>21.9</v>
      </c>
      <c r="P71" s="84"/>
      <c r="Q71" s="84">
        <f t="shared" si="4"/>
        <v>21.9</v>
      </c>
      <c r="R71" s="84"/>
      <c r="S71" s="84">
        <f t="shared" si="5"/>
        <v>21.9</v>
      </c>
      <c r="T71" s="84"/>
      <c r="U71" s="84">
        <f t="shared" si="6"/>
        <v>21.9</v>
      </c>
    </row>
    <row r="72" spans="1:21" s="128" customFormat="1">
      <c r="A72" s="12" t="s">
        <v>235</v>
      </c>
      <c r="B72" s="126">
        <v>801</v>
      </c>
      <c r="C72" s="8" t="s">
        <v>211</v>
      </c>
      <c r="D72" s="8" t="s">
        <v>188</v>
      </c>
      <c r="E72" s="126"/>
      <c r="F72" s="126"/>
      <c r="G72" s="69">
        <f>G73+G90+G95+G114+G141+G158+G164</f>
        <v>119681.60000000001</v>
      </c>
      <c r="H72" s="69">
        <f>H73+H90+H95+H114+H141+H158+H164</f>
        <v>0</v>
      </c>
      <c r="I72" s="69">
        <f t="shared" si="0"/>
        <v>119681.60000000001</v>
      </c>
      <c r="J72" s="69">
        <f>J73+J90+J95+J114+J141+J158+J164+J109</f>
        <v>9039.4000000000015</v>
      </c>
      <c r="K72" s="84">
        <f t="shared" si="1"/>
        <v>128721</v>
      </c>
      <c r="L72" s="13">
        <f>L73+L90+L95+L114+L141+L158+L164+L109</f>
        <v>754.3</v>
      </c>
      <c r="M72" s="84">
        <f t="shared" si="2"/>
        <v>129475.3</v>
      </c>
      <c r="N72" s="13">
        <f>N73+N90+N95+N114+N141+N158+N164+N109</f>
        <v>206.1</v>
      </c>
      <c r="O72" s="84">
        <f t="shared" si="3"/>
        <v>129681.40000000001</v>
      </c>
      <c r="P72" s="13">
        <f>P73+P90+P95+P114+P141+P158+P164+P109</f>
        <v>0</v>
      </c>
      <c r="Q72" s="84">
        <f t="shared" si="4"/>
        <v>129681.40000000001</v>
      </c>
      <c r="R72" s="13">
        <f>R73+R90+R95+R114+R141+R158+R164+R109</f>
        <v>242.40000000000009</v>
      </c>
      <c r="S72" s="84">
        <f t="shared" si="5"/>
        <v>129923.8</v>
      </c>
      <c r="T72" s="13">
        <f>T73+T90+T95+T114+T141+T158+T164+T109</f>
        <v>4797.3999999999996</v>
      </c>
      <c r="U72" s="84">
        <f t="shared" si="6"/>
        <v>134721.20000000001</v>
      </c>
    </row>
    <row r="73" spans="1:21" s="128" customFormat="1">
      <c r="A73" s="61" t="str">
        <f ca="1">IF(ISERROR(MATCH(E73,Код_КЦСР,0)),"",INDIRECT(ADDRESS(MATCH(E73,Код_КЦСР,0)+1,2,,,"КЦСР")))</f>
        <v>Муниципальная программа «Развитие архивного дела» на 2013-2018 годы</v>
      </c>
      <c r="B73" s="126">
        <v>801</v>
      </c>
      <c r="C73" s="8" t="s">
        <v>211</v>
      </c>
      <c r="D73" s="8" t="s">
        <v>188</v>
      </c>
      <c r="E73" s="126" t="s">
        <v>531</v>
      </c>
      <c r="F73" s="126"/>
      <c r="G73" s="69">
        <f>G74+G84</f>
        <v>13813.9</v>
      </c>
      <c r="H73" s="69">
        <f t="shared" ref="H73" si="21">H74+H84</f>
        <v>0</v>
      </c>
      <c r="I73" s="69">
        <f t="shared" si="0"/>
        <v>13813.9</v>
      </c>
      <c r="J73" s="69">
        <f>J74+J84</f>
        <v>0</v>
      </c>
      <c r="K73" s="84">
        <f t="shared" si="1"/>
        <v>13813.9</v>
      </c>
      <c r="L73" s="13">
        <f>L74+L84</f>
        <v>-46.7</v>
      </c>
      <c r="M73" s="84">
        <f t="shared" si="2"/>
        <v>13767.199999999999</v>
      </c>
      <c r="N73" s="13">
        <f>N74+N84</f>
        <v>0</v>
      </c>
      <c r="O73" s="84">
        <f t="shared" si="3"/>
        <v>13767.199999999999</v>
      </c>
      <c r="P73" s="13">
        <f>P74+P84</f>
        <v>0</v>
      </c>
      <c r="Q73" s="84">
        <f t="shared" si="4"/>
        <v>13767.199999999999</v>
      </c>
      <c r="R73" s="13">
        <f>R74+R84</f>
        <v>0</v>
      </c>
      <c r="S73" s="84">
        <f t="shared" si="5"/>
        <v>13767.199999999999</v>
      </c>
      <c r="T73" s="13">
        <f>T74+T84</f>
        <v>0</v>
      </c>
      <c r="U73" s="84">
        <f t="shared" si="6"/>
        <v>13767.199999999999</v>
      </c>
    </row>
    <row r="74" spans="1:21" s="128" customFormat="1" ht="49.5" customHeight="1">
      <c r="A74" s="61" t="str">
        <f ca="1">IF(ISERROR(MATCH(E74,Код_КЦСР,0)),"",INDIRECT(ADDRESS(MATCH(E74,Код_КЦСР,0)+1,2,,,"КЦСР")))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74" s="126">
        <v>801</v>
      </c>
      <c r="C74" s="8" t="s">
        <v>211</v>
      </c>
      <c r="D74" s="8" t="s">
        <v>188</v>
      </c>
      <c r="E74" s="126" t="s">
        <v>533</v>
      </c>
      <c r="F74" s="126"/>
      <c r="G74" s="69">
        <f>G75+G77+G80</f>
        <v>12741.9</v>
      </c>
      <c r="H74" s="69">
        <f t="shared" ref="H74" si="22">H75+H77+H80</f>
        <v>0</v>
      </c>
      <c r="I74" s="69">
        <f t="shared" si="0"/>
        <v>12741.9</v>
      </c>
      <c r="J74" s="69">
        <f>J75+J77+J80</f>
        <v>0</v>
      </c>
      <c r="K74" s="84">
        <f t="shared" si="1"/>
        <v>12741.9</v>
      </c>
      <c r="L74" s="13">
        <f>L75+L77+L80</f>
        <v>-46.7</v>
      </c>
      <c r="M74" s="84">
        <f t="shared" si="2"/>
        <v>12695.199999999999</v>
      </c>
      <c r="N74" s="13">
        <f>N75+N77+N80</f>
        <v>0</v>
      </c>
      <c r="O74" s="84">
        <f t="shared" si="3"/>
        <v>12695.199999999999</v>
      </c>
      <c r="P74" s="13">
        <f>P75+P77+P80</f>
        <v>0</v>
      </c>
      <c r="Q74" s="84">
        <f t="shared" si="4"/>
        <v>12695.199999999999</v>
      </c>
      <c r="R74" s="13">
        <f>R75+R77+R80</f>
        <v>0</v>
      </c>
      <c r="S74" s="84">
        <f t="shared" si="5"/>
        <v>12695.199999999999</v>
      </c>
      <c r="T74" s="13">
        <f>T75+T77+T80</f>
        <v>0</v>
      </c>
      <c r="U74" s="84">
        <f t="shared" si="6"/>
        <v>12695.199999999999</v>
      </c>
    </row>
    <row r="75" spans="1:21" s="128" customFormat="1" ht="33">
      <c r="A75" s="61" t="str">
        <f t="shared" ref="A75:A81" ca="1" si="23">IF(ISERROR(MATCH(F75,Код_КВР,0)),"",INDIRECT(ADDRESS(MATCH(F75,Код_КВР,0)+1,2,,,"КВР")))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5" s="126">
        <v>801</v>
      </c>
      <c r="C75" s="8" t="s">
        <v>211</v>
      </c>
      <c r="D75" s="8" t="s">
        <v>188</v>
      </c>
      <c r="E75" s="126" t="s">
        <v>533</v>
      </c>
      <c r="F75" s="126">
        <v>100</v>
      </c>
      <c r="G75" s="69">
        <f>G76</f>
        <v>6387</v>
      </c>
      <c r="H75" s="69">
        <f>H76</f>
        <v>0</v>
      </c>
      <c r="I75" s="69">
        <f t="shared" si="0"/>
        <v>6387</v>
      </c>
      <c r="J75" s="69">
        <f>J76</f>
        <v>0</v>
      </c>
      <c r="K75" s="84">
        <f t="shared" si="1"/>
        <v>6387</v>
      </c>
      <c r="L75" s="13">
        <f>L76</f>
        <v>0</v>
      </c>
      <c r="M75" s="84">
        <f t="shared" si="2"/>
        <v>6387</v>
      </c>
      <c r="N75" s="13">
        <f>N76</f>
        <v>0</v>
      </c>
      <c r="O75" s="84">
        <f t="shared" si="3"/>
        <v>6387</v>
      </c>
      <c r="P75" s="13">
        <f>P76</f>
        <v>0</v>
      </c>
      <c r="Q75" s="84">
        <f t="shared" si="4"/>
        <v>6387</v>
      </c>
      <c r="R75" s="13">
        <f>R76</f>
        <v>13</v>
      </c>
      <c r="S75" s="84">
        <f t="shared" si="5"/>
        <v>6400</v>
      </c>
      <c r="T75" s="13">
        <f>T76</f>
        <v>0</v>
      </c>
      <c r="U75" s="84">
        <f t="shared" si="6"/>
        <v>6400</v>
      </c>
    </row>
    <row r="76" spans="1:21" s="128" customFormat="1">
      <c r="A76" s="61" t="str">
        <f t="shared" ca="1" si="23"/>
        <v>Расходы на выплаты персоналу казенных учреждений</v>
      </c>
      <c r="B76" s="126">
        <v>801</v>
      </c>
      <c r="C76" s="8" t="s">
        <v>211</v>
      </c>
      <c r="D76" s="8" t="s">
        <v>188</v>
      </c>
      <c r="E76" s="126" t="s">
        <v>533</v>
      </c>
      <c r="F76" s="126">
        <v>110</v>
      </c>
      <c r="G76" s="69">
        <v>6387</v>
      </c>
      <c r="H76" s="64"/>
      <c r="I76" s="69">
        <f t="shared" si="0"/>
        <v>6387</v>
      </c>
      <c r="J76" s="64"/>
      <c r="K76" s="84">
        <f t="shared" si="1"/>
        <v>6387</v>
      </c>
      <c r="L76" s="84"/>
      <c r="M76" s="84">
        <f t="shared" si="2"/>
        <v>6387</v>
      </c>
      <c r="N76" s="84"/>
      <c r="O76" s="84">
        <f t="shared" si="3"/>
        <v>6387</v>
      </c>
      <c r="P76" s="84"/>
      <c r="Q76" s="84">
        <f t="shared" si="4"/>
        <v>6387</v>
      </c>
      <c r="R76" s="84">
        <v>13</v>
      </c>
      <c r="S76" s="84">
        <f t="shared" si="5"/>
        <v>6400</v>
      </c>
      <c r="T76" s="84"/>
      <c r="U76" s="84">
        <f t="shared" si="6"/>
        <v>6400</v>
      </c>
    </row>
    <row r="77" spans="1:21" s="128" customFormat="1">
      <c r="A77" s="61" t="str">
        <f t="shared" ca="1" si="23"/>
        <v>Закупка товаров, работ и услуг для муниципальных нужд</v>
      </c>
      <c r="B77" s="126">
        <v>801</v>
      </c>
      <c r="C77" s="8" t="s">
        <v>211</v>
      </c>
      <c r="D77" s="8" t="s">
        <v>188</v>
      </c>
      <c r="E77" s="126" t="s">
        <v>533</v>
      </c>
      <c r="F77" s="126">
        <v>200</v>
      </c>
      <c r="G77" s="69">
        <f>G78</f>
        <v>4051.8</v>
      </c>
      <c r="H77" s="69">
        <f>H78</f>
        <v>0</v>
      </c>
      <c r="I77" s="69">
        <f t="shared" si="0"/>
        <v>4051.8</v>
      </c>
      <c r="J77" s="69">
        <f>J78</f>
        <v>-2.6</v>
      </c>
      <c r="K77" s="84">
        <f t="shared" si="1"/>
        <v>4049.2000000000003</v>
      </c>
      <c r="L77" s="13">
        <f>L78</f>
        <v>-46.7</v>
      </c>
      <c r="M77" s="84">
        <f t="shared" si="2"/>
        <v>4002.5000000000005</v>
      </c>
      <c r="N77" s="13">
        <f>N78</f>
        <v>0</v>
      </c>
      <c r="O77" s="84">
        <f t="shared" si="3"/>
        <v>4002.5000000000005</v>
      </c>
      <c r="P77" s="13">
        <f>P78</f>
        <v>0</v>
      </c>
      <c r="Q77" s="84">
        <f t="shared" si="4"/>
        <v>4002.5000000000005</v>
      </c>
      <c r="R77" s="13">
        <f>R78</f>
        <v>-13</v>
      </c>
      <c r="S77" s="84">
        <f t="shared" si="5"/>
        <v>3989.5000000000005</v>
      </c>
      <c r="T77" s="13">
        <f>T78</f>
        <v>-20</v>
      </c>
      <c r="U77" s="84">
        <f t="shared" si="6"/>
        <v>3969.5000000000005</v>
      </c>
    </row>
    <row r="78" spans="1:21" s="128" customFormat="1" ht="33">
      <c r="A78" s="61" t="str">
        <f t="shared" ca="1" si="23"/>
        <v>Иные закупки товаров, работ и услуг для обеспечения муниципальных нужд</v>
      </c>
      <c r="B78" s="126">
        <v>801</v>
      </c>
      <c r="C78" s="8" t="s">
        <v>211</v>
      </c>
      <c r="D78" s="8" t="s">
        <v>188</v>
      </c>
      <c r="E78" s="126" t="s">
        <v>533</v>
      </c>
      <c r="F78" s="126">
        <v>240</v>
      </c>
      <c r="G78" s="69">
        <f>G79</f>
        <v>4051.8</v>
      </c>
      <c r="H78" s="64"/>
      <c r="I78" s="69">
        <f>G78+H78</f>
        <v>4051.8</v>
      </c>
      <c r="J78" s="64">
        <f>J79</f>
        <v>-2.6</v>
      </c>
      <c r="K78" s="84">
        <f t="shared" si="1"/>
        <v>4049.2000000000003</v>
      </c>
      <c r="L78" s="84">
        <f>L79</f>
        <v>-46.7</v>
      </c>
      <c r="M78" s="84">
        <f t="shared" si="2"/>
        <v>4002.5000000000005</v>
      </c>
      <c r="N78" s="84">
        <f>N79</f>
        <v>0</v>
      </c>
      <c r="O78" s="84">
        <f t="shared" si="3"/>
        <v>4002.5000000000005</v>
      </c>
      <c r="P78" s="84">
        <f>P79</f>
        <v>0</v>
      </c>
      <c r="Q78" s="84">
        <f t="shared" si="4"/>
        <v>4002.5000000000005</v>
      </c>
      <c r="R78" s="84">
        <f>R79</f>
        <v>-13</v>
      </c>
      <c r="S78" s="84">
        <f t="shared" si="5"/>
        <v>3989.5000000000005</v>
      </c>
      <c r="T78" s="84">
        <f>T79</f>
        <v>-20</v>
      </c>
      <c r="U78" s="84">
        <f t="shared" si="6"/>
        <v>3969.5000000000005</v>
      </c>
    </row>
    <row r="79" spans="1:21" s="128" customFormat="1" ht="33">
      <c r="A79" s="61" t="str">
        <f t="shared" ca="1" si="23"/>
        <v xml:space="preserve">Прочая закупка товаров, работ и услуг для обеспечения муниципальных нужд         </v>
      </c>
      <c r="B79" s="126">
        <v>801</v>
      </c>
      <c r="C79" s="8" t="s">
        <v>211</v>
      </c>
      <c r="D79" s="8" t="s">
        <v>188</v>
      </c>
      <c r="E79" s="126" t="s">
        <v>533</v>
      </c>
      <c r="F79" s="126">
        <v>244</v>
      </c>
      <c r="G79" s="69">
        <v>4051.8</v>
      </c>
      <c r="H79" s="64"/>
      <c r="I79" s="69">
        <f t="shared" si="0"/>
        <v>4051.8</v>
      </c>
      <c r="J79" s="64">
        <v>-2.6</v>
      </c>
      <c r="K79" s="84">
        <f t="shared" si="1"/>
        <v>4049.2000000000003</v>
      </c>
      <c r="L79" s="84">
        <v>-46.7</v>
      </c>
      <c r="M79" s="84">
        <f t="shared" si="2"/>
        <v>4002.5000000000005</v>
      </c>
      <c r="N79" s="84"/>
      <c r="O79" s="84">
        <f t="shared" si="3"/>
        <v>4002.5000000000005</v>
      </c>
      <c r="P79" s="84"/>
      <c r="Q79" s="84">
        <f t="shared" si="4"/>
        <v>4002.5000000000005</v>
      </c>
      <c r="R79" s="84">
        <v>-13</v>
      </c>
      <c r="S79" s="84">
        <f t="shared" si="5"/>
        <v>3989.5000000000005</v>
      </c>
      <c r="T79" s="84">
        <v>-20</v>
      </c>
      <c r="U79" s="84">
        <f t="shared" si="6"/>
        <v>3969.5000000000005</v>
      </c>
    </row>
    <row r="80" spans="1:21" s="128" customFormat="1">
      <c r="A80" s="61" t="str">
        <f t="shared" ca="1" si="23"/>
        <v>Иные бюджетные ассигнования</v>
      </c>
      <c r="B80" s="126">
        <v>801</v>
      </c>
      <c r="C80" s="8" t="s">
        <v>211</v>
      </c>
      <c r="D80" s="8" t="s">
        <v>188</v>
      </c>
      <c r="E80" s="126" t="s">
        <v>533</v>
      </c>
      <c r="F80" s="126">
        <v>800</v>
      </c>
      <c r="G80" s="69">
        <f>G81</f>
        <v>2303.1</v>
      </c>
      <c r="H80" s="69">
        <f>H81</f>
        <v>0</v>
      </c>
      <c r="I80" s="69">
        <f t="shared" si="0"/>
        <v>2303.1</v>
      </c>
      <c r="J80" s="69">
        <f>J81</f>
        <v>2.6</v>
      </c>
      <c r="K80" s="84">
        <f t="shared" si="1"/>
        <v>2305.6999999999998</v>
      </c>
      <c r="L80" s="13">
        <f>L81</f>
        <v>0</v>
      </c>
      <c r="M80" s="84">
        <f t="shared" si="2"/>
        <v>2305.6999999999998</v>
      </c>
      <c r="N80" s="13">
        <f>N81</f>
        <v>0</v>
      </c>
      <c r="O80" s="84">
        <f t="shared" si="3"/>
        <v>2305.6999999999998</v>
      </c>
      <c r="P80" s="13">
        <f>P81</f>
        <v>0</v>
      </c>
      <c r="Q80" s="84">
        <f t="shared" si="4"/>
        <v>2305.6999999999998</v>
      </c>
      <c r="R80" s="13">
        <f>R81</f>
        <v>0</v>
      </c>
      <c r="S80" s="84">
        <f t="shared" si="5"/>
        <v>2305.6999999999998</v>
      </c>
      <c r="T80" s="13">
        <f>T81</f>
        <v>20</v>
      </c>
      <c r="U80" s="84">
        <f t="shared" si="6"/>
        <v>2325.6999999999998</v>
      </c>
    </row>
    <row r="81" spans="1:21" s="128" customFormat="1">
      <c r="A81" s="61" t="str">
        <f t="shared" ca="1" si="23"/>
        <v>Уплата налогов, сборов и иных платежей</v>
      </c>
      <c r="B81" s="126">
        <v>801</v>
      </c>
      <c r="C81" s="8" t="s">
        <v>211</v>
      </c>
      <c r="D81" s="8" t="s">
        <v>188</v>
      </c>
      <c r="E81" s="126" t="s">
        <v>533</v>
      </c>
      <c r="F81" s="126">
        <v>850</v>
      </c>
      <c r="G81" s="69">
        <f>G82</f>
        <v>2303.1</v>
      </c>
      <c r="H81" s="69">
        <f>H82</f>
        <v>0</v>
      </c>
      <c r="I81" s="69">
        <f t="shared" si="0"/>
        <v>2303.1</v>
      </c>
      <c r="J81" s="69">
        <f>J82+J83</f>
        <v>2.6</v>
      </c>
      <c r="K81" s="84">
        <f t="shared" si="1"/>
        <v>2305.6999999999998</v>
      </c>
      <c r="L81" s="13">
        <f>L82+L83</f>
        <v>0</v>
      </c>
      <c r="M81" s="84">
        <f t="shared" si="2"/>
        <v>2305.6999999999998</v>
      </c>
      <c r="N81" s="13">
        <f>N82+N83</f>
        <v>0</v>
      </c>
      <c r="O81" s="84">
        <f t="shared" si="3"/>
        <v>2305.6999999999998</v>
      </c>
      <c r="P81" s="13">
        <f>P82+P83</f>
        <v>0</v>
      </c>
      <c r="Q81" s="84">
        <f t="shared" si="4"/>
        <v>2305.6999999999998</v>
      </c>
      <c r="R81" s="13">
        <f>R82+R83</f>
        <v>0</v>
      </c>
      <c r="S81" s="84">
        <f t="shared" si="5"/>
        <v>2305.6999999999998</v>
      </c>
      <c r="T81" s="13">
        <f>T82+T83</f>
        <v>20</v>
      </c>
      <c r="U81" s="84">
        <f t="shared" si="6"/>
        <v>2325.6999999999998</v>
      </c>
    </row>
    <row r="82" spans="1:21" s="128" customFormat="1">
      <c r="A82" s="61" t="str">
        <f ca="1">IF(ISERROR(MATCH(F82,Код_КВР,0)),"",INDIRECT(ADDRESS(MATCH(F82,Код_КВР,0)+1,2,,,"КВР")))</f>
        <v>Уплата налога на имущество организаций и земельного налога</v>
      </c>
      <c r="B82" s="126">
        <v>801</v>
      </c>
      <c r="C82" s="8" t="s">
        <v>211</v>
      </c>
      <c r="D82" s="8" t="s">
        <v>188</v>
      </c>
      <c r="E82" s="126" t="s">
        <v>533</v>
      </c>
      <c r="F82" s="126">
        <v>851</v>
      </c>
      <c r="G82" s="69">
        <v>2303.1</v>
      </c>
      <c r="H82" s="69"/>
      <c r="I82" s="69">
        <f t="shared" si="0"/>
        <v>2303.1</v>
      </c>
      <c r="J82" s="69"/>
      <c r="K82" s="84">
        <f t="shared" si="1"/>
        <v>2303.1</v>
      </c>
      <c r="L82" s="13"/>
      <c r="M82" s="84">
        <f t="shared" si="2"/>
        <v>2303.1</v>
      </c>
      <c r="N82" s="13"/>
      <c r="O82" s="84">
        <f t="shared" si="3"/>
        <v>2303.1</v>
      </c>
      <c r="P82" s="13"/>
      <c r="Q82" s="84">
        <f t="shared" si="4"/>
        <v>2303.1</v>
      </c>
      <c r="R82" s="13"/>
      <c r="S82" s="84">
        <f t="shared" si="5"/>
        <v>2303.1</v>
      </c>
      <c r="T82" s="13"/>
      <c r="U82" s="84">
        <f t="shared" si="6"/>
        <v>2303.1</v>
      </c>
    </row>
    <row r="83" spans="1:21" s="128" customFormat="1">
      <c r="A83" s="61" t="str">
        <f ca="1">IF(ISERROR(MATCH(F83,Код_КВР,0)),"",INDIRECT(ADDRESS(MATCH(F83,Код_КВР,0)+1,2,,,"КВР")))</f>
        <v>Уплата прочих налогов, сборов и иных платежей</v>
      </c>
      <c r="B83" s="126">
        <v>801</v>
      </c>
      <c r="C83" s="8" t="s">
        <v>211</v>
      </c>
      <c r="D83" s="8" t="s">
        <v>188</v>
      </c>
      <c r="E83" s="126" t="s">
        <v>533</v>
      </c>
      <c r="F83" s="126">
        <v>852</v>
      </c>
      <c r="G83" s="69"/>
      <c r="H83" s="69"/>
      <c r="I83" s="69"/>
      <c r="J83" s="69">
        <v>2.6</v>
      </c>
      <c r="K83" s="84">
        <f t="shared" si="1"/>
        <v>2.6</v>
      </c>
      <c r="L83" s="13"/>
      <c r="M83" s="84">
        <f t="shared" si="2"/>
        <v>2.6</v>
      </c>
      <c r="N83" s="13"/>
      <c r="O83" s="84">
        <f t="shared" si="3"/>
        <v>2.6</v>
      </c>
      <c r="P83" s="13"/>
      <c r="Q83" s="84">
        <f t="shared" si="4"/>
        <v>2.6</v>
      </c>
      <c r="R83" s="13"/>
      <c r="S83" s="84">
        <f t="shared" si="5"/>
        <v>2.6</v>
      </c>
      <c r="T83" s="13">
        <v>20</v>
      </c>
      <c r="U83" s="84">
        <f t="shared" si="6"/>
        <v>22.6</v>
      </c>
    </row>
    <row r="84" spans="1:21" s="128" customFormat="1" ht="102.75" customHeight="1">
      <c r="A84" s="61" t="str">
        <f ca="1">IF(ISERROR(MATCH(E84,Код_КЦСР,0)),"",INDIRECT(ADDRESS(MATCH(E84,Код_КЦСР,0)+1,2,,,"КЦСР")))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84" s="126">
        <v>801</v>
      </c>
      <c r="C84" s="8" t="s">
        <v>211</v>
      </c>
      <c r="D84" s="8" t="s">
        <v>188</v>
      </c>
      <c r="E84" s="126" t="s">
        <v>380</v>
      </c>
      <c r="F84" s="126"/>
      <c r="G84" s="69">
        <f>G85+G87</f>
        <v>1072</v>
      </c>
      <c r="H84" s="69">
        <f>H85+H87</f>
        <v>0</v>
      </c>
      <c r="I84" s="69">
        <f t="shared" si="0"/>
        <v>1072</v>
      </c>
      <c r="J84" s="69">
        <f>J85+J87</f>
        <v>0</v>
      </c>
      <c r="K84" s="84">
        <f t="shared" si="1"/>
        <v>1072</v>
      </c>
      <c r="L84" s="13">
        <f>L85+L87</f>
        <v>0</v>
      </c>
      <c r="M84" s="84">
        <f t="shared" si="2"/>
        <v>1072</v>
      </c>
      <c r="N84" s="13">
        <f>N85+N87</f>
        <v>0</v>
      </c>
      <c r="O84" s="84">
        <f t="shared" si="3"/>
        <v>1072</v>
      </c>
      <c r="P84" s="13">
        <f>P85+P87</f>
        <v>0</v>
      </c>
      <c r="Q84" s="84">
        <f t="shared" si="4"/>
        <v>1072</v>
      </c>
      <c r="R84" s="13">
        <f>R85+R87</f>
        <v>0</v>
      </c>
      <c r="S84" s="84">
        <f t="shared" si="5"/>
        <v>1072</v>
      </c>
      <c r="T84" s="13">
        <f>T85+T87</f>
        <v>0</v>
      </c>
      <c r="U84" s="84">
        <f t="shared" si="6"/>
        <v>1072</v>
      </c>
    </row>
    <row r="85" spans="1:21" s="128" customFormat="1" ht="33">
      <c r="A85" s="61" t="str">
        <f ca="1">IF(ISERROR(MATCH(F85,Код_КВР,0)),"",INDIRECT(ADDRESS(MATCH(F85,Код_КВР,0)+1,2,,,"КВР")))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5" s="126">
        <v>801</v>
      </c>
      <c r="C85" s="8" t="s">
        <v>211</v>
      </c>
      <c r="D85" s="8" t="s">
        <v>188</v>
      </c>
      <c r="E85" s="126" t="s">
        <v>380</v>
      </c>
      <c r="F85" s="126">
        <v>100</v>
      </c>
      <c r="G85" s="69">
        <f>G86</f>
        <v>305.2</v>
      </c>
      <c r="H85" s="69">
        <f>H86</f>
        <v>0</v>
      </c>
      <c r="I85" s="69">
        <f t="shared" si="0"/>
        <v>305.2</v>
      </c>
      <c r="J85" s="69">
        <f>J86</f>
        <v>0</v>
      </c>
      <c r="K85" s="84">
        <f t="shared" si="1"/>
        <v>305.2</v>
      </c>
      <c r="L85" s="13">
        <f>L86</f>
        <v>0</v>
      </c>
      <c r="M85" s="84">
        <f t="shared" si="2"/>
        <v>305.2</v>
      </c>
      <c r="N85" s="13">
        <f>N86</f>
        <v>0</v>
      </c>
      <c r="O85" s="84">
        <f t="shared" si="3"/>
        <v>305.2</v>
      </c>
      <c r="P85" s="13">
        <f>P86</f>
        <v>0</v>
      </c>
      <c r="Q85" s="84">
        <f t="shared" si="4"/>
        <v>305.2</v>
      </c>
      <c r="R85" s="13">
        <f>R86</f>
        <v>0</v>
      </c>
      <c r="S85" s="84">
        <f t="shared" si="5"/>
        <v>305.2</v>
      </c>
      <c r="T85" s="13">
        <f>T86</f>
        <v>0</v>
      </c>
      <c r="U85" s="84">
        <f t="shared" si="6"/>
        <v>305.2</v>
      </c>
    </row>
    <row r="86" spans="1:21" s="128" customFormat="1">
      <c r="A86" s="61" t="str">
        <f ca="1">IF(ISERROR(MATCH(F86,Код_КВР,0)),"",INDIRECT(ADDRESS(MATCH(F86,Код_КВР,0)+1,2,,,"КВР")))</f>
        <v>Расходы на выплаты персоналу казенных учреждений</v>
      </c>
      <c r="B86" s="126">
        <v>801</v>
      </c>
      <c r="C86" s="8" t="s">
        <v>211</v>
      </c>
      <c r="D86" s="8" t="s">
        <v>188</v>
      </c>
      <c r="E86" s="126" t="s">
        <v>380</v>
      </c>
      <c r="F86" s="126">
        <v>110</v>
      </c>
      <c r="G86" s="69">
        <v>305.2</v>
      </c>
      <c r="H86" s="69"/>
      <c r="I86" s="69">
        <f t="shared" si="0"/>
        <v>305.2</v>
      </c>
      <c r="J86" s="69"/>
      <c r="K86" s="84">
        <f t="shared" si="1"/>
        <v>305.2</v>
      </c>
      <c r="L86" s="13"/>
      <c r="M86" s="84">
        <f t="shared" si="2"/>
        <v>305.2</v>
      </c>
      <c r="N86" s="13"/>
      <c r="O86" s="84">
        <f t="shared" si="3"/>
        <v>305.2</v>
      </c>
      <c r="P86" s="13"/>
      <c r="Q86" s="84">
        <f t="shared" si="4"/>
        <v>305.2</v>
      </c>
      <c r="R86" s="13"/>
      <c r="S86" s="84">
        <f t="shared" si="5"/>
        <v>305.2</v>
      </c>
      <c r="T86" s="13"/>
      <c r="U86" s="84">
        <f t="shared" ref="U86:U153" si="24">S86+T86</f>
        <v>305.2</v>
      </c>
    </row>
    <row r="87" spans="1:21" s="128" customFormat="1">
      <c r="A87" s="61" t="str">
        <f ca="1">IF(ISERROR(MATCH(F87,Код_КВР,0)),"",INDIRECT(ADDRESS(MATCH(F87,Код_КВР,0)+1,2,,,"КВР")))</f>
        <v>Закупка товаров, работ и услуг для муниципальных нужд</v>
      </c>
      <c r="B87" s="126">
        <v>801</v>
      </c>
      <c r="C87" s="8" t="s">
        <v>211</v>
      </c>
      <c r="D87" s="8" t="s">
        <v>188</v>
      </c>
      <c r="E87" s="126" t="s">
        <v>380</v>
      </c>
      <c r="F87" s="126">
        <v>200</v>
      </c>
      <c r="G87" s="69">
        <f>G88</f>
        <v>766.8</v>
      </c>
      <c r="H87" s="69">
        <f>H88</f>
        <v>0</v>
      </c>
      <c r="I87" s="69">
        <f t="shared" si="0"/>
        <v>766.8</v>
      </c>
      <c r="J87" s="69">
        <f>J88</f>
        <v>0</v>
      </c>
      <c r="K87" s="84">
        <f t="shared" si="1"/>
        <v>766.8</v>
      </c>
      <c r="L87" s="13">
        <f>L88</f>
        <v>0</v>
      </c>
      <c r="M87" s="84">
        <f t="shared" si="2"/>
        <v>766.8</v>
      </c>
      <c r="N87" s="13">
        <f>N88</f>
        <v>0</v>
      </c>
      <c r="O87" s="84">
        <f t="shared" si="3"/>
        <v>766.8</v>
      </c>
      <c r="P87" s="13">
        <f>P88</f>
        <v>0</v>
      </c>
      <c r="Q87" s="84">
        <f t="shared" si="4"/>
        <v>766.8</v>
      </c>
      <c r="R87" s="13">
        <f>R88</f>
        <v>0</v>
      </c>
      <c r="S87" s="84">
        <f t="shared" si="5"/>
        <v>766.8</v>
      </c>
      <c r="T87" s="13">
        <f>T88</f>
        <v>0</v>
      </c>
      <c r="U87" s="84">
        <f t="shared" si="24"/>
        <v>766.8</v>
      </c>
    </row>
    <row r="88" spans="1:21" s="128" customFormat="1" ht="33">
      <c r="A88" s="61" t="str">
        <f ca="1">IF(ISERROR(MATCH(F88,Код_КВР,0)),"",INDIRECT(ADDRESS(MATCH(F88,Код_КВР,0)+1,2,,,"КВР")))</f>
        <v>Иные закупки товаров, работ и услуг для обеспечения муниципальных нужд</v>
      </c>
      <c r="B88" s="126">
        <v>801</v>
      </c>
      <c r="C88" s="8" t="s">
        <v>211</v>
      </c>
      <c r="D88" s="8" t="s">
        <v>188</v>
      </c>
      <c r="E88" s="126" t="s">
        <v>380</v>
      </c>
      <c r="F88" s="126">
        <v>240</v>
      </c>
      <c r="G88" s="69">
        <f>G89</f>
        <v>766.8</v>
      </c>
      <c r="H88" s="69">
        <f>H89</f>
        <v>0</v>
      </c>
      <c r="I88" s="69">
        <f t="shared" si="0"/>
        <v>766.8</v>
      </c>
      <c r="J88" s="69">
        <f>J89</f>
        <v>0</v>
      </c>
      <c r="K88" s="84">
        <f t="shared" si="1"/>
        <v>766.8</v>
      </c>
      <c r="L88" s="13">
        <f>L89</f>
        <v>0</v>
      </c>
      <c r="M88" s="84">
        <f t="shared" si="2"/>
        <v>766.8</v>
      </c>
      <c r="N88" s="13">
        <f>N89</f>
        <v>0</v>
      </c>
      <c r="O88" s="84">
        <f t="shared" si="3"/>
        <v>766.8</v>
      </c>
      <c r="P88" s="13">
        <f>P89</f>
        <v>0</v>
      </c>
      <c r="Q88" s="84">
        <f t="shared" si="4"/>
        <v>766.8</v>
      </c>
      <c r="R88" s="13">
        <f>R89</f>
        <v>0</v>
      </c>
      <c r="S88" s="84">
        <f t="shared" si="5"/>
        <v>766.8</v>
      </c>
      <c r="T88" s="13">
        <f>T89</f>
        <v>0</v>
      </c>
      <c r="U88" s="84">
        <f t="shared" si="24"/>
        <v>766.8</v>
      </c>
    </row>
    <row r="89" spans="1:21" s="128" customFormat="1" ht="33">
      <c r="A89" s="61" t="str">
        <f ca="1">IF(ISERROR(MATCH(F89,Код_КВР,0)),"",INDIRECT(ADDRESS(MATCH(F89,Код_КВР,0)+1,2,,,"КВР")))</f>
        <v xml:space="preserve">Прочая закупка товаров, работ и услуг для обеспечения муниципальных нужд         </v>
      </c>
      <c r="B89" s="126">
        <v>801</v>
      </c>
      <c r="C89" s="8" t="s">
        <v>211</v>
      </c>
      <c r="D89" s="8" t="s">
        <v>188</v>
      </c>
      <c r="E89" s="126" t="s">
        <v>380</v>
      </c>
      <c r="F89" s="126">
        <v>244</v>
      </c>
      <c r="G89" s="69">
        <v>766.8</v>
      </c>
      <c r="H89" s="69"/>
      <c r="I89" s="69">
        <f t="shared" si="0"/>
        <v>766.8</v>
      </c>
      <c r="J89" s="69"/>
      <c r="K89" s="84">
        <f t="shared" si="1"/>
        <v>766.8</v>
      </c>
      <c r="L89" s="13"/>
      <c r="M89" s="84">
        <f t="shared" si="2"/>
        <v>766.8</v>
      </c>
      <c r="N89" s="13"/>
      <c r="O89" s="84">
        <f t="shared" si="3"/>
        <v>766.8</v>
      </c>
      <c r="P89" s="13"/>
      <c r="Q89" s="84">
        <f t="shared" si="4"/>
        <v>766.8</v>
      </c>
      <c r="R89" s="13"/>
      <c r="S89" s="84">
        <f t="shared" si="5"/>
        <v>766.8</v>
      </c>
      <c r="T89" s="13"/>
      <c r="U89" s="84">
        <f t="shared" si="24"/>
        <v>766.8</v>
      </c>
    </row>
    <row r="90" spans="1:21" s="128" customFormat="1" ht="33">
      <c r="A90" s="61" t="str">
        <f ca="1">IF(ISERROR(MATCH(E90,Код_КЦСР,0)),"",INDIRECT(ADDRESS(MATCH(E90,Код_КЦСР,0)+1,2,,,"КЦСР")))</f>
        <v>Муниципальная программа «Содействие развитию потребительского рынка в городе Череповце на 2013-2017 годы»</v>
      </c>
      <c r="B90" s="126">
        <v>801</v>
      </c>
      <c r="C90" s="8" t="s">
        <v>211</v>
      </c>
      <c r="D90" s="8" t="s">
        <v>188</v>
      </c>
      <c r="E90" s="126" t="s">
        <v>543</v>
      </c>
      <c r="F90" s="126"/>
      <c r="G90" s="69">
        <f t="shared" ref="G90:T93" si="25">G91</f>
        <v>150</v>
      </c>
      <c r="H90" s="69">
        <f t="shared" si="25"/>
        <v>0</v>
      </c>
      <c r="I90" s="69">
        <f t="shared" si="0"/>
        <v>150</v>
      </c>
      <c r="J90" s="69">
        <f t="shared" si="25"/>
        <v>0</v>
      </c>
      <c r="K90" s="84">
        <f t="shared" si="1"/>
        <v>150</v>
      </c>
      <c r="L90" s="13">
        <f t="shared" si="25"/>
        <v>0</v>
      </c>
      <c r="M90" s="84">
        <f t="shared" si="2"/>
        <v>150</v>
      </c>
      <c r="N90" s="13">
        <f t="shared" si="25"/>
        <v>0</v>
      </c>
      <c r="O90" s="84">
        <f t="shared" si="3"/>
        <v>150</v>
      </c>
      <c r="P90" s="13">
        <f t="shared" si="25"/>
        <v>0</v>
      </c>
      <c r="Q90" s="84">
        <f t="shared" si="4"/>
        <v>150</v>
      </c>
      <c r="R90" s="13">
        <f t="shared" si="25"/>
        <v>0</v>
      </c>
      <c r="S90" s="84">
        <f t="shared" si="5"/>
        <v>150</v>
      </c>
      <c r="T90" s="13">
        <f t="shared" si="25"/>
        <v>0</v>
      </c>
      <c r="U90" s="84">
        <f t="shared" si="24"/>
        <v>150</v>
      </c>
    </row>
    <row r="91" spans="1:21" s="128" customFormat="1" ht="49.5">
      <c r="A91" s="61" t="str">
        <f ca="1">IF(ISERROR(MATCH(E91,Код_КЦСР,0)),"",INDIRECT(ADDRESS(MATCH(E91,Код_КЦСР,0)+1,2,,,"КЦСР")))</f>
        <v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v>
      </c>
      <c r="B91" s="126">
        <v>801</v>
      </c>
      <c r="C91" s="8" t="s">
        <v>211</v>
      </c>
      <c r="D91" s="8" t="s">
        <v>188</v>
      </c>
      <c r="E91" s="126" t="s">
        <v>545</v>
      </c>
      <c r="F91" s="126"/>
      <c r="G91" s="69">
        <f t="shared" si="25"/>
        <v>150</v>
      </c>
      <c r="H91" s="69">
        <f t="shared" si="25"/>
        <v>0</v>
      </c>
      <c r="I91" s="69">
        <f t="shared" si="0"/>
        <v>150</v>
      </c>
      <c r="J91" s="69">
        <f t="shared" si="25"/>
        <v>0</v>
      </c>
      <c r="K91" s="84">
        <f t="shared" si="1"/>
        <v>150</v>
      </c>
      <c r="L91" s="13">
        <f t="shared" si="25"/>
        <v>0</v>
      </c>
      <c r="M91" s="84">
        <f t="shared" si="2"/>
        <v>150</v>
      </c>
      <c r="N91" s="13">
        <f t="shared" si="25"/>
        <v>0</v>
      </c>
      <c r="O91" s="84">
        <f t="shared" si="3"/>
        <v>150</v>
      </c>
      <c r="P91" s="13">
        <f t="shared" si="25"/>
        <v>0</v>
      </c>
      <c r="Q91" s="84">
        <f t="shared" si="4"/>
        <v>150</v>
      </c>
      <c r="R91" s="13">
        <f t="shared" si="25"/>
        <v>0</v>
      </c>
      <c r="S91" s="84">
        <f t="shared" si="5"/>
        <v>150</v>
      </c>
      <c r="T91" s="13">
        <f t="shared" si="25"/>
        <v>0</v>
      </c>
      <c r="U91" s="84">
        <f t="shared" si="24"/>
        <v>150</v>
      </c>
    </row>
    <row r="92" spans="1:21" s="128" customFormat="1">
      <c r="A92" s="61" t="str">
        <f ca="1">IF(ISERROR(MATCH(F92,Код_КВР,0)),"",INDIRECT(ADDRESS(MATCH(F92,Код_КВР,0)+1,2,,,"КВР")))</f>
        <v>Закупка товаров, работ и услуг для муниципальных нужд</v>
      </c>
      <c r="B92" s="126">
        <v>801</v>
      </c>
      <c r="C92" s="8" t="s">
        <v>211</v>
      </c>
      <c r="D92" s="8" t="s">
        <v>188</v>
      </c>
      <c r="E92" s="126" t="s">
        <v>545</v>
      </c>
      <c r="F92" s="126">
        <v>200</v>
      </c>
      <c r="G92" s="69">
        <f t="shared" si="25"/>
        <v>150</v>
      </c>
      <c r="H92" s="69">
        <f t="shared" si="25"/>
        <v>0</v>
      </c>
      <c r="I92" s="69">
        <f t="shared" si="0"/>
        <v>150</v>
      </c>
      <c r="J92" s="69">
        <f t="shared" si="25"/>
        <v>0</v>
      </c>
      <c r="K92" s="84">
        <f t="shared" si="1"/>
        <v>150</v>
      </c>
      <c r="L92" s="13">
        <f t="shared" si="25"/>
        <v>0</v>
      </c>
      <c r="M92" s="84">
        <f t="shared" si="2"/>
        <v>150</v>
      </c>
      <c r="N92" s="13">
        <f t="shared" si="25"/>
        <v>0</v>
      </c>
      <c r="O92" s="84">
        <f t="shared" si="3"/>
        <v>150</v>
      </c>
      <c r="P92" s="13">
        <f t="shared" si="25"/>
        <v>0</v>
      </c>
      <c r="Q92" s="84">
        <f t="shared" ref="Q92:Q159" si="26">O92+P92</f>
        <v>150</v>
      </c>
      <c r="R92" s="13">
        <f t="shared" si="25"/>
        <v>0</v>
      </c>
      <c r="S92" s="84">
        <f t="shared" ref="S92:S159" si="27">Q92+R92</f>
        <v>150</v>
      </c>
      <c r="T92" s="13">
        <f t="shared" si="25"/>
        <v>0</v>
      </c>
      <c r="U92" s="84">
        <f t="shared" si="24"/>
        <v>150</v>
      </c>
    </row>
    <row r="93" spans="1:21" s="128" customFormat="1" ht="33">
      <c r="A93" s="61" t="str">
        <f ca="1">IF(ISERROR(MATCH(F93,Код_КВР,0)),"",INDIRECT(ADDRESS(MATCH(F93,Код_КВР,0)+1,2,,,"КВР")))</f>
        <v>Иные закупки товаров, работ и услуг для обеспечения муниципальных нужд</v>
      </c>
      <c r="B93" s="126">
        <v>801</v>
      </c>
      <c r="C93" s="8" t="s">
        <v>211</v>
      </c>
      <c r="D93" s="8" t="s">
        <v>188</v>
      </c>
      <c r="E93" s="126" t="s">
        <v>545</v>
      </c>
      <c r="F93" s="126">
        <v>240</v>
      </c>
      <c r="G93" s="69">
        <f t="shared" si="25"/>
        <v>150</v>
      </c>
      <c r="H93" s="69">
        <f t="shared" si="25"/>
        <v>0</v>
      </c>
      <c r="I93" s="69">
        <f t="shared" si="0"/>
        <v>150</v>
      </c>
      <c r="J93" s="69">
        <f t="shared" si="25"/>
        <v>0</v>
      </c>
      <c r="K93" s="84">
        <f t="shared" si="1"/>
        <v>150</v>
      </c>
      <c r="L93" s="13">
        <f t="shared" si="25"/>
        <v>0</v>
      </c>
      <c r="M93" s="84">
        <f t="shared" si="2"/>
        <v>150</v>
      </c>
      <c r="N93" s="13">
        <f t="shared" si="25"/>
        <v>0</v>
      </c>
      <c r="O93" s="84">
        <f t="shared" si="3"/>
        <v>150</v>
      </c>
      <c r="P93" s="13">
        <f t="shared" si="25"/>
        <v>0</v>
      </c>
      <c r="Q93" s="84">
        <f t="shared" si="26"/>
        <v>150</v>
      </c>
      <c r="R93" s="13">
        <f t="shared" si="25"/>
        <v>0</v>
      </c>
      <c r="S93" s="84">
        <f t="shared" si="27"/>
        <v>150</v>
      </c>
      <c r="T93" s="13">
        <f t="shared" si="25"/>
        <v>0</v>
      </c>
      <c r="U93" s="84">
        <f t="shared" si="24"/>
        <v>150</v>
      </c>
    </row>
    <row r="94" spans="1:21" s="128" customFormat="1" ht="33">
      <c r="A94" s="61" t="str">
        <f ca="1">IF(ISERROR(MATCH(F94,Код_КВР,0)),"",INDIRECT(ADDRESS(MATCH(F94,Код_КВР,0)+1,2,,,"КВР")))</f>
        <v xml:space="preserve">Прочая закупка товаров, работ и услуг для обеспечения муниципальных нужд         </v>
      </c>
      <c r="B94" s="126">
        <v>801</v>
      </c>
      <c r="C94" s="8" t="s">
        <v>211</v>
      </c>
      <c r="D94" s="8" t="s">
        <v>188</v>
      </c>
      <c r="E94" s="126" t="s">
        <v>545</v>
      </c>
      <c r="F94" s="126">
        <v>244</v>
      </c>
      <c r="G94" s="69">
        <v>150</v>
      </c>
      <c r="H94" s="69"/>
      <c r="I94" s="69">
        <f t="shared" si="0"/>
        <v>150</v>
      </c>
      <c r="J94" s="69"/>
      <c r="K94" s="84">
        <f t="shared" si="1"/>
        <v>150</v>
      </c>
      <c r="L94" s="13"/>
      <c r="M94" s="84">
        <f t="shared" ref="M94:M161" si="28">K94+L94</f>
        <v>150</v>
      </c>
      <c r="N94" s="13"/>
      <c r="O94" s="84">
        <f t="shared" ref="O94:O161" si="29">M94+N94</f>
        <v>150</v>
      </c>
      <c r="P94" s="13"/>
      <c r="Q94" s="84">
        <f t="shared" si="26"/>
        <v>150</v>
      </c>
      <c r="R94" s="13"/>
      <c r="S94" s="84">
        <f t="shared" si="27"/>
        <v>150</v>
      </c>
      <c r="T94" s="13"/>
      <c r="U94" s="84">
        <f t="shared" si="24"/>
        <v>150</v>
      </c>
    </row>
    <row r="95" spans="1:21" s="128" customFormat="1">
      <c r="A95" s="61" t="str">
        <f ca="1">IF(ISERROR(MATCH(E95,Код_КЦСР,0)),"",INDIRECT(ADDRESS(MATCH(E95,Код_КЦСР,0)+1,2,,,"КЦСР")))</f>
        <v>Муниципальная программа «Здоровый город» на 2014-2022 годы</v>
      </c>
      <c r="B95" s="126">
        <v>801</v>
      </c>
      <c r="C95" s="8" t="s">
        <v>211</v>
      </c>
      <c r="D95" s="8" t="s">
        <v>188</v>
      </c>
      <c r="E95" s="126" t="s">
        <v>566</v>
      </c>
      <c r="F95" s="126"/>
      <c r="G95" s="69">
        <f>G96+G105</f>
        <v>1353.4</v>
      </c>
      <c r="H95" s="69">
        <f>H96+H105</f>
        <v>0</v>
      </c>
      <c r="I95" s="69">
        <f t="shared" ref="I95:I170" si="30">G95+H95</f>
        <v>1353.4</v>
      </c>
      <c r="J95" s="69">
        <f>J96+J105</f>
        <v>0</v>
      </c>
      <c r="K95" s="84">
        <f t="shared" ref="K95:K170" si="31">I95+J95</f>
        <v>1353.4</v>
      </c>
      <c r="L95" s="13">
        <f>L96+L105</f>
        <v>0</v>
      </c>
      <c r="M95" s="84">
        <f t="shared" si="28"/>
        <v>1353.4</v>
      </c>
      <c r="N95" s="13">
        <f>N96+N105</f>
        <v>0</v>
      </c>
      <c r="O95" s="84">
        <f t="shared" si="29"/>
        <v>1353.4</v>
      </c>
      <c r="P95" s="13">
        <f>P96+P105</f>
        <v>0</v>
      </c>
      <c r="Q95" s="84">
        <f t="shared" si="26"/>
        <v>1353.4</v>
      </c>
      <c r="R95" s="13">
        <f>R96+R105</f>
        <v>-30</v>
      </c>
      <c r="S95" s="84">
        <f t="shared" si="27"/>
        <v>1323.4</v>
      </c>
      <c r="T95" s="13">
        <f>T96+T105</f>
        <v>0</v>
      </c>
      <c r="U95" s="84">
        <f t="shared" si="24"/>
        <v>1323.4</v>
      </c>
    </row>
    <row r="96" spans="1:21" s="128" customFormat="1">
      <c r="A96" s="61" t="str">
        <f ca="1">IF(ISERROR(MATCH(E96,Код_КЦСР,0)),"",INDIRECT(ADDRESS(MATCH(E96,Код_КЦСР,0)+1,2,,,"КЦСР")))</f>
        <v>Организационно-методическое обеспечение Программы</v>
      </c>
      <c r="B96" s="126">
        <v>801</v>
      </c>
      <c r="C96" s="8" t="s">
        <v>211</v>
      </c>
      <c r="D96" s="8" t="s">
        <v>188</v>
      </c>
      <c r="E96" s="126" t="s">
        <v>568</v>
      </c>
      <c r="F96" s="126"/>
      <c r="G96" s="69">
        <f>G97+G103</f>
        <v>954</v>
      </c>
      <c r="H96" s="69">
        <f>H97+H103</f>
        <v>0</v>
      </c>
      <c r="I96" s="69">
        <f t="shared" si="30"/>
        <v>954</v>
      </c>
      <c r="J96" s="69">
        <f>J97+J100</f>
        <v>0</v>
      </c>
      <c r="K96" s="84">
        <f t="shared" si="31"/>
        <v>954</v>
      </c>
      <c r="L96" s="13">
        <f>L97+L100</f>
        <v>0</v>
      </c>
      <c r="M96" s="84">
        <f t="shared" si="28"/>
        <v>954</v>
      </c>
      <c r="N96" s="13">
        <f>N97+N100</f>
        <v>0</v>
      </c>
      <c r="O96" s="84">
        <f t="shared" si="29"/>
        <v>954</v>
      </c>
      <c r="P96" s="13">
        <f>P97+P100</f>
        <v>0</v>
      </c>
      <c r="Q96" s="84">
        <f t="shared" si="26"/>
        <v>954</v>
      </c>
      <c r="R96" s="13">
        <f>R97+R100</f>
        <v>-14.3</v>
      </c>
      <c r="S96" s="84">
        <f t="shared" si="27"/>
        <v>939.7</v>
      </c>
      <c r="T96" s="13">
        <f>T97+T100</f>
        <v>0</v>
      </c>
      <c r="U96" s="84">
        <f t="shared" si="24"/>
        <v>939.7</v>
      </c>
    </row>
    <row r="97" spans="1:21" s="128" customFormat="1">
      <c r="A97" s="61" t="str">
        <f t="shared" ref="A97:A104" ca="1" si="32">IF(ISERROR(MATCH(F97,Код_КВР,0)),"",INDIRECT(ADDRESS(MATCH(F97,Код_КВР,0)+1,2,,,"КВР")))</f>
        <v>Закупка товаров, работ и услуг для муниципальных нужд</v>
      </c>
      <c r="B97" s="126">
        <v>801</v>
      </c>
      <c r="C97" s="8" t="s">
        <v>211</v>
      </c>
      <c r="D97" s="8" t="s">
        <v>188</v>
      </c>
      <c r="E97" s="126" t="s">
        <v>568</v>
      </c>
      <c r="F97" s="126">
        <v>200</v>
      </c>
      <c r="G97" s="69">
        <f>G98</f>
        <v>276</v>
      </c>
      <c r="H97" s="69">
        <f>H98</f>
        <v>0</v>
      </c>
      <c r="I97" s="69">
        <f t="shared" si="30"/>
        <v>276</v>
      </c>
      <c r="J97" s="69">
        <f>J98</f>
        <v>-130</v>
      </c>
      <c r="K97" s="84">
        <f t="shared" si="31"/>
        <v>146</v>
      </c>
      <c r="L97" s="13">
        <f>L98</f>
        <v>0</v>
      </c>
      <c r="M97" s="84">
        <f t="shared" si="28"/>
        <v>146</v>
      </c>
      <c r="N97" s="13">
        <f>N98</f>
        <v>0</v>
      </c>
      <c r="O97" s="84">
        <f t="shared" si="29"/>
        <v>146</v>
      </c>
      <c r="P97" s="13">
        <f>P98</f>
        <v>0</v>
      </c>
      <c r="Q97" s="84">
        <f t="shared" si="26"/>
        <v>146</v>
      </c>
      <c r="R97" s="13">
        <f>R98</f>
        <v>-8.6</v>
      </c>
      <c r="S97" s="84">
        <f t="shared" si="27"/>
        <v>137.4</v>
      </c>
      <c r="T97" s="13">
        <f>T98</f>
        <v>0</v>
      </c>
      <c r="U97" s="84">
        <f t="shared" si="24"/>
        <v>137.4</v>
      </c>
    </row>
    <row r="98" spans="1:21" s="128" customFormat="1" ht="33">
      <c r="A98" s="61" t="str">
        <f t="shared" ca="1" si="32"/>
        <v>Иные закупки товаров, работ и услуг для обеспечения муниципальных нужд</v>
      </c>
      <c r="B98" s="126">
        <v>801</v>
      </c>
      <c r="C98" s="8" t="s">
        <v>211</v>
      </c>
      <c r="D98" s="8" t="s">
        <v>188</v>
      </c>
      <c r="E98" s="126" t="s">
        <v>568</v>
      </c>
      <c r="F98" s="126">
        <v>240</v>
      </c>
      <c r="G98" s="69">
        <f>G99</f>
        <v>276</v>
      </c>
      <c r="H98" s="69">
        <f>H99</f>
        <v>0</v>
      </c>
      <c r="I98" s="69">
        <f t="shared" si="30"/>
        <v>276</v>
      </c>
      <c r="J98" s="69">
        <f>J99</f>
        <v>-130</v>
      </c>
      <c r="K98" s="84">
        <f t="shared" si="31"/>
        <v>146</v>
      </c>
      <c r="L98" s="13">
        <f>L99</f>
        <v>0</v>
      </c>
      <c r="M98" s="84">
        <f t="shared" si="28"/>
        <v>146</v>
      </c>
      <c r="N98" s="13">
        <f>N99</f>
        <v>0</v>
      </c>
      <c r="O98" s="84">
        <f t="shared" si="29"/>
        <v>146</v>
      </c>
      <c r="P98" s="13">
        <f>P99</f>
        <v>0</v>
      </c>
      <c r="Q98" s="84">
        <f t="shared" si="26"/>
        <v>146</v>
      </c>
      <c r="R98" s="13">
        <f>R99</f>
        <v>-8.6</v>
      </c>
      <c r="S98" s="84">
        <f t="shared" si="27"/>
        <v>137.4</v>
      </c>
      <c r="T98" s="13">
        <f>T99</f>
        <v>0</v>
      </c>
      <c r="U98" s="84">
        <f t="shared" si="24"/>
        <v>137.4</v>
      </c>
    </row>
    <row r="99" spans="1:21" s="128" customFormat="1" ht="33">
      <c r="A99" s="61" t="str">
        <f t="shared" ca="1" si="32"/>
        <v xml:space="preserve">Прочая закупка товаров, работ и услуг для обеспечения муниципальных нужд         </v>
      </c>
      <c r="B99" s="126">
        <v>801</v>
      </c>
      <c r="C99" s="8" t="s">
        <v>211</v>
      </c>
      <c r="D99" s="8" t="s">
        <v>188</v>
      </c>
      <c r="E99" s="126" t="s">
        <v>568</v>
      </c>
      <c r="F99" s="126">
        <v>244</v>
      </c>
      <c r="G99" s="69">
        <v>276</v>
      </c>
      <c r="H99" s="69"/>
      <c r="I99" s="69">
        <f t="shared" si="30"/>
        <v>276</v>
      </c>
      <c r="J99" s="69">
        <v>-130</v>
      </c>
      <c r="K99" s="84">
        <f t="shared" si="31"/>
        <v>146</v>
      </c>
      <c r="L99" s="13"/>
      <c r="M99" s="84">
        <f t="shared" si="28"/>
        <v>146</v>
      </c>
      <c r="N99" s="13"/>
      <c r="O99" s="84">
        <f t="shared" si="29"/>
        <v>146</v>
      </c>
      <c r="P99" s="13"/>
      <c r="Q99" s="84">
        <f t="shared" si="26"/>
        <v>146</v>
      </c>
      <c r="R99" s="13">
        <v>-8.6</v>
      </c>
      <c r="S99" s="84">
        <f t="shared" si="27"/>
        <v>137.4</v>
      </c>
      <c r="T99" s="13"/>
      <c r="U99" s="84">
        <f t="shared" si="24"/>
        <v>137.4</v>
      </c>
    </row>
    <row r="100" spans="1:21" s="128" customFormat="1">
      <c r="A100" s="61" t="str">
        <f t="shared" ca="1" si="32"/>
        <v>Иные бюджетные ассигнования</v>
      </c>
      <c r="B100" s="126">
        <v>801</v>
      </c>
      <c r="C100" s="8" t="s">
        <v>211</v>
      </c>
      <c r="D100" s="8" t="s">
        <v>188</v>
      </c>
      <c r="E100" s="126" t="s">
        <v>568</v>
      </c>
      <c r="F100" s="126">
        <v>800</v>
      </c>
      <c r="G100" s="69"/>
      <c r="H100" s="69"/>
      <c r="I100" s="69">
        <f>I101+I103</f>
        <v>678</v>
      </c>
      <c r="J100" s="69">
        <f>J101+J103</f>
        <v>130</v>
      </c>
      <c r="K100" s="84">
        <f t="shared" si="31"/>
        <v>808</v>
      </c>
      <c r="L100" s="13">
        <f>L101+L103</f>
        <v>0</v>
      </c>
      <c r="M100" s="84">
        <f t="shared" si="28"/>
        <v>808</v>
      </c>
      <c r="N100" s="13">
        <f>N101+N103</f>
        <v>0</v>
      </c>
      <c r="O100" s="84">
        <f t="shared" si="29"/>
        <v>808</v>
      </c>
      <c r="P100" s="13">
        <f>P101+P103</f>
        <v>0</v>
      </c>
      <c r="Q100" s="84">
        <f t="shared" si="26"/>
        <v>808</v>
      </c>
      <c r="R100" s="13">
        <f>R101+R103</f>
        <v>-5.7</v>
      </c>
      <c r="S100" s="84">
        <f t="shared" si="27"/>
        <v>802.3</v>
      </c>
      <c r="T100" s="13">
        <f>T101+T103</f>
        <v>0</v>
      </c>
      <c r="U100" s="84">
        <f t="shared" si="24"/>
        <v>802.3</v>
      </c>
    </row>
    <row r="101" spans="1:21" s="128" customFormat="1">
      <c r="A101" s="61" t="str">
        <f t="shared" ca="1" si="32"/>
        <v>Уплата налогов, сборов и иных платежей</v>
      </c>
      <c r="B101" s="126">
        <v>801</v>
      </c>
      <c r="C101" s="8" t="s">
        <v>211</v>
      </c>
      <c r="D101" s="8" t="s">
        <v>188</v>
      </c>
      <c r="E101" s="126" t="s">
        <v>568</v>
      </c>
      <c r="F101" s="126">
        <v>850</v>
      </c>
      <c r="G101" s="69"/>
      <c r="H101" s="69"/>
      <c r="I101" s="69"/>
      <c r="J101" s="69">
        <f>J102</f>
        <v>678</v>
      </c>
      <c r="K101" s="84">
        <f t="shared" si="31"/>
        <v>678</v>
      </c>
      <c r="L101" s="13">
        <f>L102</f>
        <v>0</v>
      </c>
      <c r="M101" s="84">
        <f t="shared" si="28"/>
        <v>678</v>
      </c>
      <c r="N101" s="13">
        <f>N102</f>
        <v>0</v>
      </c>
      <c r="O101" s="84">
        <f t="shared" si="29"/>
        <v>678</v>
      </c>
      <c r="P101" s="13">
        <f>P102</f>
        <v>0</v>
      </c>
      <c r="Q101" s="84">
        <f t="shared" si="26"/>
        <v>678</v>
      </c>
      <c r="R101" s="13">
        <f>R102</f>
        <v>0</v>
      </c>
      <c r="S101" s="84">
        <f t="shared" si="27"/>
        <v>678</v>
      </c>
      <c r="T101" s="13">
        <f>T102</f>
        <v>0</v>
      </c>
      <c r="U101" s="84">
        <f t="shared" si="24"/>
        <v>678</v>
      </c>
    </row>
    <row r="102" spans="1:21" s="128" customFormat="1">
      <c r="A102" s="61" t="str">
        <f t="shared" ca="1" si="32"/>
        <v>Уплата прочих налогов, сборов и иных платежей</v>
      </c>
      <c r="B102" s="126">
        <v>801</v>
      </c>
      <c r="C102" s="8" t="s">
        <v>211</v>
      </c>
      <c r="D102" s="8" t="s">
        <v>188</v>
      </c>
      <c r="E102" s="126" t="s">
        <v>568</v>
      </c>
      <c r="F102" s="126">
        <v>852</v>
      </c>
      <c r="G102" s="69"/>
      <c r="H102" s="69"/>
      <c r="I102" s="69"/>
      <c r="J102" s="69">
        <v>678</v>
      </c>
      <c r="K102" s="84">
        <f t="shared" si="31"/>
        <v>678</v>
      </c>
      <c r="L102" s="13"/>
      <c r="M102" s="84">
        <f t="shared" si="28"/>
        <v>678</v>
      </c>
      <c r="N102" s="13"/>
      <c r="O102" s="84">
        <f t="shared" si="29"/>
        <v>678</v>
      </c>
      <c r="P102" s="13"/>
      <c r="Q102" s="84">
        <f t="shared" si="26"/>
        <v>678</v>
      </c>
      <c r="R102" s="13"/>
      <c r="S102" s="84">
        <f t="shared" si="27"/>
        <v>678</v>
      </c>
      <c r="T102" s="13"/>
      <c r="U102" s="84">
        <f t="shared" si="24"/>
        <v>678</v>
      </c>
    </row>
    <row r="103" spans="1:21" s="128" customFormat="1" ht="33">
      <c r="A103" s="61" t="str">
        <f t="shared" ca="1" si="32"/>
        <v>Предоставление платежей, взносов, безвозмездных перечислений субъектам международного права</v>
      </c>
      <c r="B103" s="126">
        <v>801</v>
      </c>
      <c r="C103" s="8" t="s">
        <v>211</v>
      </c>
      <c r="D103" s="8" t="s">
        <v>188</v>
      </c>
      <c r="E103" s="126" t="s">
        <v>568</v>
      </c>
      <c r="F103" s="126">
        <v>860</v>
      </c>
      <c r="G103" s="69">
        <f>G104</f>
        <v>678</v>
      </c>
      <c r="H103" s="69">
        <f>H104</f>
        <v>0</v>
      </c>
      <c r="I103" s="69">
        <f t="shared" si="30"/>
        <v>678</v>
      </c>
      <c r="J103" s="69">
        <f>J104</f>
        <v>-548</v>
      </c>
      <c r="K103" s="84">
        <f t="shared" si="31"/>
        <v>130</v>
      </c>
      <c r="L103" s="13">
        <f>L104</f>
        <v>0</v>
      </c>
      <c r="M103" s="84">
        <f t="shared" si="28"/>
        <v>130</v>
      </c>
      <c r="N103" s="13">
        <f>N104</f>
        <v>0</v>
      </c>
      <c r="O103" s="84">
        <f t="shared" si="29"/>
        <v>130</v>
      </c>
      <c r="P103" s="13">
        <f>P104</f>
        <v>0</v>
      </c>
      <c r="Q103" s="84">
        <f t="shared" si="26"/>
        <v>130</v>
      </c>
      <c r="R103" s="13">
        <f>R104</f>
        <v>-5.7</v>
      </c>
      <c r="S103" s="84">
        <f t="shared" si="27"/>
        <v>124.3</v>
      </c>
      <c r="T103" s="13">
        <f>T104</f>
        <v>0</v>
      </c>
      <c r="U103" s="84">
        <f t="shared" si="24"/>
        <v>124.3</v>
      </c>
    </row>
    <row r="104" spans="1:21" s="128" customFormat="1">
      <c r="A104" s="61" t="str">
        <f t="shared" ca="1" si="32"/>
        <v>Взносы в международные организации</v>
      </c>
      <c r="B104" s="126">
        <v>801</v>
      </c>
      <c r="C104" s="8" t="s">
        <v>211</v>
      </c>
      <c r="D104" s="8" t="s">
        <v>188</v>
      </c>
      <c r="E104" s="126" t="s">
        <v>568</v>
      </c>
      <c r="F104" s="126">
        <v>862</v>
      </c>
      <c r="G104" s="69">
        <v>678</v>
      </c>
      <c r="H104" s="69"/>
      <c r="I104" s="69">
        <f t="shared" si="30"/>
        <v>678</v>
      </c>
      <c r="J104" s="69">
        <f>130-678</f>
        <v>-548</v>
      </c>
      <c r="K104" s="84">
        <f t="shared" si="31"/>
        <v>130</v>
      </c>
      <c r="L104" s="13"/>
      <c r="M104" s="84">
        <f t="shared" si="28"/>
        <v>130</v>
      </c>
      <c r="N104" s="13"/>
      <c r="O104" s="84">
        <f t="shared" si="29"/>
        <v>130</v>
      </c>
      <c r="P104" s="13"/>
      <c r="Q104" s="84">
        <f t="shared" si="26"/>
        <v>130</v>
      </c>
      <c r="R104" s="13">
        <v>-5.7</v>
      </c>
      <c r="S104" s="84">
        <f t="shared" si="27"/>
        <v>124.3</v>
      </c>
      <c r="T104" s="13"/>
      <c r="U104" s="84">
        <f t="shared" si="24"/>
        <v>124.3</v>
      </c>
    </row>
    <row r="105" spans="1:21" s="128" customFormat="1">
      <c r="A105" s="61" t="str">
        <f ca="1">IF(ISERROR(MATCH(E105,Код_КЦСР,0)),"",INDIRECT(ADDRESS(MATCH(E105,Код_КЦСР,0)+1,2,,,"КЦСР")))</f>
        <v>Пропаганда здорового образа жизни</v>
      </c>
      <c r="B105" s="126">
        <v>801</v>
      </c>
      <c r="C105" s="8" t="s">
        <v>211</v>
      </c>
      <c r="D105" s="8" t="s">
        <v>188</v>
      </c>
      <c r="E105" s="126" t="s">
        <v>571</v>
      </c>
      <c r="F105" s="126"/>
      <c r="G105" s="69">
        <f t="shared" ref="G105:T107" si="33">G106</f>
        <v>399.4</v>
      </c>
      <c r="H105" s="69">
        <f t="shared" si="33"/>
        <v>0</v>
      </c>
      <c r="I105" s="69">
        <f t="shared" si="30"/>
        <v>399.4</v>
      </c>
      <c r="J105" s="69">
        <f t="shared" si="33"/>
        <v>0</v>
      </c>
      <c r="K105" s="84">
        <f t="shared" si="31"/>
        <v>399.4</v>
      </c>
      <c r="L105" s="13">
        <f t="shared" si="33"/>
        <v>0</v>
      </c>
      <c r="M105" s="84">
        <f t="shared" si="28"/>
        <v>399.4</v>
      </c>
      <c r="N105" s="13">
        <f t="shared" si="33"/>
        <v>0</v>
      </c>
      <c r="O105" s="84">
        <f t="shared" si="29"/>
        <v>399.4</v>
      </c>
      <c r="P105" s="13">
        <f t="shared" si="33"/>
        <v>0</v>
      </c>
      <c r="Q105" s="84">
        <f t="shared" si="26"/>
        <v>399.4</v>
      </c>
      <c r="R105" s="13">
        <f t="shared" si="33"/>
        <v>-15.7</v>
      </c>
      <c r="S105" s="84">
        <f t="shared" si="27"/>
        <v>383.7</v>
      </c>
      <c r="T105" s="13">
        <f t="shared" si="33"/>
        <v>0</v>
      </c>
      <c r="U105" s="84">
        <f t="shared" si="24"/>
        <v>383.7</v>
      </c>
    </row>
    <row r="106" spans="1:21" s="128" customFormat="1">
      <c r="A106" s="61" t="str">
        <f ca="1">IF(ISERROR(MATCH(F106,Код_КВР,0)),"",INDIRECT(ADDRESS(MATCH(F106,Код_КВР,0)+1,2,,,"КВР")))</f>
        <v>Закупка товаров, работ и услуг для муниципальных нужд</v>
      </c>
      <c r="B106" s="126">
        <v>801</v>
      </c>
      <c r="C106" s="8" t="s">
        <v>211</v>
      </c>
      <c r="D106" s="8" t="s">
        <v>188</v>
      </c>
      <c r="E106" s="126" t="s">
        <v>571</v>
      </c>
      <c r="F106" s="126">
        <v>200</v>
      </c>
      <c r="G106" s="69">
        <f t="shared" si="33"/>
        <v>399.4</v>
      </c>
      <c r="H106" s="69">
        <f t="shared" si="33"/>
        <v>0</v>
      </c>
      <c r="I106" s="69">
        <f t="shared" si="30"/>
        <v>399.4</v>
      </c>
      <c r="J106" s="69">
        <f t="shared" si="33"/>
        <v>0</v>
      </c>
      <c r="K106" s="84">
        <f t="shared" si="31"/>
        <v>399.4</v>
      </c>
      <c r="L106" s="13">
        <f t="shared" si="33"/>
        <v>0</v>
      </c>
      <c r="M106" s="84">
        <f t="shared" si="28"/>
        <v>399.4</v>
      </c>
      <c r="N106" s="13">
        <f t="shared" si="33"/>
        <v>0</v>
      </c>
      <c r="O106" s="84">
        <f t="shared" si="29"/>
        <v>399.4</v>
      </c>
      <c r="P106" s="13">
        <f t="shared" si="33"/>
        <v>0</v>
      </c>
      <c r="Q106" s="84">
        <f t="shared" si="26"/>
        <v>399.4</v>
      </c>
      <c r="R106" s="13">
        <f t="shared" si="33"/>
        <v>-15.7</v>
      </c>
      <c r="S106" s="84">
        <f t="shared" si="27"/>
        <v>383.7</v>
      </c>
      <c r="T106" s="13">
        <f t="shared" si="33"/>
        <v>0</v>
      </c>
      <c r="U106" s="84">
        <f t="shared" si="24"/>
        <v>383.7</v>
      </c>
    </row>
    <row r="107" spans="1:21" s="128" customFormat="1" ht="33">
      <c r="A107" s="61" t="str">
        <f ca="1">IF(ISERROR(MATCH(F107,Код_КВР,0)),"",INDIRECT(ADDRESS(MATCH(F107,Код_КВР,0)+1,2,,,"КВР")))</f>
        <v>Иные закупки товаров, работ и услуг для обеспечения муниципальных нужд</v>
      </c>
      <c r="B107" s="126">
        <v>801</v>
      </c>
      <c r="C107" s="8" t="s">
        <v>211</v>
      </c>
      <c r="D107" s="8" t="s">
        <v>188</v>
      </c>
      <c r="E107" s="126" t="s">
        <v>571</v>
      </c>
      <c r="F107" s="126">
        <v>240</v>
      </c>
      <c r="G107" s="69">
        <f t="shared" si="33"/>
        <v>399.4</v>
      </c>
      <c r="H107" s="69">
        <f t="shared" si="33"/>
        <v>0</v>
      </c>
      <c r="I107" s="69">
        <f t="shared" si="30"/>
        <v>399.4</v>
      </c>
      <c r="J107" s="69">
        <f t="shared" si="33"/>
        <v>0</v>
      </c>
      <c r="K107" s="84">
        <f t="shared" si="31"/>
        <v>399.4</v>
      </c>
      <c r="L107" s="13">
        <f t="shared" si="33"/>
        <v>0</v>
      </c>
      <c r="M107" s="84">
        <f t="shared" si="28"/>
        <v>399.4</v>
      </c>
      <c r="N107" s="13">
        <f t="shared" si="33"/>
        <v>0</v>
      </c>
      <c r="O107" s="84">
        <f t="shared" si="29"/>
        <v>399.4</v>
      </c>
      <c r="P107" s="13">
        <f t="shared" si="33"/>
        <v>0</v>
      </c>
      <c r="Q107" s="84">
        <f t="shared" si="26"/>
        <v>399.4</v>
      </c>
      <c r="R107" s="13">
        <f t="shared" si="33"/>
        <v>-15.7</v>
      </c>
      <c r="S107" s="84">
        <f t="shared" si="27"/>
        <v>383.7</v>
      </c>
      <c r="T107" s="13">
        <f t="shared" si="33"/>
        <v>0</v>
      </c>
      <c r="U107" s="84">
        <f t="shared" si="24"/>
        <v>383.7</v>
      </c>
    </row>
    <row r="108" spans="1:21" s="128" customFormat="1" ht="33">
      <c r="A108" s="61" t="str">
        <f ca="1">IF(ISERROR(MATCH(F108,Код_КВР,0)),"",INDIRECT(ADDRESS(MATCH(F108,Код_КВР,0)+1,2,,,"КВР")))</f>
        <v xml:space="preserve">Прочая закупка товаров, работ и услуг для обеспечения муниципальных нужд         </v>
      </c>
      <c r="B108" s="126">
        <v>801</v>
      </c>
      <c r="C108" s="8" t="s">
        <v>211</v>
      </c>
      <c r="D108" s="8" t="s">
        <v>188</v>
      </c>
      <c r="E108" s="126" t="s">
        <v>571</v>
      </c>
      <c r="F108" s="126">
        <v>244</v>
      </c>
      <c r="G108" s="69">
        <v>399.4</v>
      </c>
      <c r="H108" s="69"/>
      <c r="I108" s="69">
        <f t="shared" si="30"/>
        <v>399.4</v>
      </c>
      <c r="J108" s="69"/>
      <c r="K108" s="84">
        <f t="shared" si="31"/>
        <v>399.4</v>
      </c>
      <c r="L108" s="13"/>
      <c r="M108" s="84">
        <f t="shared" si="28"/>
        <v>399.4</v>
      </c>
      <c r="N108" s="13"/>
      <c r="O108" s="84">
        <f t="shared" si="29"/>
        <v>399.4</v>
      </c>
      <c r="P108" s="13"/>
      <c r="Q108" s="84">
        <f t="shared" si="26"/>
        <v>399.4</v>
      </c>
      <c r="R108" s="13">
        <v>-15.7</v>
      </c>
      <c r="S108" s="84">
        <f t="shared" si="27"/>
        <v>383.7</v>
      </c>
      <c r="T108" s="13"/>
      <c r="U108" s="84">
        <f t="shared" si="24"/>
        <v>383.7</v>
      </c>
    </row>
    <row r="109" spans="1:21" s="128" customFormat="1" ht="33">
      <c r="A109" s="61" t="str">
        <f ca="1">IF(ISERROR(MATCH(E109,Код_КЦСР,0)),"",INDIRECT(ADDRESS(MATCH(E109,Код_КЦСР,0)+1,2,,,"КЦСР")))</f>
        <v>Муниципальная программа «Развитие земельно-имущественного комплекса  города Череповца» на 2014-2018 годы</v>
      </c>
      <c r="B109" s="126">
        <v>801</v>
      </c>
      <c r="C109" s="8" t="s">
        <v>211</v>
      </c>
      <c r="D109" s="8" t="s">
        <v>188</v>
      </c>
      <c r="E109" s="126" t="s">
        <v>60</v>
      </c>
      <c r="F109" s="126"/>
      <c r="G109" s="69"/>
      <c r="H109" s="69"/>
      <c r="I109" s="69"/>
      <c r="J109" s="69">
        <f>J110</f>
        <v>7674.9000000000005</v>
      </c>
      <c r="K109" s="84">
        <f t="shared" si="31"/>
        <v>7674.9000000000005</v>
      </c>
      <c r="L109" s="13">
        <f>L110</f>
        <v>1130</v>
      </c>
      <c r="M109" s="84">
        <f t="shared" si="28"/>
        <v>8804.9000000000015</v>
      </c>
      <c r="N109" s="13">
        <f>N110</f>
        <v>0</v>
      </c>
      <c r="O109" s="84">
        <f t="shared" si="29"/>
        <v>8804.9000000000015</v>
      </c>
      <c r="P109" s="13">
        <f>P110</f>
        <v>0</v>
      </c>
      <c r="Q109" s="84">
        <f t="shared" si="26"/>
        <v>8804.9000000000015</v>
      </c>
      <c r="R109" s="13">
        <f>R110</f>
        <v>-1292.4000000000001</v>
      </c>
      <c r="S109" s="84">
        <f t="shared" si="27"/>
        <v>7512.5000000000018</v>
      </c>
      <c r="T109" s="13">
        <f>T110</f>
        <v>0</v>
      </c>
      <c r="U109" s="84">
        <f t="shared" si="24"/>
        <v>7512.5000000000018</v>
      </c>
    </row>
    <row r="110" spans="1:21" s="128" customFormat="1" ht="33">
      <c r="A110" s="61" t="str">
        <f ca="1">IF(ISERROR(MATCH(E110,Код_КЦСР,0)),"",INDIRECT(ADDRESS(MATCH(E110,Код_КЦСР,0)+1,2,,,"КЦСР")))</f>
        <v>Формирование и обеспечение сохранности муниципального земельно-имущественного комплекса</v>
      </c>
      <c r="B110" s="126">
        <v>801</v>
      </c>
      <c r="C110" s="8" t="s">
        <v>211</v>
      </c>
      <c r="D110" s="8" t="s">
        <v>188</v>
      </c>
      <c r="E110" s="126" t="s">
        <v>62</v>
      </c>
      <c r="F110" s="126"/>
      <c r="G110" s="69"/>
      <c r="H110" s="69"/>
      <c r="I110" s="69"/>
      <c r="J110" s="69">
        <f>J111</f>
        <v>7674.9000000000005</v>
      </c>
      <c r="K110" s="84">
        <f t="shared" si="31"/>
        <v>7674.9000000000005</v>
      </c>
      <c r="L110" s="13">
        <f>L111</f>
        <v>1130</v>
      </c>
      <c r="M110" s="84">
        <f t="shared" si="28"/>
        <v>8804.9000000000015</v>
      </c>
      <c r="N110" s="13">
        <f>N111</f>
        <v>0</v>
      </c>
      <c r="O110" s="84">
        <f t="shared" si="29"/>
        <v>8804.9000000000015</v>
      </c>
      <c r="P110" s="13">
        <f>P111</f>
        <v>0</v>
      </c>
      <c r="Q110" s="84">
        <f t="shared" si="26"/>
        <v>8804.9000000000015</v>
      </c>
      <c r="R110" s="13">
        <f>R111</f>
        <v>-1292.4000000000001</v>
      </c>
      <c r="S110" s="84">
        <f t="shared" si="27"/>
        <v>7512.5000000000018</v>
      </c>
      <c r="T110" s="13">
        <f>T111</f>
        <v>0</v>
      </c>
      <c r="U110" s="84">
        <f t="shared" si="24"/>
        <v>7512.5000000000018</v>
      </c>
    </row>
    <row r="111" spans="1:21" s="128" customFormat="1">
      <c r="A111" s="61" t="str">
        <f ca="1">IF(ISERROR(MATCH(F111,Код_КВР,0)),"",INDIRECT(ADDRESS(MATCH(F111,Код_КВР,0)+1,2,,,"КВР")))</f>
        <v>Закупка товаров, работ и услуг для муниципальных нужд</v>
      </c>
      <c r="B111" s="126">
        <v>801</v>
      </c>
      <c r="C111" s="8" t="s">
        <v>211</v>
      </c>
      <c r="D111" s="8" t="s">
        <v>188</v>
      </c>
      <c r="E111" s="126" t="s">
        <v>62</v>
      </c>
      <c r="F111" s="126">
        <v>200</v>
      </c>
      <c r="G111" s="69"/>
      <c r="H111" s="69"/>
      <c r="I111" s="69"/>
      <c r="J111" s="69">
        <f>J112</f>
        <v>7674.9000000000005</v>
      </c>
      <c r="K111" s="84">
        <f t="shared" si="31"/>
        <v>7674.9000000000005</v>
      </c>
      <c r="L111" s="13">
        <f>L112</f>
        <v>1130</v>
      </c>
      <c r="M111" s="84">
        <f t="shared" si="28"/>
        <v>8804.9000000000015</v>
      </c>
      <c r="N111" s="13">
        <f>N112</f>
        <v>0</v>
      </c>
      <c r="O111" s="84">
        <f t="shared" si="29"/>
        <v>8804.9000000000015</v>
      </c>
      <c r="P111" s="13">
        <f>P112</f>
        <v>0</v>
      </c>
      <c r="Q111" s="84">
        <f t="shared" si="26"/>
        <v>8804.9000000000015</v>
      </c>
      <c r="R111" s="13">
        <f>R112</f>
        <v>-1292.4000000000001</v>
      </c>
      <c r="S111" s="84">
        <f t="shared" si="27"/>
        <v>7512.5000000000018</v>
      </c>
      <c r="T111" s="13">
        <f>T112</f>
        <v>0</v>
      </c>
      <c r="U111" s="84">
        <f t="shared" si="24"/>
        <v>7512.5000000000018</v>
      </c>
    </row>
    <row r="112" spans="1:21" s="128" customFormat="1" ht="33">
      <c r="A112" s="61" t="str">
        <f ca="1">IF(ISERROR(MATCH(F112,Код_КВР,0)),"",INDIRECT(ADDRESS(MATCH(F112,Код_КВР,0)+1,2,,,"КВР")))</f>
        <v>Иные закупки товаров, работ и услуг для обеспечения муниципальных нужд</v>
      </c>
      <c r="B112" s="126">
        <v>801</v>
      </c>
      <c r="C112" s="8" t="s">
        <v>211</v>
      </c>
      <c r="D112" s="8" t="s">
        <v>188</v>
      </c>
      <c r="E112" s="126" t="s">
        <v>62</v>
      </c>
      <c r="F112" s="126">
        <v>240</v>
      </c>
      <c r="G112" s="69"/>
      <c r="H112" s="69"/>
      <c r="I112" s="69"/>
      <c r="J112" s="69">
        <f>J113</f>
        <v>7674.9000000000005</v>
      </c>
      <c r="K112" s="84">
        <f t="shared" si="31"/>
        <v>7674.9000000000005</v>
      </c>
      <c r="L112" s="13">
        <f>L113</f>
        <v>1130</v>
      </c>
      <c r="M112" s="84">
        <f t="shared" si="28"/>
        <v>8804.9000000000015</v>
      </c>
      <c r="N112" s="13">
        <f>N113</f>
        <v>0</v>
      </c>
      <c r="O112" s="84">
        <f t="shared" si="29"/>
        <v>8804.9000000000015</v>
      </c>
      <c r="P112" s="13">
        <f>P113</f>
        <v>0</v>
      </c>
      <c r="Q112" s="84">
        <f t="shared" si="26"/>
        <v>8804.9000000000015</v>
      </c>
      <c r="R112" s="13">
        <f>R113</f>
        <v>-1292.4000000000001</v>
      </c>
      <c r="S112" s="84">
        <f t="shared" si="27"/>
        <v>7512.5000000000018</v>
      </c>
      <c r="T112" s="13">
        <f>T113</f>
        <v>0</v>
      </c>
      <c r="U112" s="84">
        <f t="shared" si="24"/>
        <v>7512.5000000000018</v>
      </c>
    </row>
    <row r="113" spans="1:21" s="128" customFormat="1" ht="33">
      <c r="A113" s="61" t="str">
        <f ca="1">IF(ISERROR(MATCH(F113,Код_КВР,0)),"",INDIRECT(ADDRESS(MATCH(F113,Код_КВР,0)+1,2,,,"КВР")))</f>
        <v xml:space="preserve">Прочая закупка товаров, работ и услуг для обеспечения муниципальных нужд         </v>
      </c>
      <c r="B113" s="126">
        <v>801</v>
      </c>
      <c r="C113" s="8" t="s">
        <v>211</v>
      </c>
      <c r="D113" s="8" t="s">
        <v>188</v>
      </c>
      <c r="E113" s="126" t="s">
        <v>62</v>
      </c>
      <c r="F113" s="126">
        <v>244</v>
      </c>
      <c r="G113" s="69"/>
      <c r="H113" s="69"/>
      <c r="I113" s="69"/>
      <c r="J113" s="69">
        <f>7758.6-83.7</f>
        <v>7674.9000000000005</v>
      </c>
      <c r="K113" s="84">
        <f t="shared" si="31"/>
        <v>7674.9000000000005</v>
      </c>
      <c r="L113" s="13">
        <v>1130</v>
      </c>
      <c r="M113" s="84">
        <f t="shared" si="28"/>
        <v>8804.9000000000015</v>
      </c>
      <c r="N113" s="13"/>
      <c r="O113" s="84">
        <f t="shared" si="29"/>
        <v>8804.9000000000015</v>
      </c>
      <c r="P113" s="13"/>
      <c r="Q113" s="84">
        <f t="shared" si="26"/>
        <v>8804.9000000000015</v>
      </c>
      <c r="R113" s="13">
        <f>-289-1003.4</f>
        <v>-1292.4000000000001</v>
      </c>
      <c r="S113" s="84">
        <f t="shared" si="27"/>
        <v>7512.5000000000018</v>
      </c>
      <c r="T113" s="13"/>
      <c r="U113" s="84">
        <f t="shared" si="24"/>
        <v>7512.5000000000018</v>
      </c>
    </row>
    <row r="114" spans="1:21" s="128" customFormat="1" ht="33">
      <c r="A114" s="61" t="str">
        <f ca="1">IF(ISERROR(MATCH(E114,Код_КЦСР,0)),"",INDIRECT(ADDRESS(MATCH(E114,Код_КЦСР,0)+1,2,,,"КЦСР")))</f>
        <v>Муниципальная программа «Совершенствование муниципального управления в городе Череповце» на 2014-2018 годы</v>
      </c>
      <c r="B114" s="126">
        <v>801</v>
      </c>
      <c r="C114" s="8" t="s">
        <v>211</v>
      </c>
      <c r="D114" s="8" t="s">
        <v>188</v>
      </c>
      <c r="E114" s="126" t="s">
        <v>121</v>
      </c>
      <c r="F114" s="126"/>
      <c r="G114" s="69">
        <f>G115+G126+G131</f>
        <v>102561.1</v>
      </c>
      <c r="H114" s="69">
        <f>H115+H126+H131</f>
        <v>0</v>
      </c>
      <c r="I114" s="69">
        <f t="shared" si="30"/>
        <v>102561.1</v>
      </c>
      <c r="J114" s="69">
        <f>J115+J126+J131</f>
        <v>1364.5</v>
      </c>
      <c r="K114" s="84">
        <f t="shared" si="31"/>
        <v>103925.6</v>
      </c>
      <c r="L114" s="13">
        <f>L115+L126+L131</f>
        <v>-207</v>
      </c>
      <c r="M114" s="84">
        <f t="shared" si="28"/>
        <v>103718.6</v>
      </c>
      <c r="N114" s="13">
        <f>N115+N126+N131</f>
        <v>0</v>
      </c>
      <c r="O114" s="84">
        <f t="shared" si="29"/>
        <v>103718.6</v>
      </c>
      <c r="P114" s="13">
        <f>P115+P126+P131</f>
        <v>0</v>
      </c>
      <c r="Q114" s="84">
        <f t="shared" si="26"/>
        <v>103718.6</v>
      </c>
      <c r="R114" s="13">
        <f>R115+R126+R131</f>
        <v>1375.9</v>
      </c>
      <c r="S114" s="84">
        <f t="shared" si="27"/>
        <v>105094.5</v>
      </c>
      <c r="T114" s="13">
        <f>T115+T126+T131</f>
        <v>4797.3999999999996</v>
      </c>
      <c r="U114" s="84">
        <f t="shared" si="24"/>
        <v>109891.9</v>
      </c>
    </row>
    <row r="115" spans="1:21" s="128" customFormat="1" ht="33">
      <c r="A115" s="61" t="str">
        <f ca="1">IF(ISERROR(MATCH(E115,Код_КЦСР,0)),"",INDIRECT(ADDRESS(MATCH(E115,Код_КЦСР,0)+1,2,,,"КЦСР")))</f>
        <v>Создание условий для обеспечения выполнения органами муниципальной власти своих полномочий</v>
      </c>
      <c r="B115" s="126">
        <v>801</v>
      </c>
      <c r="C115" s="8" t="s">
        <v>211</v>
      </c>
      <c r="D115" s="8" t="s">
        <v>188</v>
      </c>
      <c r="E115" s="126" t="s">
        <v>122</v>
      </c>
      <c r="F115" s="126"/>
      <c r="G115" s="69">
        <f>G116</f>
        <v>74353.2</v>
      </c>
      <c r="H115" s="69">
        <f>H116</f>
        <v>0</v>
      </c>
      <c r="I115" s="69">
        <f t="shared" si="30"/>
        <v>74353.2</v>
      </c>
      <c r="J115" s="69">
        <f>J116</f>
        <v>1364.5</v>
      </c>
      <c r="K115" s="84">
        <f t="shared" si="31"/>
        <v>75717.7</v>
      </c>
      <c r="L115" s="13">
        <f>L116</f>
        <v>0</v>
      </c>
      <c r="M115" s="84">
        <f t="shared" si="28"/>
        <v>75717.7</v>
      </c>
      <c r="N115" s="13">
        <f>N116</f>
        <v>0</v>
      </c>
      <c r="O115" s="84">
        <f t="shared" si="29"/>
        <v>75717.7</v>
      </c>
      <c r="P115" s="13">
        <f>P116</f>
        <v>0</v>
      </c>
      <c r="Q115" s="84">
        <f t="shared" si="26"/>
        <v>75717.7</v>
      </c>
      <c r="R115" s="13">
        <f>R116</f>
        <v>1355.9</v>
      </c>
      <c r="S115" s="84">
        <f t="shared" si="27"/>
        <v>77073.599999999991</v>
      </c>
      <c r="T115" s="13">
        <f>T116</f>
        <v>200</v>
      </c>
      <c r="U115" s="84">
        <f t="shared" si="24"/>
        <v>77273.599999999991</v>
      </c>
    </row>
    <row r="116" spans="1:21" s="128" customFormat="1" ht="33">
      <c r="A116" s="61" t="str">
        <f ca="1">IF(ISERROR(MATCH(E116,Код_КЦСР,0)),"",INDIRECT(ADDRESS(MATCH(E116,Код_КЦСР,0)+1,2,,,"КЦСР")))</f>
        <v>Материально-техническое обеспечение деятельности работников местного самоуправления</v>
      </c>
      <c r="B116" s="126">
        <v>801</v>
      </c>
      <c r="C116" s="8" t="s">
        <v>211</v>
      </c>
      <c r="D116" s="8" t="s">
        <v>188</v>
      </c>
      <c r="E116" s="126" t="s">
        <v>126</v>
      </c>
      <c r="F116" s="126"/>
      <c r="G116" s="69">
        <f>G117+G119+G122</f>
        <v>74353.2</v>
      </c>
      <c r="H116" s="69">
        <f>H117+H119+H122</f>
        <v>0</v>
      </c>
      <c r="I116" s="69">
        <f t="shared" si="30"/>
        <v>74353.2</v>
      </c>
      <c r="J116" s="69">
        <f>J117+J119+J122</f>
        <v>1364.5</v>
      </c>
      <c r="K116" s="84">
        <f t="shared" si="31"/>
        <v>75717.7</v>
      </c>
      <c r="L116" s="13">
        <f>L117+L119+L122</f>
        <v>0</v>
      </c>
      <c r="M116" s="84">
        <f t="shared" si="28"/>
        <v>75717.7</v>
      </c>
      <c r="N116" s="13">
        <f>N117+N119+N122</f>
        <v>0</v>
      </c>
      <c r="O116" s="84">
        <f t="shared" si="29"/>
        <v>75717.7</v>
      </c>
      <c r="P116" s="13">
        <f>P117+P119+P122</f>
        <v>0</v>
      </c>
      <c r="Q116" s="84">
        <f t="shared" si="26"/>
        <v>75717.7</v>
      </c>
      <c r="R116" s="13">
        <f>R117+R119+R122</f>
        <v>1355.9</v>
      </c>
      <c r="S116" s="84">
        <f t="shared" si="27"/>
        <v>77073.599999999991</v>
      </c>
      <c r="T116" s="13">
        <f>T117+T119+T122</f>
        <v>200</v>
      </c>
      <c r="U116" s="84">
        <f t="shared" si="24"/>
        <v>77273.599999999991</v>
      </c>
    </row>
    <row r="117" spans="1:21" s="128" customFormat="1" ht="33">
      <c r="A117" s="61" t="str">
        <f t="shared" ref="A117:A123" ca="1" si="34">IF(ISERROR(MATCH(F117,Код_КВР,0)),"",INDIRECT(ADDRESS(MATCH(F117,Код_КВР,0)+1,2,,,"КВР")))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" s="126">
        <v>801</v>
      </c>
      <c r="C117" s="8" t="s">
        <v>211</v>
      </c>
      <c r="D117" s="8" t="s">
        <v>188</v>
      </c>
      <c r="E117" s="126" t="s">
        <v>126</v>
      </c>
      <c r="F117" s="126">
        <v>100</v>
      </c>
      <c r="G117" s="69">
        <f>G118</f>
        <v>37037.1</v>
      </c>
      <c r="H117" s="69">
        <f>H118</f>
        <v>0</v>
      </c>
      <c r="I117" s="69">
        <f t="shared" si="30"/>
        <v>37037.1</v>
      </c>
      <c r="J117" s="69">
        <f>J118</f>
        <v>431.7</v>
      </c>
      <c r="K117" s="84">
        <f t="shared" si="31"/>
        <v>37468.799999999996</v>
      </c>
      <c r="L117" s="13">
        <f>L118</f>
        <v>0</v>
      </c>
      <c r="M117" s="84">
        <f t="shared" si="28"/>
        <v>37468.799999999996</v>
      </c>
      <c r="N117" s="13">
        <f>N118</f>
        <v>0</v>
      </c>
      <c r="O117" s="84">
        <f t="shared" si="29"/>
        <v>37468.799999999996</v>
      </c>
      <c r="P117" s="13">
        <f>P118</f>
        <v>0</v>
      </c>
      <c r="Q117" s="84">
        <f t="shared" si="26"/>
        <v>37468.799999999996</v>
      </c>
      <c r="R117" s="13">
        <f>R118</f>
        <v>0</v>
      </c>
      <c r="S117" s="84">
        <f t="shared" si="27"/>
        <v>37468.799999999996</v>
      </c>
      <c r="T117" s="13">
        <f>T118</f>
        <v>0</v>
      </c>
      <c r="U117" s="84">
        <f t="shared" si="24"/>
        <v>37468.799999999996</v>
      </c>
    </row>
    <row r="118" spans="1:21" s="128" customFormat="1">
      <c r="A118" s="61" t="str">
        <f t="shared" ca="1" si="34"/>
        <v>Расходы на выплаты персоналу казенных учреждений</v>
      </c>
      <c r="B118" s="126">
        <v>801</v>
      </c>
      <c r="C118" s="8" t="s">
        <v>211</v>
      </c>
      <c r="D118" s="8" t="s">
        <v>188</v>
      </c>
      <c r="E118" s="126" t="s">
        <v>126</v>
      </c>
      <c r="F118" s="126">
        <v>110</v>
      </c>
      <c r="G118" s="69">
        <f>36851.2+185.9</f>
        <v>37037.1</v>
      </c>
      <c r="H118" s="69"/>
      <c r="I118" s="69">
        <f t="shared" si="30"/>
        <v>37037.1</v>
      </c>
      <c r="J118" s="69">
        <f>348+83.7</f>
        <v>431.7</v>
      </c>
      <c r="K118" s="84">
        <f t="shared" si="31"/>
        <v>37468.799999999996</v>
      </c>
      <c r="L118" s="13"/>
      <c r="M118" s="84">
        <f t="shared" si="28"/>
        <v>37468.799999999996</v>
      </c>
      <c r="N118" s="13"/>
      <c r="O118" s="84">
        <f t="shared" si="29"/>
        <v>37468.799999999996</v>
      </c>
      <c r="P118" s="13"/>
      <c r="Q118" s="84">
        <f t="shared" si="26"/>
        <v>37468.799999999996</v>
      </c>
      <c r="R118" s="13"/>
      <c r="S118" s="84">
        <f t="shared" si="27"/>
        <v>37468.799999999996</v>
      </c>
      <c r="T118" s="13"/>
      <c r="U118" s="84">
        <f t="shared" si="24"/>
        <v>37468.799999999996</v>
      </c>
    </row>
    <row r="119" spans="1:21" s="128" customFormat="1">
      <c r="A119" s="61" t="str">
        <f t="shared" ca="1" si="34"/>
        <v>Закупка товаров, работ и услуг для муниципальных нужд</v>
      </c>
      <c r="B119" s="126">
        <v>801</v>
      </c>
      <c r="C119" s="8" t="s">
        <v>211</v>
      </c>
      <c r="D119" s="8" t="s">
        <v>188</v>
      </c>
      <c r="E119" s="126" t="s">
        <v>126</v>
      </c>
      <c r="F119" s="126">
        <v>200</v>
      </c>
      <c r="G119" s="69">
        <f>G120</f>
        <v>34357.800000000003</v>
      </c>
      <c r="H119" s="69">
        <f>H120</f>
        <v>0</v>
      </c>
      <c r="I119" s="69">
        <f t="shared" si="30"/>
        <v>34357.800000000003</v>
      </c>
      <c r="J119" s="69">
        <f>J120</f>
        <v>932.8</v>
      </c>
      <c r="K119" s="84">
        <f t="shared" si="31"/>
        <v>35290.600000000006</v>
      </c>
      <c r="L119" s="13">
        <f>L120</f>
        <v>0</v>
      </c>
      <c r="M119" s="84">
        <f t="shared" si="28"/>
        <v>35290.600000000006</v>
      </c>
      <c r="N119" s="13">
        <f>N120</f>
        <v>0</v>
      </c>
      <c r="O119" s="84">
        <f t="shared" si="29"/>
        <v>35290.600000000006</v>
      </c>
      <c r="P119" s="13">
        <f>P120</f>
        <v>0</v>
      </c>
      <c r="Q119" s="84">
        <f t="shared" si="26"/>
        <v>35290.600000000006</v>
      </c>
      <c r="R119" s="13">
        <f>R120</f>
        <v>1355.9</v>
      </c>
      <c r="S119" s="84">
        <f t="shared" si="27"/>
        <v>36646.500000000007</v>
      </c>
      <c r="T119" s="13">
        <f>T120</f>
        <v>200</v>
      </c>
      <c r="U119" s="84">
        <f t="shared" si="24"/>
        <v>36846.500000000007</v>
      </c>
    </row>
    <row r="120" spans="1:21" s="128" customFormat="1" ht="33">
      <c r="A120" s="61" t="str">
        <f t="shared" ca="1" si="34"/>
        <v>Иные закупки товаров, работ и услуг для обеспечения муниципальных нужд</v>
      </c>
      <c r="B120" s="126">
        <v>801</v>
      </c>
      <c r="C120" s="8" t="s">
        <v>211</v>
      </c>
      <c r="D120" s="8" t="s">
        <v>188</v>
      </c>
      <c r="E120" s="126" t="s">
        <v>126</v>
      </c>
      <c r="F120" s="126">
        <v>240</v>
      </c>
      <c r="G120" s="69">
        <f>G121</f>
        <v>34357.800000000003</v>
      </c>
      <c r="H120" s="69">
        <f>H121</f>
        <v>0</v>
      </c>
      <c r="I120" s="69">
        <f t="shared" si="30"/>
        <v>34357.800000000003</v>
      </c>
      <c r="J120" s="69">
        <f>J121</f>
        <v>932.8</v>
      </c>
      <c r="K120" s="84">
        <f t="shared" si="31"/>
        <v>35290.600000000006</v>
      </c>
      <c r="L120" s="13">
        <f>L121</f>
        <v>0</v>
      </c>
      <c r="M120" s="84">
        <f t="shared" si="28"/>
        <v>35290.600000000006</v>
      </c>
      <c r="N120" s="13">
        <f>N121</f>
        <v>0</v>
      </c>
      <c r="O120" s="84">
        <f t="shared" si="29"/>
        <v>35290.600000000006</v>
      </c>
      <c r="P120" s="13">
        <f>P121</f>
        <v>0</v>
      </c>
      <c r="Q120" s="84">
        <f t="shared" si="26"/>
        <v>35290.600000000006</v>
      </c>
      <c r="R120" s="13">
        <f>R121</f>
        <v>1355.9</v>
      </c>
      <c r="S120" s="84">
        <f t="shared" si="27"/>
        <v>36646.500000000007</v>
      </c>
      <c r="T120" s="13">
        <f>T121</f>
        <v>200</v>
      </c>
      <c r="U120" s="84">
        <f t="shared" si="24"/>
        <v>36846.500000000007</v>
      </c>
    </row>
    <row r="121" spans="1:21" s="128" customFormat="1" ht="33">
      <c r="A121" s="61" t="str">
        <f t="shared" ca="1" si="34"/>
        <v xml:space="preserve">Прочая закупка товаров, работ и услуг для обеспечения муниципальных нужд         </v>
      </c>
      <c r="B121" s="126">
        <v>801</v>
      </c>
      <c r="C121" s="8" t="s">
        <v>211</v>
      </c>
      <c r="D121" s="8" t="s">
        <v>188</v>
      </c>
      <c r="E121" s="126" t="s">
        <v>126</v>
      </c>
      <c r="F121" s="126">
        <v>244</v>
      </c>
      <c r="G121" s="69">
        <v>34357.800000000003</v>
      </c>
      <c r="H121" s="69"/>
      <c r="I121" s="69">
        <f t="shared" si="30"/>
        <v>34357.800000000003</v>
      </c>
      <c r="J121" s="69">
        <f>504.7+361.6+66.5</f>
        <v>932.8</v>
      </c>
      <c r="K121" s="84">
        <f t="shared" si="31"/>
        <v>35290.600000000006</v>
      </c>
      <c r="L121" s="13"/>
      <c r="M121" s="84">
        <f t="shared" si="28"/>
        <v>35290.600000000006</v>
      </c>
      <c r="N121" s="13"/>
      <c r="O121" s="84">
        <f t="shared" si="29"/>
        <v>35290.600000000006</v>
      </c>
      <c r="P121" s="13"/>
      <c r="Q121" s="84">
        <f t="shared" si="26"/>
        <v>35290.600000000006</v>
      </c>
      <c r="R121" s="13">
        <f>289+63.5+1003.4</f>
        <v>1355.9</v>
      </c>
      <c r="S121" s="84">
        <f t="shared" si="27"/>
        <v>36646.500000000007</v>
      </c>
      <c r="T121" s="13">
        <v>200</v>
      </c>
      <c r="U121" s="84">
        <f t="shared" si="24"/>
        <v>36846.500000000007</v>
      </c>
    </row>
    <row r="122" spans="1:21" s="128" customFormat="1">
      <c r="A122" s="61" t="str">
        <f t="shared" ca="1" si="34"/>
        <v>Иные бюджетные ассигнования</v>
      </c>
      <c r="B122" s="126">
        <v>801</v>
      </c>
      <c r="C122" s="8" t="s">
        <v>211</v>
      </c>
      <c r="D122" s="8" t="s">
        <v>188</v>
      </c>
      <c r="E122" s="126" t="s">
        <v>126</v>
      </c>
      <c r="F122" s="126">
        <v>800</v>
      </c>
      <c r="G122" s="69">
        <f>G123</f>
        <v>2958.2999999999997</v>
      </c>
      <c r="H122" s="69">
        <f>H123</f>
        <v>0</v>
      </c>
      <c r="I122" s="69">
        <f t="shared" si="30"/>
        <v>2958.2999999999997</v>
      </c>
      <c r="J122" s="69">
        <f>J123</f>
        <v>0</v>
      </c>
      <c r="K122" s="84">
        <f t="shared" si="31"/>
        <v>2958.2999999999997</v>
      </c>
      <c r="L122" s="13">
        <f>L123</f>
        <v>0</v>
      </c>
      <c r="M122" s="84">
        <f t="shared" si="28"/>
        <v>2958.2999999999997</v>
      </c>
      <c r="N122" s="13">
        <f>N123</f>
        <v>0</v>
      </c>
      <c r="O122" s="84">
        <f t="shared" si="29"/>
        <v>2958.2999999999997</v>
      </c>
      <c r="P122" s="13">
        <f>P123</f>
        <v>0</v>
      </c>
      <c r="Q122" s="84">
        <f t="shared" si="26"/>
        <v>2958.2999999999997</v>
      </c>
      <c r="R122" s="13">
        <f>R123</f>
        <v>0</v>
      </c>
      <c r="S122" s="84">
        <f t="shared" si="27"/>
        <v>2958.2999999999997</v>
      </c>
      <c r="T122" s="13">
        <f>T123</f>
        <v>0</v>
      </c>
      <c r="U122" s="84">
        <f t="shared" si="24"/>
        <v>2958.2999999999997</v>
      </c>
    </row>
    <row r="123" spans="1:21" s="128" customFormat="1">
      <c r="A123" s="61" t="str">
        <f t="shared" ca="1" si="34"/>
        <v>Уплата налогов, сборов и иных платежей</v>
      </c>
      <c r="B123" s="126">
        <v>801</v>
      </c>
      <c r="C123" s="8" t="s">
        <v>211</v>
      </c>
      <c r="D123" s="8" t="s">
        <v>188</v>
      </c>
      <c r="E123" s="126" t="s">
        <v>126</v>
      </c>
      <c r="F123" s="126">
        <v>850</v>
      </c>
      <c r="G123" s="69">
        <f>SUM(G124:G125)</f>
        <v>2958.2999999999997</v>
      </c>
      <c r="H123" s="69">
        <f>SUM(H124:H125)</f>
        <v>0</v>
      </c>
      <c r="I123" s="69">
        <f t="shared" si="30"/>
        <v>2958.2999999999997</v>
      </c>
      <c r="J123" s="69">
        <f>SUM(J124:J125)</f>
        <v>0</v>
      </c>
      <c r="K123" s="84">
        <f t="shared" si="31"/>
        <v>2958.2999999999997</v>
      </c>
      <c r="L123" s="13">
        <f>SUM(L124:L125)</f>
        <v>0</v>
      </c>
      <c r="M123" s="84">
        <f t="shared" si="28"/>
        <v>2958.2999999999997</v>
      </c>
      <c r="N123" s="13">
        <f>SUM(N124:N125)</f>
        <v>0</v>
      </c>
      <c r="O123" s="84">
        <f t="shared" si="29"/>
        <v>2958.2999999999997</v>
      </c>
      <c r="P123" s="13">
        <f>SUM(P124:P125)</f>
        <v>0</v>
      </c>
      <c r="Q123" s="84">
        <f t="shared" si="26"/>
        <v>2958.2999999999997</v>
      </c>
      <c r="R123" s="13">
        <f>SUM(R124:R125)</f>
        <v>0</v>
      </c>
      <c r="S123" s="84">
        <f t="shared" si="27"/>
        <v>2958.2999999999997</v>
      </c>
      <c r="T123" s="13">
        <f>SUM(T124:T125)</f>
        <v>0</v>
      </c>
      <c r="U123" s="84">
        <f t="shared" si="24"/>
        <v>2958.2999999999997</v>
      </c>
    </row>
    <row r="124" spans="1:21" s="128" customFormat="1">
      <c r="A124" s="61" t="str">
        <f ca="1">IF(ISERROR(MATCH(F124,Код_КВР,0)),"",INDIRECT(ADDRESS(MATCH(F124,Код_КВР,0)+1,2,,,"КВР")))</f>
        <v>Уплата налога на имущество организаций и земельного налога</v>
      </c>
      <c r="B124" s="126">
        <v>801</v>
      </c>
      <c r="C124" s="8" t="s">
        <v>211</v>
      </c>
      <c r="D124" s="8" t="s">
        <v>188</v>
      </c>
      <c r="E124" s="126" t="s">
        <v>126</v>
      </c>
      <c r="F124" s="126">
        <v>851</v>
      </c>
      <c r="G124" s="69">
        <v>2591.6</v>
      </c>
      <c r="H124" s="69"/>
      <c r="I124" s="69">
        <f t="shared" si="30"/>
        <v>2591.6</v>
      </c>
      <c r="J124" s="69"/>
      <c r="K124" s="84">
        <f t="shared" si="31"/>
        <v>2591.6</v>
      </c>
      <c r="L124" s="13"/>
      <c r="M124" s="84">
        <f t="shared" si="28"/>
        <v>2591.6</v>
      </c>
      <c r="N124" s="13"/>
      <c r="O124" s="84">
        <f t="shared" si="29"/>
        <v>2591.6</v>
      </c>
      <c r="P124" s="13"/>
      <c r="Q124" s="84">
        <f t="shared" si="26"/>
        <v>2591.6</v>
      </c>
      <c r="R124" s="13">
        <v>30</v>
      </c>
      <c r="S124" s="84">
        <f t="shared" si="27"/>
        <v>2621.6</v>
      </c>
      <c r="T124" s="13"/>
      <c r="U124" s="84">
        <f t="shared" si="24"/>
        <v>2621.6</v>
      </c>
    </row>
    <row r="125" spans="1:21" s="128" customFormat="1">
      <c r="A125" s="61" t="str">
        <f ca="1">IF(ISERROR(MATCH(F125,Код_КВР,0)),"",INDIRECT(ADDRESS(MATCH(F125,Код_КВР,0)+1,2,,,"КВР")))</f>
        <v>Уплата прочих налогов, сборов и иных платежей</v>
      </c>
      <c r="B125" s="126">
        <v>801</v>
      </c>
      <c r="C125" s="8" t="s">
        <v>211</v>
      </c>
      <c r="D125" s="8" t="s">
        <v>188</v>
      </c>
      <c r="E125" s="126" t="s">
        <v>126</v>
      </c>
      <c r="F125" s="126">
        <v>852</v>
      </c>
      <c r="G125" s="69">
        <v>366.7</v>
      </c>
      <c r="H125" s="69"/>
      <c r="I125" s="69">
        <f t="shared" si="30"/>
        <v>366.7</v>
      </c>
      <c r="J125" s="69"/>
      <c r="K125" s="84">
        <f t="shared" si="31"/>
        <v>366.7</v>
      </c>
      <c r="L125" s="13"/>
      <c r="M125" s="84">
        <f t="shared" si="28"/>
        <v>366.7</v>
      </c>
      <c r="N125" s="13"/>
      <c r="O125" s="84">
        <f t="shared" si="29"/>
        <v>366.7</v>
      </c>
      <c r="P125" s="13"/>
      <c r="Q125" s="84">
        <f t="shared" si="26"/>
        <v>366.7</v>
      </c>
      <c r="R125" s="13">
        <v>-30</v>
      </c>
      <c r="S125" s="84">
        <f t="shared" si="27"/>
        <v>336.7</v>
      </c>
      <c r="T125" s="13"/>
      <c r="U125" s="84">
        <f t="shared" si="24"/>
        <v>336.7</v>
      </c>
    </row>
    <row r="126" spans="1:21" s="128" customFormat="1">
      <c r="A126" s="61" t="str">
        <f ca="1">IF(ISERROR(MATCH(E126,Код_КЦСР,0)),"",INDIRECT(ADDRESS(MATCH(E126,Код_КЦСР,0)+1,2,,,"КЦСР")))</f>
        <v>Развитие муниципальной службы в мэрии города Череповца</v>
      </c>
      <c r="B126" s="126">
        <v>801</v>
      </c>
      <c r="C126" s="8" t="s">
        <v>211</v>
      </c>
      <c r="D126" s="8" t="s">
        <v>188</v>
      </c>
      <c r="E126" s="126" t="s">
        <v>128</v>
      </c>
      <c r="F126" s="126"/>
      <c r="G126" s="69">
        <f t="shared" ref="G126:T129" si="35">G127</f>
        <v>350</v>
      </c>
      <c r="H126" s="69">
        <f t="shared" si="35"/>
        <v>0</v>
      </c>
      <c r="I126" s="69">
        <f t="shared" si="30"/>
        <v>350</v>
      </c>
      <c r="J126" s="69">
        <f t="shared" si="35"/>
        <v>0</v>
      </c>
      <c r="K126" s="84">
        <f t="shared" si="31"/>
        <v>350</v>
      </c>
      <c r="L126" s="13">
        <f t="shared" si="35"/>
        <v>-77</v>
      </c>
      <c r="M126" s="84">
        <f t="shared" si="28"/>
        <v>273</v>
      </c>
      <c r="N126" s="13">
        <f t="shared" si="35"/>
        <v>0</v>
      </c>
      <c r="O126" s="84">
        <f t="shared" si="29"/>
        <v>273</v>
      </c>
      <c r="P126" s="13">
        <f t="shared" si="35"/>
        <v>0</v>
      </c>
      <c r="Q126" s="84">
        <f t="shared" si="26"/>
        <v>273</v>
      </c>
      <c r="R126" s="13">
        <f t="shared" si="35"/>
        <v>20</v>
      </c>
      <c r="S126" s="84">
        <f t="shared" si="27"/>
        <v>293</v>
      </c>
      <c r="T126" s="13">
        <f t="shared" si="35"/>
        <v>0</v>
      </c>
      <c r="U126" s="84">
        <f t="shared" si="24"/>
        <v>293</v>
      </c>
    </row>
    <row r="127" spans="1:21" s="128" customFormat="1" ht="38.25" customHeight="1">
      <c r="A127" s="61" t="str">
        <f ca="1">IF(ISERROR(MATCH(E127,Код_КЦСР,0)),"",INDIRECT(ADDRESS(MATCH(E127,Код_КЦСР,0)+1,2,,,"КЦСР")))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27" s="126">
        <v>801</v>
      </c>
      <c r="C127" s="8" t="s">
        <v>211</v>
      </c>
      <c r="D127" s="8" t="s">
        <v>188</v>
      </c>
      <c r="E127" s="126" t="s">
        <v>130</v>
      </c>
      <c r="F127" s="126"/>
      <c r="G127" s="69">
        <f t="shared" si="35"/>
        <v>350</v>
      </c>
      <c r="H127" s="69">
        <f t="shared" si="35"/>
        <v>0</v>
      </c>
      <c r="I127" s="69">
        <f t="shared" si="30"/>
        <v>350</v>
      </c>
      <c r="J127" s="69">
        <f t="shared" si="35"/>
        <v>0</v>
      </c>
      <c r="K127" s="84">
        <f t="shared" si="31"/>
        <v>350</v>
      </c>
      <c r="L127" s="13">
        <f t="shared" si="35"/>
        <v>-77</v>
      </c>
      <c r="M127" s="84">
        <f t="shared" si="28"/>
        <v>273</v>
      </c>
      <c r="N127" s="13">
        <f t="shared" si="35"/>
        <v>0</v>
      </c>
      <c r="O127" s="84">
        <f t="shared" si="29"/>
        <v>273</v>
      </c>
      <c r="P127" s="13">
        <f t="shared" si="35"/>
        <v>0</v>
      </c>
      <c r="Q127" s="84">
        <f t="shared" si="26"/>
        <v>273</v>
      </c>
      <c r="R127" s="13">
        <f t="shared" si="35"/>
        <v>20</v>
      </c>
      <c r="S127" s="84">
        <f t="shared" si="27"/>
        <v>293</v>
      </c>
      <c r="T127" s="13">
        <f t="shared" si="35"/>
        <v>0</v>
      </c>
      <c r="U127" s="84">
        <f t="shared" si="24"/>
        <v>293</v>
      </c>
    </row>
    <row r="128" spans="1:21" s="128" customFormat="1">
      <c r="A128" s="61" t="str">
        <f ca="1">IF(ISERROR(MATCH(F128,Код_КВР,0)),"",INDIRECT(ADDRESS(MATCH(F128,Код_КВР,0)+1,2,,,"КВР")))</f>
        <v>Закупка товаров, работ и услуг для муниципальных нужд</v>
      </c>
      <c r="B128" s="126">
        <v>801</v>
      </c>
      <c r="C128" s="8" t="s">
        <v>211</v>
      </c>
      <c r="D128" s="8" t="s">
        <v>188</v>
      </c>
      <c r="E128" s="126" t="s">
        <v>130</v>
      </c>
      <c r="F128" s="126">
        <v>200</v>
      </c>
      <c r="G128" s="69">
        <f t="shared" si="35"/>
        <v>350</v>
      </c>
      <c r="H128" s="69">
        <f t="shared" si="35"/>
        <v>0</v>
      </c>
      <c r="I128" s="69">
        <f t="shared" si="30"/>
        <v>350</v>
      </c>
      <c r="J128" s="69">
        <f t="shared" si="35"/>
        <v>0</v>
      </c>
      <c r="K128" s="84">
        <f t="shared" si="31"/>
        <v>350</v>
      </c>
      <c r="L128" s="13">
        <f t="shared" si="35"/>
        <v>-77</v>
      </c>
      <c r="M128" s="84">
        <f t="shared" si="28"/>
        <v>273</v>
      </c>
      <c r="N128" s="13">
        <f t="shared" si="35"/>
        <v>0</v>
      </c>
      <c r="O128" s="84">
        <f t="shared" si="29"/>
        <v>273</v>
      </c>
      <c r="P128" s="13">
        <f t="shared" si="35"/>
        <v>0</v>
      </c>
      <c r="Q128" s="84">
        <f t="shared" si="26"/>
        <v>273</v>
      </c>
      <c r="R128" s="13">
        <f t="shared" si="35"/>
        <v>20</v>
      </c>
      <c r="S128" s="84">
        <f t="shared" si="27"/>
        <v>293</v>
      </c>
      <c r="T128" s="13">
        <f t="shared" si="35"/>
        <v>0</v>
      </c>
      <c r="U128" s="84">
        <f t="shared" si="24"/>
        <v>293</v>
      </c>
    </row>
    <row r="129" spans="1:22" s="128" customFormat="1" ht="33">
      <c r="A129" s="61" t="str">
        <f ca="1">IF(ISERROR(MATCH(F129,Код_КВР,0)),"",INDIRECT(ADDRESS(MATCH(F129,Код_КВР,0)+1,2,,,"КВР")))</f>
        <v>Иные закупки товаров, работ и услуг для обеспечения муниципальных нужд</v>
      </c>
      <c r="B129" s="126">
        <v>801</v>
      </c>
      <c r="C129" s="8" t="s">
        <v>211</v>
      </c>
      <c r="D129" s="8" t="s">
        <v>188</v>
      </c>
      <c r="E129" s="126" t="s">
        <v>130</v>
      </c>
      <c r="F129" s="126">
        <v>240</v>
      </c>
      <c r="G129" s="69">
        <f t="shared" si="35"/>
        <v>350</v>
      </c>
      <c r="H129" s="69">
        <f t="shared" si="35"/>
        <v>0</v>
      </c>
      <c r="I129" s="69">
        <f t="shared" si="30"/>
        <v>350</v>
      </c>
      <c r="J129" s="69">
        <f t="shared" si="35"/>
        <v>0</v>
      </c>
      <c r="K129" s="84">
        <f t="shared" si="31"/>
        <v>350</v>
      </c>
      <c r="L129" s="13">
        <f t="shared" si="35"/>
        <v>-77</v>
      </c>
      <c r="M129" s="84">
        <f t="shared" si="28"/>
        <v>273</v>
      </c>
      <c r="N129" s="13">
        <f t="shared" si="35"/>
        <v>0</v>
      </c>
      <c r="O129" s="84">
        <f t="shared" si="29"/>
        <v>273</v>
      </c>
      <c r="P129" s="13">
        <f t="shared" si="35"/>
        <v>0</v>
      </c>
      <c r="Q129" s="84">
        <f t="shared" si="26"/>
        <v>273</v>
      </c>
      <c r="R129" s="13">
        <f t="shared" si="35"/>
        <v>20</v>
      </c>
      <c r="S129" s="84">
        <f t="shared" si="27"/>
        <v>293</v>
      </c>
      <c r="T129" s="13">
        <f t="shared" si="35"/>
        <v>0</v>
      </c>
      <c r="U129" s="84">
        <f t="shared" si="24"/>
        <v>293</v>
      </c>
    </row>
    <row r="130" spans="1:22" s="128" customFormat="1" ht="33">
      <c r="A130" s="61" t="str">
        <f ca="1">IF(ISERROR(MATCH(F130,Код_КВР,0)),"",INDIRECT(ADDRESS(MATCH(F130,Код_КВР,0)+1,2,,,"КВР")))</f>
        <v xml:space="preserve">Прочая закупка товаров, работ и услуг для обеспечения муниципальных нужд         </v>
      </c>
      <c r="B130" s="126">
        <v>801</v>
      </c>
      <c r="C130" s="8" t="s">
        <v>211</v>
      </c>
      <c r="D130" s="8" t="s">
        <v>188</v>
      </c>
      <c r="E130" s="126" t="s">
        <v>130</v>
      </c>
      <c r="F130" s="126">
        <v>244</v>
      </c>
      <c r="G130" s="69">
        <v>350</v>
      </c>
      <c r="H130" s="69"/>
      <c r="I130" s="69">
        <f t="shared" si="30"/>
        <v>350</v>
      </c>
      <c r="J130" s="69"/>
      <c r="K130" s="84">
        <f t="shared" si="31"/>
        <v>350</v>
      </c>
      <c r="L130" s="13">
        <v>-77</v>
      </c>
      <c r="M130" s="84">
        <f t="shared" si="28"/>
        <v>273</v>
      </c>
      <c r="N130" s="13"/>
      <c r="O130" s="84">
        <f t="shared" si="29"/>
        <v>273</v>
      </c>
      <c r="P130" s="13"/>
      <c r="Q130" s="84">
        <f t="shared" si="26"/>
        <v>273</v>
      </c>
      <c r="R130" s="13">
        <v>20</v>
      </c>
      <c r="S130" s="84">
        <f t="shared" si="27"/>
        <v>293</v>
      </c>
      <c r="T130" s="13"/>
      <c r="U130" s="84">
        <f t="shared" si="24"/>
        <v>293</v>
      </c>
    </row>
    <row r="131" spans="1:22" s="128" customFormat="1" ht="66" customHeight="1">
      <c r="A131" s="61" t="str">
        <f ca="1">IF(ISERROR(MATCH(E131,Код_КЦСР,0)),"",INDIRECT(ADDRESS(MATCH(E131,Код_КЦСР,0)+1,2,,,"КЦСР")))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31" s="126">
        <v>801</v>
      </c>
      <c r="C131" s="8" t="s">
        <v>211</v>
      </c>
      <c r="D131" s="8" t="s">
        <v>188</v>
      </c>
      <c r="E131" s="126" t="s">
        <v>133</v>
      </c>
      <c r="F131" s="126"/>
      <c r="G131" s="69">
        <f t="shared" ref="G131:T133" si="36">G132</f>
        <v>27857.9</v>
      </c>
      <c r="H131" s="69">
        <f t="shared" si="36"/>
        <v>0</v>
      </c>
      <c r="I131" s="69">
        <f t="shared" si="30"/>
        <v>27857.9</v>
      </c>
      <c r="J131" s="69">
        <f t="shared" si="36"/>
        <v>0</v>
      </c>
      <c r="K131" s="84">
        <f t="shared" si="31"/>
        <v>27857.9</v>
      </c>
      <c r="L131" s="13">
        <f t="shared" si="36"/>
        <v>-130</v>
      </c>
      <c r="M131" s="84">
        <f t="shared" si="28"/>
        <v>27727.9</v>
      </c>
      <c r="N131" s="13">
        <f t="shared" si="36"/>
        <v>0</v>
      </c>
      <c r="O131" s="84">
        <f t="shared" si="29"/>
        <v>27727.9</v>
      </c>
      <c r="P131" s="13">
        <f t="shared" si="36"/>
        <v>0</v>
      </c>
      <c r="Q131" s="84">
        <f t="shared" si="26"/>
        <v>27727.9</v>
      </c>
      <c r="R131" s="13">
        <f t="shared" si="36"/>
        <v>0</v>
      </c>
      <c r="S131" s="84">
        <f t="shared" si="27"/>
        <v>27727.9</v>
      </c>
      <c r="T131" s="13">
        <f>T132+T137</f>
        <v>4597.3999999999996</v>
      </c>
      <c r="U131" s="84">
        <f t="shared" si="24"/>
        <v>32325.300000000003</v>
      </c>
    </row>
    <row r="132" spans="1:22" s="128" customFormat="1">
      <c r="A132" s="61" t="str">
        <f ca="1">IF(ISERROR(MATCH(E132,Код_КЦСР,0)),"",INDIRECT(ADDRESS(MATCH(E132,Код_КЦСР,0)+1,2,,,"КЦСР")))</f>
        <v>Создание и организация деятельности многофункционального центра</v>
      </c>
      <c r="B132" s="126">
        <v>801</v>
      </c>
      <c r="C132" s="8" t="s">
        <v>211</v>
      </c>
      <c r="D132" s="8" t="s">
        <v>188</v>
      </c>
      <c r="E132" s="126" t="s">
        <v>137</v>
      </c>
      <c r="F132" s="126"/>
      <c r="G132" s="69">
        <f t="shared" si="36"/>
        <v>27857.9</v>
      </c>
      <c r="H132" s="69">
        <f t="shared" si="36"/>
        <v>0</v>
      </c>
      <c r="I132" s="69">
        <f t="shared" si="30"/>
        <v>27857.9</v>
      </c>
      <c r="J132" s="69">
        <f t="shared" si="36"/>
        <v>0</v>
      </c>
      <c r="K132" s="84">
        <f t="shared" si="31"/>
        <v>27857.9</v>
      </c>
      <c r="L132" s="13">
        <f t="shared" si="36"/>
        <v>-130</v>
      </c>
      <c r="M132" s="84">
        <f t="shared" si="28"/>
        <v>27727.9</v>
      </c>
      <c r="N132" s="13">
        <f t="shared" si="36"/>
        <v>0</v>
      </c>
      <c r="O132" s="84">
        <f t="shared" si="29"/>
        <v>27727.9</v>
      </c>
      <c r="P132" s="13">
        <f t="shared" si="36"/>
        <v>0</v>
      </c>
      <c r="Q132" s="84">
        <f t="shared" si="26"/>
        <v>27727.9</v>
      </c>
      <c r="R132" s="13">
        <f t="shared" si="36"/>
        <v>0</v>
      </c>
      <c r="S132" s="84">
        <f t="shared" si="27"/>
        <v>27727.9</v>
      </c>
      <c r="T132" s="13">
        <f t="shared" si="36"/>
        <v>0</v>
      </c>
      <c r="U132" s="84">
        <f t="shared" si="24"/>
        <v>27727.9</v>
      </c>
    </row>
    <row r="133" spans="1:22" s="128" customFormat="1" ht="33">
      <c r="A133" s="61" t="str">
        <f ca="1">IF(ISERROR(MATCH(F133,Код_КВР,0)),"",INDIRECT(ADDRESS(MATCH(F133,Код_КВР,0)+1,2,,,"КВР")))</f>
        <v>Предоставление субсидий бюджетным, автономным учреждениям и иным некоммерческим организациям</v>
      </c>
      <c r="B133" s="126">
        <v>801</v>
      </c>
      <c r="C133" s="8" t="s">
        <v>211</v>
      </c>
      <c r="D133" s="8" t="s">
        <v>188</v>
      </c>
      <c r="E133" s="126" t="s">
        <v>137</v>
      </c>
      <c r="F133" s="126">
        <v>600</v>
      </c>
      <c r="G133" s="69">
        <f t="shared" si="36"/>
        <v>27857.9</v>
      </c>
      <c r="H133" s="69">
        <f t="shared" si="36"/>
        <v>0</v>
      </c>
      <c r="I133" s="69">
        <f t="shared" si="30"/>
        <v>27857.9</v>
      </c>
      <c r="J133" s="69">
        <f t="shared" si="36"/>
        <v>0</v>
      </c>
      <c r="K133" s="84">
        <f t="shared" si="31"/>
        <v>27857.9</v>
      </c>
      <c r="L133" s="13">
        <f t="shared" si="36"/>
        <v>-130</v>
      </c>
      <c r="M133" s="84">
        <f t="shared" si="28"/>
        <v>27727.9</v>
      </c>
      <c r="N133" s="13">
        <f t="shared" si="36"/>
        <v>0</v>
      </c>
      <c r="O133" s="84">
        <f t="shared" si="29"/>
        <v>27727.9</v>
      </c>
      <c r="P133" s="13">
        <f t="shared" si="36"/>
        <v>0</v>
      </c>
      <c r="Q133" s="84">
        <f t="shared" si="26"/>
        <v>27727.9</v>
      </c>
      <c r="R133" s="13">
        <f t="shared" si="36"/>
        <v>0</v>
      </c>
      <c r="S133" s="84">
        <f t="shared" si="27"/>
        <v>27727.9</v>
      </c>
      <c r="T133" s="13">
        <f t="shared" si="36"/>
        <v>0</v>
      </c>
      <c r="U133" s="84">
        <f t="shared" si="24"/>
        <v>27727.9</v>
      </c>
    </row>
    <row r="134" spans="1:22" s="128" customFormat="1">
      <c r="A134" s="61" t="str">
        <f ca="1">IF(ISERROR(MATCH(F134,Код_КВР,0)),"",INDIRECT(ADDRESS(MATCH(F134,Код_КВР,0)+1,2,,,"КВР")))</f>
        <v>Субсидии бюджетным учреждениям</v>
      </c>
      <c r="B134" s="126">
        <v>801</v>
      </c>
      <c r="C134" s="8" t="s">
        <v>211</v>
      </c>
      <c r="D134" s="8" t="s">
        <v>188</v>
      </c>
      <c r="E134" s="126" t="s">
        <v>137</v>
      </c>
      <c r="F134" s="126">
        <v>610</v>
      </c>
      <c r="G134" s="69">
        <f>SUM(G135:G136)</f>
        <v>27857.9</v>
      </c>
      <c r="H134" s="69">
        <f>SUM(H135:H136)</f>
        <v>0</v>
      </c>
      <c r="I134" s="69">
        <f t="shared" si="30"/>
        <v>27857.9</v>
      </c>
      <c r="J134" s="69">
        <f>SUM(J135:J136)</f>
        <v>0</v>
      </c>
      <c r="K134" s="84">
        <f t="shared" si="31"/>
        <v>27857.9</v>
      </c>
      <c r="L134" s="13">
        <f>SUM(L135:L136)</f>
        <v>-130</v>
      </c>
      <c r="M134" s="84">
        <f t="shared" si="28"/>
        <v>27727.9</v>
      </c>
      <c r="N134" s="13">
        <f>SUM(N135:N136)</f>
        <v>0</v>
      </c>
      <c r="O134" s="84">
        <f t="shared" si="29"/>
        <v>27727.9</v>
      </c>
      <c r="P134" s="13">
        <f>SUM(P135:P136)</f>
        <v>0</v>
      </c>
      <c r="Q134" s="84">
        <f t="shared" si="26"/>
        <v>27727.9</v>
      </c>
      <c r="R134" s="13">
        <f>SUM(R135:R136)</f>
        <v>0</v>
      </c>
      <c r="S134" s="84">
        <f t="shared" si="27"/>
        <v>27727.9</v>
      </c>
      <c r="T134" s="13">
        <f>SUM(T135:T136)</f>
        <v>0</v>
      </c>
      <c r="U134" s="84">
        <f t="shared" si="24"/>
        <v>27727.9</v>
      </c>
    </row>
    <row r="135" spans="1:22" s="128" customFormat="1" ht="49.5">
      <c r="A135" s="61" t="str">
        <f ca="1">IF(ISERROR(MATCH(F135,Код_КВР,0)),"",INDIRECT(ADDRESS(MATCH(F135,Код_КВР,0)+1,2,,,"КВР")))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5" s="126">
        <v>801</v>
      </c>
      <c r="C135" s="8" t="s">
        <v>211</v>
      </c>
      <c r="D135" s="8" t="s">
        <v>188</v>
      </c>
      <c r="E135" s="126" t="s">
        <v>137</v>
      </c>
      <c r="F135" s="126">
        <v>611</v>
      </c>
      <c r="G135" s="69">
        <v>27757.9</v>
      </c>
      <c r="H135" s="69"/>
      <c r="I135" s="69">
        <f t="shared" si="30"/>
        <v>27757.9</v>
      </c>
      <c r="J135" s="69"/>
      <c r="K135" s="84">
        <f t="shared" si="31"/>
        <v>27757.9</v>
      </c>
      <c r="L135" s="13">
        <f>-65-65</f>
        <v>-130</v>
      </c>
      <c r="M135" s="84">
        <f t="shared" si="28"/>
        <v>27627.9</v>
      </c>
      <c r="N135" s="13"/>
      <c r="O135" s="84">
        <f t="shared" si="29"/>
        <v>27627.9</v>
      </c>
      <c r="P135" s="13"/>
      <c r="Q135" s="84">
        <f t="shared" si="26"/>
        <v>27627.9</v>
      </c>
      <c r="R135" s="13"/>
      <c r="S135" s="84">
        <f t="shared" si="27"/>
        <v>27627.9</v>
      </c>
      <c r="T135" s="13"/>
      <c r="U135" s="84">
        <f t="shared" si="24"/>
        <v>27627.9</v>
      </c>
    </row>
    <row r="136" spans="1:22" s="128" customFormat="1">
      <c r="A136" s="61" t="str">
        <f ca="1">IF(ISERROR(MATCH(F136,Код_КВР,0)),"",INDIRECT(ADDRESS(MATCH(F136,Код_КВР,0)+1,2,,,"КВР")))</f>
        <v>Субсидии бюджетным учреждениям на иные цели</v>
      </c>
      <c r="B136" s="126">
        <v>801</v>
      </c>
      <c r="C136" s="8" t="s">
        <v>211</v>
      </c>
      <c r="D136" s="8" t="s">
        <v>188</v>
      </c>
      <c r="E136" s="126" t="s">
        <v>137</v>
      </c>
      <c r="F136" s="126">
        <v>612</v>
      </c>
      <c r="G136" s="69">
        <v>100</v>
      </c>
      <c r="H136" s="69"/>
      <c r="I136" s="69">
        <f t="shared" si="30"/>
        <v>100</v>
      </c>
      <c r="J136" s="69"/>
      <c r="K136" s="84">
        <f t="shared" si="31"/>
        <v>100</v>
      </c>
      <c r="L136" s="13"/>
      <c r="M136" s="84">
        <f t="shared" si="28"/>
        <v>100</v>
      </c>
      <c r="N136" s="13"/>
      <c r="O136" s="84">
        <f t="shared" si="29"/>
        <v>100</v>
      </c>
      <c r="P136" s="13"/>
      <c r="Q136" s="84">
        <f t="shared" si="26"/>
        <v>100</v>
      </c>
      <c r="R136" s="13"/>
      <c r="S136" s="84">
        <f t="shared" si="27"/>
        <v>100</v>
      </c>
      <c r="T136" s="13"/>
      <c r="U136" s="84">
        <f t="shared" si="24"/>
        <v>100</v>
      </c>
    </row>
    <row r="137" spans="1:22" s="128" customFormat="1" ht="67.5" customHeight="1">
      <c r="A137" s="61" t="str">
        <f ca="1">IF(ISERROR(MATCH(E137,Код_КЦСР,0)),"",INDIRECT(ADDRESS(MATCH(E137,Код_КЦСР,0)+1,2,,,"КЦСР")))</f>
        <v>Создание и развитие сети многофункциональных центров предоставления государственных и муниципальных услуг за счет иных межбюджетных трасфертов из федерального бюджета</v>
      </c>
      <c r="B137" s="126">
        <v>801</v>
      </c>
      <c r="C137" s="8" t="s">
        <v>211</v>
      </c>
      <c r="D137" s="8" t="s">
        <v>188</v>
      </c>
      <c r="E137" s="126" t="s">
        <v>680</v>
      </c>
      <c r="F137" s="126"/>
      <c r="G137" s="69"/>
      <c r="H137" s="69"/>
      <c r="I137" s="69"/>
      <c r="J137" s="69"/>
      <c r="K137" s="84"/>
      <c r="L137" s="13"/>
      <c r="M137" s="84"/>
      <c r="N137" s="13"/>
      <c r="O137" s="84"/>
      <c r="P137" s="13"/>
      <c r="Q137" s="84"/>
      <c r="R137" s="13"/>
      <c r="S137" s="84"/>
      <c r="T137" s="13">
        <f>T138</f>
        <v>4597.3999999999996</v>
      </c>
      <c r="U137" s="84">
        <f t="shared" si="24"/>
        <v>4597.3999999999996</v>
      </c>
    </row>
    <row r="138" spans="1:22" s="128" customFormat="1" ht="33">
      <c r="A138" s="61" t="str">
        <f ca="1">IF(ISERROR(MATCH(F138,Код_КВР,0)),"",INDIRECT(ADDRESS(MATCH(F138,Код_КВР,0)+1,2,,,"КВР")))</f>
        <v>Предоставление субсидий бюджетным, автономным учреждениям и иным некоммерческим организациям</v>
      </c>
      <c r="B138" s="126">
        <v>801</v>
      </c>
      <c r="C138" s="8" t="s">
        <v>211</v>
      </c>
      <c r="D138" s="8" t="s">
        <v>188</v>
      </c>
      <c r="E138" s="126" t="s">
        <v>680</v>
      </c>
      <c r="F138" s="126">
        <v>600</v>
      </c>
      <c r="G138" s="69"/>
      <c r="H138" s="69"/>
      <c r="I138" s="69"/>
      <c r="J138" s="69"/>
      <c r="K138" s="84"/>
      <c r="L138" s="13"/>
      <c r="M138" s="84"/>
      <c r="N138" s="13"/>
      <c r="O138" s="84"/>
      <c r="P138" s="13"/>
      <c r="Q138" s="84"/>
      <c r="R138" s="13"/>
      <c r="S138" s="84"/>
      <c r="T138" s="13">
        <f>T139</f>
        <v>4597.3999999999996</v>
      </c>
      <c r="U138" s="84">
        <f t="shared" si="24"/>
        <v>4597.3999999999996</v>
      </c>
    </row>
    <row r="139" spans="1:22" s="128" customFormat="1">
      <c r="A139" s="61" t="str">
        <f ca="1">IF(ISERROR(MATCH(F139,Код_КВР,0)),"",INDIRECT(ADDRESS(MATCH(F139,Код_КВР,0)+1,2,,,"КВР")))</f>
        <v>Субсидии бюджетным учреждениям</v>
      </c>
      <c r="B139" s="126">
        <v>801</v>
      </c>
      <c r="C139" s="8" t="s">
        <v>211</v>
      </c>
      <c r="D139" s="8" t="s">
        <v>188</v>
      </c>
      <c r="E139" s="126" t="s">
        <v>680</v>
      </c>
      <c r="F139" s="126">
        <v>610</v>
      </c>
      <c r="G139" s="69"/>
      <c r="H139" s="69"/>
      <c r="I139" s="69"/>
      <c r="J139" s="69"/>
      <c r="K139" s="84"/>
      <c r="L139" s="13"/>
      <c r="M139" s="84"/>
      <c r="N139" s="13"/>
      <c r="O139" s="84"/>
      <c r="P139" s="13"/>
      <c r="Q139" s="84"/>
      <c r="R139" s="13"/>
      <c r="S139" s="84"/>
      <c r="T139" s="13">
        <f>T140</f>
        <v>4597.3999999999996</v>
      </c>
      <c r="U139" s="84">
        <f t="shared" si="24"/>
        <v>4597.3999999999996</v>
      </c>
    </row>
    <row r="140" spans="1:22" s="128" customFormat="1" ht="18.75" customHeight="1">
      <c r="A140" s="61" t="str">
        <f ca="1">IF(ISERROR(MATCH(F140,Код_КВР,0)),"",INDIRECT(ADDRESS(MATCH(F140,Код_КВР,0)+1,2,,,"КВР")))</f>
        <v>Субсидии бюджетным учреждениям на иные цели</v>
      </c>
      <c r="B140" s="126">
        <v>801</v>
      </c>
      <c r="C140" s="8" t="s">
        <v>211</v>
      </c>
      <c r="D140" s="8" t="s">
        <v>188</v>
      </c>
      <c r="E140" s="126" t="s">
        <v>680</v>
      </c>
      <c r="F140" s="126">
        <v>612</v>
      </c>
      <c r="G140" s="69"/>
      <c r="H140" s="69"/>
      <c r="I140" s="69"/>
      <c r="J140" s="69"/>
      <c r="K140" s="84"/>
      <c r="L140" s="13"/>
      <c r="M140" s="84"/>
      <c r="N140" s="13"/>
      <c r="O140" s="84"/>
      <c r="P140" s="13"/>
      <c r="Q140" s="84"/>
      <c r="R140" s="13"/>
      <c r="S140" s="84"/>
      <c r="T140" s="13">
        <v>4597.3999999999996</v>
      </c>
      <c r="U140" s="84">
        <f t="shared" si="24"/>
        <v>4597.3999999999996</v>
      </c>
    </row>
    <row r="141" spans="1:22" s="128" customFormat="1" ht="49.5">
      <c r="A141" s="61" t="str">
        <f ca="1">IF(ISERROR(MATCH(E141,Код_КЦСР,0)),"",INDIRECT(ADDRESS(MATCH(E141,Код_КЦСР,0)+1,2,,,"КЦСР")))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41" s="126">
        <v>801</v>
      </c>
      <c r="C141" s="8" t="s">
        <v>211</v>
      </c>
      <c r="D141" s="8" t="s">
        <v>188</v>
      </c>
      <c r="E141" s="126" t="s">
        <v>139</v>
      </c>
      <c r="F141" s="126"/>
      <c r="G141" s="69">
        <f>G142+G146+G150+G154</f>
        <v>1683.2</v>
      </c>
      <c r="H141" s="69">
        <f>H142+H146+H150+H154</f>
        <v>0</v>
      </c>
      <c r="I141" s="69">
        <f t="shared" si="30"/>
        <v>1683.2</v>
      </c>
      <c r="J141" s="69">
        <f>J142+J146+J150+J154</f>
        <v>0</v>
      </c>
      <c r="K141" s="84">
        <f t="shared" si="31"/>
        <v>1683.2</v>
      </c>
      <c r="L141" s="13">
        <f>L142+L146+L150+L154</f>
        <v>-72</v>
      </c>
      <c r="M141" s="84">
        <f t="shared" si="28"/>
        <v>1611.2</v>
      </c>
      <c r="N141" s="13">
        <f>N142+N146+N150+N154</f>
        <v>205.6</v>
      </c>
      <c r="O141" s="84">
        <f t="shared" si="29"/>
        <v>1816.8</v>
      </c>
      <c r="P141" s="13">
        <f>P142+P146+P150+P154</f>
        <v>0</v>
      </c>
      <c r="Q141" s="84">
        <f t="shared" si="26"/>
        <v>1816.8</v>
      </c>
      <c r="R141" s="13">
        <f>R142+R146+R150+R154</f>
        <v>188.89999999999998</v>
      </c>
      <c r="S141" s="84">
        <f t="shared" si="27"/>
        <v>2005.6999999999998</v>
      </c>
      <c r="T141" s="13">
        <f>T142+T146+T150+T154</f>
        <v>0</v>
      </c>
      <c r="U141" s="84">
        <f t="shared" si="24"/>
        <v>2005.6999999999998</v>
      </c>
    </row>
    <row r="142" spans="1:22" s="102" customFormat="1" ht="49.5" hidden="1">
      <c r="A142" s="61" t="str">
        <f ca="1">IF(ISERROR(MATCH(E142,Код_КЦСР,0)),"",INDIRECT(ADDRESS(MATCH(E142,Код_КЦСР,0)+1,2,,,"КЦСР")))</f>
        <v>Формирование положительного имиджа Череповца, как социально ориентированного города, посредством изготовления и размещения социальной рекламы</v>
      </c>
      <c r="B142" s="100">
        <v>801</v>
      </c>
      <c r="C142" s="8" t="s">
        <v>211</v>
      </c>
      <c r="D142" s="8" t="s">
        <v>188</v>
      </c>
      <c r="E142" s="100" t="s">
        <v>140</v>
      </c>
      <c r="F142" s="100"/>
      <c r="G142" s="69">
        <f t="shared" ref="G142:T144" si="37">G143</f>
        <v>72</v>
      </c>
      <c r="H142" s="69">
        <f t="shared" si="37"/>
        <v>0</v>
      </c>
      <c r="I142" s="69">
        <f t="shared" si="30"/>
        <v>72</v>
      </c>
      <c r="J142" s="69">
        <f t="shared" si="37"/>
        <v>0</v>
      </c>
      <c r="K142" s="84">
        <f t="shared" si="31"/>
        <v>72</v>
      </c>
      <c r="L142" s="13">
        <f t="shared" si="37"/>
        <v>-72</v>
      </c>
      <c r="M142" s="84">
        <f t="shared" si="28"/>
        <v>0</v>
      </c>
      <c r="N142" s="13">
        <f t="shared" si="37"/>
        <v>0</v>
      </c>
      <c r="O142" s="84">
        <f t="shared" si="29"/>
        <v>0</v>
      </c>
      <c r="P142" s="13">
        <f t="shared" si="37"/>
        <v>0</v>
      </c>
      <c r="Q142" s="84">
        <f t="shared" si="26"/>
        <v>0</v>
      </c>
      <c r="R142" s="13">
        <f t="shared" si="37"/>
        <v>0</v>
      </c>
      <c r="S142" s="84">
        <f t="shared" si="27"/>
        <v>0</v>
      </c>
      <c r="T142" s="13">
        <f t="shared" si="37"/>
        <v>0</v>
      </c>
      <c r="U142" s="84">
        <f t="shared" si="24"/>
        <v>0</v>
      </c>
      <c r="V142" s="142" t="s">
        <v>706</v>
      </c>
    </row>
    <row r="143" spans="1:22" s="102" customFormat="1" hidden="1">
      <c r="A143" s="61" t="str">
        <f ca="1">IF(ISERROR(MATCH(F143,Код_КВР,0)),"",INDIRECT(ADDRESS(MATCH(F143,Код_КВР,0)+1,2,,,"КВР")))</f>
        <v>Закупка товаров, работ и услуг для муниципальных нужд</v>
      </c>
      <c r="B143" s="100">
        <v>801</v>
      </c>
      <c r="C143" s="8" t="s">
        <v>211</v>
      </c>
      <c r="D143" s="8" t="s">
        <v>188</v>
      </c>
      <c r="E143" s="100" t="s">
        <v>140</v>
      </c>
      <c r="F143" s="100">
        <v>200</v>
      </c>
      <c r="G143" s="69">
        <f t="shared" si="37"/>
        <v>72</v>
      </c>
      <c r="H143" s="69">
        <f t="shared" si="37"/>
        <v>0</v>
      </c>
      <c r="I143" s="69">
        <f t="shared" si="30"/>
        <v>72</v>
      </c>
      <c r="J143" s="69">
        <f t="shared" si="37"/>
        <v>0</v>
      </c>
      <c r="K143" s="84">
        <f t="shared" si="31"/>
        <v>72</v>
      </c>
      <c r="L143" s="13">
        <f t="shared" si="37"/>
        <v>-72</v>
      </c>
      <c r="M143" s="84">
        <f t="shared" si="28"/>
        <v>0</v>
      </c>
      <c r="N143" s="13">
        <f t="shared" si="37"/>
        <v>0</v>
      </c>
      <c r="O143" s="84">
        <f t="shared" si="29"/>
        <v>0</v>
      </c>
      <c r="P143" s="13">
        <f t="shared" si="37"/>
        <v>0</v>
      </c>
      <c r="Q143" s="84">
        <f t="shared" si="26"/>
        <v>0</v>
      </c>
      <c r="R143" s="13">
        <f t="shared" si="37"/>
        <v>0</v>
      </c>
      <c r="S143" s="84">
        <f t="shared" si="27"/>
        <v>0</v>
      </c>
      <c r="T143" s="13">
        <f t="shared" si="37"/>
        <v>0</v>
      </c>
      <c r="U143" s="84">
        <f t="shared" si="24"/>
        <v>0</v>
      </c>
      <c r="V143" s="142" t="s">
        <v>706</v>
      </c>
    </row>
    <row r="144" spans="1:22" s="102" customFormat="1" ht="33" hidden="1">
      <c r="A144" s="61" t="str">
        <f ca="1">IF(ISERROR(MATCH(F144,Код_КВР,0)),"",INDIRECT(ADDRESS(MATCH(F144,Код_КВР,0)+1,2,,,"КВР")))</f>
        <v>Иные закупки товаров, работ и услуг для обеспечения муниципальных нужд</v>
      </c>
      <c r="B144" s="100">
        <v>801</v>
      </c>
      <c r="C144" s="8" t="s">
        <v>211</v>
      </c>
      <c r="D144" s="8" t="s">
        <v>188</v>
      </c>
      <c r="E144" s="100" t="s">
        <v>140</v>
      </c>
      <c r="F144" s="100">
        <v>240</v>
      </c>
      <c r="G144" s="69">
        <f t="shared" si="37"/>
        <v>72</v>
      </c>
      <c r="H144" s="69">
        <f t="shared" si="37"/>
        <v>0</v>
      </c>
      <c r="I144" s="69">
        <f t="shared" si="30"/>
        <v>72</v>
      </c>
      <c r="J144" s="69">
        <f t="shared" si="37"/>
        <v>0</v>
      </c>
      <c r="K144" s="84">
        <f t="shared" si="31"/>
        <v>72</v>
      </c>
      <c r="L144" s="13">
        <f t="shared" si="37"/>
        <v>-72</v>
      </c>
      <c r="M144" s="84">
        <f t="shared" si="28"/>
        <v>0</v>
      </c>
      <c r="N144" s="13">
        <f t="shared" si="37"/>
        <v>0</v>
      </c>
      <c r="O144" s="84">
        <f t="shared" si="29"/>
        <v>0</v>
      </c>
      <c r="P144" s="13">
        <f t="shared" si="37"/>
        <v>0</v>
      </c>
      <c r="Q144" s="84">
        <f t="shared" si="26"/>
        <v>0</v>
      </c>
      <c r="R144" s="13">
        <f t="shared" si="37"/>
        <v>0</v>
      </c>
      <c r="S144" s="84">
        <f t="shared" si="27"/>
        <v>0</v>
      </c>
      <c r="T144" s="13">
        <f t="shared" si="37"/>
        <v>0</v>
      </c>
      <c r="U144" s="84">
        <f t="shared" si="24"/>
        <v>0</v>
      </c>
      <c r="V144" s="142" t="s">
        <v>706</v>
      </c>
    </row>
    <row r="145" spans="1:22" s="102" customFormat="1" ht="33" hidden="1">
      <c r="A145" s="61" t="str">
        <f ca="1">IF(ISERROR(MATCH(F145,Код_КВР,0)),"",INDIRECT(ADDRESS(MATCH(F145,Код_КВР,0)+1,2,,,"КВР")))</f>
        <v xml:space="preserve">Прочая закупка товаров, работ и услуг для обеспечения муниципальных нужд         </v>
      </c>
      <c r="B145" s="100">
        <v>801</v>
      </c>
      <c r="C145" s="8" t="s">
        <v>211</v>
      </c>
      <c r="D145" s="8" t="s">
        <v>188</v>
      </c>
      <c r="E145" s="100" t="s">
        <v>140</v>
      </c>
      <c r="F145" s="100">
        <v>244</v>
      </c>
      <c r="G145" s="69">
        <v>72</v>
      </c>
      <c r="H145" s="69"/>
      <c r="I145" s="69">
        <f t="shared" si="30"/>
        <v>72</v>
      </c>
      <c r="J145" s="69"/>
      <c r="K145" s="84">
        <f t="shared" si="31"/>
        <v>72</v>
      </c>
      <c r="L145" s="13">
        <v>-72</v>
      </c>
      <c r="M145" s="84">
        <f t="shared" si="28"/>
        <v>0</v>
      </c>
      <c r="N145" s="13"/>
      <c r="O145" s="84">
        <f t="shared" si="29"/>
        <v>0</v>
      </c>
      <c r="P145" s="13"/>
      <c r="Q145" s="84">
        <f t="shared" si="26"/>
        <v>0</v>
      </c>
      <c r="R145" s="13"/>
      <c r="S145" s="84">
        <f t="shared" si="27"/>
        <v>0</v>
      </c>
      <c r="T145" s="13"/>
      <c r="U145" s="84">
        <f t="shared" si="24"/>
        <v>0</v>
      </c>
      <c r="V145" s="142" t="s">
        <v>706</v>
      </c>
    </row>
    <row r="146" spans="1:22" s="128" customFormat="1" ht="66">
      <c r="A146" s="61" t="str">
        <f ca="1">IF(ISERROR(MATCH(E146,Код_КЦСР,0)),"",INDIRECT(ADDRESS(MATCH(E146,Код_КЦСР,0)+1,2,,,"КЦСР")))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46" s="126">
        <v>801</v>
      </c>
      <c r="C146" s="8" t="s">
        <v>211</v>
      </c>
      <c r="D146" s="8" t="s">
        <v>188</v>
      </c>
      <c r="E146" s="126" t="s">
        <v>141</v>
      </c>
      <c r="F146" s="126"/>
      <c r="G146" s="69">
        <f t="shared" ref="G146:T148" si="38">G147</f>
        <v>411.5</v>
      </c>
      <c r="H146" s="69">
        <f t="shared" si="38"/>
        <v>0</v>
      </c>
      <c r="I146" s="69">
        <f t="shared" si="30"/>
        <v>411.5</v>
      </c>
      <c r="J146" s="69">
        <f t="shared" si="38"/>
        <v>0</v>
      </c>
      <c r="K146" s="84">
        <f t="shared" si="31"/>
        <v>411.5</v>
      </c>
      <c r="L146" s="13">
        <f t="shared" si="38"/>
        <v>0</v>
      </c>
      <c r="M146" s="84">
        <f t="shared" si="28"/>
        <v>411.5</v>
      </c>
      <c r="N146" s="13">
        <f t="shared" si="38"/>
        <v>0</v>
      </c>
      <c r="O146" s="84">
        <f t="shared" si="29"/>
        <v>411.5</v>
      </c>
      <c r="P146" s="13">
        <f t="shared" si="38"/>
        <v>0</v>
      </c>
      <c r="Q146" s="84">
        <f t="shared" si="26"/>
        <v>411.5</v>
      </c>
      <c r="R146" s="13">
        <f t="shared" si="38"/>
        <v>59.5</v>
      </c>
      <c r="S146" s="84">
        <f t="shared" si="27"/>
        <v>471</v>
      </c>
      <c r="T146" s="13">
        <f t="shared" si="38"/>
        <v>0</v>
      </c>
      <c r="U146" s="84">
        <f t="shared" si="24"/>
        <v>471</v>
      </c>
    </row>
    <row r="147" spans="1:22" s="128" customFormat="1">
      <c r="A147" s="61" t="str">
        <f ca="1">IF(ISERROR(MATCH(F147,Код_КВР,0)),"",INDIRECT(ADDRESS(MATCH(F147,Код_КВР,0)+1,2,,,"КВР")))</f>
        <v>Закупка товаров, работ и услуг для муниципальных нужд</v>
      </c>
      <c r="B147" s="126">
        <v>801</v>
      </c>
      <c r="C147" s="8" t="s">
        <v>211</v>
      </c>
      <c r="D147" s="8" t="s">
        <v>188</v>
      </c>
      <c r="E147" s="126" t="s">
        <v>141</v>
      </c>
      <c r="F147" s="126">
        <v>200</v>
      </c>
      <c r="G147" s="69">
        <f t="shared" si="38"/>
        <v>411.5</v>
      </c>
      <c r="H147" s="69">
        <f t="shared" si="38"/>
        <v>0</v>
      </c>
      <c r="I147" s="69">
        <f t="shared" si="30"/>
        <v>411.5</v>
      </c>
      <c r="J147" s="69">
        <f t="shared" si="38"/>
        <v>0</v>
      </c>
      <c r="K147" s="84">
        <f t="shared" si="31"/>
        <v>411.5</v>
      </c>
      <c r="L147" s="13">
        <f t="shared" si="38"/>
        <v>0</v>
      </c>
      <c r="M147" s="84">
        <f t="shared" si="28"/>
        <v>411.5</v>
      </c>
      <c r="N147" s="13">
        <f t="shared" si="38"/>
        <v>0</v>
      </c>
      <c r="O147" s="84">
        <f t="shared" si="29"/>
        <v>411.5</v>
      </c>
      <c r="P147" s="13">
        <f t="shared" si="38"/>
        <v>0</v>
      </c>
      <c r="Q147" s="84">
        <f t="shared" si="26"/>
        <v>411.5</v>
      </c>
      <c r="R147" s="13">
        <f t="shared" si="38"/>
        <v>59.5</v>
      </c>
      <c r="S147" s="84">
        <f t="shared" si="27"/>
        <v>471</v>
      </c>
      <c r="T147" s="13">
        <f t="shared" si="38"/>
        <v>0</v>
      </c>
      <c r="U147" s="84">
        <f t="shared" si="24"/>
        <v>471</v>
      </c>
    </row>
    <row r="148" spans="1:22" s="128" customFormat="1" ht="33">
      <c r="A148" s="61" t="str">
        <f ca="1">IF(ISERROR(MATCH(F148,Код_КВР,0)),"",INDIRECT(ADDRESS(MATCH(F148,Код_КВР,0)+1,2,,,"КВР")))</f>
        <v>Иные закупки товаров, работ и услуг для обеспечения муниципальных нужд</v>
      </c>
      <c r="B148" s="126">
        <v>801</v>
      </c>
      <c r="C148" s="8" t="s">
        <v>211</v>
      </c>
      <c r="D148" s="8" t="s">
        <v>188</v>
      </c>
      <c r="E148" s="126" t="s">
        <v>141</v>
      </c>
      <c r="F148" s="126">
        <v>240</v>
      </c>
      <c r="G148" s="69">
        <f t="shared" si="38"/>
        <v>411.5</v>
      </c>
      <c r="H148" s="69">
        <f t="shared" si="38"/>
        <v>0</v>
      </c>
      <c r="I148" s="69">
        <f t="shared" si="30"/>
        <v>411.5</v>
      </c>
      <c r="J148" s="69">
        <f t="shared" si="38"/>
        <v>0</v>
      </c>
      <c r="K148" s="84">
        <f t="shared" si="31"/>
        <v>411.5</v>
      </c>
      <c r="L148" s="13">
        <f t="shared" si="38"/>
        <v>0</v>
      </c>
      <c r="M148" s="84">
        <f t="shared" si="28"/>
        <v>411.5</v>
      </c>
      <c r="N148" s="13">
        <f t="shared" si="38"/>
        <v>0</v>
      </c>
      <c r="O148" s="84">
        <f t="shared" si="29"/>
        <v>411.5</v>
      </c>
      <c r="P148" s="13">
        <f t="shared" si="38"/>
        <v>0</v>
      </c>
      <c r="Q148" s="84">
        <f t="shared" si="26"/>
        <v>411.5</v>
      </c>
      <c r="R148" s="13">
        <f t="shared" si="38"/>
        <v>59.5</v>
      </c>
      <c r="S148" s="84">
        <f t="shared" si="27"/>
        <v>471</v>
      </c>
      <c r="T148" s="13">
        <f t="shared" si="38"/>
        <v>0</v>
      </c>
      <c r="U148" s="84">
        <f t="shared" si="24"/>
        <v>471</v>
      </c>
    </row>
    <row r="149" spans="1:22" s="128" customFormat="1" ht="33">
      <c r="A149" s="61" t="str">
        <f ca="1">IF(ISERROR(MATCH(F149,Код_КВР,0)),"",INDIRECT(ADDRESS(MATCH(F149,Код_КВР,0)+1,2,,,"КВР")))</f>
        <v xml:space="preserve">Прочая закупка товаров, работ и услуг для обеспечения муниципальных нужд         </v>
      </c>
      <c r="B149" s="126">
        <v>801</v>
      </c>
      <c r="C149" s="8" t="s">
        <v>211</v>
      </c>
      <c r="D149" s="8" t="s">
        <v>188</v>
      </c>
      <c r="E149" s="126" t="s">
        <v>141</v>
      </c>
      <c r="F149" s="126">
        <v>244</v>
      </c>
      <c r="G149" s="69">
        <v>411.5</v>
      </c>
      <c r="H149" s="69"/>
      <c r="I149" s="69">
        <f t="shared" si="30"/>
        <v>411.5</v>
      </c>
      <c r="J149" s="69"/>
      <c r="K149" s="84">
        <f t="shared" si="31"/>
        <v>411.5</v>
      </c>
      <c r="L149" s="13"/>
      <c r="M149" s="84">
        <f t="shared" si="28"/>
        <v>411.5</v>
      </c>
      <c r="N149" s="13"/>
      <c r="O149" s="84">
        <f t="shared" si="29"/>
        <v>411.5</v>
      </c>
      <c r="P149" s="13"/>
      <c r="Q149" s="84">
        <f t="shared" si="26"/>
        <v>411.5</v>
      </c>
      <c r="R149" s="13">
        <f>11.5+48</f>
        <v>59.5</v>
      </c>
      <c r="S149" s="84">
        <f t="shared" si="27"/>
        <v>471</v>
      </c>
      <c r="T149" s="13"/>
      <c r="U149" s="84">
        <f t="shared" si="24"/>
        <v>471</v>
      </c>
    </row>
    <row r="150" spans="1:22" s="128" customFormat="1" ht="66">
      <c r="A150" s="61" t="str">
        <f ca="1">IF(ISERROR(MATCH(E150,Код_КЦСР,0)),"",INDIRECT(ADDRESS(MATCH(E150,Код_КЦСР,0)+1,2,,,"КЦСР")))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50" s="126">
        <v>801</v>
      </c>
      <c r="C150" s="8" t="s">
        <v>211</v>
      </c>
      <c r="D150" s="8" t="s">
        <v>188</v>
      </c>
      <c r="E150" s="126" t="s">
        <v>142</v>
      </c>
      <c r="F150" s="126"/>
      <c r="G150" s="69">
        <f t="shared" ref="G150:T152" si="39">G151</f>
        <v>720</v>
      </c>
      <c r="H150" s="69">
        <f t="shared" si="39"/>
        <v>0</v>
      </c>
      <c r="I150" s="69">
        <f t="shared" si="30"/>
        <v>720</v>
      </c>
      <c r="J150" s="69">
        <f t="shared" si="39"/>
        <v>0</v>
      </c>
      <c r="K150" s="84">
        <f t="shared" si="31"/>
        <v>720</v>
      </c>
      <c r="L150" s="13">
        <f t="shared" si="39"/>
        <v>0</v>
      </c>
      <c r="M150" s="84">
        <f t="shared" si="28"/>
        <v>720</v>
      </c>
      <c r="N150" s="13">
        <f t="shared" si="39"/>
        <v>205.6</v>
      </c>
      <c r="O150" s="84">
        <f t="shared" si="29"/>
        <v>925.6</v>
      </c>
      <c r="P150" s="13">
        <f t="shared" si="39"/>
        <v>0</v>
      </c>
      <c r="Q150" s="84">
        <f t="shared" si="26"/>
        <v>925.6</v>
      </c>
      <c r="R150" s="13">
        <f t="shared" si="39"/>
        <v>115.2</v>
      </c>
      <c r="S150" s="84">
        <f t="shared" si="27"/>
        <v>1040.8</v>
      </c>
      <c r="T150" s="13">
        <f t="shared" si="39"/>
        <v>0</v>
      </c>
      <c r="U150" s="84">
        <f t="shared" si="24"/>
        <v>1040.8</v>
      </c>
    </row>
    <row r="151" spans="1:22" s="128" customFormat="1">
      <c r="A151" s="61" t="str">
        <f ca="1">IF(ISERROR(MATCH(F151,Код_КВР,0)),"",INDIRECT(ADDRESS(MATCH(F151,Код_КВР,0)+1,2,,,"КВР")))</f>
        <v>Закупка товаров, работ и услуг для муниципальных нужд</v>
      </c>
      <c r="B151" s="126">
        <v>801</v>
      </c>
      <c r="C151" s="8" t="s">
        <v>211</v>
      </c>
      <c r="D151" s="8" t="s">
        <v>188</v>
      </c>
      <c r="E151" s="126" t="s">
        <v>142</v>
      </c>
      <c r="F151" s="126">
        <v>200</v>
      </c>
      <c r="G151" s="69">
        <f t="shared" si="39"/>
        <v>720</v>
      </c>
      <c r="H151" s="69">
        <f t="shared" si="39"/>
        <v>0</v>
      </c>
      <c r="I151" s="69">
        <f t="shared" si="30"/>
        <v>720</v>
      </c>
      <c r="J151" s="69">
        <f t="shared" si="39"/>
        <v>0</v>
      </c>
      <c r="K151" s="84">
        <f t="shared" si="31"/>
        <v>720</v>
      </c>
      <c r="L151" s="13">
        <f t="shared" si="39"/>
        <v>0</v>
      </c>
      <c r="M151" s="84">
        <f t="shared" si="28"/>
        <v>720</v>
      </c>
      <c r="N151" s="13">
        <f t="shared" si="39"/>
        <v>205.6</v>
      </c>
      <c r="O151" s="84">
        <f t="shared" si="29"/>
        <v>925.6</v>
      </c>
      <c r="P151" s="13">
        <f t="shared" si="39"/>
        <v>0</v>
      </c>
      <c r="Q151" s="84">
        <f t="shared" si="26"/>
        <v>925.6</v>
      </c>
      <c r="R151" s="13">
        <f t="shared" si="39"/>
        <v>115.2</v>
      </c>
      <c r="S151" s="84">
        <f t="shared" si="27"/>
        <v>1040.8</v>
      </c>
      <c r="T151" s="13">
        <f t="shared" si="39"/>
        <v>0</v>
      </c>
      <c r="U151" s="84">
        <f t="shared" si="24"/>
        <v>1040.8</v>
      </c>
    </row>
    <row r="152" spans="1:22" s="128" customFormat="1" ht="33">
      <c r="A152" s="61" t="str">
        <f ca="1">IF(ISERROR(MATCH(F152,Код_КВР,0)),"",INDIRECT(ADDRESS(MATCH(F152,Код_КВР,0)+1,2,,,"КВР")))</f>
        <v>Иные закупки товаров, работ и услуг для обеспечения муниципальных нужд</v>
      </c>
      <c r="B152" s="126">
        <v>801</v>
      </c>
      <c r="C152" s="8" t="s">
        <v>211</v>
      </c>
      <c r="D152" s="8" t="s">
        <v>188</v>
      </c>
      <c r="E152" s="126" t="s">
        <v>142</v>
      </c>
      <c r="F152" s="126">
        <v>240</v>
      </c>
      <c r="G152" s="69">
        <f t="shared" si="39"/>
        <v>720</v>
      </c>
      <c r="H152" s="69">
        <f t="shared" si="39"/>
        <v>0</v>
      </c>
      <c r="I152" s="69">
        <f t="shared" si="30"/>
        <v>720</v>
      </c>
      <c r="J152" s="69">
        <f t="shared" si="39"/>
        <v>0</v>
      </c>
      <c r="K152" s="84">
        <f t="shared" si="31"/>
        <v>720</v>
      </c>
      <c r="L152" s="13">
        <f t="shared" si="39"/>
        <v>0</v>
      </c>
      <c r="M152" s="84">
        <f t="shared" si="28"/>
        <v>720</v>
      </c>
      <c r="N152" s="13">
        <f t="shared" si="39"/>
        <v>205.6</v>
      </c>
      <c r="O152" s="84">
        <f t="shared" si="29"/>
        <v>925.6</v>
      </c>
      <c r="P152" s="13">
        <f t="shared" si="39"/>
        <v>0</v>
      </c>
      <c r="Q152" s="84">
        <f t="shared" si="26"/>
        <v>925.6</v>
      </c>
      <c r="R152" s="13">
        <f t="shared" si="39"/>
        <v>115.2</v>
      </c>
      <c r="S152" s="84">
        <f t="shared" si="27"/>
        <v>1040.8</v>
      </c>
      <c r="T152" s="13">
        <f t="shared" si="39"/>
        <v>0</v>
      </c>
      <c r="U152" s="84">
        <f t="shared" si="24"/>
        <v>1040.8</v>
      </c>
    </row>
    <row r="153" spans="1:22" s="128" customFormat="1" ht="33">
      <c r="A153" s="61" t="str">
        <f ca="1">IF(ISERROR(MATCH(F153,Код_КВР,0)),"",INDIRECT(ADDRESS(MATCH(F153,Код_КВР,0)+1,2,,,"КВР")))</f>
        <v xml:space="preserve">Прочая закупка товаров, работ и услуг для обеспечения муниципальных нужд         </v>
      </c>
      <c r="B153" s="126">
        <v>801</v>
      </c>
      <c r="C153" s="8" t="s">
        <v>211</v>
      </c>
      <c r="D153" s="8" t="s">
        <v>188</v>
      </c>
      <c r="E153" s="126" t="s">
        <v>142</v>
      </c>
      <c r="F153" s="126">
        <v>244</v>
      </c>
      <c r="G153" s="69">
        <v>720</v>
      </c>
      <c r="H153" s="69"/>
      <c r="I153" s="69">
        <f t="shared" si="30"/>
        <v>720</v>
      </c>
      <c r="J153" s="69"/>
      <c r="K153" s="84">
        <f t="shared" si="31"/>
        <v>720</v>
      </c>
      <c r="L153" s="13"/>
      <c r="M153" s="84">
        <f t="shared" si="28"/>
        <v>720</v>
      </c>
      <c r="N153" s="13">
        <v>205.6</v>
      </c>
      <c r="O153" s="84">
        <f t="shared" si="29"/>
        <v>925.6</v>
      </c>
      <c r="P153" s="13"/>
      <c r="Q153" s="84">
        <f t="shared" si="26"/>
        <v>925.6</v>
      </c>
      <c r="R153" s="13">
        <v>115.2</v>
      </c>
      <c r="S153" s="84">
        <f t="shared" si="27"/>
        <v>1040.8</v>
      </c>
      <c r="T153" s="13"/>
      <c r="U153" s="84">
        <f t="shared" si="24"/>
        <v>1040.8</v>
      </c>
    </row>
    <row r="154" spans="1:22" s="128" customFormat="1" ht="39" customHeight="1">
      <c r="A154" s="61" t="str">
        <f ca="1">IF(ISERROR(MATCH(E154,Код_КЦСР,0)),"",INDIRECT(ADDRESS(MATCH(E154,Код_КЦСР,0)+1,2,,,"КЦСР")))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54" s="126">
        <v>801</v>
      </c>
      <c r="C154" s="8" t="s">
        <v>211</v>
      </c>
      <c r="D154" s="8" t="s">
        <v>188</v>
      </c>
      <c r="E154" s="126" t="s">
        <v>143</v>
      </c>
      <c r="F154" s="126"/>
      <c r="G154" s="69">
        <f t="shared" ref="G154:T156" si="40">G155</f>
        <v>479.7</v>
      </c>
      <c r="H154" s="69">
        <f t="shared" si="40"/>
        <v>0</v>
      </c>
      <c r="I154" s="69">
        <f t="shared" si="30"/>
        <v>479.7</v>
      </c>
      <c r="J154" s="69">
        <f t="shared" si="40"/>
        <v>0</v>
      </c>
      <c r="K154" s="84">
        <f t="shared" si="31"/>
        <v>479.7</v>
      </c>
      <c r="L154" s="13">
        <f t="shared" si="40"/>
        <v>0</v>
      </c>
      <c r="M154" s="84">
        <f t="shared" si="28"/>
        <v>479.7</v>
      </c>
      <c r="N154" s="13">
        <f t="shared" si="40"/>
        <v>0</v>
      </c>
      <c r="O154" s="84">
        <f t="shared" si="29"/>
        <v>479.7</v>
      </c>
      <c r="P154" s="13">
        <f t="shared" si="40"/>
        <v>0</v>
      </c>
      <c r="Q154" s="84">
        <f t="shared" si="26"/>
        <v>479.7</v>
      </c>
      <c r="R154" s="13">
        <f t="shared" si="40"/>
        <v>14.2</v>
      </c>
      <c r="S154" s="84">
        <f t="shared" si="27"/>
        <v>493.9</v>
      </c>
      <c r="T154" s="13">
        <f t="shared" si="40"/>
        <v>0</v>
      </c>
      <c r="U154" s="84">
        <f t="shared" ref="U154:U217" si="41">S154+T154</f>
        <v>493.9</v>
      </c>
    </row>
    <row r="155" spans="1:22" s="128" customFormat="1">
      <c r="A155" s="61" t="str">
        <f ca="1">IF(ISERROR(MATCH(F155,Код_КВР,0)),"",INDIRECT(ADDRESS(MATCH(F155,Код_КВР,0)+1,2,,,"КВР")))</f>
        <v>Иные бюджетные ассигнования</v>
      </c>
      <c r="B155" s="126">
        <v>801</v>
      </c>
      <c r="C155" s="8" t="s">
        <v>211</v>
      </c>
      <c r="D155" s="8" t="s">
        <v>188</v>
      </c>
      <c r="E155" s="126" t="s">
        <v>143</v>
      </c>
      <c r="F155" s="126">
        <v>800</v>
      </c>
      <c r="G155" s="69">
        <f t="shared" si="40"/>
        <v>479.7</v>
      </c>
      <c r="H155" s="69">
        <f t="shared" si="40"/>
        <v>0</v>
      </c>
      <c r="I155" s="69">
        <f t="shared" si="30"/>
        <v>479.7</v>
      </c>
      <c r="J155" s="69">
        <f t="shared" si="40"/>
        <v>0</v>
      </c>
      <c r="K155" s="84">
        <f t="shared" si="31"/>
        <v>479.7</v>
      </c>
      <c r="L155" s="13">
        <f t="shared" si="40"/>
        <v>0</v>
      </c>
      <c r="M155" s="84">
        <f t="shared" si="28"/>
        <v>479.7</v>
      </c>
      <c r="N155" s="13">
        <f t="shared" si="40"/>
        <v>0</v>
      </c>
      <c r="O155" s="84">
        <f t="shared" si="29"/>
        <v>479.7</v>
      </c>
      <c r="P155" s="13">
        <f t="shared" si="40"/>
        <v>0</v>
      </c>
      <c r="Q155" s="84">
        <f t="shared" si="26"/>
        <v>479.7</v>
      </c>
      <c r="R155" s="13">
        <f t="shared" si="40"/>
        <v>14.2</v>
      </c>
      <c r="S155" s="84">
        <f t="shared" si="27"/>
        <v>493.9</v>
      </c>
      <c r="T155" s="13">
        <f t="shared" si="40"/>
        <v>0</v>
      </c>
      <c r="U155" s="84">
        <f t="shared" si="41"/>
        <v>493.9</v>
      </c>
    </row>
    <row r="156" spans="1:22" s="128" customFormat="1">
      <c r="A156" s="61" t="str">
        <f ca="1">IF(ISERROR(MATCH(F156,Код_КВР,0)),"",INDIRECT(ADDRESS(MATCH(F156,Код_КВР,0)+1,2,,,"КВР")))</f>
        <v>Уплата налогов, сборов и иных платежей</v>
      </c>
      <c r="B156" s="126">
        <v>801</v>
      </c>
      <c r="C156" s="8" t="s">
        <v>211</v>
      </c>
      <c r="D156" s="8" t="s">
        <v>188</v>
      </c>
      <c r="E156" s="126" t="s">
        <v>143</v>
      </c>
      <c r="F156" s="126">
        <v>850</v>
      </c>
      <c r="G156" s="69">
        <f t="shared" si="40"/>
        <v>479.7</v>
      </c>
      <c r="H156" s="69">
        <f t="shared" si="40"/>
        <v>0</v>
      </c>
      <c r="I156" s="69">
        <f t="shared" si="30"/>
        <v>479.7</v>
      </c>
      <c r="J156" s="69">
        <f t="shared" si="40"/>
        <v>0</v>
      </c>
      <c r="K156" s="84">
        <f t="shared" si="31"/>
        <v>479.7</v>
      </c>
      <c r="L156" s="13">
        <f t="shared" si="40"/>
        <v>0</v>
      </c>
      <c r="M156" s="84">
        <f t="shared" si="28"/>
        <v>479.7</v>
      </c>
      <c r="N156" s="13">
        <f t="shared" si="40"/>
        <v>0</v>
      </c>
      <c r="O156" s="84">
        <f t="shared" si="29"/>
        <v>479.7</v>
      </c>
      <c r="P156" s="13">
        <f t="shared" si="40"/>
        <v>0</v>
      </c>
      <c r="Q156" s="84">
        <f t="shared" si="26"/>
        <v>479.7</v>
      </c>
      <c r="R156" s="13">
        <f t="shared" si="40"/>
        <v>14.2</v>
      </c>
      <c r="S156" s="84">
        <f t="shared" si="27"/>
        <v>493.9</v>
      </c>
      <c r="T156" s="13">
        <f t="shared" si="40"/>
        <v>0</v>
      </c>
      <c r="U156" s="84">
        <f t="shared" si="41"/>
        <v>493.9</v>
      </c>
    </row>
    <row r="157" spans="1:22" s="128" customFormat="1">
      <c r="A157" s="61" t="str">
        <f ca="1">IF(ISERROR(MATCH(F157,Код_КВР,0)),"",INDIRECT(ADDRESS(MATCH(F157,Код_КВР,0)+1,2,,,"КВР")))</f>
        <v>Уплата прочих налогов, сборов и иных платежей</v>
      </c>
      <c r="B157" s="126">
        <v>801</v>
      </c>
      <c r="C157" s="8" t="s">
        <v>211</v>
      </c>
      <c r="D157" s="8" t="s">
        <v>188</v>
      </c>
      <c r="E157" s="126" t="s">
        <v>143</v>
      </c>
      <c r="F157" s="126">
        <v>852</v>
      </c>
      <c r="G157" s="69">
        <v>479.7</v>
      </c>
      <c r="H157" s="69"/>
      <c r="I157" s="69">
        <f t="shared" si="30"/>
        <v>479.7</v>
      </c>
      <c r="J157" s="69"/>
      <c r="K157" s="84">
        <f t="shared" si="31"/>
        <v>479.7</v>
      </c>
      <c r="L157" s="13"/>
      <c r="M157" s="84">
        <f t="shared" si="28"/>
        <v>479.7</v>
      </c>
      <c r="N157" s="13"/>
      <c r="O157" s="84">
        <f t="shared" si="29"/>
        <v>479.7</v>
      </c>
      <c r="P157" s="13"/>
      <c r="Q157" s="84">
        <f t="shared" si="26"/>
        <v>479.7</v>
      </c>
      <c r="R157" s="13">
        <v>14.2</v>
      </c>
      <c r="S157" s="84">
        <f t="shared" si="27"/>
        <v>493.9</v>
      </c>
      <c r="T157" s="13"/>
      <c r="U157" s="84">
        <f t="shared" si="41"/>
        <v>493.9</v>
      </c>
    </row>
    <row r="158" spans="1:22" s="128" customFormat="1" ht="33">
      <c r="A158" s="61" t="str">
        <f ca="1">IF(ISERROR(MATCH(E158,Код_КЦСР,0)),"",INDIRECT(ADDRESS(MATCH(E158,Код_КЦСР,0)+1,2,,,"КЦСР")))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58" s="126">
        <v>801</v>
      </c>
      <c r="C158" s="8" t="s">
        <v>211</v>
      </c>
      <c r="D158" s="8" t="s">
        <v>188</v>
      </c>
      <c r="E158" s="126" t="s">
        <v>148</v>
      </c>
      <c r="F158" s="126"/>
      <c r="G158" s="69">
        <f t="shared" ref="G158:T162" si="42">G159</f>
        <v>20</v>
      </c>
      <c r="H158" s="69">
        <f t="shared" si="42"/>
        <v>0</v>
      </c>
      <c r="I158" s="69">
        <f t="shared" si="30"/>
        <v>20</v>
      </c>
      <c r="J158" s="69">
        <f t="shared" si="42"/>
        <v>0</v>
      </c>
      <c r="K158" s="84">
        <f t="shared" si="31"/>
        <v>20</v>
      </c>
      <c r="L158" s="13">
        <f t="shared" si="42"/>
        <v>0</v>
      </c>
      <c r="M158" s="84">
        <f t="shared" si="28"/>
        <v>20</v>
      </c>
      <c r="N158" s="13">
        <f t="shared" si="42"/>
        <v>0</v>
      </c>
      <c r="O158" s="84">
        <f t="shared" si="29"/>
        <v>20</v>
      </c>
      <c r="P158" s="13">
        <f t="shared" si="42"/>
        <v>0</v>
      </c>
      <c r="Q158" s="84">
        <f t="shared" si="26"/>
        <v>20</v>
      </c>
      <c r="R158" s="13">
        <f t="shared" si="42"/>
        <v>0</v>
      </c>
      <c r="S158" s="84">
        <f t="shared" si="27"/>
        <v>20</v>
      </c>
      <c r="T158" s="13">
        <f t="shared" si="42"/>
        <v>0</v>
      </c>
      <c r="U158" s="84">
        <f t="shared" si="41"/>
        <v>20</v>
      </c>
    </row>
    <row r="159" spans="1:22" s="128" customFormat="1">
      <c r="A159" s="61" t="str">
        <f ca="1">IF(ISERROR(MATCH(E159,Код_КЦСР,0)),"",INDIRECT(ADDRESS(MATCH(E159,Код_КЦСР,0)+1,2,,,"КЦСР")))</f>
        <v>Профилактика преступлений и иных правонарушений в городе Череповце</v>
      </c>
      <c r="B159" s="126">
        <v>801</v>
      </c>
      <c r="C159" s="8" t="s">
        <v>211</v>
      </c>
      <c r="D159" s="8" t="s">
        <v>188</v>
      </c>
      <c r="E159" s="126" t="s">
        <v>150</v>
      </c>
      <c r="F159" s="126"/>
      <c r="G159" s="69">
        <f t="shared" si="42"/>
        <v>20</v>
      </c>
      <c r="H159" s="69">
        <f t="shared" si="42"/>
        <v>0</v>
      </c>
      <c r="I159" s="69">
        <f t="shared" si="30"/>
        <v>20</v>
      </c>
      <c r="J159" s="69">
        <f t="shared" si="42"/>
        <v>0</v>
      </c>
      <c r="K159" s="84">
        <f t="shared" si="31"/>
        <v>20</v>
      </c>
      <c r="L159" s="13">
        <f t="shared" si="42"/>
        <v>0</v>
      </c>
      <c r="M159" s="84">
        <f t="shared" si="28"/>
        <v>20</v>
      </c>
      <c r="N159" s="13">
        <f t="shared" si="42"/>
        <v>0</v>
      </c>
      <c r="O159" s="84">
        <f t="shared" si="29"/>
        <v>20</v>
      </c>
      <c r="P159" s="13">
        <f t="shared" si="42"/>
        <v>0</v>
      </c>
      <c r="Q159" s="84">
        <f t="shared" si="26"/>
        <v>20</v>
      </c>
      <c r="R159" s="13">
        <f t="shared" si="42"/>
        <v>0</v>
      </c>
      <c r="S159" s="84">
        <f t="shared" si="27"/>
        <v>20</v>
      </c>
      <c r="T159" s="13">
        <f t="shared" si="42"/>
        <v>0</v>
      </c>
      <c r="U159" s="84">
        <f t="shared" si="41"/>
        <v>20</v>
      </c>
    </row>
    <row r="160" spans="1:22" s="128" customFormat="1">
      <c r="A160" s="61" t="str">
        <f ca="1">IF(ISERROR(MATCH(E160,Код_КЦСР,0)),"",INDIRECT(ADDRESS(MATCH(E160,Код_КЦСР,0)+1,2,,,"КЦСР")))</f>
        <v>Привлечение общественности к охране общественного порядка</v>
      </c>
      <c r="B160" s="126">
        <v>801</v>
      </c>
      <c r="C160" s="8" t="s">
        <v>211</v>
      </c>
      <c r="D160" s="8" t="s">
        <v>188</v>
      </c>
      <c r="E160" s="126" t="s">
        <v>152</v>
      </c>
      <c r="F160" s="126"/>
      <c r="G160" s="69">
        <f t="shared" si="42"/>
        <v>20</v>
      </c>
      <c r="H160" s="69">
        <f t="shared" si="42"/>
        <v>0</v>
      </c>
      <c r="I160" s="69">
        <f t="shared" si="30"/>
        <v>20</v>
      </c>
      <c r="J160" s="69">
        <f t="shared" si="42"/>
        <v>0</v>
      </c>
      <c r="K160" s="84">
        <f t="shared" si="31"/>
        <v>20</v>
      </c>
      <c r="L160" s="13">
        <f t="shared" si="42"/>
        <v>0</v>
      </c>
      <c r="M160" s="84">
        <f t="shared" si="28"/>
        <v>20</v>
      </c>
      <c r="N160" s="13">
        <f t="shared" si="42"/>
        <v>0</v>
      </c>
      <c r="O160" s="84">
        <f t="shared" si="29"/>
        <v>20</v>
      </c>
      <c r="P160" s="13">
        <f t="shared" si="42"/>
        <v>0</v>
      </c>
      <c r="Q160" s="84">
        <f t="shared" ref="Q160:Q223" si="43">O160+P160</f>
        <v>20</v>
      </c>
      <c r="R160" s="13">
        <f t="shared" si="42"/>
        <v>0</v>
      </c>
      <c r="S160" s="84">
        <f t="shared" ref="S160:S223" si="44">Q160+R160</f>
        <v>20</v>
      </c>
      <c r="T160" s="13">
        <f t="shared" si="42"/>
        <v>0</v>
      </c>
      <c r="U160" s="84">
        <f t="shared" si="41"/>
        <v>20</v>
      </c>
    </row>
    <row r="161" spans="1:21" s="128" customFormat="1">
      <c r="A161" s="61" t="str">
        <f ca="1">IF(ISERROR(MATCH(F161,Код_КВР,0)),"",INDIRECT(ADDRESS(MATCH(F161,Код_КВР,0)+1,2,,,"КВР")))</f>
        <v>Закупка товаров, работ и услуг для муниципальных нужд</v>
      </c>
      <c r="B161" s="126">
        <v>801</v>
      </c>
      <c r="C161" s="8" t="s">
        <v>211</v>
      </c>
      <c r="D161" s="8" t="s">
        <v>188</v>
      </c>
      <c r="E161" s="126" t="s">
        <v>152</v>
      </c>
      <c r="F161" s="126">
        <v>200</v>
      </c>
      <c r="G161" s="69">
        <f t="shared" si="42"/>
        <v>20</v>
      </c>
      <c r="H161" s="69">
        <f t="shared" si="42"/>
        <v>0</v>
      </c>
      <c r="I161" s="69">
        <f t="shared" si="30"/>
        <v>20</v>
      </c>
      <c r="J161" s="69">
        <f t="shared" si="42"/>
        <v>0</v>
      </c>
      <c r="K161" s="84">
        <f t="shared" si="31"/>
        <v>20</v>
      </c>
      <c r="L161" s="13">
        <f t="shared" si="42"/>
        <v>0</v>
      </c>
      <c r="M161" s="84">
        <f t="shared" si="28"/>
        <v>20</v>
      </c>
      <c r="N161" s="13">
        <f t="shared" si="42"/>
        <v>0</v>
      </c>
      <c r="O161" s="84">
        <f t="shared" si="29"/>
        <v>20</v>
      </c>
      <c r="P161" s="13">
        <f t="shared" si="42"/>
        <v>0</v>
      </c>
      <c r="Q161" s="84">
        <f t="shared" si="43"/>
        <v>20</v>
      </c>
      <c r="R161" s="13">
        <f t="shared" si="42"/>
        <v>0</v>
      </c>
      <c r="S161" s="84">
        <f t="shared" si="44"/>
        <v>20</v>
      </c>
      <c r="T161" s="13">
        <f t="shared" si="42"/>
        <v>0</v>
      </c>
      <c r="U161" s="84">
        <f t="shared" si="41"/>
        <v>20</v>
      </c>
    </row>
    <row r="162" spans="1:21" s="128" customFormat="1" ht="33">
      <c r="A162" s="61" t="str">
        <f ca="1">IF(ISERROR(MATCH(F162,Код_КВР,0)),"",INDIRECT(ADDRESS(MATCH(F162,Код_КВР,0)+1,2,,,"КВР")))</f>
        <v>Иные закупки товаров, работ и услуг для обеспечения муниципальных нужд</v>
      </c>
      <c r="B162" s="126">
        <v>801</v>
      </c>
      <c r="C162" s="8" t="s">
        <v>211</v>
      </c>
      <c r="D162" s="8" t="s">
        <v>188</v>
      </c>
      <c r="E162" s="126" t="s">
        <v>152</v>
      </c>
      <c r="F162" s="126">
        <v>240</v>
      </c>
      <c r="G162" s="69">
        <f t="shared" si="42"/>
        <v>20</v>
      </c>
      <c r="H162" s="69">
        <f t="shared" si="42"/>
        <v>0</v>
      </c>
      <c r="I162" s="69">
        <f t="shared" si="30"/>
        <v>20</v>
      </c>
      <c r="J162" s="69">
        <f t="shared" si="42"/>
        <v>0</v>
      </c>
      <c r="K162" s="84">
        <f t="shared" si="31"/>
        <v>20</v>
      </c>
      <c r="L162" s="13">
        <f t="shared" si="42"/>
        <v>0</v>
      </c>
      <c r="M162" s="84">
        <f t="shared" ref="M162:M229" si="45">K162+L162</f>
        <v>20</v>
      </c>
      <c r="N162" s="13">
        <f t="shared" si="42"/>
        <v>0</v>
      </c>
      <c r="O162" s="84">
        <f t="shared" ref="O162:O229" si="46">M162+N162</f>
        <v>20</v>
      </c>
      <c r="P162" s="13">
        <f t="shared" si="42"/>
        <v>0</v>
      </c>
      <c r="Q162" s="84">
        <f t="shared" si="43"/>
        <v>20</v>
      </c>
      <c r="R162" s="13">
        <f t="shared" si="42"/>
        <v>0</v>
      </c>
      <c r="S162" s="84">
        <f t="shared" si="44"/>
        <v>20</v>
      </c>
      <c r="T162" s="13">
        <f t="shared" si="42"/>
        <v>0</v>
      </c>
      <c r="U162" s="84">
        <f t="shared" si="41"/>
        <v>20</v>
      </c>
    </row>
    <row r="163" spans="1:21" s="128" customFormat="1" ht="33">
      <c r="A163" s="61" t="str">
        <f ca="1">IF(ISERROR(MATCH(F163,Код_КВР,0)),"",INDIRECT(ADDRESS(MATCH(F163,Код_КВР,0)+1,2,,,"КВР")))</f>
        <v xml:space="preserve">Прочая закупка товаров, работ и услуг для обеспечения муниципальных нужд         </v>
      </c>
      <c r="B163" s="126">
        <v>801</v>
      </c>
      <c r="C163" s="8" t="s">
        <v>211</v>
      </c>
      <c r="D163" s="8" t="s">
        <v>188</v>
      </c>
      <c r="E163" s="126" t="s">
        <v>152</v>
      </c>
      <c r="F163" s="126">
        <v>244</v>
      </c>
      <c r="G163" s="69">
        <v>20</v>
      </c>
      <c r="H163" s="69"/>
      <c r="I163" s="69">
        <f t="shared" si="30"/>
        <v>20</v>
      </c>
      <c r="J163" s="69"/>
      <c r="K163" s="84">
        <f t="shared" si="31"/>
        <v>20</v>
      </c>
      <c r="L163" s="13"/>
      <c r="M163" s="84">
        <f t="shared" si="45"/>
        <v>20</v>
      </c>
      <c r="N163" s="13"/>
      <c r="O163" s="84">
        <f t="shared" si="46"/>
        <v>20</v>
      </c>
      <c r="P163" s="13"/>
      <c r="Q163" s="84">
        <f t="shared" si="43"/>
        <v>20</v>
      </c>
      <c r="R163" s="13"/>
      <c r="S163" s="84">
        <f t="shared" si="44"/>
        <v>20</v>
      </c>
      <c r="T163" s="13"/>
      <c r="U163" s="84">
        <f t="shared" si="41"/>
        <v>20</v>
      </c>
    </row>
    <row r="164" spans="1:21" s="128" customFormat="1" ht="33">
      <c r="A164" s="61" t="str">
        <f ca="1">IF(ISERROR(MATCH(E164,Код_КЦСР,0)),"",INDIRECT(ADDRESS(MATCH(E164,Код_КЦСР,0)+1,2,,,"КЦСР")))</f>
        <v>Непрограммные направления деятельности органов местного самоуправления</v>
      </c>
      <c r="B164" s="126">
        <v>801</v>
      </c>
      <c r="C164" s="8" t="s">
        <v>211</v>
      </c>
      <c r="D164" s="8" t="s">
        <v>188</v>
      </c>
      <c r="E164" s="126" t="s">
        <v>295</v>
      </c>
      <c r="F164" s="126"/>
      <c r="G164" s="69">
        <f t="shared" ref="G164:T169" si="47">G165</f>
        <v>100</v>
      </c>
      <c r="H164" s="69">
        <f t="shared" si="47"/>
        <v>0</v>
      </c>
      <c r="I164" s="69">
        <f t="shared" si="30"/>
        <v>100</v>
      </c>
      <c r="J164" s="69">
        <f t="shared" si="47"/>
        <v>0</v>
      </c>
      <c r="K164" s="84">
        <f t="shared" si="31"/>
        <v>100</v>
      </c>
      <c r="L164" s="13">
        <f t="shared" si="47"/>
        <v>-50</v>
      </c>
      <c r="M164" s="84">
        <f t="shared" si="45"/>
        <v>50</v>
      </c>
      <c r="N164" s="13">
        <f t="shared" si="47"/>
        <v>0.5</v>
      </c>
      <c r="O164" s="84">
        <f t="shared" si="46"/>
        <v>50.5</v>
      </c>
      <c r="P164" s="13">
        <f t="shared" si="47"/>
        <v>0</v>
      </c>
      <c r="Q164" s="84">
        <f t="shared" si="43"/>
        <v>50.5</v>
      </c>
      <c r="R164" s="13">
        <f t="shared" si="47"/>
        <v>0</v>
      </c>
      <c r="S164" s="84">
        <f t="shared" si="44"/>
        <v>50.5</v>
      </c>
      <c r="T164" s="13">
        <f t="shared" si="47"/>
        <v>0</v>
      </c>
      <c r="U164" s="84">
        <f t="shared" si="41"/>
        <v>50.5</v>
      </c>
    </row>
    <row r="165" spans="1:21" s="128" customFormat="1">
      <c r="A165" s="61" t="str">
        <f ca="1">IF(ISERROR(MATCH(E165,Код_КЦСР,0)),"",INDIRECT(ADDRESS(MATCH(E165,Код_КЦСР,0)+1,2,,,"КЦСР")))</f>
        <v>Расходы, не включенные в муниципальные программы города Череповца</v>
      </c>
      <c r="B165" s="126">
        <v>801</v>
      </c>
      <c r="C165" s="8" t="s">
        <v>211</v>
      </c>
      <c r="D165" s="8" t="s">
        <v>188</v>
      </c>
      <c r="E165" s="126" t="s">
        <v>297</v>
      </c>
      <c r="F165" s="126"/>
      <c r="G165" s="69">
        <f t="shared" si="47"/>
        <v>100</v>
      </c>
      <c r="H165" s="69">
        <f t="shared" si="47"/>
        <v>0</v>
      </c>
      <c r="I165" s="69">
        <f t="shared" si="30"/>
        <v>100</v>
      </c>
      <c r="J165" s="69">
        <f t="shared" si="47"/>
        <v>0</v>
      </c>
      <c r="K165" s="84">
        <f t="shared" si="31"/>
        <v>100</v>
      </c>
      <c r="L165" s="13">
        <f t="shared" si="47"/>
        <v>-50</v>
      </c>
      <c r="M165" s="84">
        <f t="shared" si="45"/>
        <v>50</v>
      </c>
      <c r="N165" s="13">
        <f t="shared" si="47"/>
        <v>0.5</v>
      </c>
      <c r="O165" s="84">
        <f t="shared" si="46"/>
        <v>50.5</v>
      </c>
      <c r="P165" s="13">
        <f t="shared" si="47"/>
        <v>0</v>
      </c>
      <c r="Q165" s="84">
        <f t="shared" si="43"/>
        <v>50.5</v>
      </c>
      <c r="R165" s="13">
        <f t="shared" si="47"/>
        <v>0</v>
      </c>
      <c r="S165" s="84">
        <f t="shared" si="44"/>
        <v>50.5</v>
      </c>
      <c r="T165" s="13">
        <f t="shared" si="47"/>
        <v>0</v>
      </c>
      <c r="U165" s="84">
        <f t="shared" si="41"/>
        <v>50.5</v>
      </c>
    </row>
    <row r="166" spans="1:21" s="128" customFormat="1" ht="33">
      <c r="A166" s="61" t="str">
        <f ca="1">IF(ISERROR(MATCH(E166,Код_КЦСР,0)),"",INDIRECT(ADDRESS(MATCH(E166,Код_КЦСР,0)+1,2,,,"КЦСР")))</f>
        <v>Реализация функций органов местного самоуправления города, связанных с общегородским управлением</v>
      </c>
      <c r="B166" s="126">
        <v>801</v>
      </c>
      <c r="C166" s="8" t="s">
        <v>211</v>
      </c>
      <c r="D166" s="8" t="s">
        <v>188</v>
      </c>
      <c r="E166" s="126" t="s">
        <v>305</v>
      </c>
      <c r="F166" s="126"/>
      <c r="G166" s="69">
        <f t="shared" si="47"/>
        <v>100</v>
      </c>
      <c r="H166" s="69">
        <f t="shared" si="47"/>
        <v>0</v>
      </c>
      <c r="I166" s="69">
        <f t="shared" si="30"/>
        <v>100</v>
      </c>
      <c r="J166" s="69">
        <f t="shared" si="47"/>
        <v>0</v>
      </c>
      <c r="K166" s="84">
        <f t="shared" si="31"/>
        <v>100</v>
      </c>
      <c r="L166" s="13">
        <f t="shared" si="47"/>
        <v>-50</v>
      </c>
      <c r="M166" s="84">
        <f t="shared" si="45"/>
        <v>50</v>
      </c>
      <c r="N166" s="13">
        <f>N167+N171</f>
        <v>0.5</v>
      </c>
      <c r="O166" s="84">
        <f t="shared" si="46"/>
        <v>50.5</v>
      </c>
      <c r="P166" s="13">
        <f>P167+P171</f>
        <v>0</v>
      </c>
      <c r="Q166" s="84">
        <f t="shared" si="43"/>
        <v>50.5</v>
      </c>
      <c r="R166" s="13">
        <f>R167+R171</f>
        <v>0</v>
      </c>
      <c r="S166" s="84">
        <f t="shared" si="44"/>
        <v>50.5</v>
      </c>
      <c r="T166" s="13">
        <f>T167+T171</f>
        <v>0</v>
      </c>
      <c r="U166" s="84">
        <f t="shared" si="41"/>
        <v>50.5</v>
      </c>
    </row>
    <row r="167" spans="1:21" s="128" customFormat="1">
      <c r="A167" s="61" t="str">
        <f ca="1">IF(ISERROR(MATCH(E167,Код_КЦСР,0)),"",INDIRECT(ADDRESS(MATCH(E167,Код_КЦСР,0)+1,2,,,"КЦСР")))</f>
        <v>Расходы на судебные издержки и исполнение судебных решений</v>
      </c>
      <c r="B167" s="126">
        <v>801</v>
      </c>
      <c r="C167" s="8" t="s">
        <v>211</v>
      </c>
      <c r="D167" s="8" t="s">
        <v>188</v>
      </c>
      <c r="E167" s="126" t="s">
        <v>307</v>
      </c>
      <c r="F167" s="126"/>
      <c r="G167" s="69">
        <f t="shared" si="47"/>
        <v>100</v>
      </c>
      <c r="H167" s="69">
        <f t="shared" si="47"/>
        <v>0</v>
      </c>
      <c r="I167" s="69">
        <f t="shared" si="30"/>
        <v>100</v>
      </c>
      <c r="J167" s="69">
        <f t="shared" si="47"/>
        <v>0</v>
      </c>
      <c r="K167" s="84">
        <f t="shared" si="31"/>
        <v>100</v>
      </c>
      <c r="L167" s="13">
        <f t="shared" si="47"/>
        <v>-50</v>
      </c>
      <c r="M167" s="84">
        <f t="shared" si="45"/>
        <v>50</v>
      </c>
      <c r="N167" s="13">
        <f t="shared" si="47"/>
        <v>0</v>
      </c>
      <c r="O167" s="84">
        <f t="shared" si="46"/>
        <v>50</v>
      </c>
      <c r="P167" s="13">
        <f t="shared" si="47"/>
        <v>0</v>
      </c>
      <c r="Q167" s="84">
        <f t="shared" si="43"/>
        <v>50</v>
      </c>
      <c r="R167" s="13">
        <f t="shared" si="47"/>
        <v>0</v>
      </c>
      <c r="S167" s="84">
        <f t="shared" si="44"/>
        <v>50</v>
      </c>
      <c r="T167" s="13">
        <f t="shared" si="47"/>
        <v>0</v>
      </c>
      <c r="U167" s="84">
        <f t="shared" si="41"/>
        <v>50</v>
      </c>
    </row>
    <row r="168" spans="1:21" s="128" customFormat="1">
      <c r="A168" s="61" t="str">
        <f ca="1">IF(ISERROR(MATCH(F168,Код_КВР,0)),"",INDIRECT(ADDRESS(MATCH(F168,Код_КВР,0)+1,2,,,"КВР")))</f>
        <v>Иные бюджетные ассигнования</v>
      </c>
      <c r="B168" s="126">
        <v>801</v>
      </c>
      <c r="C168" s="8" t="s">
        <v>211</v>
      </c>
      <c r="D168" s="8" t="s">
        <v>188</v>
      </c>
      <c r="E168" s="126" t="s">
        <v>307</v>
      </c>
      <c r="F168" s="126">
        <v>800</v>
      </c>
      <c r="G168" s="69">
        <f t="shared" si="47"/>
        <v>100</v>
      </c>
      <c r="H168" s="69">
        <f t="shared" si="47"/>
        <v>0</v>
      </c>
      <c r="I168" s="69">
        <f t="shared" si="30"/>
        <v>100</v>
      </c>
      <c r="J168" s="69">
        <f t="shared" si="47"/>
        <v>0</v>
      </c>
      <c r="K168" s="84">
        <f t="shared" si="31"/>
        <v>100</v>
      </c>
      <c r="L168" s="13">
        <f t="shared" si="47"/>
        <v>-50</v>
      </c>
      <c r="M168" s="84">
        <f t="shared" si="45"/>
        <v>50</v>
      </c>
      <c r="N168" s="13">
        <f t="shared" si="47"/>
        <v>0</v>
      </c>
      <c r="O168" s="84">
        <f t="shared" si="46"/>
        <v>50</v>
      </c>
      <c r="P168" s="13">
        <f t="shared" si="47"/>
        <v>0</v>
      </c>
      <c r="Q168" s="84">
        <f t="shared" si="43"/>
        <v>50</v>
      </c>
      <c r="R168" s="13">
        <f t="shared" si="47"/>
        <v>0</v>
      </c>
      <c r="S168" s="84">
        <f t="shared" si="44"/>
        <v>50</v>
      </c>
      <c r="T168" s="13">
        <f t="shared" si="47"/>
        <v>0</v>
      </c>
      <c r="U168" s="84">
        <f t="shared" si="41"/>
        <v>50</v>
      </c>
    </row>
    <row r="169" spans="1:21" s="128" customFormat="1">
      <c r="A169" s="61" t="str">
        <f ca="1">IF(ISERROR(MATCH(F169,Код_КВР,0)),"",INDIRECT(ADDRESS(MATCH(F169,Код_КВР,0)+1,2,,,"КВР")))</f>
        <v>Исполнение судебных актов</v>
      </c>
      <c r="B169" s="126">
        <v>801</v>
      </c>
      <c r="C169" s="8" t="s">
        <v>211</v>
      </c>
      <c r="D169" s="8" t="s">
        <v>188</v>
      </c>
      <c r="E169" s="126" t="s">
        <v>307</v>
      </c>
      <c r="F169" s="126">
        <v>830</v>
      </c>
      <c r="G169" s="69">
        <f t="shared" si="47"/>
        <v>100</v>
      </c>
      <c r="H169" s="69">
        <f t="shared" si="47"/>
        <v>0</v>
      </c>
      <c r="I169" s="69">
        <f t="shared" si="30"/>
        <v>100</v>
      </c>
      <c r="J169" s="69">
        <f t="shared" si="47"/>
        <v>0</v>
      </c>
      <c r="K169" s="84">
        <f t="shared" si="31"/>
        <v>100</v>
      </c>
      <c r="L169" s="13">
        <f t="shared" si="47"/>
        <v>-50</v>
      </c>
      <c r="M169" s="84">
        <f t="shared" si="45"/>
        <v>50</v>
      </c>
      <c r="N169" s="13">
        <f t="shared" si="47"/>
        <v>0</v>
      </c>
      <c r="O169" s="84">
        <f t="shared" si="46"/>
        <v>50</v>
      </c>
      <c r="P169" s="13">
        <f t="shared" si="47"/>
        <v>0</v>
      </c>
      <c r="Q169" s="84">
        <f t="shared" si="43"/>
        <v>50</v>
      </c>
      <c r="R169" s="13">
        <f t="shared" si="47"/>
        <v>0</v>
      </c>
      <c r="S169" s="84">
        <f t="shared" si="44"/>
        <v>50</v>
      </c>
      <c r="T169" s="13">
        <f t="shared" si="47"/>
        <v>0</v>
      </c>
      <c r="U169" s="84">
        <f t="shared" si="41"/>
        <v>50</v>
      </c>
    </row>
    <row r="170" spans="1:21" s="128" customFormat="1" ht="82.5">
      <c r="A170" s="61" t="str">
        <f ca="1">IF(ISERROR(MATCH(F170,Код_КВР,0)),"",INDIRECT(ADDRESS(MATCH(F170,Код_КВР,0)+1,2,,,"КВР")))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70" s="126">
        <v>801</v>
      </c>
      <c r="C170" s="8" t="s">
        <v>211</v>
      </c>
      <c r="D170" s="8" t="s">
        <v>188</v>
      </c>
      <c r="E170" s="126" t="s">
        <v>307</v>
      </c>
      <c r="F170" s="126">
        <v>831</v>
      </c>
      <c r="G170" s="69">
        <v>100</v>
      </c>
      <c r="H170" s="69"/>
      <c r="I170" s="69">
        <f t="shared" si="30"/>
        <v>100</v>
      </c>
      <c r="J170" s="69"/>
      <c r="K170" s="84">
        <f t="shared" si="31"/>
        <v>100</v>
      </c>
      <c r="L170" s="13">
        <v>-50</v>
      </c>
      <c r="M170" s="84">
        <f t="shared" si="45"/>
        <v>50</v>
      </c>
      <c r="N170" s="13"/>
      <c r="O170" s="84">
        <f t="shared" si="46"/>
        <v>50</v>
      </c>
      <c r="P170" s="13"/>
      <c r="Q170" s="84">
        <f t="shared" si="43"/>
        <v>50</v>
      </c>
      <c r="R170" s="13"/>
      <c r="S170" s="84">
        <f t="shared" si="44"/>
        <v>50</v>
      </c>
      <c r="T170" s="13"/>
      <c r="U170" s="84">
        <f t="shared" si="41"/>
        <v>50</v>
      </c>
    </row>
    <row r="171" spans="1:21" s="128" customFormat="1">
      <c r="A171" s="61" t="str">
        <f ca="1">IF(ISERROR(MATCH(E171,Код_КЦСР,0)),"",INDIRECT(ADDRESS(MATCH(E171,Код_КЦСР,0)+1,2,,,"КЦСР")))</f>
        <v>Выполнение других обязательств органов местного самоуправления</v>
      </c>
      <c r="B171" s="126">
        <v>801</v>
      </c>
      <c r="C171" s="8" t="s">
        <v>211</v>
      </c>
      <c r="D171" s="8" t="s">
        <v>188</v>
      </c>
      <c r="E171" s="126" t="s">
        <v>309</v>
      </c>
      <c r="F171" s="126"/>
      <c r="G171" s="69"/>
      <c r="H171" s="69"/>
      <c r="I171" s="69"/>
      <c r="J171" s="69"/>
      <c r="K171" s="84"/>
      <c r="L171" s="13"/>
      <c r="M171" s="84"/>
      <c r="N171" s="13">
        <f>N172</f>
        <v>0.5</v>
      </c>
      <c r="O171" s="84">
        <f t="shared" si="46"/>
        <v>0.5</v>
      </c>
      <c r="P171" s="13">
        <f>P172</f>
        <v>0</v>
      </c>
      <c r="Q171" s="84">
        <f t="shared" si="43"/>
        <v>0.5</v>
      </c>
      <c r="R171" s="13">
        <f>R172</f>
        <v>0</v>
      </c>
      <c r="S171" s="84">
        <f t="shared" si="44"/>
        <v>0.5</v>
      </c>
      <c r="T171" s="13">
        <f>T172</f>
        <v>0</v>
      </c>
      <c r="U171" s="84">
        <f t="shared" si="41"/>
        <v>0.5</v>
      </c>
    </row>
    <row r="172" spans="1:21" s="128" customFormat="1">
      <c r="A172" s="61" t="str">
        <f ca="1">IF(ISERROR(MATCH(F172,Код_КВР,0)),"",INDIRECT(ADDRESS(MATCH(F172,Код_КВР,0)+1,2,,,"КВР")))</f>
        <v>Иные бюджетные ассигнования</v>
      </c>
      <c r="B172" s="126">
        <v>801</v>
      </c>
      <c r="C172" s="8" t="s">
        <v>211</v>
      </c>
      <c r="D172" s="8" t="s">
        <v>188</v>
      </c>
      <c r="E172" s="126" t="s">
        <v>309</v>
      </c>
      <c r="F172" s="126">
        <v>800</v>
      </c>
      <c r="G172" s="69"/>
      <c r="H172" s="69"/>
      <c r="I172" s="69"/>
      <c r="J172" s="69"/>
      <c r="K172" s="84"/>
      <c r="L172" s="13"/>
      <c r="M172" s="84"/>
      <c r="N172" s="13">
        <f>N173</f>
        <v>0.5</v>
      </c>
      <c r="O172" s="84">
        <f t="shared" si="46"/>
        <v>0.5</v>
      </c>
      <c r="P172" s="13">
        <f>P173</f>
        <v>0</v>
      </c>
      <c r="Q172" s="84">
        <f t="shared" si="43"/>
        <v>0.5</v>
      </c>
      <c r="R172" s="13">
        <f>R173</f>
        <v>0</v>
      </c>
      <c r="S172" s="84">
        <f t="shared" si="44"/>
        <v>0.5</v>
      </c>
      <c r="T172" s="13">
        <f>T173</f>
        <v>0</v>
      </c>
      <c r="U172" s="84">
        <f t="shared" si="41"/>
        <v>0.5</v>
      </c>
    </row>
    <row r="173" spans="1:21" s="128" customFormat="1">
      <c r="A173" s="61" t="str">
        <f ca="1">IF(ISERROR(MATCH(F173,Код_КВР,0)),"",INDIRECT(ADDRESS(MATCH(F173,Код_КВР,0)+1,2,,,"КВР")))</f>
        <v>Уплата налогов, сборов и иных платежей</v>
      </c>
      <c r="B173" s="126">
        <v>801</v>
      </c>
      <c r="C173" s="8" t="s">
        <v>211</v>
      </c>
      <c r="D173" s="8" t="s">
        <v>188</v>
      </c>
      <c r="E173" s="126" t="s">
        <v>309</v>
      </c>
      <c r="F173" s="126">
        <v>850</v>
      </c>
      <c r="G173" s="69"/>
      <c r="H173" s="69"/>
      <c r="I173" s="69"/>
      <c r="J173" s="69"/>
      <c r="K173" s="84"/>
      <c r="L173" s="13"/>
      <c r="M173" s="84"/>
      <c r="N173" s="13">
        <f>N174</f>
        <v>0.5</v>
      </c>
      <c r="O173" s="84">
        <f t="shared" si="46"/>
        <v>0.5</v>
      </c>
      <c r="P173" s="13">
        <f>P174</f>
        <v>0</v>
      </c>
      <c r="Q173" s="84">
        <f t="shared" si="43"/>
        <v>0.5</v>
      </c>
      <c r="R173" s="13">
        <f>R174</f>
        <v>0</v>
      </c>
      <c r="S173" s="84">
        <f t="shared" si="44"/>
        <v>0.5</v>
      </c>
      <c r="T173" s="13">
        <f>T174</f>
        <v>0</v>
      </c>
      <c r="U173" s="84">
        <f t="shared" si="41"/>
        <v>0.5</v>
      </c>
    </row>
    <row r="174" spans="1:21" s="128" customFormat="1">
      <c r="A174" s="61" t="str">
        <f ca="1">IF(ISERROR(MATCH(F174,Код_КВР,0)),"",INDIRECT(ADDRESS(MATCH(F174,Код_КВР,0)+1,2,,,"КВР")))</f>
        <v>Уплата налога на имущество организаций и земельного налога</v>
      </c>
      <c r="B174" s="126">
        <v>801</v>
      </c>
      <c r="C174" s="8" t="s">
        <v>211</v>
      </c>
      <c r="D174" s="8" t="s">
        <v>188</v>
      </c>
      <c r="E174" s="126" t="s">
        <v>309</v>
      </c>
      <c r="F174" s="126">
        <v>851</v>
      </c>
      <c r="G174" s="69"/>
      <c r="H174" s="69"/>
      <c r="I174" s="69"/>
      <c r="J174" s="69"/>
      <c r="K174" s="84"/>
      <c r="L174" s="13"/>
      <c r="M174" s="84"/>
      <c r="N174" s="13">
        <v>0.5</v>
      </c>
      <c r="O174" s="84">
        <f t="shared" si="46"/>
        <v>0.5</v>
      </c>
      <c r="P174" s="13"/>
      <c r="Q174" s="84">
        <f t="shared" si="43"/>
        <v>0.5</v>
      </c>
      <c r="R174" s="13"/>
      <c r="S174" s="84">
        <f t="shared" si="44"/>
        <v>0.5</v>
      </c>
      <c r="T174" s="13"/>
      <c r="U174" s="84">
        <f t="shared" si="41"/>
        <v>0.5</v>
      </c>
    </row>
    <row r="175" spans="1:21" s="128" customFormat="1">
      <c r="A175" s="61" t="str">
        <f ca="1">IF(ISERROR(MATCH(C175,Код_Раздел,0)),"",INDIRECT(ADDRESS(MATCH(C175,Код_Раздел,0)+1,2,,,"Раздел")))</f>
        <v>Национальная безопасность и правоохранительная  деятельность</v>
      </c>
      <c r="B175" s="126">
        <v>801</v>
      </c>
      <c r="C175" s="8" t="s">
        <v>213</v>
      </c>
      <c r="D175" s="8"/>
      <c r="E175" s="126"/>
      <c r="F175" s="126"/>
      <c r="G175" s="69">
        <f>G176</f>
        <v>59148.7</v>
      </c>
      <c r="H175" s="69">
        <f>H176</f>
        <v>0</v>
      </c>
      <c r="I175" s="69">
        <f t="shared" ref="I175:I249" si="48">G175+H175</f>
        <v>59148.7</v>
      </c>
      <c r="J175" s="69">
        <f>J176</f>
        <v>0</v>
      </c>
      <c r="K175" s="84">
        <f t="shared" ref="K175:K249" si="49">I175+J175</f>
        <v>59148.7</v>
      </c>
      <c r="L175" s="13">
        <f>L176</f>
        <v>-3441.5</v>
      </c>
      <c r="M175" s="84">
        <f t="shared" si="45"/>
        <v>55707.199999999997</v>
      </c>
      <c r="N175" s="13">
        <f>N176</f>
        <v>0</v>
      </c>
      <c r="O175" s="84">
        <f t="shared" si="46"/>
        <v>55707.199999999997</v>
      </c>
      <c r="P175" s="13">
        <f>P176</f>
        <v>0</v>
      </c>
      <c r="Q175" s="84">
        <f t="shared" si="43"/>
        <v>55707.199999999997</v>
      </c>
      <c r="R175" s="13">
        <f>R176</f>
        <v>80.099999999999994</v>
      </c>
      <c r="S175" s="84">
        <f t="shared" si="44"/>
        <v>55787.299999999996</v>
      </c>
      <c r="T175" s="13">
        <f>T176</f>
        <v>0</v>
      </c>
      <c r="U175" s="84">
        <f t="shared" si="41"/>
        <v>55787.299999999996</v>
      </c>
    </row>
    <row r="176" spans="1:21" s="128" customFormat="1" ht="33">
      <c r="A176" s="12" t="s">
        <v>259</v>
      </c>
      <c r="B176" s="126">
        <v>801</v>
      </c>
      <c r="C176" s="8" t="s">
        <v>213</v>
      </c>
      <c r="D176" s="8" t="s">
        <v>217</v>
      </c>
      <c r="E176" s="126"/>
      <c r="F176" s="126"/>
      <c r="G176" s="69">
        <f>G177+G186+G222</f>
        <v>59148.7</v>
      </c>
      <c r="H176" s="69">
        <f>H177+H186+H222</f>
        <v>0</v>
      </c>
      <c r="I176" s="69">
        <f t="shared" si="48"/>
        <v>59148.7</v>
      </c>
      <c r="J176" s="69">
        <f>J177+J186+J222</f>
        <v>0</v>
      </c>
      <c r="K176" s="84">
        <f t="shared" si="49"/>
        <v>59148.7</v>
      </c>
      <c r="L176" s="13">
        <f>L177+L186+L222</f>
        <v>-3441.5</v>
      </c>
      <c r="M176" s="84">
        <f t="shared" si="45"/>
        <v>55707.199999999997</v>
      </c>
      <c r="N176" s="13">
        <f>N177+N186+N222</f>
        <v>0</v>
      </c>
      <c r="O176" s="84">
        <f t="shared" si="46"/>
        <v>55707.199999999997</v>
      </c>
      <c r="P176" s="13">
        <f>P177+P186+P222</f>
        <v>0</v>
      </c>
      <c r="Q176" s="84">
        <f t="shared" si="43"/>
        <v>55707.199999999997</v>
      </c>
      <c r="R176" s="13">
        <f>R177+R186+R222</f>
        <v>80.099999999999994</v>
      </c>
      <c r="S176" s="84">
        <f t="shared" si="44"/>
        <v>55787.299999999996</v>
      </c>
      <c r="T176" s="13">
        <f>T177+T186+T222</f>
        <v>0</v>
      </c>
      <c r="U176" s="84">
        <f t="shared" si="41"/>
        <v>55787.299999999996</v>
      </c>
    </row>
    <row r="177" spans="1:22" s="128" customFormat="1">
      <c r="A177" s="61" t="str">
        <f ca="1">IF(ISERROR(MATCH(E177,Код_КЦСР,0)),"",INDIRECT(ADDRESS(MATCH(E177,Код_КЦСР,0)+1,2,,,"КЦСР")))</f>
        <v>Муниципальная программа «Здоровый город» на 2014-2022 годы</v>
      </c>
      <c r="B177" s="126">
        <v>801</v>
      </c>
      <c r="C177" s="8" t="s">
        <v>213</v>
      </c>
      <c r="D177" s="8" t="s">
        <v>217</v>
      </c>
      <c r="E177" s="126" t="s">
        <v>566</v>
      </c>
      <c r="F177" s="126"/>
      <c r="G177" s="69">
        <f>G178+G182</f>
        <v>77.900000000000006</v>
      </c>
      <c r="H177" s="69">
        <f>H178+H182</f>
        <v>0</v>
      </c>
      <c r="I177" s="69">
        <f t="shared" si="48"/>
        <v>77.900000000000006</v>
      </c>
      <c r="J177" s="69">
        <f>J178+J182</f>
        <v>0</v>
      </c>
      <c r="K177" s="84">
        <f t="shared" si="49"/>
        <v>77.900000000000006</v>
      </c>
      <c r="L177" s="13">
        <f>L178+L182</f>
        <v>0</v>
      </c>
      <c r="M177" s="84">
        <f t="shared" si="45"/>
        <v>77.900000000000006</v>
      </c>
      <c r="N177" s="13">
        <f>N178+N182</f>
        <v>0</v>
      </c>
      <c r="O177" s="84">
        <f t="shared" si="46"/>
        <v>77.900000000000006</v>
      </c>
      <c r="P177" s="13">
        <f>P178+P182</f>
        <v>0</v>
      </c>
      <c r="Q177" s="84">
        <f t="shared" si="43"/>
        <v>77.900000000000006</v>
      </c>
      <c r="R177" s="13">
        <f>R178+R182</f>
        <v>0</v>
      </c>
      <c r="S177" s="84">
        <f t="shared" si="44"/>
        <v>77.900000000000006</v>
      </c>
      <c r="T177" s="13">
        <f>T178+T182</f>
        <v>0</v>
      </c>
      <c r="U177" s="84">
        <f t="shared" si="41"/>
        <v>77.900000000000006</v>
      </c>
    </row>
    <row r="178" spans="1:22" s="128" customFormat="1">
      <c r="A178" s="61" t="str">
        <f ca="1">IF(ISERROR(MATCH(E178,Код_КЦСР,0)),"",INDIRECT(ADDRESS(MATCH(E178,Код_КЦСР,0)+1,2,,,"КЦСР")))</f>
        <v>Сохранение и укрепление здоровья детей и подростков</v>
      </c>
      <c r="B178" s="126">
        <v>801</v>
      </c>
      <c r="C178" s="8" t="s">
        <v>213</v>
      </c>
      <c r="D178" s="8" t="s">
        <v>217</v>
      </c>
      <c r="E178" s="126" t="s">
        <v>569</v>
      </c>
      <c r="F178" s="126"/>
      <c r="G178" s="69">
        <f t="shared" ref="G178:T180" si="50">G179</f>
        <v>77.900000000000006</v>
      </c>
      <c r="H178" s="69">
        <f t="shared" si="50"/>
        <v>0</v>
      </c>
      <c r="I178" s="69">
        <f t="shared" si="48"/>
        <v>77.900000000000006</v>
      </c>
      <c r="J178" s="69">
        <f t="shared" si="50"/>
        <v>0</v>
      </c>
      <c r="K178" s="84">
        <f t="shared" si="49"/>
        <v>77.900000000000006</v>
      </c>
      <c r="L178" s="13">
        <f t="shared" si="50"/>
        <v>0</v>
      </c>
      <c r="M178" s="84">
        <f t="shared" si="45"/>
        <v>77.900000000000006</v>
      </c>
      <c r="N178" s="13">
        <f t="shared" si="50"/>
        <v>0</v>
      </c>
      <c r="O178" s="84">
        <f t="shared" si="46"/>
        <v>77.900000000000006</v>
      </c>
      <c r="P178" s="13">
        <f t="shared" si="50"/>
        <v>0</v>
      </c>
      <c r="Q178" s="84">
        <f t="shared" si="43"/>
        <v>77.900000000000006</v>
      </c>
      <c r="R178" s="13">
        <f t="shared" si="50"/>
        <v>0</v>
      </c>
      <c r="S178" s="84">
        <f t="shared" si="44"/>
        <v>77.900000000000006</v>
      </c>
      <c r="T178" s="13">
        <f t="shared" si="50"/>
        <v>0</v>
      </c>
      <c r="U178" s="84">
        <f t="shared" si="41"/>
        <v>77.900000000000006</v>
      </c>
    </row>
    <row r="179" spans="1:22" s="128" customFormat="1">
      <c r="A179" s="61" t="str">
        <f ca="1">IF(ISERROR(MATCH(F179,Код_КВР,0)),"",INDIRECT(ADDRESS(MATCH(F179,Код_КВР,0)+1,2,,,"КВР")))</f>
        <v>Закупка товаров, работ и услуг для муниципальных нужд</v>
      </c>
      <c r="B179" s="126">
        <v>801</v>
      </c>
      <c r="C179" s="8" t="s">
        <v>213</v>
      </c>
      <c r="D179" s="8" t="s">
        <v>217</v>
      </c>
      <c r="E179" s="126" t="s">
        <v>569</v>
      </c>
      <c r="F179" s="126">
        <v>200</v>
      </c>
      <c r="G179" s="69">
        <f t="shared" si="50"/>
        <v>77.900000000000006</v>
      </c>
      <c r="H179" s="69">
        <f t="shared" si="50"/>
        <v>0</v>
      </c>
      <c r="I179" s="69">
        <f t="shared" si="48"/>
        <v>77.900000000000006</v>
      </c>
      <c r="J179" s="69">
        <f t="shared" si="50"/>
        <v>0</v>
      </c>
      <c r="K179" s="84">
        <f t="shared" si="49"/>
        <v>77.900000000000006</v>
      </c>
      <c r="L179" s="13">
        <f t="shared" si="50"/>
        <v>0</v>
      </c>
      <c r="M179" s="84">
        <f t="shared" si="45"/>
        <v>77.900000000000006</v>
      </c>
      <c r="N179" s="13">
        <f t="shared" si="50"/>
        <v>0</v>
      </c>
      <c r="O179" s="84">
        <f t="shared" si="46"/>
        <v>77.900000000000006</v>
      </c>
      <c r="P179" s="13">
        <f t="shared" si="50"/>
        <v>0</v>
      </c>
      <c r="Q179" s="84">
        <f t="shared" si="43"/>
        <v>77.900000000000006</v>
      </c>
      <c r="R179" s="13">
        <f t="shared" si="50"/>
        <v>0</v>
      </c>
      <c r="S179" s="84">
        <f t="shared" si="44"/>
        <v>77.900000000000006</v>
      </c>
      <c r="T179" s="13">
        <f t="shared" si="50"/>
        <v>0</v>
      </c>
      <c r="U179" s="84">
        <f t="shared" si="41"/>
        <v>77.900000000000006</v>
      </c>
    </row>
    <row r="180" spans="1:22" s="128" customFormat="1" ht="33">
      <c r="A180" s="61" t="str">
        <f ca="1">IF(ISERROR(MATCH(F180,Код_КВР,0)),"",INDIRECT(ADDRESS(MATCH(F180,Код_КВР,0)+1,2,,,"КВР")))</f>
        <v>Иные закупки товаров, работ и услуг для обеспечения муниципальных нужд</v>
      </c>
      <c r="B180" s="126">
        <v>801</v>
      </c>
      <c r="C180" s="8" t="s">
        <v>213</v>
      </c>
      <c r="D180" s="8" t="s">
        <v>217</v>
      </c>
      <c r="E180" s="126" t="s">
        <v>569</v>
      </c>
      <c r="F180" s="126">
        <v>240</v>
      </c>
      <c r="G180" s="69">
        <f t="shared" si="50"/>
        <v>77.900000000000006</v>
      </c>
      <c r="H180" s="69">
        <f t="shared" si="50"/>
        <v>0</v>
      </c>
      <c r="I180" s="69">
        <f t="shared" si="48"/>
        <v>77.900000000000006</v>
      </c>
      <c r="J180" s="69">
        <f t="shared" si="50"/>
        <v>0</v>
      </c>
      <c r="K180" s="84">
        <f t="shared" si="49"/>
        <v>77.900000000000006</v>
      </c>
      <c r="L180" s="13">
        <f t="shared" si="50"/>
        <v>0</v>
      </c>
      <c r="M180" s="84">
        <f t="shared" si="45"/>
        <v>77.900000000000006</v>
      </c>
      <c r="N180" s="13">
        <f t="shared" si="50"/>
        <v>0</v>
      </c>
      <c r="O180" s="84">
        <f t="shared" si="46"/>
        <v>77.900000000000006</v>
      </c>
      <c r="P180" s="13">
        <f t="shared" si="50"/>
        <v>0</v>
      </c>
      <c r="Q180" s="84">
        <f t="shared" si="43"/>
        <v>77.900000000000006</v>
      </c>
      <c r="R180" s="13">
        <f t="shared" si="50"/>
        <v>0</v>
      </c>
      <c r="S180" s="84">
        <f t="shared" si="44"/>
        <v>77.900000000000006</v>
      </c>
      <c r="T180" s="13">
        <f t="shared" si="50"/>
        <v>0</v>
      </c>
      <c r="U180" s="84">
        <f t="shared" si="41"/>
        <v>77.900000000000006</v>
      </c>
    </row>
    <row r="181" spans="1:22" s="128" customFormat="1" ht="33">
      <c r="A181" s="61" t="str">
        <f ca="1">IF(ISERROR(MATCH(F181,Код_КВР,0)),"",INDIRECT(ADDRESS(MATCH(F181,Код_КВР,0)+1,2,,,"КВР")))</f>
        <v xml:space="preserve">Прочая закупка товаров, работ и услуг для обеспечения муниципальных нужд         </v>
      </c>
      <c r="B181" s="126">
        <v>801</v>
      </c>
      <c r="C181" s="8" t="s">
        <v>213</v>
      </c>
      <c r="D181" s="8" t="s">
        <v>217</v>
      </c>
      <c r="E181" s="126" t="s">
        <v>569</v>
      </c>
      <c r="F181" s="126">
        <v>244</v>
      </c>
      <c r="G181" s="69">
        <v>77.900000000000006</v>
      </c>
      <c r="H181" s="69"/>
      <c r="I181" s="69">
        <f t="shared" si="48"/>
        <v>77.900000000000006</v>
      </c>
      <c r="J181" s="69"/>
      <c r="K181" s="84">
        <f t="shared" si="49"/>
        <v>77.900000000000006</v>
      </c>
      <c r="L181" s="13"/>
      <c r="M181" s="84">
        <f t="shared" si="45"/>
        <v>77.900000000000006</v>
      </c>
      <c r="N181" s="13"/>
      <c r="O181" s="84">
        <f t="shared" si="46"/>
        <v>77.900000000000006</v>
      </c>
      <c r="P181" s="13"/>
      <c r="Q181" s="84">
        <f t="shared" si="43"/>
        <v>77.900000000000006</v>
      </c>
      <c r="R181" s="13"/>
      <c r="S181" s="84">
        <f t="shared" si="44"/>
        <v>77.900000000000006</v>
      </c>
      <c r="T181" s="13"/>
      <c r="U181" s="84">
        <f t="shared" si="41"/>
        <v>77.900000000000006</v>
      </c>
    </row>
    <row r="182" spans="1:22" s="102" customFormat="1" hidden="1">
      <c r="A182" s="61" t="str">
        <f ca="1">IF(ISERROR(MATCH(E182,Код_КЦСР,0)),"",INDIRECT(ADDRESS(MATCH(E182,Код_КЦСР,0)+1,2,,,"КЦСР")))</f>
        <v>Здоровье на рабочем месте</v>
      </c>
      <c r="B182" s="100">
        <v>801</v>
      </c>
      <c r="C182" s="8" t="s">
        <v>213</v>
      </c>
      <c r="D182" s="8" t="s">
        <v>217</v>
      </c>
      <c r="E182" s="100" t="s">
        <v>574</v>
      </c>
      <c r="F182" s="100"/>
      <c r="G182" s="69">
        <f t="shared" ref="G182:T184" si="51">G183</f>
        <v>0</v>
      </c>
      <c r="H182" s="69">
        <f t="shared" si="51"/>
        <v>0</v>
      </c>
      <c r="I182" s="69">
        <f t="shared" si="48"/>
        <v>0</v>
      </c>
      <c r="J182" s="69">
        <f t="shared" si="51"/>
        <v>0</v>
      </c>
      <c r="K182" s="84">
        <f t="shared" si="49"/>
        <v>0</v>
      </c>
      <c r="L182" s="13">
        <f t="shared" si="51"/>
        <v>0</v>
      </c>
      <c r="M182" s="84">
        <f t="shared" si="45"/>
        <v>0</v>
      </c>
      <c r="N182" s="13">
        <f t="shared" si="51"/>
        <v>0</v>
      </c>
      <c r="O182" s="84">
        <f t="shared" si="46"/>
        <v>0</v>
      </c>
      <c r="P182" s="13">
        <f t="shared" si="51"/>
        <v>0</v>
      </c>
      <c r="Q182" s="84">
        <f t="shared" si="43"/>
        <v>0</v>
      </c>
      <c r="R182" s="13">
        <f t="shared" si="51"/>
        <v>0</v>
      </c>
      <c r="S182" s="84">
        <f t="shared" si="44"/>
        <v>0</v>
      </c>
      <c r="T182" s="13">
        <f t="shared" si="51"/>
        <v>0</v>
      </c>
      <c r="U182" s="84">
        <f t="shared" si="41"/>
        <v>0</v>
      </c>
      <c r="V182" s="142" t="s">
        <v>706</v>
      </c>
    </row>
    <row r="183" spans="1:22" s="102" customFormat="1" hidden="1">
      <c r="A183" s="61" t="str">
        <f ca="1">IF(ISERROR(MATCH(F183,Код_КВР,0)),"",INDIRECT(ADDRESS(MATCH(F183,Код_КВР,0)+1,2,,,"КВР")))</f>
        <v>Закупка товаров, работ и услуг для муниципальных нужд</v>
      </c>
      <c r="B183" s="100">
        <v>801</v>
      </c>
      <c r="C183" s="8" t="s">
        <v>213</v>
      </c>
      <c r="D183" s="8" t="s">
        <v>217</v>
      </c>
      <c r="E183" s="100" t="s">
        <v>574</v>
      </c>
      <c r="F183" s="100">
        <v>200</v>
      </c>
      <c r="G183" s="69">
        <f t="shared" si="51"/>
        <v>0</v>
      </c>
      <c r="H183" s="69">
        <f t="shared" si="51"/>
        <v>0</v>
      </c>
      <c r="I183" s="69">
        <f t="shared" si="48"/>
        <v>0</v>
      </c>
      <c r="J183" s="69">
        <f t="shared" si="51"/>
        <v>0</v>
      </c>
      <c r="K183" s="84">
        <f t="shared" si="49"/>
        <v>0</v>
      </c>
      <c r="L183" s="13">
        <f t="shared" si="51"/>
        <v>0</v>
      </c>
      <c r="M183" s="84">
        <f t="shared" si="45"/>
        <v>0</v>
      </c>
      <c r="N183" s="13">
        <f t="shared" si="51"/>
        <v>0</v>
      </c>
      <c r="O183" s="84">
        <f t="shared" si="46"/>
        <v>0</v>
      </c>
      <c r="P183" s="13">
        <f t="shared" si="51"/>
        <v>0</v>
      </c>
      <c r="Q183" s="84">
        <f t="shared" si="43"/>
        <v>0</v>
      </c>
      <c r="R183" s="13">
        <f t="shared" si="51"/>
        <v>0</v>
      </c>
      <c r="S183" s="84">
        <f t="shared" si="44"/>
        <v>0</v>
      </c>
      <c r="T183" s="13">
        <f t="shared" si="51"/>
        <v>0</v>
      </c>
      <c r="U183" s="84">
        <f t="shared" si="41"/>
        <v>0</v>
      </c>
      <c r="V183" s="142" t="s">
        <v>706</v>
      </c>
    </row>
    <row r="184" spans="1:22" s="102" customFormat="1" ht="33" hidden="1">
      <c r="A184" s="61" t="str">
        <f ca="1">IF(ISERROR(MATCH(F184,Код_КВР,0)),"",INDIRECT(ADDRESS(MATCH(F184,Код_КВР,0)+1,2,,,"КВР")))</f>
        <v>Иные закупки товаров, работ и услуг для обеспечения муниципальных нужд</v>
      </c>
      <c r="B184" s="100">
        <v>801</v>
      </c>
      <c r="C184" s="8" t="s">
        <v>213</v>
      </c>
      <c r="D184" s="8" t="s">
        <v>217</v>
      </c>
      <c r="E184" s="100" t="s">
        <v>574</v>
      </c>
      <c r="F184" s="100">
        <v>240</v>
      </c>
      <c r="G184" s="69">
        <f t="shared" si="51"/>
        <v>0</v>
      </c>
      <c r="H184" s="69">
        <f t="shared" si="51"/>
        <v>0</v>
      </c>
      <c r="I184" s="69">
        <f t="shared" si="48"/>
        <v>0</v>
      </c>
      <c r="J184" s="69">
        <f t="shared" si="51"/>
        <v>0</v>
      </c>
      <c r="K184" s="84">
        <f t="shared" si="49"/>
        <v>0</v>
      </c>
      <c r="L184" s="13">
        <f t="shared" si="51"/>
        <v>0</v>
      </c>
      <c r="M184" s="84">
        <f t="shared" si="45"/>
        <v>0</v>
      </c>
      <c r="N184" s="13">
        <f t="shared" si="51"/>
        <v>0</v>
      </c>
      <c r="O184" s="84">
        <f t="shared" si="46"/>
        <v>0</v>
      </c>
      <c r="P184" s="13">
        <f t="shared" si="51"/>
        <v>0</v>
      </c>
      <c r="Q184" s="84">
        <f t="shared" si="43"/>
        <v>0</v>
      </c>
      <c r="R184" s="13">
        <f t="shared" si="51"/>
        <v>0</v>
      </c>
      <c r="S184" s="84">
        <f t="shared" si="44"/>
        <v>0</v>
      </c>
      <c r="T184" s="13">
        <f t="shared" si="51"/>
        <v>0</v>
      </c>
      <c r="U184" s="84">
        <f t="shared" si="41"/>
        <v>0</v>
      </c>
      <c r="V184" s="142" t="s">
        <v>706</v>
      </c>
    </row>
    <row r="185" spans="1:22" s="102" customFormat="1" ht="33" hidden="1">
      <c r="A185" s="61" t="str">
        <f ca="1">IF(ISERROR(MATCH(F185,Код_КВР,0)),"",INDIRECT(ADDRESS(MATCH(F185,Код_КВР,0)+1,2,,,"КВР")))</f>
        <v xml:space="preserve">Прочая закупка товаров, работ и услуг для обеспечения муниципальных нужд         </v>
      </c>
      <c r="B185" s="100">
        <v>801</v>
      </c>
      <c r="C185" s="8" t="s">
        <v>213</v>
      </c>
      <c r="D185" s="8" t="s">
        <v>217</v>
      </c>
      <c r="E185" s="100" t="s">
        <v>574</v>
      </c>
      <c r="F185" s="100">
        <v>244</v>
      </c>
      <c r="G185" s="69">
        <v>0</v>
      </c>
      <c r="H185" s="69">
        <v>0</v>
      </c>
      <c r="I185" s="69">
        <f t="shared" si="48"/>
        <v>0</v>
      </c>
      <c r="J185" s="69">
        <v>0</v>
      </c>
      <c r="K185" s="84">
        <f t="shared" si="49"/>
        <v>0</v>
      </c>
      <c r="L185" s="13">
        <v>0</v>
      </c>
      <c r="M185" s="84">
        <f t="shared" si="45"/>
        <v>0</v>
      </c>
      <c r="N185" s="13">
        <v>0</v>
      </c>
      <c r="O185" s="84">
        <f t="shared" si="46"/>
        <v>0</v>
      </c>
      <c r="P185" s="13">
        <v>0</v>
      </c>
      <c r="Q185" s="84">
        <f t="shared" si="43"/>
        <v>0</v>
      </c>
      <c r="R185" s="13">
        <v>0</v>
      </c>
      <c r="S185" s="84">
        <f t="shared" si="44"/>
        <v>0</v>
      </c>
      <c r="T185" s="13">
        <v>0</v>
      </c>
      <c r="U185" s="84">
        <f t="shared" si="41"/>
        <v>0</v>
      </c>
      <c r="V185" s="142" t="s">
        <v>706</v>
      </c>
    </row>
    <row r="186" spans="1:22" s="128" customFormat="1" ht="33">
      <c r="A186" s="61" t="str">
        <f ca="1">IF(ISERROR(MATCH(E186,Код_КЦСР,0)),"",INDIRECT(ADDRESS(MATCH(E186,Код_КЦСР,0)+1,2,,,"КЦСР")))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86" s="126">
        <v>801</v>
      </c>
      <c r="C186" s="8" t="s">
        <v>213</v>
      </c>
      <c r="D186" s="8" t="s">
        <v>217</v>
      </c>
      <c r="E186" s="126" t="s">
        <v>78</v>
      </c>
      <c r="F186" s="126"/>
      <c r="G186" s="69">
        <f>G187+G192</f>
        <v>49656.6</v>
      </c>
      <c r="H186" s="69">
        <f>H187+H192</f>
        <v>0</v>
      </c>
      <c r="I186" s="69">
        <f t="shared" si="48"/>
        <v>49656.6</v>
      </c>
      <c r="J186" s="69">
        <f>J187+J192</f>
        <v>0</v>
      </c>
      <c r="K186" s="84">
        <f t="shared" si="49"/>
        <v>49656.6</v>
      </c>
      <c r="L186" s="13">
        <f>L187+L192</f>
        <v>-3424</v>
      </c>
      <c r="M186" s="84">
        <f t="shared" si="45"/>
        <v>46232.6</v>
      </c>
      <c r="N186" s="13">
        <f>N187+N192</f>
        <v>0</v>
      </c>
      <c r="O186" s="84">
        <f t="shared" si="46"/>
        <v>46232.6</v>
      </c>
      <c r="P186" s="13">
        <f>P187+P192</f>
        <v>0</v>
      </c>
      <c r="Q186" s="84">
        <f t="shared" si="43"/>
        <v>46232.6</v>
      </c>
      <c r="R186" s="13">
        <f>R187+R192</f>
        <v>80.099999999999994</v>
      </c>
      <c r="S186" s="84">
        <f t="shared" si="44"/>
        <v>46312.7</v>
      </c>
      <c r="T186" s="13">
        <f>T187+T192</f>
        <v>0</v>
      </c>
      <c r="U186" s="84">
        <f t="shared" si="41"/>
        <v>46312.7</v>
      </c>
    </row>
    <row r="187" spans="1:22" s="128" customFormat="1">
      <c r="A187" s="61" t="str">
        <f ca="1">IF(ISERROR(MATCH(E187,Код_КЦСР,0)),"",INDIRECT(ADDRESS(MATCH(E187,Код_КЦСР,0)+1,2,,,"КЦСР")))</f>
        <v>Обеспечение пожарной безопасности муниципальных учреждений города</v>
      </c>
      <c r="B187" s="126">
        <v>801</v>
      </c>
      <c r="C187" s="8" t="s">
        <v>213</v>
      </c>
      <c r="D187" s="8" t="s">
        <v>217</v>
      </c>
      <c r="E187" s="126" t="s">
        <v>80</v>
      </c>
      <c r="F187" s="126"/>
      <c r="G187" s="69">
        <f t="shared" ref="G187:T190" si="52">G188</f>
        <v>215</v>
      </c>
      <c r="H187" s="69">
        <f t="shared" si="52"/>
        <v>0</v>
      </c>
      <c r="I187" s="69">
        <f t="shared" si="48"/>
        <v>215</v>
      </c>
      <c r="J187" s="69">
        <f t="shared" si="52"/>
        <v>0</v>
      </c>
      <c r="K187" s="84">
        <f t="shared" si="49"/>
        <v>215</v>
      </c>
      <c r="L187" s="13">
        <f>L188</f>
        <v>0</v>
      </c>
      <c r="M187" s="84">
        <f t="shared" si="45"/>
        <v>215</v>
      </c>
      <c r="N187" s="13">
        <f>N188</f>
        <v>0</v>
      </c>
      <c r="O187" s="84">
        <f t="shared" si="46"/>
        <v>215</v>
      </c>
      <c r="P187" s="13">
        <f>P188</f>
        <v>0</v>
      </c>
      <c r="Q187" s="84">
        <f t="shared" si="43"/>
        <v>215</v>
      </c>
      <c r="R187" s="13">
        <f>R188</f>
        <v>0</v>
      </c>
      <c r="S187" s="84">
        <f t="shared" si="44"/>
        <v>215</v>
      </c>
      <c r="T187" s="13">
        <f>T188</f>
        <v>0</v>
      </c>
      <c r="U187" s="84">
        <f t="shared" si="41"/>
        <v>215</v>
      </c>
    </row>
    <row r="188" spans="1:22" s="128" customFormat="1" ht="49.5">
      <c r="A188" s="61" t="str">
        <f ca="1">IF(ISERROR(MATCH(E188,Код_КЦСР,0)),"",INDIRECT(ADDRESS(MATCH(E188,Код_КЦСР,0)+1,2,,,"КЦСР")))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88" s="126">
        <v>801</v>
      </c>
      <c r="C188" s="8" t="s">
        <v>213</v>
      </c>
      <c r="D188" s="8" t="s">
        <v>217</v>
      </c>
      <c r="E188" s="126" t="s">
        <v>82</v>
      </c>
      <c r="F188" s="126"/>
      <c r="G188" s="69">
        <f t="shared" si="52"/>
        <v>215</v>
      </c>
      <c r="H188" s="69">
        <f t="shared" si="52"/>
        <v>0</v>
      </c>
      <c r="I188" s="69">
        <f t="shared" si="48"/>
        <v>215</v>
      </c>
      <c r="J188" s="69">
        <f t="shared" si="52"/>
        <v>0</v>
      </c>
      <c r="K188" s="84">
        <f t="shared" si="49"/>
        <v>215</v>
      </c>
      <c r="L188" s="13">
        <f t="shared" si="52"/>
        <v>0</v>
      </c>
      <c r="M188" s="84">
        <f t="shared" si="45"/>
        <v>215</v>
      </c>
      <c r="N188" s="13">
        <f t="shared" si="52"/>
        <v>0</v>
      </c>
      <c r="O188" s="84">
        <f t="shared" si="46"/>
        <v>215</v>
      </c>
      <c r="P188" s="13">
        <f t="shared" si="52"/>
        <v>0</v>
      </c>
      <c r="Q188" s="84">
        <f t="shared" si="43"/>
        <v>215</v>
      </c>
      <c r="R188" s="13">
        <f t="shared" si="52"/>
        <v>0</v>
      </c>
      <c r="S188" s="84">
        <f t="shared" si="44"/>
        <v>215</v>
      </c>
      <c r="T188" s="13">
        <f t="shared" si="52"/>
        <v>0</v>
      </c>
      <c r="U188" s="84">
        <f t="shared" si="41"/>
        <v>215</v>
      </c>
    </row>
    <row r="189" spans="1:22" s="128" customFormat="1">
      <c r="A189" s="61" t="str">
        <f ca="1">IF(ISERROR(MATCH(F189,Код_КВР,0)),"",INDIRECT(ADDRESS(MATCH(F189,Код_КВР,0)+1,2,,,"КВР")))</f>
        <v>Закупка товаров, работ и услуг для муниципальных нужд</v>
      </c>
      <c r="B189" s="126">
        <v>801</v>
      </c>
      <c r="C189" s="8" t="s">
        <v>213</v>
      </c>
      <c r="D189" s="8" t="s">
        <v>217</v>
      </c>
      <c r="E189" s="126" t="s">
        <v>82</v>
      </c>
      <c r="F189" s="126">
        <v>200</v>
      </c>
      <c r="G189" s="69">
        <f t="shared" si="52"/>
        <v>215</v>
      </c>
      <c r="H189" s="69">
        <f t="shared" si="52"/>
        <v>0</v>
      </c>
      <c r="I189" s="69">
        <f t="shared" si="48"/>
        <v>215</v>
      </c>
      <c r="J189" s="69">
        <f t="shared" si="52"/>
        <v>0</v>
      </c>
      <c r="K189" s="84">
        <f t="shared" si="49"/>
        <v>215</v>
      </c>
      <c r="L189" s="13">
        <f t="shared" si="52"/>
        <v>0</v>
      </c>
      <c r="M189" s="84">
        <f t="shared" si="45"/>
        <v>215</v>
      </c>
      <c r="N189" s="13">
        <f t="shared" si="52"/>
        <v>0</v>
      </c>
      <c r="O189" s="84">
        <f t="shared" si="46"/>
        <v>215</v>
      </c>
      <c r="P189" s="13">
        <f t="shared" si="52"/>
        <v>0</v>
      </c>
      <c r="Q189" s="84">
        <f t="shared" si="43"/>
        <v>215</v>
      </c>
      <c r="R189" s="13">
        <f t="shared" si="52"/>
        <v>0</v>
      </c>
      <c r="S189" s="84">
        <f t="shared" si="44"/>
        <v>215</v>
      </c>
      <c r="T189" s="13">
        <f t="shared" si="52"/>
        <v>0</v>
      </c>
      <c r="U189" s="84">
        <f t="shared" si="41"/>
        <v>215</v>
      </c>
    </row>
    <row r="190" spans="1:22" s="128" customFormat="1" ht="33">
      <c r="A190" s="61" t="str">
        <f ca="1">IF(ISERROR(MATCH(F190,Код_КВР,0)),"",INDIRECT(ADDRESS(MATCH(F190,Код_КВР,0)+1,2,,,"КВР")))</f>
        <v>Иные закупки товаров, работ и услуг для обеспечения муниципальных нужд</v>
      </c>
      <c r="B190" s="126">
        <v>801</v>
      </c>
      <c r="C190" s="8" t="s">
        <v>213</v>
      </c>
      <c r="D190" s="8" t="s">
        <v>217</v>
      </c>
      <c r="E190" s="126" t="s">
        <v>82</v>
      </c>
      <c r="F190" s="126">
        <v>240</v>
      </c>
      <c r="G190" s="69">
        <f t="shared" si="52"/>
        <v>215</v>
      </c>
      <c r="H190" s="69">
        <f t="shared" si="52"/>
        <v>0</v>
      </c>
      <c r="I190" s="69">
        <f t="shared" si="48"/>
        <v>215</v>
      </c>
      <c r="J190" s="69">
        <f t="shared" si="52"/>
        <v>0</v>
      </c>
      <c r="K190" s="84">
        <f t="shared" si="49"/>
        <v>215</v>
      </c>
      <c r="L190" s="13">
        <f t="shared" si="52"/>
        <v>0</v>
      </c>
      <c r="M190" s="84">
        <f t="shared" si="45"/>
        <v>215</v>
      </c>
      <c r="N190" s="13">
        <f t="shared" si="52"/>
        <v>0</v>
      </c>
      <c r="O190" s="84">
        <f t="shared" si="46"/>
        <v>215</v>
      </c>
      <c r="P190" s="13">
        <f t="shared" si="52"/>
        <v>0</v>
      </c>
      <c r="Q190" s="84">
        <f t="shared" si="43"/>
        <v>215</v>
      </c>
      <c r="R190" s="13">
        <f t="shared" si="52"/>
        <v>0</v>
      </c>
      <c r="S190" s="84">
        <f t="shared" si="44"/>
        <v>215</v>
      </c>
      <c r="T190" s="13">
        <f t="shared" si="52"/>
        <v>0</v>
      </c>
      <c r="U190" s="84">
        <f t="shared" si="41"/>
        <v>215</v>
      </c>
    </row>
    <row r="191" spans="1:22" s="128" customFormat="1" ht="33">
      <c r="A191" s="61" t="str">
        <f ca="1">IF(ISERROR(MATCH(F191,Код_КВР,0)),"",INDIRECT(ADDRESS(MATCH(F191,Код_КВР,0)+1,2,,,"КВР")))</f>
        <v xml:space="preserve">Прочая закупка товаров, работ и услуг для обеспечения муниципальных нужд         </v>
      </c>
      <c r="B191" s="126">
        <v>801</v>
      </c>
      <c r="C191" s="8" t="s">
        <v>213</v>
      </c>
      <c r="D191" s="8" t="s">
        <v>217</v>
      </c>
      <c r="E191" s="126" t="s">
        <v>82</v>
      </c>
      <c r="F191" s="126">
        <v>244</v>
      </c>
      <c r="G191" s="69">
        <v>215</v>
      </c>
      <c r="H191" s="69"/>
      <c r="I191" s="69">
        <f t="shared" si="48"/>
        <v>215</v>
      </c>
      <c r="J191" s="69"/>
      <c r="K191" s="84">
        <f t="shared" si="49"/>
        <v>215</v>
      </c>
      <c r="L191" s="13"/>
      <c r="M191" s="84">
        <f t="shared" si="45"/>
        <v>215</v>
      </c>
      <c r="N191" s="13"/>
      <c r="O191" s="84">
        <f t="shared" si="46"/>
        <v>215</v>
      </c>
      <c r="P191" s="13"/>
      <c r="Q191" s="84">
        <f t="shared" si="43"/>
        <v>215</v>
      </c>
      <c r="R191" s="13"/>
      <c r="S191" s="84">
        <f t="shared" si="44"/>
        <v>215</v>
      </c>
      <c r="T191" s="13"/>
      <c r="U191" s="84">
        <f t="shared" si="41"/>
        <v>215</v>
      </c>
    </row>
    <row r="192" spans="1:22" s="128" customFormat="1" ht="33">
      <c r="A192" s="61" t="str">
        <f ca="1">IF(ISERROR(MATCH(E192,Код_КЦСР,0)),"",INDIRECT(ADDRESS(MATCH(E192,Код_КЦСР,0)+1,2,,,"КЦСР")))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92" s="126">
        <v>801</v>
      </c>
      <c r="C192" s="8" t="s">
        <v>213</v>
      </c>
      <c r="D192" s="8" t="s">
        <v>217</v>
      </c>
      <c r="E192" s="126" t="s">
        <v>104</v>
      </c>
      <c r="F192" s="126"/>
      <c r="G192" s="69">
        <f>G193+G202+G206+G209</f>
        <v>49441.599999999999</v>
      </c>
      <c r="H192" s="69">
        <f>H193+H202+H206+H209</f>
        <v>0</v>
      </c>
      <c r="I192" s="69">
        <f t="shared" si="48"/>
        <v>49441.599999999999</v>
      </c>
      <c r="J192" s="69">
        <f>J193+J202+J206+J209</f>
        <v>0</v>
      </c>
      <c r="K192" s="84">
        <f t="shared" si="49"/>
        <v>49441.599999999999</v>
      </c>
      <c r="L192" s="13">
        <f>L193+L202+L206+L209</f>
        <v>-3424</v>
      </c>
      <c r="M192" s="84">
        <f t="shared" si="45"/>
        <v>46017.599999999999</v>
      </c>
      <c r="N192" s="13">
        <f>N193+N202+N206+N209</f>
        <v>0</v>
      </c>
      <c r="O192" s="84">
        <f t="shared" si="46"/>
        <v>46017.599999999999</v>
      </c>
      <c r="P192" s="13">
        <f>P193+P202+P206+P209</f>
        <v>0</v>
      </c>
      <c r="Q192" s="84">
        <f t="shared" si="43"/>
        <v>46017.599999999999</v>
      </c>
      <c r="R192" s="13">
        <f>R193+R202+R206+R209</f>
        <v>80.099999999999994</v>
      </c>
      <c r="S192" s="84">
        <f t="shared" si="44"/>
        <v>46097.7</v>
      </c>
      <c r="T192" s="13">
        <f>T193+T202+T206+T209</f>
        <v>0</v>
      </c>
      <c r="U192" s="84">
        <f t="shared" si="41"/>
        <v>46097.7</v>
      </c>
    </row>
    <row r="193" spans="1:22" s="128" customFormat="1" ht="33">
      <c r="A193" s="61" t="str">
        <f ca="1">IF(ISERROR(MATCH(E193,Код_КЦСР,0)),"",INDIRECT(ADDRESS(MATCH(E193,Код_КЦСР,0)+1,2,,,"КЦСР")))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193" s="126">
        <v>801</v>
      </c>
      <c r="C193" s="8" t="s">
        <v>213</v>
      </c>
      <c r="D193" s="8" t="s">
        <v>217</v>
      </c>
      <c r="E193" s="126" t="s">
        <v>106</v>
      </c>
      <c r="F193" s="126"/>
      <c r="G193" s="69">
        <f>G194+G196</f>
        <v>881.7</v>
      </c>
      <c r="H193" s="69">
        <f>H194+H196</f>
        <v>0</v>
      </c>
      <c r="I193" s="69">
        <f t="shared" si="48"/>
        <v>881.7</v>
      </c>
      <c r="J193" s="69">
        <f>J194+J196+J199</f>
        <v>-653.30000000000007</v>
      </c>
      <c r="K193" s="84">
        <f t="shared" si="49"/>
        <v>228.39999999999998</v>
      </c>
      <c r="L193" s="13">
        <f>L194+L196+L199</f>
        <v>-44</v>
      </c>
      <c r="M193" s="84">
        <f t="shared" si="45"/>
        <v>184.39999999999998</v>
      </c>
      <c r="N193" s="13">
        <f>N194+N196+N199</f>
        <v>0</v>
      </c>
      <c r="O193" s="84">
        <f t="shared" si="46"/>
        <v>184.39999999999998</v>
      </c>
      <c r="P193" s="13">
        <f>P194+P196+P199</f>
        <v>0</v>
      </c>
      <c r="Q193" s="84">
        <f t="shared" si="43"/>
        <v>184.39999999999998</v>
      </c>
      <c r="R193" s="13">
        <f>R194+R196+R199</f>
        <v>0</v>
      </c>
      <c r="S193" s="84">
        <f>Q193+R193</f>
        <v>184.39999999999998</v>
      </c>
      <c r="T193" s="13">
        <f>T194+T196+T199</f>
        <v>0</v>
      </c>
      <c r="U193" s="84">
        <f t="shared" si="41"/>
        <v>184.39999999999998</v>
      </c>
    </row>
    <row r="194" spans="1:22" s="102" customFormat="1" ht="33" hidden="1">
      <c r="A194" s="61" t="str">
        <f t="shared" ref="A194:A201" ca="1" si="53">IF(ISERROR(MATCH(F194,Код_КВР,0)),"",INDIRECT(ADDRESS(MATCH(F194,Код_КВР,0)+1,2,,,"КВР")))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4" s="100">
        <v>801</v>
      </c>
      <c r="C194" s="8" t="s">
        <v>213</v>
      </c>
      <c r="D194" s="8" t="s">
        <v>217</v>
      </c>
      <c r="E194" s="100" t="s">
        <v>106</v>
      </c>
      <c r="F194" s="100">
        <v>100</v>
      </c>
      <c r="G194" s="69">
        <f>G195</f>
        <v>555</v>
      </c>
      <c r="H194" s="69">
        <f>H195</f>
        <v>0</v>
      </c>
      <c r="I194" s="69">
        <f t="shared" si="48"/>
        <v>555</v>
      </c>
      <c r="J194" s="69">
        <f>J195</f>
        <v>-555</v>
      </c>
      <c r="K194" s="84">
        <f t="shared" si="49"/>
        <v>0</v>
      </c>
      <c r="L194" s="13">
        <f>L195</f>
        <v>0</v>
      </c>
      <c r="M194" s="84">
        <f t="shared" si="45"/>
        <v>0</v>
      </c>
      <c r="N194" s="13">
        <f>N195</f>
        <v>0</v>
      </c>
      <c r="O194" s="84">
        <f t="shared" si="46"/>
        <v>0</v>
      </c>
      <c r="P194" s="13">
        <f>P195</f>
        <v>0</v>
      </c>
      <c r="Q194" s="84">
        <f t="shared" si="43"/>
        <v>0</v>
      </c>
      <c r="R194" s="13">
        <f>R195</f>
        <v>0</v>
      </c>
      <c r="S194" s="84">
        <f t="shared" si="44"/>
        <v>0</v>
      </c>
      <c r="T194" s="13">
        <f>T195</f>
        <v>0</v>
      </c>
      <c r="U194" s="84">
        <f t="shared" si="41"/>
        <v>0</v>
      </c>
      <c r="V194" s="142" t="s">
        <v>706</v>
      </c>
    </row>
    <row r="195" spans="1:22" s="102" customFormat="1" hidden="1">
      <c r="A195" s="61" t="str">
        <f t="shared" ca="1" si="53"/>
        <v>Расходы на выплаты персоналу казенных учреждений</v>
      </c>
      <c r="B195" s="100">
        <v>801</v>
      </c>
      <c r="C195" s="8" t="s">
        <v>213</v>
      </c>
      <c r="D195" s="8" t="s">
        <v>217</v>
      </c>
      <c r="E195" s="100" t="s">
        <v>106</v>
      </c>
      <c r="F195" s="100">
        <v>110</v>
      </c>
      <c r="G195" s="69">
        <v>555</v>
      </c>
      <c r="H195" s="69"/>
      <c r="I195" s="69">
        <f t="shared" si="48"/>
        <v>555</v>
      </c>
      <c r="J195" s="69">
        <v>-555</v>
      </c>
      <c r="K195" s="84">
        <f t="shared" si="49"/>
        <v>0</v>
      </c>
      <c r="L195" s="13"/>
      <c r="M195" s="84">
        <f t="shared" si="45"/>
        <v>0</v>
      </c>
      <c r="N195" s="13"/>
      <c r="O195" s="84">
        <f t="shared" si="46"/>
        <v>0</v>
      </c>
      <c r="P195" s="13"/>
      <c r="Q195" s="84">
        <f t="shared" si="43"/>
        <v>0</v>
      </c>
      <c r="R195" s="13"/>
      <c r="S195" s="84">
        <f t="shared" si="44"/>
        <v>0</v>
      </c>
      <c r="T195" s="13"/>
      <c r="U195" s="84">
        <f t="shared" si="41"/>
        <v>0</v>
      </c>
      <c r="V195" s="142" t="s">
        <v>706</v>
      </c>
    </row>
    <row r="196" spans="1:22" s="102" customFormat="1" hidden="1">
      <c r="A196" s="61" t="str">
        <f t="shared" ca="1" si="53"/>
        <v>Закупка товаров, работ и услуг для муниципальных нужд</v>
      </c>
      <c r="B196" s="100">
        <v>801</v>
      </c>
      <c r="C196" s="8" t="s">
        <v>213</v>
      </c>
      <c r="D196" s="8" t="s">
        <v>217</v>
      </c>
      <c r="E196" s="100" t="s">
        <v>106</v>
      </c>
      <c r="F196" s="100">
        <v>200</v>
      </c>
      <c r="G196" s="69">
        <f>G197</f>
        <v>326.7</v>
      </c>
      <c r="H196" s="69">
        <f>H197</f>
        <v>0</v>
      </c>
      <c r="I196" s="69">
        <f t="shared" si="48"/>
        <v>326.7</v>
      </c>
      <c r="J196" s="69">
        <f>J197</f>
        <v>-326.7</v>
      </c>
      <c r="K196" s="84">
        <f t="shared" si="49"/>
        <v>0</v>
      </c>
      <c r="L196" s="13">
        <f>L197</f>
        <v>0</v>
      </c>
      <c r="M196" s="84">
        <f t="shared" si="45"/>
        <v>0</v>
      </c>
      <c r="N196" s="13">
        <f>N197</f>
        <v>0</v>
      </c>
      <c r="O196" s="84">
        <f t="shared" si="46"/>
        <v>0</v>
      </c>
      <c r="P196" s="13">
        <f>P197</f>
        <v>0</v>
      </c>
      <c r="Q196" s="84">
        <f t="shared" si="43"/>
        <v>0</v>
      </c>
      <c r="R196" s="13">
        <f>R197</f>
        <v>0</v>
      </c>
      <c r="S196" s="84">
        <f t="shared" si="44"/>
        <v>0</v>
      </c>
      <c r="T196" s="13">
        <f>T197</f>
        <v>0</v>
      </c>
      <c r="U196" s="84">
        <f t="shared" si="41"/>
        <v>0</v>
      </c>
      <c r="V196" s="142" t="s">
        <v>706</v>
      </c>
    </row>
    <row r="197" spans="1:22" s="102" customFormat="1" ht="33" hidden="1">
      <c r="A197" s="61" t="str">
        <f t="shared" ca="1" si="53"/>
        <v>Иные закупки товаров, работ и услуг для обеспечения муниципальных нужд</v>
      </c>
      <c r="B197" s="100">
        <v>801</v>
      </c>
      <c r="C197" s="8" t="s">
        <v>213</v>
      </c>
      <c r="D197" s="8" t="s">
        <v>217</v>
      </c>
      <c r="E197" s="100" t="s">
        <v>106</v>
      </c>
      <c r="F197" s="100">
        <v>240</v>
      </c>
      <c r="G197" s="69">
        <f>G198</f>
        <v>326.7</v>
      </c>
      <c r="H197" s="69">
        <f>H198</f>
        <v>0</v>
      </c>
      <c r="I197" s="69">
        <f t="shared" si="48"/>
        <v>326.7</v>
      </c>
      <c r="J197" s="69">
        <f>J198</f>
        <v>-326.7</v>
      </c>
      <c r="K197" s="84">
        <f t="shared" si="49"/>
        <v>0</v>
      </c>
      <c r="L197" s="13">
        <f>L198</f>
        <v>0</v>
      </c>
      <c r="M197" s="84">
        <f t="shared" si="45"/>
        <v>0</v>
      </c>
      <c r="N197" s="13">
        <f>N198</f>
        <v>0</v>
      </c>
      <c r="O197" s="84">
        <f t="shared" si="46"/>
        <v>0</v>
      </c>
      <c r="P197" s="13">
        <f>P198</f>
        <v>0</v>
      </c>
      <c r="Q197" s="84">
        <f t="shared" si="43"/>
        <v>0</v>
      </c>
      <c r="R197" s="13">
        <f>R198</f>
        <v>0</v>
      </c>
      <c r="S197" s="84">
        <f t="shared" si="44"/>
        <v>0</v>
      </c>
      <c r="T197" s="13">
        <f>T198</f>
        <v>0</v>
      </c>
      <c r="U197" s="84">
        <f t="shared" si="41"/>
        <v>0</v>
      </c>
      <c r="V197" s="142" t="s">
        <v>706</v>
      </c>
    </row>
    <row r="198" spans="1:22" s="102" customFormat="1" ht="33" hidden="1">
      <c r="A198" s="61" t="str">
        <f t="shared" ca="1" si="53"/>
        <v xml:space="preserve">Прочая закупка товаров, работ и услуг для обеспечения муниципальных нужд         </v>
      </c>
      <c r="B198" s="100">
        <v>801</v>
      </c>
      <c r="C198" s="8" t="s">
        <v>213</v>
      </c>
      <c r="D198" s="8" t="s">
        <v>217</v>
      </c>
      <c r="E198" s="100" t="s">
        <v>106</v>
      </c>
      <c r="F198" s="100">
        <v>244</v>
      </c>
      <c r="G198" s="69">
        <v>326.7</v>
      </c>
      <c r="H198" s="69"/>
      <c r="I198" s="69">
        <f t="shared" si="48"/>
        <v>326.7</v>
      </c>
      <c r="J198" s="69">
        <v>-326.7</v>
      </c>
      <c r="K198" s="84">
        <f t="shared" si="49"/>
        <v>0</v>
      </c>
      <c r="L198" s="13"/>
      <c r="M198" s="84">
        <f t="shared" si="45"/>
        <v>0</v>
      </c>
      <c r="N198" s="13"/>
      <c r="O198" s="84">
        <f t="shared" si="46"/>
        <v>0</v>
      </c>
      <c r="P198" s="13"/>
      <c r="Q198" s="84">
        <f t="shared" si="43"/>
        <v>0</v>
      </c>
      <c r="R198" s="13"/>
      <c r="S198" s="84">
        <f t="shared" si="44"/>
        <v>0</v>
      </c>
      <c r="T198" s="13"/>
      <c r="U198" s="84">
        <f t="shared" si="41"/>
        <v>0</v>
      </c>
      <c r="V198" s="142" t="s">
        <v>706</v>
      </c>
    </row>
    <row r="199" spans="1:22" s="128" customFormat="1" ht="33">
      <c r="A199" s="61" t="str">
        <f t="shared" ca="1" si="53"/>
        <v>Предоставление субсидий бюджетным, автономным учреждениям и иным некоммерческим организациям</v>
      </c>
      <c r="B199" s="126">
        <v>801</v>
      </c>
      <c r="C199" s="8" t="s">
        <v>213</v>
      </c>
      <c r="D199" s="8" t="s">
        <v>217</v>
      </c>
      <c r="E199" s="126" t="s">
        <v>106</v>
      </c>
      <c r="F199" s="126">
        <v>600</v>
      </c>
      <c r="G199" s="69"/>
      <c r="H199" s="69"/>
      <c r="I199" s="69"/>
      <c r="J199" s="69">
        <f>J200</f>
        <v>228.4</v>
      </c>
      <c r="K199" s="84">
        <f t="shared" si="49"/>
        <v>228.4</v>
      </c>
      <c r="L199" s="13">
        <f>L200</f>
        <v>-44</v>
      </c>
      <c r="M199" s="84">
        <f t="shared" si="45"/>
        <v>184.4</v>
      </c>
      <c r="N199" s="13">
        <f>N200</f>
        <v>0</v>
      </c>
      <c r="O199" s="84">
        <f t="shared" si="46"/>
        <v>184.4</v>
      </c>
      <c r="P199" s="13">
        <f>P200</f>
        <v>0</v>
      </c>
      <c r="Q199" s="84">
        <f t="shared" si="43"/>
        <v>184.4</v>
      </c>
      <c r="R199" s="13">
        <f>R200</f>
        <v>0</v>
      </c>
      <c r="S199" s="84">
        <f t="shared" si="44"/>
        <v>184.4</v>
      </c>
      <c r="T199" s="13">
        <f>T200</f>
        <v>0</v>
      </c>
      <c r="U199" s="84">
        <f t="shared" si="41"/>
        <v>184.4</v>
      </c>
    </row>
    <row r="200" spans="1:22" s="128" customFormat="1">
      <c r="A200" s="61" t="str">
        <f t="shared" ca="1" si="53"/>
        <v>Субсидии бюджетным учреждениям</v>
      </c>
      <c r="B200" s="126">
        <v>801</v>
      </c>
      <c r="C200" s="8" t="s">
        <v>213</v>
      </c>
      <c r="D200" s="8" t="s">
        <v>217</v>
      </c>
      <c r="E200" s="126" t="s">
        <v>106</v>
      </c>
      <c r="F200" s="126">
        <v>610</v>
      </c>
      <c r="G200" s="69"/>
      <c r="H200" s="69"/>
      <c r="I200" s="69"/>
      <c r="J200" s="69">
        <f>J201</f>
        <v>228.4</v>
      </c>
      <c r="K200" s="84">
        <f t="shared" si="49"/>
        <v>228.4</v>
      </c>
      <c r="L200" s="13">
        <f>L201</f>
        <v>-44</v>
      </c>
      <c r="M200" s="84">
        <f t="shared" si="45"/>
        <v>184.4</v>
      </c>
      <c r="N200" s="13">
        <f>N201</f>
        <v>0</v>
      </c>
      <c r="O200" s="84">
        <f t="shared" si="46"/>
        <v>184.4</v>
      </c>
      <c r="P200" s="13">
        <f>P201</f>
        <v>0</v>
      </c>
      <c r="Q200" s="84">
        <f t="shared" si="43"/>
        <v>184.4</v>
      </c>
      <c r="R200" s="13">
        <f>R201</f>
        <v>0</v>
      </c>
      <c r="S200" s="84">
        <f t="shared" si="44"/>
        <v>184.4</v>
      </c>
      <c r="T200" s="13">
        <f>T201</f>
        <v>0</v>
      </c>
      <c r="U200" s="84">
        <f t="shared" si="41"/>
        <v>184.4</v>
      </c>
    </row>
    <row r="201" spans="1:22" s="128" customFormat="1">
      <c r="A201" s="61" t="str">
        <f t="shared" ca="1" si="53"/>
        <v>Субсидии бюджетным учреждениям на иные цели</v>
      </c>
      <c r="B201" s="126">
        <v>801</v>
      </c>
      <c r="C201" s="8" t="s">
        <v>213</v>
      </c>
      <c r="D201" s="8" t="s">
        <v>217</v>
      </c>
      <c r="E201" s="126" t="s">
        <v>106</v>
      </c>
      <c r="F201" s="126">
        <v>612</v>
      </c>
      <c r="G201" s="69"/>
      <c r="H201" s="69"/>
      <c r="I201" s="69"/>
      <c r="J201" s="69">
        <v>228.4</v>
      </c>
      <c r="K201" s="84">
        <f t="shared" si="49"/>
        <v>228.4</v>
      </c>
      <c r="L201" s="13">
        <v>-44</v>
      </c>
      <c r="M201" s="84">
        <f t="shared" si="45"/>
        <v>184.4</v>
      </c>
      <c r="N201" s="13"/>
      <c r="O201" s="84">
        <f t="shared" si="46"/>
        <v>184.4</v>
      </c>
      <c r="P201" s="13"/>
      <c r="Q201" s="84">
        <f t="shared" si="43"/>
        <v>184.4</v>
      </c>
      <c r="R201" s="13"/>
      <c r="S201" s="84">
        <f t="shared" si="44"/>
        <v>184.4</v>
      </c>
      <c r="T201" s="13"/>
      <c r="U201" s="84">
        <f t="shared" si="41"/>
        <v>184.4</v>
      </c>
    </row>
    <row r="202" spans="1:22" s="128" customFormat="1">
      <c r="A202" s="61" t="str">
        <f ca="1">IF(ISERROR(MATCH(E202,Код_КЦСР,0)),"",INDIRECT(ADDRESS(MATCH(E202,Код_КЦСР,0)+1,2,,,"КЦСР")))</f>
        <v>Приобретение лицензионного ПО, Крипто ПРО с лицензией СЭД</v>
      </c>
      <c r="B202" s="126">
        <v>801</v>
      </c>
      <c r="C202" s="8" t="s">
        <v>213</v>
      </c>
      <c r="D202" s="8" t="s">
        <v>217</v>
      </c>
      <c r="E202" s="126" t="s">
        <v>107</v>
      </c>
      <c r="F202" s="126"/>
      <c r="G202" s="69">
        <f t="shared" ref="G202:T204" si="54">G203</f>
        <v>354.6</v>
      </c>
      <c r="H202" s="69">
        <f t="shared" si="54"/>
        <v>0</v>
      </c>
      <c r="I202" s="69">
        <f t="shared" si="48"/>
        <v>354.6</v>
      </c>
      <c r="J202" s="69">
        <f t="shared" si="54"/>
        <v>0</v>
      </c>
      <c r="K202" s="84">
        <f t="shared" si="49"/>
        <v>354.6</v>
      </c>
      <c r="L202" s="13">
        <f t="shared" si="54"/>
        <v>-169.8</v>
      </c>
      <c r="M202" s="84">
        <f t="shared" si="45"/>
        <v>184.8</v>
      </c>
      <c r="N202" s="13">
        <f t="shared" si="54"/>
        <v>0</v>
      </c>
      <c r="O202" s="84">
        <f t="shared" si="46"/>
        <v>184.8</v>
      </c>
      <c r="P202" s="13">
        <f t="shared" si="54"/>
        <v>0</v>
      </c>
      <c r="Q202" s="84">
        <f t="shared" si="43"/>
        <v>184.8</v>
      </c>
      <c r="R202" s="13">
        <f t="shared" si="54"/>
        <v>0</v>
      </c>
      <c r="S202" s="84">
        <f t="shared" si="44"/>
        <v>184.8</v>
      </c>
      <c r="T202" s="13">
        <f t="shared" si="54"/>
        <v>0</v>
      </c>
      <c r="U202" s="84">
        <f t="shared" si="41"/>
        <v>184.8</v>
      </c>
    </row>
    <row r="203" spans="1:22" s="128" customFormat="1">
      <c r="A203" s="61" t="str">
        <f ca="1">IF(ISERROR(MATCH(F203,Код_КВР,0)),"",INDIRECT(ADDRESS(MATCH(F203,Код_КВР,0)+1,2,,,"КВР")))</f>
        <v>Закупка товаров, работ и услуг для муниципальных нужд</v>
      </c>
      <c r="B203" s="126">
        <v>801</v>
      </c>
      <c r="C203" s="8" t="s">
        <v>213</v>
      </c>
      <c r="D203" s="8" t="s">
        <v>217</v>
      </c>
      <c r="E203" s="126" t="s">
        <v>107</v>
      </c>
      <c r="F203" s="126">
        <v>200</v>
      </c>
      <c r="G203" s="69">
        <f t="shared" si="54"/>
        <v>354.6</v>
      </c>
      <c r="H203" s="69">
        <f t="shared" si="54"/>
        <v>0</v>
      </c>
      <c r="I203" s="69">
        <f t="shared" si="48"/>
        <v>354.6</v>
      </c>
      <c r="J203" s="69">
        <f t="shared" si="54"/>
        <v>0</v>
      </c>
      <c r="K203" s="84">
        <f t="shared" si="49"/>
        <v>354.6</v>
      </c>
      <c r="L203" s="13">
        <f t="shared" si="54"/>
        <v>-169.8</v>
      </c>
      <c r="M203" s="84">
        <f t="shared" si="45"/>
        <v>184.8</v>
      </c>
      <c r="N203" s="13">
        <f t="shared" si="54"/>
        <v>0</v>
      </c>
      <c r="O203" s="84">
        <f t="shared" si="46"/>
        <v>184.8</v>
      </c>
      <c r="P203" s="13">
        <f t="shared" si="54"/>
        <v>0</v>
      </c>
      <c r="Q203" s="84">
        <f t="shared" si="43"/>
        <v>184.8</v>
      </c>
      <c r="R203" s="13">
        <f t="shared" si="54"/>
        <v>0</v>
      </c>
      <c r="S203" s="84">
        <f t="shared" si="44"/>
        <v>184.8</v>
      </c>
      <c r="T203" s="13">
        <f t="shared" si="54"/>
        <v>0</v>
      </c>
      <c r="U203" s="84">
        <f t="shared" si="41"/>
        <v>184.8</v>
      </c>
    </row>
    <row r="204" spans="1:22" s="128" customFormat="1" ht="33">
      <c r="A204" s="61" t="str">
        <f ca="1">IF(ISERROR(MATCH(F204,Код_КВР,0)),"",INDIRECT(ADDRESS(MATCH(F204,Код_КВР,0)+1,2,,,"КВР")))</f>
        <v>Иные закупки товаров, работ и услуг для обеспечения муниципальных нужд</v>
      </c>
      <c r="B204" s="126">
        <v>801</v>
      </c>
      <c r="C204" s="8" t="s">
        <v>213</v>
      </c>
      <c r="D204" s="8" t="s">
        <v>217</v>
      </c>
      <c r="E204" s="126" t="s">
        <v>107</v>
      </c>
      <c r="F204" s="126">
        <v>240</v>
      </c>
      <c r="G204" s="69">
        <f t="shared" si="54"/>
        <v>354.6</v>
      </c>
      <c r="H204" s="69">
        <f t="shared" si="54"/>
        <v>0</v>
      </c>
      <c r="I204" s="69">
        <f t="shared" si="48"/>
        <v>354.6</v>
      </c>
      <c r="J204" s="69">
        <f t="shared" si="54"/>
        <v>0</v>
      </c>
      <c r="K204" s="84">
        <f t="shared" si="49"/>
        <v>354.6</v>
      </c>
      <c r="L204" s="13">
        <f t="shared" si="54"/>
        <v>-169.8</v>
      </c>
      <c r="M204" s="84">
        <f t="shared" si="45"/>
        <v>184.8</v>
      </c>
      <c r="N204" s="13">
        <f t="shared" si="54"/>
        <v>0</v>
      </c>
      <c r="O204" s="84">
        <f t="shared" si="46"/>
        <v>184.8</v>
      </c>
      <c r="P204" s="13">
        <f t="shared" si="54"/>
        <v>0</v>
      </c>
      <c r="Q204" s="84">
        <f t="shared" si="43"/>
        <v>184.8</v>
      </c>
      <c r="R204" s="13">
        <f t="shared" si="54"/>
        <v>0</v>
      </c>
      <c r="S204" s="84">
        <f t="shared" si="44"/>
        <v>184.8</v>
      </c>
      <c r="T204" s="13">
        <f t="shared" si="54"/>
        <v>0</v>
      </c>
      <c r="U204" s="84">
        <f t="shared" si="41"/>
        <v>184.8</v>
      </c>
    </row>
    <row r="205" spans="1:22" s="128" customFormat="1" ht="33">
      <c r="A205" s="61" t="str">
        <f ca="1">IF(ISERROR(MATCH(F205,Код_КВР,0)),"",INDIRECT(ADDRESS(MATCH(F205,Код_КВР,0)+1,2,,,"КВР")))</f>
        <v xml:space="preserve">Прочая закупка товаров, работ и услуг для обеспечения муниципальных нужд         </v>
      </c>
      <c r="B205" s="126">
        <v>801</v>
      </c>
      <c r="C205" s="8" t="s">
        <v>213</v>
      </c>
      <c r="D205" s="8" t="s">
        <v>217</v>
      </c>
      <c r="E205" s="126" t="s">
        <v>107</v>
      </c>
      <c r="F205" s="126">
        <v>244</v>
      </c>
      <c r="G205" s="69">
        <v>354.6</v>
      </c>
      <c r="H205" s="69"/>
      <c r="I205" s="69">
        <f t="shared" si="48"/>
        <v>354.6</v>
      </c>
      <c r="J205" s="69"/>
      <c r="K205" s="84">
        <f t="shared" si="49"/>
        <v>354.6</v>
      </c>
      <c r="L205" s="13">
        <v>-169.8</v>
      </c>
      <c r="M205" s="84">
        <f t="shared" si="45"/>
        <v>184.8</v>
      </c>
      <c r="N205" s="13"/>
      <c r="O205" s="84">
        <f t="shared" si="46"/>
        <v>184.8</v>
      </c>
      <c r="P205" s="13"/>
      <c r="Q205" s="84">
        <f t="shared" si="43"/>
        <v>184.8</v>
      </c>
      <c r="R205" s="13"/>
      <c r="S205" s="84">
        <f t="shared" si="44"/>
        <v>184.8</v>
      </c>
      <c r="T205" s="13"/>
      <c r="U205" s="84">
        <f t="shared" si="41"/>
        <v>184.8</v>
      </c>
    </row>
    <row r="206" spans="1:22" s="102" customFormat="1" ht="33" hidden="1">
      <c r="A206" s="61" t="str">
        <f ca="1">IF(ISERROR(MATCH(E206,Код_КЦСР,0)),"",INDIRECT(ADDRESS(MATCH(E206,Код_КЦСР,0)+1,2,,,"КЦСР")))</f>
        <v>Минимизация последствий от ЧС на опасных производственных объектах экономики (ОПОЭ)</v>
      </c>
      <c r="B206" s="100">
        <v>801</v>
      </c>
      <c r="C206" s="8" t="s">
        <v>213</v>
      </c>
      <c r="D206" s="8" t="s">
        <v>217</v>
      </c>
      <c r="E206" s="100" t="s">
        <v>118</v>
      </c>
      <c r="F206" s="100"/>
      <c r="G206" s="69">
        <f>G207</f>
        <v>1559.6</v>
      </c>
      <c r="H206" s="69">
        <f>H207</f>
        <v>0</v>
      </c>
      <c r="I206" s="69">
        <f t="shared" si="48"/>
        <v>1559.6</v>
      </c>
      <c r="J206" s="69">
        <f>J207</f>
        <v>0</v>
      </c>
      <c r="K206" s="84">
        <f t="shared" si="49"/>
        <v>1559.6</v>
      </c>
      <c r="L206" s="13">
        <f>L207</f>
        <v>-1559.6</v>
      </c>
      <c r="M206" s="84">
        <f t="shared" si="45"/>
        <v>0</v>
      </c>
      <c r="N206" s="13">
        <f>N207</f>
        <v>0</v>
      </c>
      <c r="O206" s="84">
        <f t="shared" si="46"/>
        <v>0</v>
      </c>
      <c r="P206" s="13">
        <f>P207</f>
        <v>0</v>
      </c>
      <c r="Q206" s="84">
        <f t="shared" si="43"/>
        <v>0</v>
      </c>
      <c r="R206" s="13">
        <f>R207</f>
        <v>0</v>
      </c>
      <c r="S206" s="84">
        <f t="shared" si="44"/>
        <v>0</v>
      </c>
      <c r="T206" s="13">
        <f>T207</f>
        <v>0</v>
      </c>
      <c r="U206" s="84">
        <f t="shared" si="41"/>
        <v>0</v>
      </c>
      <c r="V206" s="142" t="s">
        <v>706</v>
      </c>
    </row>
    <row r="207" spans="1:22" s="102" customFormat="1" ht="33" hidden="1">
      <c r="A207" s="61" t="str">
        <f ca="1">IF(ISERROR(MATCH(F207,Код_КВР,0)),"",INDIRECT(ADDRESS(MATCH(F207,Код_КВР,0)+1,2,,,"КВР")))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7" s="100">
        <v>801</v>
      </c>
      <c r="C207" s="8" t="s">
        <v>213</v>
      </c>
      <c r="D207" s="8" t="s">
        <v>217</v>
      </c>
      <c r="E207" s="100" t="s">
        <v>118</v>
      </c>
      <c r="F207" s="100">
        <v>100</v>
      </c>
      <c r="G207" s="69">
        <f>G208</f>
        <v>1559.6</v>
      </c>
      <c r="H207" s="69">
        <f>H208</f>
        <v>0</v>
      </c>
      <c r="I207" s="69">
        <f t="shared" si="48"/>
        <v>1559.6</v>
      </c>
      <c r="J207" s="69">
        <f>J208</f>
        <v>0</v>
      </c>
      <c r="K207" s="84">
        <f t="shared" si="49"/>
        <v>1559.6</v>
      </c>
      <c r="L207" s="13">
        <f>L208</f>
        <v>-1559.6</v>
      </c>
      <c r="M207" s="84">
        <f t="shared" si="45"/>
        <v>0</v>
      </c>
      <c r="N207" s="13">
        <f>N208</f>
        <v>0</v>
      </c>
      <c r="O207" s="84">
        <f t="shared" si="46"/>
        <v>0</v>
      </c>
      <c r="P207" s="13">
        <f>P208</f>
        <v>0</v>
      </c>
      <c r="Q207" s="84">
        <f t="shared" si="43"/>
        <v>0</v>
      </c>
      <c r="R207" s="13">
        <f>R208</f>
        <v>0</v>
      </c>
      <c r="S207" s="84">
        <f t="shared" si="44"/>
        <v>0</v>
      </c>
      <c r="T207" s="13">
        <f>T208</f>
        <v>0</v>
      </c>
      <c r="U207" s="84">
        <f t="shared" si="41"/>
        <v>0</v>
      </c>
      <c r="V207" s="142" t="s">
        <v>706</v>
      </c>
    </row>
    <row r="208" spans="1:22" s="102" customFormat="1" ht="27.2" hidden="1" customHeight="1">
      <c r="A208" s="61" t="str">
        <f ca="1">IF(ISERROR(MATCH(F208,Код_КВР,0)),"",INDIRECT(ADDRESS(MATCH(F208,Код_КВР,0)+1,2,,,"КВР")))</f>
        <v>Расходы на выплаты персоналу казенных учреждений</v>
      </c>
      <c r="B208" s="100">
        <v>801</v>
      </c>
      <c r="C208" s="8" t="s">
        <v>213</v>
      </c>
      <c r="D208" s="8" t="s">
        <v>217</v>
      </c>
      <c r="E208" s="100" t="s">
        <v>118</v>
      </c>
      <c r="F208" s="100">
        <v>110</v>
      </c>
      <c r="G208" s="69">
        <v>1559.6</v>
      </c>
      <c r="H208" s="69"/>
      <c r="I208" s="69">
        <f t="shared" si="48"/>
        <v>1559.6</v>
      </c>
      <c r="J208" s="69"/>
      <c r="K208" s="84">
        <f t="shared" si="49"/>
        <v>1559.6</v>
      </c>
      <c r="L208" s="13">
        <v>-1559.6</v>
      </c>
      <c r="M208" s="84">
        <f t="shared" si="45"/>
        <v>0</v>
      </c>
      <c r="N208" s="13"/>
      <c r="O208" s="84">
        <f t="shared" si="46"/>
        <v>0</v>
      </c>
      <c r="P208" s="13"/>
      <c r="Q208" s="84">
        <f t="shared" si="43"/>
        <v>0</v>
      </c>
      <c r="R208" s="13"/>
      <c r="S208" s="84">
        <f t="shared" si="44"/>
        <v>0</v>
      </c>
      <c r="T208" s="13"/>
      <c r="U208" s="84">
        <f t="shared" si="41"/>
        <v>0</v>
      </c>
      <c r="V208" s="142" t="s">
        <v>706</v>
      </c>
    </row>
    <row r="209" spans="1:21" s="128" customFormat="1">
      <c r="A209" s="61" t="str">
        <f ca="1">IF(ISERROR(MATCH(E209,Код_КЦСР,0)),"",INDIRECT(ADDRESS(MATCH(E209,Код_КЦСР,0)+1,2,,,"КЦСР")))</f>
        <v xml:space="preserve">Обеспечение создания условий для реализации подпрограммы 2 </v>
      </c>
      <c r="B209" s="126">
        <v>801</v>
      </c>
      <c r="C209" s="8" t="s">
        <v>213</v>
      </c>
      <c r="D209" s="8" t="s">
        <v>217</v>
      </c>
      <c r="E209" s="126" t="s">
        <v>120</v>
      </c>
      <c r="F209" s="126"/>
      <c r="G209" s="69">
        <f>G210+G212+G218</f>
        <v>46645.7</v>
      </c>
      <c r="H209" s="69">
        <f>H210+H212+H218</f>
        <v>0</v>
      </c>
      <c r="I209" s="69">
        <f t="shared" si="48"/>
        <v>46645.7</v>
      </c>
      <c r="J209" s="69">
        <f>J210+J212+J218+J215</f>
        <v>653.29999999999927</v>
      </c>
      <c r="K209" s="84">
        <f t="shared" si="49"/>
        <v>47299</v>
      </c>
      <c r="L209" s="13">
        <f>L210+L212+L218+L215</f>
        <v>-1650.6000000000001</v>
      </c>
      <c r="M209" s="84">
        <f t="shared" si="45"/>
        <v>45648.4</v>
      </c>
      <c r="N209" s="13">
        <f>N210+N212+N218+N215</f>
        <v>0</v>
      </c>
      <c r="O209" s="84">
        <f t="shared" si="46"/>
        <v>45648.4</v>
      </c>
      <c r="P209" s="13">
        <f>P210+P212+P218+P215</f>
        <v>0</v>
      </c>
      <c r="Q209" s="84">
        <f t="shared" si="43"/>
        <v>45648.4</v>
      </c>
      <c r="R209" s="13">
        <f>R210+R212+R218+R215</f>
        <v>80.099999999999994</v>
      </c>
      <c r="S209" s="84">
        <f t="shared" si="44"/>
        <v>45728.5</v>
      </c>
      <c r="T209" s="13">
        <f>T210+T212+T218+T215</f>
        <v>0</v>
      </c>
      <c r="U209" s="84">
        <f t="shared" si="41"/>
        <v>45728.5</v>
      </c>
    </row>
    <row r="210" spans="1:21" s="128" customFormat="1" ht="33">
      <c r="A210" s="61" t="str">
        <f t="shared" ref="A210:A219" ca="1" si="55">IF(ISERROR(MATCH(F210,Код_КВР,0)),"",INDIRECT(ADDRESS(MATCH(F210,Код_КВР,0)+1,2,,,"КВР")))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10" s="126">
        <v>801</v>
      </c>
      <c r="C210" s="8" t="s">
        <v>213</v>
      </c>
      <c r="D210" s="8" t="s">
        <v>217</v>
      </c>
      <c r="E210" s="126" t="s">
        <v>120</v>
      </c>
      <c r="F210" s="126">
        <v>100</v>
      </c>
      <c r="G210" s="69">
        <f>G211</f>
        <v>38954.9</v>
      </c>
      <c r="H210" s="69">
        <f>H211</f>
        <v>0</v>
      </c>
      <c r="I210" s="69">
        <f t="shared" si="48"/>
        <v>38954.9</v>
      </c>
      <c r="J210" s="69">
        <f>J211</f>
        <v>-15942.2</v>
      </c>
      <c r="K210" s="84">
        <f t="shared" si="49"/>
        <v>23012.7</v>
      </c>
      <c r="L210" s="13">
        <f>L211</f>
        <v>0</v>
      </c>
      <c r="M210" s="84">
        <f t="shared" si="45"/>
        <v>23012.7</v>
      </c>
      <c r="N210" s="13">
        <f>N211</f>
        <v>0</v>
      </c>
      <c r="O210" s="84">
        <f t="shared" si="46"/>
        <v>23012.7</v>
      </c>
      <c r="P210" s="13">
        <f>P211</f>
        <v>0</v>
      </c>
      <c r="Q210" s="84">
        <f t="shared" si="43"/>
        <v>23012.7</v>
      </c>
      <c r="R210" s="13">
        <f>R211</f>
        <v>-238</v>
      </c>
      <c r="S210" s="84">
        <f t="shared" si="44"/>
        <v>22774.7</v>
      </c>
      <c r="T210" s="13">
        <f>T211</f>
        <v>0</v>
      </c>
      <c r="U210" s="84">
        <f t="shared" si="41"/>
        <v>22774.7</v>
      </c>
    </row>
    <row r="211" spans="1:21" s="128" customFormat="1">
      <c r="A211" s="61" t="str">
        <f t="shared" ca="1" si="55"/>
        <v>Расходы на выплаты персоналу казенных учреждений</v>
      </c>
      <c r="B211" s="126">
        <v>801</v>
      </c>
      <c r="C211" s="8" t="s">
        <v>213</v>
      </c>
      <c r="D211" s="8" t="s">
        <v>217</v>
      </c>
      <c r="E211" s="126" t="s">
        <v>120</v>
      </c>
      <c r="F211" s="126">
        <v>110</v>
      </c>
      <c r="G211" s="69">
        <v>38954.9</v>
      </c>
      <c r="H211" s="69"/>
      <c r="I211" s="69">
        <f t="shared" si="48"/>
        <v>38954.9</v>
      </c>
      <c r="J211" s="69">
        <v>-15942.2</v>
      </c>
      <c r="K211" s="84">
        <f t="shared" si="49"/>
        <v>23012.7</v>
      </c>
      <c r="L211" s="13"/>
      <c r="M211" s="84">
        <f t="shared" si="45"/>
        <v>23012.7</v>
      </c>
      <c r="N211" s="13"/>
      <c r="O211" s="84">
        <f t="shared" si="46"/>
        <v>23012.7</v>
      </c>
      <c r="P211" s="13"/>
      <c r="Q211" s="84">
        <f t="shared" si="43"/>
        <v>23012.7</v>
      </c>
      <c r="R211" s="13">
        <f>-222.6-0.9-14.5</f>
        <v>-238</v>
      </c>
      <c r="S211" s="84">
        <f t="shared" si="44"/>
        <v>22774.7</v>
      </c>
      <c r="T211" s="13"/>
      <c r="U211" s="84">
        <f t="shared" si="41"/>
        <v>22774.7</v>
      </c>
    </row>
    <row r="212" spans="1:21" s="128" customFormat="1">
      <c r="A212" s="61" t="str">
        <f t="shared" ca="1" si="55"/>
        <v>Закупка товаров, работ и услуг для муниципальных нужд</v>
      </c>
      <c r="B212" s="126">
        <v>801</v>
      </c>
      <c r="C212" s="8" t="s">
        <v>213</v>
      </c>
      <c r="D212" s="8" t="s">
        <v>217</v>
      </c>
      <c r="E212" s="126" t="s">
        <v>120</v>
      </c>
      <c r="F212" s="126">
        <v>200</v>
      </c>
      <c r="G212" s="69">
        <f>G213</f>
        <v>6568.2</v>
      </c>
      <c r="H212" s="69">
        <f>H213</f>
        <v>0</v>
      </c>
      <c r="I212" s="69">
        <f t="shared" si="48"/>
        <v>6568.2</v>
      </c>
      <c r="J212" s="69">
        <f>J213</f>
        <v>-1391.1</v>
      </c>
      <c r="K212" s="84">
        <f t="shared" si="49"/>
        <v>5177.1000000000004</v>
      </c>
      <c r="L212" s="13">
        <f>L213</f>
        <v>-1650.6000000000001</v>
      </c>
      <c r="M212" s="84">
        <f t="shared" si="45"/>
        <v>3526.5</v>
      </c>
      <c r="N212" s="13">
        <f>N213</f>
        <v>0</v>
      </c>
      <c r="O212" s="84">
        <f t="shared" si="46"/>
        <v>3526.5</v>
      </c>
      <c r="P212" s="13">
        <f>P213</f>
        <v>0</v>
      </c>
      <c r="Q212" s="84">
        <f t="shared" si="43"/>
        <v>3526.5</v>
      </c>
      <c r="R212" s="13">
        <f>R213</f>
        <v>238</v>
      </c>
      <c r="S212" s="84">
        <f t="shared" si="44"/>
        <v>3764.5</v>
      </c>
      <c r="T212" s="13">
        <f>T213</f>
        <v>-11</v>
      </c>
      <c r="U212" s="84">
        <f t="shared" si="41"/>
        <v>3753.5</v>
      </c>
    </row>
    <row r="213" spans="1:21" s="128" customFormat="1" ht="33">
      <c r="A213" s="61" t="str">
        <f t="shared" ca="1" si="55"/>
        <v>Иные закупки товаров, работ и услуг для обеспечения муниципальных нужд</v>
      </c>
      <c r="B213" s="126">
        <v>801</v>
      </c>
      <c r="C213" s="8" t="s">
        <v>213</v>
      </c>
      <c r="D213" s="8" t="s">
        <v>217</v>
      </c>
      <c r="E213" s="126" t="s">
        <v>120</v>
      </c>
      <c r="F213" s="126">
        <v>240</v>
      </c>
      <c r="G213" s="69">
        <f>G214</f>
        <v>6568.2</v>
      </c>
      <c r="H213" s="69">
        <f>H214</f>
        <v>0</v>
      </c>
      <c r="I213" s="69">
        <f t="shared" si="48"/>
        <v>6568.2</v>
      </c>
      <c r="J213" s="69">
        <f>J214</f>
        <v>-1391.1</v>
      </c>
      <c r="K213" s="84">
        <f t="shared" si="49"/>
        <v>5177.1000000000004</v>
      </c>
      <c r="L213" s="13">
        <f>L214</f>
        <v>-1650.6000000000001</v>
      </c>
      <c r="M213" s="84">
        <f t="shared" si="45"/>
        <v>3526.5</v>
      </c>
      <c r="N213" s="13">
        <f>N214</f>
        <v>0</v>
      </c>
      <c r="O213" s="84">
        <f t="shared" si="46"/>
        <v>3526.5</v>
      </c>
      <c r="P213" s="13">
        <f>P214</f>
        <v>0</v>
      </c>
      <c r="Q213" s="84">
        <f t="shared" si="43"/>
        <v>3526.5</v>
      </c>
      <c r="R213" s="13">
        <f>R214</f>
        <v>238</v>
      </c>
      <c r="S213" s="84">
        <f t="shared" si="44"/>
        <v>3764.5</v>
      </c>
      <c r="T213" s="13">
        <f>T214</f>
        <v>-11</v>
      </c>
      <c r="U213" s="84">
        <f t="shared" si="41"/>
        <v>3753.5</v>
      </c>
    </row>
    <row r="214" spans="1:21" s="128" customFormat="1" ht="33">
      <c r="A214" s="61" t="str">
        <f t="shared" ca="1" si="55"/>
        <v xml:space="preserve">Прочая закупка товаров, работ и услуг для обеспечения муниципальных нужд         </v>
      </c>
      <c r="B214" s="126">
        <v>801</v>
      </c>
      <c r="C214" s="8" t="s">
        <v>213</v>
      </c>
      <c r="D214" s="8" t="s">
        <v>217</v>
      </c>
      <c r="E214" s="126" t="s">
        <v>120</v>
      </c>
      <c r="F214" s="126">
        <v>244</v>
      </c>
      <c r="G214" s="69">
        <v>6568.2</v>
      </c>
      <c r="H214" s="69"/>
      <c r="I214" s="69">
        <f t="shared" si="48"/>
        <v>6568.2</v>
      </c>
      <c r="J214" s="69">
        <f>-1368.8-22.3</f>
        <v>-1391.1</v>
      </c>
      <c r="K214" s="84">
        <f t="shared" si="49"/>
        <v>5177.1000000000004</v>
      </c>
      <c r="L214" s="13">
        <f>-20.4-1630.2</f>
        <v>-1650.6000000000001</v>
      </c>
      <c r="M214" s="84">
        <f t="shared" si="45"/>
        <v>3526.5</v>
      </c>
      <c r="N214" s="13"/>
      <c r="O214" s="84">
        <f t="shared" si="46"/>
        <v>3526.5</v>
      </c>
      <c r="P214" s="13"/>
      <c r="Q214" s="84">
        <f t="shared" si="43"/>
        <v>3526.5</v>
      </c>
      <c r="R214" s="13">
        <v>238</v>
      </c>
      <c r="S214" s="84">
        <f t="shared" si="44"/>
        <v>3764.5</v>
      </c>
      <c r="T214" s="13">
        <v>-11</v>
      </c>
      <c r="U214" s="84">
        <f t="shared" si="41"/>
        <v>3753.5</v>
      </c>
    </row>
    <row r="215" spans="1:21" s="128" customFormat="1" ht="33">
      <c r="A215" s="61" t="str">
        <f t="shared" ref="A215:A217" ca="1" si="56">IF(ISERROR(MATCH(F215,Код_КВР,0)),"",INDIRECT(ADDRESS(MATCH(F215,Код_КВР,0)+1,2,,,"КВР")))</f>
        <v>Предоставление субсидий бюджетным, автономным учреждениям и иным некоммерческим организациям</v>
      </c>
      <c r="B215" s="126">
        <v>801</v>
      </c>
      <c r="C215" s="8" t="s">
        <v>213</v>
      </c>
      <c r="D215" s="8" t="s">
        <v>217</v>
      </c>
      <c r="E215" s="126" t="s">
        <v>120</v>
      </c>
      <c r="F215" s="126">
        <v>600</v>
      </c>
      <c r="G215" s="69"/>
      <c r="H215" s="69"/>
      <c r="I215" s="69"/>
      <c r="J215" s="69">
        <f>J216</f>
        <v>18250.099999999999</v>
      </c>
      <c r="K215" s="84">
        <f t="shared" si="49"/>
        <v>18250.099999999999</v>
      </c>
      <c r="L215" s="13">
        <f>L216</f>
        <v>0</v>
      </c>
      <c r="M215" s="84">
        <f t="shared" si="45"/>
        <v>18250.099999999999</v>
      </c>
      <c r="N215" s="13">
        <f>N216</f>
        <v>0</v>
      </c>
      <c r="O215" s="84">
        <f t="shared" si="46"/>
        <v>18250.099999999999</v>
      </c>
      <c r="P215" s="13">
        <f>P216</f>
        <v>0</v>
      </c>
      <c r="Q215" s="84">
        <f t="shared" si="43"/>
        <v>18250.099999999999</v>
      </c>
      <c r="R215" s="13">
        <f>R216</f>
        <v>68.699999999999989</v>
      </c>
      <c r="S215" s="84">
        <f t="shared" si="44"/>
        <v>18318.8</v>
      </c>
      <c r="T215" s="13">
        <f>T216</f>
        <v>0</v>
      </c>
      <c r="U215" s="84">
        <f t="shared" si="41"/>
        <v>18318.8</v>
      </c>
    </row>
    <row r="216" spans="1:21" s="128" customFormat="1">
      <c r="A216" s="61" t="str">
        <f t="shared" ca="1" si="56"/>
        <v>Субсидии бюджетным учреждениям</v>
      </c>
      <c r="B216" s="126">
        <v>801</v>
      </c>
      <c r="C216" s="8" t="s">
        <v>213</v>
      </c>
      <c r="D216" s="8" t="s">
        <v>217</v>
      </c>
      <c r="E216" s="126" t="s">
        <v>120</v>
      </c>
      <c r="F216" s="126">
        <v>610</v>
      </c>
      <c r="G216" s="69"/>
      <c r="H216" s="69"/>
      <c r="I216" s="69"/>
      <c r="J216" s="69">
        <f>J217</f>
        <v>18250.099999999999</v>
      </c>
      <c r="K216" s="84">
        <f t="shared" si="49"/>
        <v>18250.099999999999</v>
      </c>
      <c r="L216" s="13">
        <f>L217</f>
        <v>0</v>
      </c>
      <c r="M216" s="84">
        <f t="shared" si="45"/>
        <v>18250.099999999999</v>
      </c>
      <c r="N216" s="13">
        <f>N217</f>
        <v>0</v>
      </c>
      <c r="O216" s="84">
        <f t="shared" si="46"/>
        <v>18250.099999999999</v>
      </c>
      <c r="P216" s="13">
        <f>P217</f>
        <v>0</v>
      </c>
      <c r="Q216" s="84">
        <f t="shared" si="43"/>
        <v>18250.099999999999</v>
      </c>
      <c r="R216" s="13">
        <f>R217</f>
        <v>68.699999999999989</v>
      </c>
      <c r="S216" s="84">
        <f t="shared" si="44"/>
        <v>18318.8</v>
      </c>
      <c r="T216" s="13">
        <f>T217</f>
        <v>0</v>
      </c>
      <c r="U216" s="84">
        <f t="shared" si="41"/>
        <v>18318.8</v>
      </c>
    </row>
    <row r="217" spans="1:21" s="128" customFormat="1" ht="49.5">
      <c r="A217" s="61" t="str">
        <f t="shared" ca="1" si="5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7" s="126">
        <v>801</v>
      </c>
      <c r="C217" s="8" t="s">
        <v>213</v>
      </c>
      <c r="D217" s="8" t="s">
        <v>217</v>
      </c>
      <c r="E217" s="126" t="s">
        <v>120</v>
      </c>
      <c r="F217" s="126">
        <v>611</v>
      </c>
      <c r="G217" s="69"/>
      <c r="H217" s="69"/>
      <c r="I217" s="69"/>
      <c r="J217" s="69">
        <v>18250.099999999999</v>
      </c>
      <c r="K217" s="84">
        <f t="shared" si="49"/>
        <v>18250.099999999999</v>
      </c>
      <c r="L217" s="13"/>
      <c r="M217" s="84">
        <f t="shared" si="45"/>
        <v>18250.099999999999</v>
      </c>
      <c r="N217" s="13"/>
      <c r="O217" s="84">
        <f t="shared" si="46"/>
        <v>18250.099999999999</v>
      </c>
      <c r="P217" s="13"/>
      <c r="Q217" s="84">
        <f t="shared" si="43"/>
        <v>18250.099999999999</v>
      </c>
      <c r="R217" s="13">
        <f>-11.4+80.1</f>
        <v>68.699999999999989</v>
      </c>
      <c r="S217" s="84">
        <f t="shared" si="44"/>
        <v>18318.8</v>
      </c>
      <c r="T217" s="13"/>
      <c r="U217" s="84">
        <f t="shared" si="41"/>
        <v>18318.8</v>
      </c>
    </row>
    <row r="218" spans="1:21" s="128" customFormat="1">
      <c r="A218" s="61" t="str">
        <f t="shared" ca="1" si="55"/>
        <v>Иные бюджетные ассигнования</v>
      </c>
      <c r="B218" s="126">
        <v>801</v>
      </c>
      <c r="C218" s="8" t="s">
        <v>213</v>
      </c>
      <c r="D218" s="8" t="s">
        <v>217</v>
      </c>
      <c r="E218" s="126" t="s">
        <v>120</v>
      </c>
      <c r="F218" s="126">
        <v>800</v>
      </c>
      <c r="G218" s="69">
        <f>G219</f>
        <v>1122.5999999999999</v>
      </c>
      <c r="H218" s="69">
        <f>H219</f>
        <v>0</v>
      </c>
      <c r="I218" s="69">
        <f t="shared" si="48"/>
        <v>1122.5999999999999</v>
      </c>
      <c r="J218" s="69">
        <f>J219</f>
        <v>-263.5</v>
      </c>
      <c r="K218" s="84">
        <f t="shared" si="49"/>
        <v>859.09999999999991</v>
      </c>
      <c r="L218" s="13">
        <f>L219</f>
        <v>0</v>
      </c>
      <c r="M218" s="84">
        <f t="shared" si="45"/>
        <v>859.09999999999991</v>
      </c>
      <c r="N218" s="13">
        <f>N219</f>
        <v>0</v>
      </c>
      <c r="O218" s="84">
        <f t="shared" si="46"/>
        <v>859.09999999999991</v>
      </c>
      <c r="P218" s="13">
        <f>P219</f>
        <v>0</v>
      </c>
      <c r="Q218" s="84">
        <f t="shared" si="43"/>
        <v>859.09999999999991</v>
      </c>
      <c r="R218" s="13">
        <f>R219</f>
        <v>11.4</v>
      </c>
      <c r="S218" s="84">
        <f t="shared" si="44"/>
        <v>870.49999999999989</v>
      </c>
      <c r="T218" s="13">
        <f>T219</f>
        <v>11</v>
      </c>
      <c r="U218" s="84">
        <f t="shared" ref="U218:U281" si="57">S218+T218</f>
        <v>881.49999999999989</v>
      </c>
    </row>
    <row r="219" spans="1:21" s="128" customFormat="1">
      <c r="A219" s="61" t="str">
        <f t="shared" ca="1" si="55"/>
        <v>Уплата налогов, сборов и иных платежей</v>
      </c>
      <c r="B219" s="126">
        <v>801</v>
      </c>
      <c r="C219" s="8" t="s">
        <v>213</v>
      </c>
      <c r="D219" s="8" t="s">
        <v>217</v>
      </c>
      <c r="E219" s="126" t="s">
        <v>120</v>
      </c>
      <c r="F219" s="126">
        <v>850</v>
      </c>
      <c r="G219" s="69">
        <f>SUM(G220:G221)</f>
        <v>1122.5999999999999</v>
      </c>
      <c r="H219" s="69"/>
      <c r="I219" s="69">
        <f t="shared" si="48"/>
        <v>1122.5999999999999</v>
      </c>
      <c r="J219" s="69">
        <f>J220+J221</f>
        <v>-263.5</v>
      </c>
      <c r="K219" s="84">
        <f t="shared" si="49"/>
        <v>859.09999999999991</v>
      </c>
      <c r="L219" s="13">
        <f>L220+L221</f>
        <v>0</v>
      </c>
      <c r="M219" s="84">
        <f t="shared" si="45"/>
        <v>859.09999999999991</v>
      </c>
      <c r="N219" s="13">
        <f>N220+N221</f>
        <v>0</v>
      </c>
      <c r="O219" s="84">
        <f t="shared" si="46"/>
        <v>859.09999999999991</v>
      </c>
      <c r="P219" s="13">
        <f>P220+P221</f>
        <v>0</v>
      </c>
      <c r="Q219" s="84">
        <f t="shared" si="43"/>
        <v>859.09999999999991</v>
      </c>
      <c r="R219" s="13">
        <f>R220+R221</f>
        <v>11.4</v>
      </c>
      <c r="S219" s="84">
        <f t="shared" si="44"/>
        <v>870.49999999999989</v>
      </c>
      <c r="T219" s="13">
        <f>T220+T221</f>
        <v>11</v>
      </c>
      <c r="U219" s="84">
        <f t="shared" si="57"/>
        <v>881.49999999999989</v>
      </c>
    </row>
    <row r="220" spans="1:21" s="128" customFormat="1">
      <c r="A220" s="61" t="str">
        <f ca="1">IF(ISERROR(MATCH(F220,Код_КВР,0)),"",INDIRECT(ADDRESS(MATCH(F220,Код_КВР,0)+1,2,,,"КВР")))</f>
        <v>Уплата налога на имущество организаций и земельного налога</v>
      </c>
      <c r="B220" s="126">
        <v>801</v>
      </c>
      <c r="C220" s="8" t="s">
        <v>213</v>
      </c>
      <c r="D220" s="8" t="s">
        <v>217</v>
      </c>
      <c r="E220" s="126" t="s">
        <v>120</v>
      </c>
      <c r="F220" s="126">
        <v>851</v>
      </c>
      <c r="G220" s="69">
        <v>984.9</v>
      </c>
      <c r="H220" s="69"/>
      <c r="I220" s="69">
        <f t="shared" si="48"/>
        <v>984.9</v>
      </c>
      <c r="J220" s="69">
        <v>-219.1</v>
      </c>
      <c r="K220" s="84">
        <f t="shared" si="49"/>
        <v>765.8</v>
      </c>
      <c r="L220" s="13"/>
      <c r="M220" s="84">
        <f t="shared" si="45"/>
        <v>765.8</v>
      </c>
      <c r="N220" s="13"/>
      <c r="O220" s="84">
        <f t="shared" si="46"/>
        <v>765.8</v>
      </c>
      <c r="P220" s="13"/>
      <c r="Q220" s="84">
        <f t="shared" si="43"/>
        <v>765.8</v>
      </c>
      <c r="R220" s="13"/>
      <c r="S220" s="84">
        <f t="shared" si="44"/>
        <v>765.8</v>
      </c>
      <c r="T220" s="13"/>
      <c r="U220" s="84">
        <f t="shared" si="57"/>
        <v>765.8</v>
      </c>
    </row>
    <row r="221" spans="1:21" s="128" customFormat="1">
      <c r="A221" s="61" t="str">
        <f ca="1">IF(ISERROR(MATCH(F221,Код_КВР,0)),"",INDIRECT(ADDRESS(MATCH(F221,Код_КВР,0)+1,2,,,"КВР")))</f>
        <v>Уплата прочих налогов, сборов и иных платежей</v>
      </c>
      <c r="B221" s="126">
        <v>801</v>
      </c>
      <c r="C221" s="8" t="s">
        <v>213</v>
      </c>
      <c r="D221" s="8" t="s">
        <v>217</v>
      </c>
      <c r="E221" s="126" t="s">
        <v>120</v>
      </c>
      <c r="F221" s="126">
        <v>852</v>
      </c>
      <c r="G221" s="69">
        <v>137.69999999999999</v>
      </c>
      <c r="H221" s="69"/>
      <c r="I221" s="69">
        <f t="shared" si="48"/>
        <v>137.69999999999999</v>
      </c>
      <c r="J221" s="69">
        <f>-66.7+22.3</f>
        <v>-44.400000000000006</v>
      </c>
      <c r="K221" s="84">
        <f t="shared" si="49"/>
        <v>93.299999999999983</v>
      </c>
      <c r="L221" s="13"/>
      <c r="M221" s="84">
        <f t="shared" si="45"/>
        <v>93.299999999999983</v>
      </c>
      <c r="N221" s="13"/>
      <c r="O221" s="84">
        <f t="shared" si="46"/>
        <v>93.299999999999983</v>
      </c>
      <c r="P221" s="13"/>
      <c r="Q221" s="84">
        <f t="shared" si="43"/>
        <v>93.299999999999983</v>
      </c>
      <c r="R221" s="13">
        <v>11.4</v>
      </c>
      <c r="S221" s="84">
        <f t="shared" si="44"/>
        <v>104.69999999999999</v>
      </c>
      <c r="T221" s="13">
        <v>11</v>
      </c>
      <c r="U221" s="84">
        <f t="shared" si="57"/>
        <v>115.69999999999999</v>
      </c>
    </row>
    <row r="222" spans="1:21" s="128" customFormat="1" ht="33">
      <c r="A222" s="61" t="str">
        <f ca="1">IF(ISERROR(MATCH(E222,Код_КЦСР,0)),"",INDIRECT(ADDRESS(MATCH(E222,Код_КЦСР,0)+1,2,,,"КЦСР")))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22" s="126">
        <v>801</v>
      </c>
      <c r="C222" s="8" t="s">
        <v>213</v>
      </c>
      <c r="D222" s="8" t="s">
        <v>217</v>
      </c>
      <c r="E222" s="126" t="s">
        <v>148</v>
      </c>
      <c r="F222" s="126"/>
      <c r="G222" s="69">
        <f>G223</f>
        <v>9414.2000000000007</v>
      </c>
      <c r="H222" s="69">
        <f>H223</f>
        <v>0</v>
      </c>
      <c r="I222" s="69">
        <f t="shared" si="48"/>
        <v>9414.2000000000007</v>
      </c>
      <c r="J222" s="69">
        <f>J223</f>
        <v>0</v>
      </c>
      <c r="K222" s="84">
        <f t="shared" si="49"/>
        <v>9414.2000000000007</v>
      </c>
      <c r="L222" s="13">
        <f>L223</f>
        <v>-17.5</v>
      </c>
      <c r="M222" s="84">
        <f t="shared" si="45"/>
        <v>9396.7000000000007</v>
      </c>
      <c r="N222" s="13">
        <f>N223</f>
        <v>0</v>
      </c>
      <c r="O222" s="84">
        <f t="shared" si="46"/>
        <v>9396.7000000000007</v>
      </c>
      <c r="P222" s="13">
        <f>P223</f>
        <v>0</v>
      </c>
      <c r="Q222" s="84">
        <f t="shared" si="43"/>
        <v>9396.7000000000007</v>
      </c>
      <c r="R222" s="13">
        <f>R223</f>
        <v>0</v>
      </c>
      <c r="S222" s="84">
        <f t="shared" si="44"/>
        <v>9396.7000000000007</v>
      </c>
      <c r="T222" s="13">
        <f>T223</f>
        <v>0</v>
      </c>
      <c r="U222" s="84">
        <f t="shared" si="57"/>
        <v>9396.7000000000007</v>
      </c>
    </row>
    <row r="223" spans="1:21" s="128" customFormat="1">
      <c r="A223" s="61" t="str">
        <f ca="1">IF(ISERROR(MATCH(E223,Код_КЦСР,0)),"",INDIRECT(ADDRESS(MATCH(E223,Код_КЦСР,0)+1,2,,,"КЦСР")))</f>
        <v>Профилактика преступлений и иных правонарушений в городе Череповце</v>
      </c>
      <c r="B223" s="126">
        <v>801</v>
      </c>
      <c r="C223" s="8" t="s">
        <v>213</v>
      </c>
      <c r="D223" s="8" t="s">
        <v>217</v>
      </c>
      <c r="E223" s="126" t="s">
        <v>150</v>
      </c>
      <c r="F223" s="126"/>
      <c r="G223" s="69">
        <f>G224</f>
        <v>9414.2000000000007</v>
      </c>
      <c r="H223" s="69">
        <f>H224</f>
        <v>0</v>
      </c>
      <c r="I223" s="69">
        <f t="shared" si="48"/>
        <v>9414.2000000000007</v>
      </c>
      <c r="J223" s="69">
        <f>J224</f>
        <v>0</v>
      </c>
      <c r="K223" s="84">
        <f t="shared" si="49"/>
        <v>9414.2000000000007</v>
      </c>
      <c r="L223" s="13">
        <f>L224</f>
        <v>-17.5</v>
      </c>
      <c r="M223" s="84">
        <f t="shared" si="45"/>
        <v>9396.7000000000007</v>
      </c>
      <c r="N223" s="13">
        <f>N224</f>
        <v>0</v>
      </c>
      <c r="O223" s="84">
        <f t="shared" si="46"/>
        <v>9396.7000000000007</v>
      </c>
      <c r="P223" s="13">
        <f>P224</f>
        <v>0</v>
      </c>
      <c r="Q223" s="84">
        <f t="shared" si="43"/>
        <v>9396.7000000000007</v>
      </c>
      <c r="R223" s="13">
        <f>R224</f>
        <v>0</v>
      </c>
      <c r="S223" s="84">
        <f t="shared" si="44"/>
        <v>9396.7000000000007</v>
      </c>
      <c r="T223" s="13">
        <f>T224</f>
        <v>0</v>
      </c>
      <c r="U223" s="84">
        <f t="shared" si="57"/>
        <v>9396.7000000000007</v>
      </c>
    </row>
    <row r="224" spans="1:21" s="128" customFormat="1">
      <c r="A224" s="61" t="str">
        <f ca="1">IF(ISERROR(MATCH(E224,Код_КЦСР,0)),"",INDIRECT(ADDRESS(MATCH(E224,Код_КЦСР,0)+1,2,,,"КЦСР")))</f>
        <v>Привлечение общественности к охране общественного порядка</v>
      </c>
      <c r="B224" s="126">
        <v>801</v>
      </c>
      <c r="C224" s="8" t="s">
        <v>213</v>
      </c>
      <c r="D224" s="8" t="s">
        <v>217</v>
      </c>
      <c r="E224" s="126" t="s">
        <v>152</v>
      </c>
      <c r="F224" s="126"/>
      <c r="G224" s="69">
        <f>G225+G227+G230</f>
        <v>9414.2000000000007</v>
      </c>
      <c r="H224" s="69">
        <f>H225+H227+H230</f>
        <v>0</v>
      </c>
      <c r="I224" s="69">
        <f t="shared" si="48"/>
        <v>9414.2000000000007</v>
      </c>
      <c r="J224" s="69">
        <f>J225+J227+J230</f>
        <v>0</v>
      </c>
      <c r="K224" s="84">
        <f t="shared" si="49"/>
        <v>9414.2000000000007</v>
      </c>
      <c r="L224" s="13">
        <f>L225+L227+L230</f>
        <v>-17.5</v>
      </c>
      <c r="M224" s="84">
        <f t="shared" si="45"/>
        <v>9396.7000000000007</v>
      </c>
      <c r="N224" s="13">
        <f>N225+N227+N230</f>
        <v>0</v>
      </c>
      <c r="O224" s="84">
        <f t="shared" si="46"/>
        <v>9396.7000000000007</v>
      </c>
      <c r="P224" s="13">
        <f>P225+P227+P230</f>
        <v>0</v>
      </c>
      <c r="Q224" s="84">
        <f t="shared" ref="Q224:Q295" si="58">O224+P224</f>
        <v>9396.7000000000007</v>
      </c>
      <c r="R224" s="13">
        <f>R225+R227+R230</f>
        <v>0</v>
      </c>
      <c r="S224" s="84">
        <f t="shared" ref="S224:S290" si="59">Q224+R224</f>
        <v>9396.7000000000007</v>
      </c>
      <c r="T224" s="13">
        <f>T225+T227+T230</f>
        <v>0</v>
      </c>
      <c r="U224" s="84">
        <f t="shared" si="57"/>
        <v>9396.7000000000007</v>
      </c>
    </row>
    <row r="225" spans="1:21" s="128" customFormat="1" ht="33">
      <c r="A225" s="61" t="str">
        <f t="shared" ref="A225:A231" ca="1" si="60">IF(ISERROR(MATCH(F225,Код_КВР,0)),"",INDIRECT(ADDRESS(MATCH(F225,Код_КВР,0)+1,2,,,"КВР")))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25" s="126">
        <v>801</v>
      </c>
      <c r="C225" s="8" t="s">
        <v>213</v>
      </c>
      <c r="D225" s="8" t="s">
        <v>217</v>
      </c>
      <c r="E225" s="126" t="s">
        <v>152</v>
      </c>
      <c r="F225" s="126">
        <v>100</v>
      </c>
      <c r="G225" s="69">
        <f>G226</f>
        <v>7465.6</v>
      </c>
      <c r="H225" s="69">
        <f>H226</f>
        <v>0</v>
      </c>
      <c r="I225" s="69">
        <f t="shared" si="48"/>
        <v>7465.6</v>
      </c>
      <c r="J225" s="69">
        <f>J226</f>
        <v>0</v>
      </c>
      <c r="K225" s="84">
        <f t="shared" si="49"/>
        <v>7465.6</v>
      </c>
      <c r="L225" s="13">
        <f>L226</f>
        <v>0</v>
      </c>
      <c r="M225" s="84">
        <f t="shared" si="45"/>
        <v>7465.6</v>
      </c>
      <c r="N225" s="13">
        <f>N226</f>
        <v>0</v>
      </c>
      <c r="O225" s="84">
        <f t="shared" si="46"/>
        <v>7465.6</v>
      </c>
      <c r="P225" s="13">
        <f>P226</f>
        <v>0</v>
      </c>
      <c r="Q225" s="84">
        <f t="shared" si="58"/>
        <v>7465.6</v>
      </c>
      <c r="R225" s="13">
        <f>R226</f>
        <v>-68.400000000000006</v>
      </c>
      <c r="S225" s="84">
        <f t="shared" si="59"/>
        <v>7397.2000000000007</v>
      </c>
      <c r="T225" s="13">
        <f>T226</f>
        <v>0</v>
      </c>
      <c r="U225" s="84">
        <f t="shared" si="57"/>
        <v>7397.2000000000007</v>
      </c>
    </row>
    <row r="226" spans="1:21" s="128" customFormat="1">
      <c r="A226" s="61" t="str">
        <f t="shared" ca="1" si="60"/>
        <v>Расходы на выплаты персоналу казенных учреждений</v>
      </c>
      <c r="B226" s="126">
        <v>801</v>
      </c>
      <c r="C226" s="8" t="s">
        <v>213</v>
      </c>
      <c r="D226" s="8" t="s">
        <v>217</v>
      </c>
      <c r="E226" s="126" t="s">
        <v>152</v>
      </c>
      <c r="F226" s="126">
        <v>110</v>
      </c>
      <c r="G226" s="69">
        <v>7465.6</v>
      </c>
      <c r="H226" s="69"/>
      <c r="I226" s="69">
        <f t="shared" si="48"/>
        <v>7465.6</v>
      </c>
      <c r="J226" s="69"/>
      <c r="K226" s="84">
        <f t="shared" si="49"/>
        <v>7465.6</v>
      </c>
      <c r="L226" s="13"/>
      <c r="M226" s="84">
        <f t="shared" si="45"/>
        <v>7465.6</v>
      </c>
      <c r="N226" s="13"/>
      <c r="O226" s="84">
        <f t="shared" si="46"/>
        <v>7465.6</v>
      </c>
      <c r="P226" s="13"/>
      <c r="Q226" s="84">
        <f t="shared" si="58"/>
        <v>7465.6</v>
      </c>
      <c r="R226" s="13">
        <v>-68.400000000000006</v>
      </c>
      <c r="S226" s="84">
        <f t="shared" si="59"/>
        <v>7397.2000000000007</v>
      </c>
      <c r="T226" s="13"/>
      <c r="U226" s="84">
        <f t="shared" si="57"/>
        <v>7397.2000000000007</v>
      </c>
    </row>
    <row r="227" spans="1:21" s="128" customFormat="1">
      <c r="A227" s="61" t="str">
        <f t="shared" ca="1" si="60"/>
        <v>Закупка товаров, работ и услуг для муниципальных нужд</v>
      </c>
      <c r="B227" s="126">
        <v>801</v>
      </c>
      <c r="C227" s="8" t="s">
        <v>213</v>
      </c>
      <c r="D227" s="8" t="s">
        <v>217</v>
      </c>
      <c r="E227" s="126" t="s">
        <v>152</v>
      </c>
      <c r="F227" s="126">
        <v>200</v>
      </c>
      <c r="G227" s="69">
        <f>G228</f>
        <v>1688.6</v>
      </c>
      <c r="H227" s="69">
        <f>H228</f>
        <v>0</v>
      </c>
      <c r="I227" s="69">
        <f t="shared" si="48"/>
        <v>1688.6</v>
      </c>
      <c r="J227" s="69">
        <f>J228</f>
        <v>0</v>
      </c>
      <c r="K227" s="84">
        <f t="shared" si="49"/>
        <v>1688.6</v>
      </c>
      <c r="L227" s="13">
        <f>L228</f>
        <v>-17.5</v>
      </c>
      <c r="M227" s="84">
        <f t="shared" si="45"/>
        <v>1671.1</v>
      </c>
      <c r="N227" s="13">
        <f>N228</f>
        <v>0</v>
      </c>
      <c r="O227" s="84">
        <f t="shared" si="46"/>
        <v>1671.1</v>
      </c>
      <c r="P227" s="13">
        <f>P228</f>
        <v>0</v>
      </c>
      <c r="Q227" s="84">
        <f t="shared" si="58"/>
        <v>1671.1</v>
      </c>
      <c r="R227" s="13">
        <f>R228</f>
        <v>68.400000000000006</v>
      </c>
      <c r="S227" s="84">
        <f t="shared" si="59"/>
        <v>1739.5</v>
      </c>
      <c r="T227" s="13">
        <f>T228</f>
        <v>0</v>
      </c>
      <c r="U227" s="84">
        <f t="shared" si="57"/>
        <v>1739.5</v>
      </c>
    </row>
    <row r="228" spans="1:21" s="128" customFormat="1" ht="33">
      <c r="A228" s="61" t="str">
        <f t="shared" ca="1" si="60"/>
        <v>Иные закупки товаров, работ и услуг для обеспечения муниципальных нужд</v>
      </c>
      <c r="B228" s="126">
        <v>801</v>
      </c>
      <c r="C228" s="8" t="s">
        <v>213</v>
      </c>
      <c r="D228" s="8" t="s">
        <v>217</v>
      </c>
      <c r="E228" s="126" t="s">
        <v>152</v>
      </c>
      <c r="F228" s="126">
        <v>240</v>
      </c>
      <c r="G228" s="69">
        <f>G229</f>
        <v>1688.6</v>
      </c>
      <c r="H228" s="69">
        <f>H229</f>
        <v>0</v>
      </c>
      <c r="I228" s="69">
        <f t="shared" si="48"/>
        <v>1688.6</v>
      </c>
      <c r="J228" s="69">
        <f>J229</f>
        <v>0</v>
      </c>
      <c r="K228" s="84">
        <f t="shared" si="49"/>
        <v>1688.6</v>
      </c>
      <c r="L228" s="13">
        <f>L229</f>
        <v>-17.5</v>
      </c>
      <c r="M228" s="84">
        <f t="shared" si="45"/>
        <v>1671.1</v>
      </c>
      <c r="N228" s="13">
        <f>N229</f>
        <v>0</v>
      </c>
      <c r="O228" s="84">
        <f t="shared" si="46"/>
        <v>1671.1</v>
      </c>
      <c r="P228" s="13">
        <f>P229</f>
        <v>0</v>
      </c>
      <c r="Q228" s="84">
        <f t="shared" si="58"/>
        <v>1671.1</v>
      </c>
      <c r="R228" s="13">
        <f>R229</f>
        <v>68.400000000000006</v>
      </c>
      <c r="S228" s="84">
        <f t="shared" si="59"/>
        <v>1739.5</v>
      </c>
      <c r="T228" s="13">
        <f>T229</f>
        <v>0</v>
      </c>
      <c r="U228" s="84">
        <f t="shared" si="57"/>
        <v>1739.5</v>
      </c>
    </row>
    <row r="229" spans="1:21" s="128" customFormat="1" ht="33">
      <c r="A229" s="61" t="str">
        <f t="shared" ca="1" si="60"/>
        <v xml:space="preserve">Прочая закупка товаров, работ и услуг для обеспечения муниципальных нужд         </v>
      </c>
      <c r="B229" s="126">
        <v>801</v>
      </c>
      <c r="C229" s="8" t="s">
        <v>213</v>
      </c>
      <c r="D229" s="8" t="s">
        <v>217</v>
      </c>
      <c r="E229" s="126" t="s">
        <v>152</v>
      </c>
      <c r="F229" s="126">
        <v>244</v>
      </c>
      <c r="G229" s="69">
        <v>1688.6</v>
      </c>
      <c r="H229" s="69"/>
      <c r="I229" s="69">
        <f t="shared" si="48"/>
        <v>1688.6</v>
      </c>
      <c r="J229" s="69"/>
      <c r="K229" s="84">
        <f t="shared" si="49"/>
        <v>1688.6</v>
      </c>
      <c r="L229" s="13">
        <v>-17.5</v>
      </c>
      <c r="M229" s="84">
        <f t="shared" si="45"/>
        <v>1671.1</v>
      </c>
      <c r="N229" s="13"/>
      <c r="O229" s="84">
        <f t="shared" si="46"/>
        <v>1671.1</v>
      </c>
      <c r="P229" s="13"/>
      <c r="Q229" s="84">
        <f t="shared" si="58"/>
        <v>1671.1</v>
      </c>
      <c r="R229" s="13">
        <f>43.8+24.6</f>
        <v>68.400000000000006</v>
      </c>
      <c r="S229" s="84">
        <f t="shared" si="59"/>
        <v>1739.5</v>
      </c>
      <c r="T229" s="13"/>
      <c r="U229" s="84">
        <f t="shared" si="57"/>
        <v>1739.5</v>
      </c>
    </row>
    <row r="230" spans="1:21" s="128" customFormat="1">
      <c r="A230" s="61" t="str">
        <f t="shared" ca="1" si="60"/>
        <v>Иные бюджетные ассигнования</v>
      </c>
      <c r="B230" s="126">
        <v>801</v>
      </c>
      <c r="C230" s="8" t="s">
        <v>213</v>
      </c>
      <c r="D230" s="8" t="s">
        <v>217</v>
      </c>
      <c r="E230" s="126" t="s">
        <v>152</v>
      </c>
      <c r="F230" s="126">
        <v>800</v>
      </c>
      <c r="G230" s="69">
        <f>G231</f>
        <v>260</v>
      </c>
      <c r="H230" s="69">
        <f>H231</f>
        <v>0</v>
      </c>
      <c r="I230" s="69">
        <f t="shared" si="48"/>
        <v>260</v>
      </c>
      <c r="J230" s="69">
        <f>J231</f>
        <v>0</v>
      </c>
      <c r="K230" s="84">
        <f t="shared" si="49"/>
        <v>260</v>
      </c>
      <c r="L230" s="13">
        <f>L231</f>
        <v>0</v>
      </c>
      <c r="M230" s="84">
        <f t="shared" ref="M230:M301" si="61">K230+L230</f>
        <v>260</v>
      </c>
      <c r="N230" s="13">
        <f>N231</f>
        <v>0</v>
      </c>
      <c r="O230" s="84">
        <f t="shared" ref="O230:O301" si="62">M230+N230</f>
        <v>260</v>
      </c>
      <c r="P230" s="13">
        <f>P231</f>
        <v>0</v>
      </c>
      <c r="Q230" s="84">
        <f t="shared" si="58"/>
        <v>260</v>
      </c>
      <c r="R230" s="13">
        <f>R231</f>
        <v>0</v>
      </c>
      <c r="S230" s="84">
        <f t="shared" si="59"/>
        <v>260</v>
      </c>
      <c r="T230" s="13">
        <f>T231</f>
        <v>0</v>
      </c>
      <c r="U230" s="84">
        <f t="shared" si="57"/>
        <v>260</v>
      </c>
    </row>
    <row r="231" spans="1:21" s="128" customFormat="1">
      <c r="A231" s="61" t="str">
        <f t="shared" ca="1" si="60"/>
        <v>Уплата налогов, сборов и иных платежей</v>
      </c>
      <c r="B231" s="126">
        <v>801</v>
      </c>
      <c r="C231" s="8" t="s">
        <v>213</v>
      </c>
      <c r="D231" s="8" t="s">
        <v>217</v>
      </c>
      <c r="E231" s="126" t="s">
        <v>152</v>
      </c>
      <c r="F231" s="126">
        <v>850</v>
      </c>
      <c r="G231" s="69">
        <f>G232</f>
        <v>260</v>
      </c>
      <c r="H231" s="69">
        <f>H232</f>
        <v>0</v>
      </c>
      <c r="I231" s="69">
        <f t="shared" si="48"/>
        <v>260</v>
      </c>
      <c r="J231" s="69">
        <f>J232</f>
        <v>0</v>
      </c>
      <c r="K231" s="84">
        <f t="shared" si="49"/>
        <v>260</v>
      </c>
      <c r="L231" s="13">
        <f>L232</f>
        <v>0</v>
      </c>
      <c r="M231" s="84">
        <f t="shared" si="61"/>
        <v>260</v>
      </c>
      <c r="N231" s="13">
        <f>N232</f>
        <v>0</v>
      </c>
      <c r="O231" s="84">
        <f t="shared" si="62"/>
        <v>260</v>
      </c>
      <c r="P231" s="13">
        <f>P232</f>
        <v>0</v>
      </c>
      <c r="Q231" s="84">
        <f t="shared" si="58"/>
        <v>260</v>
      </c>
      <c r="R231" s="13">
        <f>R232</f>
        <v>0</v>
      </c>
      <c r="S231" s="84">
        <f t="shared" si="59"/>
        <v>260</v>
      </c>
      <c r="T231" s="13">
        <f>T232</f>
        <v>0</v>
      </c>
      <c r="U231" s="84">
        <f t="shared" si="57"/>
        <v>260</v>
      </c>
    </row>
    <row r="232" spans="1:21" s="128" customFormat="1">
      <c r="A232" s="61" t="str">
        <f ca="1">IF(ISERROR(MATCH(F232,Код_КВР,0)),"",INDIRECT(ADDRESS(MATCH(F232,Код_КВР,0)+1,2,,,"КВР")))</f>
        <v>Уплата налога на имущество организаций и земельного налога</v>
      </c>
      <c r="B232" s="126">
        <v>801</v>
      </c>
      <c r="C232" s="8" t="s">
        <v>213</v>
      </c>
      <c r="D232" s="8" t="s">
        <v>217</v>
      </c>
      <c r="E232" s="126" t="s">
        <v>152</v>
      </c>
      <c r="F232" s="126">
        <v>851</v>
      </c>
      <c r="G232" s="69">
        <v>260</v>
      </c>
      <c r="H232" s="69"/>
      <c r="I232" s="69">
        <f t="shared" si="48"/>
        <v>260</v>
      </c>
      <c r="J232" s="69"/>
      <c r="K232" s="84">
        <f t="shared" si="49"/>
        <v>260</v>
      </c>
      <c r="L232" s="13"/>
      <c r="M232" s="84">
        <f t="shared" si="61"/>
        <v>260</v>
      </c>
      <c r="N232" s="13"/>
      <c r="O232" s="84">
        <f t="shared" si="62"/>
        <v>260</v>
      </c>
      <c r="P232" s="13"/>
      <c r="Q232" s="84">
        <f t="shared" si="58"/>
        <v>260</v>
      </c>
      <c r="R232" s="13"/>
      <c r="S232" s="84">
        <f t="shared" si="59"/>
        <v>260</v>
      </c>
      <c r="T232" s="13"/>
      <c r="U232" s="84">
        <f t="shared" si="57"/>
        <v>260</v>
      </c>
    </row>
    <row r="233" spans="1:21" s="128" customFormat="1">
      <c r="A233" s="61" t="str">
        <f ca="1">IF(ISERROR(MATCH(C233,Код_Раздел,0)),"",INDIRECT(ADDRESS(MATCH(C233,Код_Раздел,0)+1,2,,,"Раздел")))</f>
        <v>Национальная экономика</v>
      </c>
      <c r="B233" s="126">
        <v>801</v>
      </c>
      <c r="C233" s="8" t="s">
        <v>214</v>
      </c>
      <c r="D233" s="8"/>
      <c r="E233" s="126"/>
      <c r="F233" s="126"/>
      <c r="G233" s="69">
        <f>G234+G245+G277</f>
        <v>70063.100000000006</v>
      </c>
      <c r="H233" s="69">
        <f>H234+H245+H277</f>
        <v>0</v>
      </c>
      <c r="I233" s="69">
        <f t="shared" si="48"/>
        <v>70063.100000000006</v>
      </c>
      <c r="J233" s="69">
        <f>J234+J245+J277</f>
        <v>1675.6999999999998</v>
      </c>
      <c r="K233" s="84">
        <f t="shared" si="49"/>
        <v>71738.8</v>
      </c>
      <c r="L233" s="13">
        <f>L234+L245+L277</f>
        <v>-642.5</v>
      </c>
      <c r="M233" s="84">
        <f t="shared" si="61"/>
        <v>71096.3</v>
      </c>
      <c r="N233" s="13">
        <f>N234+N245+N277</f>
        <v>319.60000000000002</v>
      </c>
      <c r="O233" s="84">
        <f t="shared" si="62"/>
        <v>71415.900000000009</v>
      </c>
      <c r="P233" s="13">
        <f>P234+P245+P277+P240</f>
        <v>12800</v>
      </c>
      <c r="Q233" s="84">
        <f t="shared" si="58"/>
        <v>84215.900000000009</v>
      </c>
      <c r="R233" s="13">
        <f>R234+R245+R277+R240</f>
        <v>-3161.8</v>
      </c>
      <c r="S233" s="84">
        <f t="shared" si="59"/>
        <v>81054.100000000006</v>
      </c>
      <c r="T233" s="13">
        <f>T234+T245+T277+T240</f>
        <v>0</v>
      </c>
      <c r="U233" s="84">
        <f t="shared" si="57"/>
        <v>81054.100000000006</v>
      </c>
    </row>
    <row r="234" spans="1:21" s="128" customFormat="1">
      <c r="A234" s="75" t="s">
        <v>201</v>
      </c>
      <c r="B234" s="126">
        <v>801</v>
      </c>
      <c r="C234" s="8" t="s">
        <v>214</v>
      </c>
      <c r="D234" s="8" t="s">
        <v>211</v>
      </c>
      <c r="E234" s="126"/>
      <c r="F234" s="126"/>
      <c r="G234" s="69">
        <f t="shared" ref="G234:T238" si="63">G235</f>
        <v>1338.9</v>
      </c>
      <c r="H234" s="69">
        <f t="shared" si="63"/>
        <v>0</v>
      </c>
      <c r="I234" s="69">
        <f t="shared" si="48"/>
        <v>1338.9</v>
      </c>
      <c r="J234" s="69">
        <f t="shared" si="63"/>
        <v>0</v>
      </c>
      <c r="K234" s="84">
        <f t="shared" si="49"/>
        <v>1338.9</v>
      </c>
      <c r="L234" s="13">
        <f t="shared" si="63"/>
        <v>0</v>
      </c>
      <c r="M234" s="84">
        <f t="shared" si="61"/>
        <v>1338.9</v>
      </c>
      <c r="N234" s="13">
        <f t="shared" si="63"/>
        <v>0</v>
      </c>
      <c r="O234" s="84">
        <f t="shared" si="62"/>
        <v>1338.9</v>
      </c>
      <c r="P234" s="13">
        <f t="shared" si="63"/>
        <v>0</v>
      </c>
      <c r="Q234" s="84">
        <f t="shared" si="58"/>
        <v>1338.9</v>
      </c>
      <c r="R234" s="13">
        <f t="shared" si="63"/>
        <v>-17.399999999999999</v>
      </c>
      <c r="S234" s="84">
        <f t="shared" si="59"/>
        <v>1321.5</v>
      </c>
      <c r="T234" s="13">
        <f t="shared" si="63"/>
        <v>0</v>
      </c>
      <c r="U234" s="84">
        <f t="shared" si="57"/>
        <v>1321.5</v>
      </c>
    </row>
    <row r="235" spans="1:21" s="128" customFormat="1" ht="33">
      <c r="A235" s="61" t="str">
        <f ca="1">IF(ISERROR(MATCH(E235,Код_КЦСР,0)),"",INDIRECT(ADDRESS(MATCH(E235,Код_КЦСР,0)+1,2,,,"КЦСР")))</f>
        <v>Муниципальная программа «Развитие молодежной политики» на 2013-2018 годы</v>
      </c>
      <c r="B235" s="126">
        <v>801</v>
      </c>
      <c r="C235" s="8" t="s">
        <v>214</v>
      </c>
      <c r="D235" s="8" t="s">
        <v>211</v>
      </c>
      <c r="E235" s="126" t="s">
        <v>560</v>
      </c>
      <c r="F235" s="126"/>
      <c r="G235" s="69">
        <f t="shared" si="63"/>
        <v>1338.9</v>
      </c>
      <c r="H235" s="69">
        <f t="shared" si="63"/>
        <v>0</v>
      </c>
      <c r="I235" s="69">
        <f t="shared" si="48"/>
        <v>1338.9</v>
      </c>
      <c r="J235" s="69">
        <f t="shared" si="63"/>
        <v>0</v>
      </c>
      <c r="K235" s="84">
        <f t="shared" si="49"/>
        <v>1338.9</v>
      </c>
      <c r="L235" s="13">
        <f t="shared" si="63"/>
        <v>0</v>
      </c>
      <c r="M235" s="84">
        <f t="shared" si="61"/>
        <v>1338.9</v>
      </c>
      <c r="N235" s="13">
        <f t="shared" si="63"/>
        <v>0</v>
      </c>
      <c r="O235" s="84">
        <f t="shared" si="62"/>
        <v>1338.9</v>
      </c>
      <c r="P235" s="13">
        <f t="shared" si="63"/>
        <v>0</v>
      </c>
      <c r="Q235" s="84">
        <f t="shared" si="58"/>
        <v>1338.9</v>
      </c>
      <c r="R235" s="13">
        <f t="shared" si="63"/>
        <v>-17.399999999999999</v>
      </c>
      <c r="S235" s="84">
        <f t="shared" si="59"/>
        <v>1321.5</v>
      </c>
      <c r="T235" s="13">
        <f t="shared" si="63"/>
        <v>0</v>
      </c>
      <c r="U235" s="84">
        <f t="shared" si="57"/>
        <v>1321.5</v>
      </c>
    </row>
    <row r="236" spans="1:21" s="128" customFormat="1" ht="33">
      <c r="A236" s="61" t="str">
        <f ca="1">IF(ISERROR(MATCH(E236,Код_КЦСР,0)),"",INDIRECT(ADDRESS(MATCH(E236,Код_КЦСР,0)+1,2,,,"КЦСР")))</f>
        <v>Организация временного трудоустройства несовершеннолетних в возрасте от 14 до 18 лет</v>
      </c>
      <c r="B236" s="126">
        <v>801</v>
      </c>
      <c r="C236" s="8" t="s">
        <v>214</v>
      </c>
      <c r="D236" s="8" t="s">
        <v>211</v>
      </c>
      <c r="E236" s="126" t="s">
        <v>562</v>
      </c>
      <c r="F236" s="126"/>
      <c r="G236" s="69">
        <f t="shared" si="63"/>
        <v>1338.9</v>
      </c>
      <c r="H236" s="69">
        <f t="shared" si="63"/>
        <v>0</v>
      </c>
      <c r="I236" s="69">
        <f t="shared" si="48"/>
        <v>1338.9</v>
      </c>
      <c r="J236" s="69">
        <f t="shared" si="63"/>
        <v>0</v>
      </c>
      <c r="K236" s="84">
        <f t="shared" si="49"/>
        <v>1338.9</v>
      </c>
      <c r="L236" s="13">
        <f t="shared" si="63"/>
        <v>0</v>
      </c>
      <c r="M236" s="84">
        <f t="shared" si="61"/>
        <v>1338.9</v>
      </c>
      <c r="N236" s="13">
        <f t="shared" si="63"/>
        <v>0</v>
      </c>
      <c r="O236" s="84">
        <f t="shared" si="62"/>
        <v>1338.9</v>
      </c>
      <c r="P236" s="13">
        <f t="shared" si="63"/>
        <v>0</v>
      </c>
      <c r="Q236" s="84">
        <f t="shared" si="58"/>
        <v>1338.9</v>
      </c>
      <c r="R236" s="13">
        <f t="shared" si="63"/>
        <v>-17.399999999999999</v>
      </c>
      <c r="S236" s="84">
        <f t="shared" si="59"/>
        <v>1321.5</v>
      </c>
      <c r="T236" s="13">
        <f t="shared" si="63"/>
        <v>0</v>
      </c>
      <c r="U236" s="84">
        <f t="shared" si="57"/>
        <v>1321.5</v>
      </c>
    </row>
    <row r="237" spans="1:21" s="128" customFormat="1" ht="33">
      <c r="A237" s="61" t="str">
        <f ca="1">IF(ISERROR(MATCH(F237,Код_КВР,0)),"",INDIRECT(ADDRESS(MATCH(F237,Код_КВР,0)+1,2,,,"КВР")))</f>
        <v>Предоставление субсидий бюджетным, автономным учреждениям и иным некоммерческим организациям</v>
      </c>
      <c r="B237" s="126">
        <v>801</v>
      </c>
      <c r="C237" s="8" t="s">
        <v>214</v>
      </c>
      <c r="D237" s="8" t="s">
        <v>211</v>
      </c>
      <c r="E237" s="126" t="s">
        <v>562</v>
      </c>
      <c r="F237" s="126">
        <v>600</v>
      </c>
      <c r="G237" s="69">
        <f t="shared" si="63"/>
        <v>1338.9</v>
      </c>
      <c r="H237" s="69">
        <f t="shared" si="63"/>
        <v>0</v>
      </c>
      <c r="I237" s="69">
        <f t="shared" si="48"/>
        <v>1338.9</v>
      </c>
      <c r="J237" s="69">
        <f t="shared" si="63"/>
        <v>0</v>
      </c>
      <c r="K237" s="84">
        <f t="shared" si="49"/>
        <v>1338.9</v>
      </c>
      <c r="L237" s="13">
        <f t="shared" si="63"/>
        <v>0</v>
      </c>
      <c r="M237" s="84">
        <f t="shared" si="61"/>
        <v>1338.9</v>
      </c>
      <c r="N237" s="13">
        <f t="shared" si="63"/>
        <v>0</v>
      </c>
      <c r="O237" s="84">
        <f t="shared" si="62"/>
        <v>1338.9</v>
      </c>
      <c r="P237" s="13">
        <f t="shared" si="63"/>
        <v>0</v>
      </c>
      <c r="Q237" s="84">
        <f t="shared" si="58"/>
        <v>1338.9</v>
      </c>
      <c r="R237" s="13">
        <f t="shared" si="63"/>
        <v>-17.399999999999999</v>
      </c>
      <c r="S237" s="84">
        <f t="shared" si="59"/>
        <v>1321.5</v>
      </c>
      <c r="T237" s="13">
        <f t="shared" si="63"/>
        <v>0</v>
      </c>
      <c r="U237" s="84">
        <f t="shared" si="57"/>
        <v>1321.5</v>
      </c>
    </row>
    <row r="238" spans="1:21" s="128" customFormat="1">
      <c r="A238" s="61" t="str">
        <f ca="1">IF(ISERROR(MATCH(F238,Код_КВР,0)),"",INDIRECT(ADDRESS(MATCH(F238,Код_КВР,0)+1,2,,,"КВР")))</f>
        <v>Субсидии бюджетным учреждениям</v>
      </c>
      <c r="B238" s="126">
        <v>801</v>
      </c>
      <c r="C238" s="8" t="s">
        <v>214</v>
      </c>
      <c r="D238" s="8" t="s">
        <v>211</v>
      </c>
      <c r="E238" s="126" t="s">
        <v>562</v>
      </c>
      <c r="F238" s="126">
        <v>610</v>
      </c>
      <c r="G238" s="69">
        <f t="shared" si="63"/>
        <v>1338.9</v>
      </c>
      <c r="H238" s="69">
        <f t="shared" si="63"/>
        <v>0</v>
      </c>
      <c r="I238" s="69">
        <f t="shared" si="48"/>
        <v>1338.9</v>
      </c>
      <c r="J238" s="69">
        <f t="shared" si="63"/>
        <v>0</v>
      </c>
      <c r="K238" s="84">
        <f t="shared" si="49"/>
        <v>1338.9</v>
      </c>
      <c r="L238" s="13">
        <f t="shared" si="63"/>
        <v>0</v>
      </c>
      <c r="M238" s="84">
        <f t="shared" si="61"/>
        <v>1338.9</v>
      </c>
      <c r="N238" s="13">
        <f t="shared" si="63"/>
        <v>0</v>
      </c>
      <c r="O238" s="84">
        <f t="shared" si="62"/>
        <v>1338.9</v>
      </c>
      <c r="P238" s="13">
        <f t="shared" si="63"/>
        <v>0</v>
      </c>
      <c r="Q238" s="84">
        <f t="shared" si="58"/>
        <v>1338.9</v>
      </c>
      <c r="R238" s="13">
        <f t="shared" si="63"/>
        <v>-17.399999999999999</v>
      </c>
      <c r="S238" s="84">
        <f t="shared" si="59"/>
        <v>1321.5</v>
      </c>
      <c r="T238" s="13">
        <f t="shared" si="63"/>
        <v>0</v>
      </c>
      <c r="U238" s="84">
        <f t="shared" si="57"/>
        <v>1321.5</v>
      </c>
    </row>
    <row r="239" spans="1:21" s="128" customFormat="1" ht="49.5">
      <c r="A239" s="61" t="str">
        <f ca="1">IF(ISERROR(MATCH(F239,Код_КВР,0)),"",INDIRECT(ADDRESS(MATCH(F239,Код_КВР,0)+1,2,,,"КВР")))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9" s="126">
        <v>801</v>
      </c>
      <c r="C239" s="8" t="s">
        <v>214</v>
      </c>
      <c r="D239" s="8" t="s">
        <v>211</v>
      </c>
      <c r="E239" s="126" t="s">
        <v>562</v>
      </c>
      <c r="F239" s="126">
        <v>611</v>
      </c>
      <c r="G239" s="69">
        <v>1338.9</v>
      </c>
      <c r="H239" s="69"/>
      <c r="I239" s="69">
        <f t="shared" si="48"/>
        <v>1338.9</v>
      </c>
      <c r="J239" s="69"/>
      <c r="K239" s="84">
        <f t="shared" si="49"/>
        <v>1338.9</v>
      </c>
      <c r="L239" s="13"/>
      <c r="M239" s="84">
        <f t="shared" si="61"/>
        <v>1338.9</v>
      </c>
      <c r="N239" s="13"/>
      <c r="O239" s="84">
        <f t="shared" si="62"/>
        <v>1338.9</v>
      </c>
      <c r="P239" s="13"/>
      <c r="Q239" s="84">
        <f t="shared" si="58"/>
        <v>1338.9</v>
      </c>
      <c r="R239" s="13">
        <v>-17.399999999999999</v>
      </c>
      <c r="S239" s="84">
        <f t="shared" si="59"/>
        <v>1321.5</v>
      </c>
      <c r="T239" s="13"/>
      <c r="U239" s="84">
        <f t="shared" si="57"/>
        <v>1321.5</v>
      </c>
    </row>
    <row r="240" spans="1:21" s="128" customFormat="1">
      <c r="A240" s="76" t="s">
        <v>357</v>
      </c>
      <c r="B240" s="126">
        <v>801</v>
      </c>
      <c r="C240" s="8" t="s">
        <v>214</v>
      </c>
      <c r="D240" s="8" t="s">
        <v>220</v>
      </c>
      <c r="E240" s="126"/>
      <c r="F240" s="126"/>
      <c r="G240" s="69"/>
      <c r="H240" s="69"/>
      <c r="I240" s="69"/>
      <c r="J240" s="69"/>
      <c r="K240" s="84"/>
      <c r="L240" s="13"/>
      <c r="M240" s="84"/>
      <c r="N240" s="13"/>
      <c r="O240" s="84"/>
      <c r="P240" s="13">
        <f>P241</f>
        <v>12800</v>
      </c>
      <c r="Q240" s="84">
        <f t="shared" si="58"/>
        <v>12800</v>
      </c>
      <c r="R240" s="13">
        <f>R241</f>
        <v>0</v>
      </c>
      <c r="S240" s="84">
        <f t="shared" si="59"/>
        <v>12800</v>
      </c>
      <c r="T240" s="13">
        <f>T241</f>
        <v>0</v>
      </c>
      <c r="U240" s="84">
        <f t="shared" si="57"/>
        <v>12800</v>
      </c>
    </row>
    <row r="241" spans="1:21" s="128" customFormat="1" ht="33">
      <c r="A241" s="61" t="str">
        <f ca="1">IF(ISERROR(MATCH(E241,Код_КЦСР,0)),"",INDIRECT(ADDRESS(MATCH(E241,Код_КЦСР,0)+1,2,,,"КЦСР")))</f>
        <v>Муниципальная программа «Развитие городского общественного транспорта» на 2014-2017 годы</v>
      </c>
      <c r="B241" s="126">
        <v>801</v>
      </c>
      <c r="C241" s="8" t="s">
        <v>214</v>
      </c>
      <c r="D241" s="8" t="s">
        <v>220</v>
      </c>
      <c r="E241" s="126" t="s">
        <v>38</v>
      </c>
      <c r="F241" s="126"/>
      <c r="G241" s="69"/>
      <c r="H241" s="69"/>
      <c r="I241" s="69"/>
      <c r="J241" s="69"/>
      <c r="K241" s="84"/>
      <c r="L241" s="13"/>
      <c r="M241" s="84"/>
      <c r="N241" s="13"/>
      <c r="O241" s="84"/>
      <c r="P241" s="13">
        <f>P242</f>
        <v>12800</v>
      </c>
      <c r="Q241" s="84">
        <f t="shared" si="58"/>
        <v>12800</v>
      </c>
      <c r="R241" s="13">
        <f>R242</f>
        <v>0</v>
      </c>
      <c r="S241" s="84">
        <f t="shared" si="59"/>
        <v>12800</v>
      </c>
      <c r="T241" s="13">
        <f>T242</f>
        <v>0</v>
      </c>
      <c r="U241" s="84">
        <f t="shared" si="57"/>
        <v>12800</v>
      </c>
    </row>
    <row r="242" spans="1:21" s="128" customFormat="1" ht="42.75" customHeight="1">
      <c r="A242" s="61" t="str">
        <f ca="1">IF(ISERROR(MATCH(E242,Код_КЦСР,0)),"",INDIRECT(ADDRESS(MATCH(E242,Код_КЦСР,0)+1,2,,,"КЦСР")))</f>
        <v>Обеспечение равной доступности услуг общественного транспорта по перевозке пассажиров по социально-значимым маршрутам</v>
      </c>
      <c r="B242" s="126">
        <v>801</v>
      </c>
      <c r="C242" s="8" t="s">
        <v>214</v>
      </c>
      <c r="D242" s="8" t="s">
        <v>220</v>
      </c>
      <c r="E242" s="126" t="s">
        <v>632</v>
      </c>
      <c r="F242" s="124"/>
      <c r="G242" s="69"/>
      <c r="H242" s="69"/>
      <c r="I242" s="69"/>
      <c r="J242" s="69"/>
      <c r="K242" s="84"/>
      <c r="L242" s="13"/>
      <c r="M242" s="84"/>
      <c r="N242" s="13"/>
      <c r="O242" s="84"/>
      <c r="P242" s="13">
        <f>P243</f>
        <v>12800</v>
      </c>
      <c r="Q242" s="84">
        <f t="shared" si="58"/>
        <v>12800</v>
      </c>
      <c r="R242" s="13">
        <f>R243</f>
        <v>0</v>
      </c>
      <c r="S242" s="84">
        <f t="shared" si="59"/>
        <v>12800</v>
      </c>
      <c r="T242" s="13">
        <f>T243</f>
        <v>0</v>
      </c>
      <c r="U242" s="84">
        <f t="shared" si="57"/>
        <v>12800</v>
      </c>
    </row>
    <row r="243" spans="1:21" s="128" customFormat="1">
      <c r="A243" s="61" t="str">
        <f ca="1">IF(ISERROR(MATCH(F243,Код_КВР,0)),"",INDIRECT(ADDRESS(MATCH(F243,Код_КВР,0)+1,2,,,"КВР")))</f>
        <v>Иные бюджетные ассигнования</v>
      </c>
      <c r="B243" s="126">
        <v>801</v>
      </c>
      <c r="C243" s="8" t="s">
        <v>214</v>
      </c>
      <c r="D243" s="8" t="s">
        <v>220</v>
      </c>
      <c r="E243" s="126" t="s">
        <v>632</v>
      </c>
      <c r="F243" s="126">
        <v>800</v>
      </c>
      <c r="G243" s="69"/>
      <c r="H243" s="69"/>
      <c r="I243" s="69"/>
      <c r="J243" s="69"/>
      <c r="K243" s="84"/>
      <c r="L243" s="13"/>
      <c r="M243" s="84"/>
      <c r="N243" s="13"/>
      <c r="O243" s="84"/>
      <c r="P243" s="13">
        <f>P244</f>
        <v>12800</v>
      </c>
      <c r="Q243" s="84">
        <f t="shared" si="58"/>
        <v>12800</v>
      </c>
      <c r="R243" s="13">
        <f>R244</f>
        <v>0</v>
      </c>
      <c r="S243" s="84">
        <f t="shared" si="59"/>
        <v>12800</v>
      </c>
      <c r="T243" s="13">
        <f>T244</f>
        <v>0</v>
      </c>
      <c r="U243" s="84">
        <f t="shared" si="57"/>
        <v>12800</v>
      </c>
    </row>
    <row r="244" spans="1:21" s="128" customFormat="1" ht="42.75" customHeight="1">
      <c r="A244" s="61" t="str">
        <f ca="1">IF(ISERROR(MATCH(F244,Код_КВР,0)),"",INDIRECT(ADDRESS(MATCH(F244,Код_КВР,0)+1,2,,,"КВР")))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44" s="126">
        <v>801</v>
      </c>
      <c r="C244" s="8" t="s">
        <v>214</v>
      </c>
      <c r="D244" s="8" t="s">
        <v>220</v>
      </c>
      <c r="E244" s="126" t="s">
        <v>632</v>
      </c>
      <c r="F244" s="126">
        <v>810</v>
      </c>
      <c r="G244" s="69"/>
      <c r="H244" s="69"/>
      <c r="I244" s="69"/>
      <c r="J244" s="69"/>
      <c r="K244" s="84"/>
      <c r="L244" s="13"/>
      <c r="M244" s="84"/>
      <c r="N244" s="13"/>
      <c r="O244" s="84"/>
      <c r="P244" s="13">
        <v>12800</v>
      </c>
      <c r="Q244" s="84">
        <f t="shared" si="58"/>
        <v>12800</v>
      </c>
      <c r="R244" s="13"/>
      <c r="S244" s="84">
        <f t="shared" si="59"/>
        <v>12800</v>
      </c>
      <c r="T244" s="13"/>
      <c r="U244" s="84">
        <f t="shared" si="57"/>
        <v>12800</v>
      </c>
    </row>
    <row r="245" spans="1:21" s="128" customFormat="1">
      <c r="A245" s="12" t="s">
        <v>228</v>
      </c>
      <c r="B245" s="126">
        <v>801</v>
      </c>
      <c r="C245" s="8" t="s">
        <v>214</v>
      </c>
      <c r="D245" s="8" t="s">
        <v>186</v>
      </c>
      <c r="E245" s="126"/>
      <c r="F245" s="126"/>
      <c r="G245" s="69">
        <f>G246+G256+G267</f>
        <v>53815.5</v>
      </c>
      <c r="H245" s="69">
        <f>H246+H256+H267</f>
        <v>0</v>
      </c>
      <c r="I245" s="69">
        <f t="shared" si="48"/>
        <v>53815.5</v>
      </c>
      <c r="J245" s="69">
        <f>J246+J256+J267</f>
        <v>1675.6999999999998</v>
      </c>
      <c r="K245" s="84">
        <f t="shared" si="49"/>
        <v>55491.199999999997</v>
      </c>
      <c r="L245" s="13">
        <f>L246+L256+L267</f>
        <v>-642.5</v>
      </c>
      <c r="M245" s="84">
        <f t="shared" si="61"/>
        <v>54848.7</v>
      </c>
      <c r="N245" s="13">
        <f>N246+N256+N267</f>
        <v>41.6</v>
      </c>
      <c r="O245" s="84">
        <f t="shared" si="62"/>
        <v>54890.299999999996</v>
      </c>
      <c r="P245" s="13">
        <f>P246+P256+P267</f>
        <v>0</v>
      </c>
      <c r="Q245" s="84">
        <f t="shared" si="58"/>
        <v>54890.299999999996</v>
      </c>
      <c r="R245" s="13">
        <f>R246+R256+R267</f>
        <v>-3457</v>
      </c>
      <c r="S245" s="84">
        <f t="shared" si="59"/>
        <v>51433.299999999996</v>
      </c>
      <c r="T245" s="13">
        <f>T246+T256+T267</f>
        <v>0</v>
      </c>
      <c r="U245" s="84">
        <f t="shared" si="57"/>
        <v>51433.299999999996</v>
      </c>
    </row>
    <row r="246" spans="1:21" s="128" customFormat="1" ht="33">
      <c r="A246" s="61" t="str">
        <f ca="1">IF(ISERROR(MATCH(E246,Код_КЦСР,0)),"",INDIRECT(ADDRESS(MATCH(E246,Код_КЦСР,0)+1,2,,,"КЦСР")))</f>
        <v>Муниципальная программа «iCity – Современные информационные технологии г. Череповца»  на 2014-2020 годы</v>
      </c>
      <c r="B246" s="126">
        <v>801</v>
      </c>
      <c r="C246" s="8" t="s">
        <v>214</v>
      </c>
      <c r="D246" s="8" t="s">
        <v>186</v>
      </c>
      <c r="E246" s="126" t="s">
        <v>578</v>
      </c>
      <c r="F246" s="126"/>
      <c r="G246" s="69">
        <f>G247+G251</f>
        <v>46345.3</v>
      </c>
      <c r="H246" s="69">
        <f>H247+H251</f>
        <v>0</v>
      </c>
      <c r="I246" s="69">
        <f t="shared" si="48"/>
        <v>46345.3</v>
      </c>
      <c r="J246" s="69">
        <f>J247+J251</f>
        <v>2175.6999999999998</v>
      </c>
      <c r="K246" s="84">
        <f t="shared" si="49"/>
        <v>48521</v>
      </c>
      <c r="L246" s="13">
        <f>L247+L251</f>
        <v>-642.5</v>
      </c>
      <c r="M246" s="84">
        <f t="shared" si="61"/>
        <v>47878.5</v>
      </c>
      <c r="N246" s="13">
        <f>N247+N251</f>
        <v>41.6</v>
      </c>
      <c r="O246" s="84">
        <f t="shared" si="62"/>
        <v>47920.1</v>
      </c>
      <c r="P246" s="13">
        <f>P247+P251</f>
        <v>1200</v>
      </c>
      <c r="Q246" s="84">
        <f t="shared" si="58"/>
        <v>49120.1</v>
      </c>
      <c r="R246" s="13">
        <f>R247+R251</f>
        <v>12.700000000000003</v>
      </c>
      <c r="S246" s="84">
        <f t="shared" si="59"/>
        <v>49132.799999999996</v>
      </c>
      <c r="T246" s="13">
        <f>T247+T251</f>
        <v>0</v>
      </c>
      <c r="U246" s="84">
        <f t="shared" si="57"/>
        <v>49132.799999999996</v>
      </c>
    </row>
    <row r="247" spans="1:21" s="128" customFormat="1" ht="49.5">
      <c r="A247" s="61" t="str">
        <f ca="1">IF(ISERROR(MATCH(E247,Код_КЦСР,0)),"",INDIRECT(ADDRESS(MATCH(E247,Код_КЦСР,0)+1,2,,,"КЦСР")))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47" s="126">
        <v>801</v>
      </c>
      <c r="C247" s="8" t="s">
        <v>214</v>
      </c>
      <c r="D247" s="8" t="s">
        <v>186</v>
      </c>
      <c r="E247" s="126" t="s">
        <v>580</v>
      </c>
      <c r="F247" s="126"/>
      <c r="G247" s="69">
        <f t="shared" ref="G247:T249" si="64">G248</f>
        <v>736</v>
      </c>
      <c r="H247" s="69">
        <f t="shared" si="64"/>
        <v>0</v>
      </c>
      <c r="I247" s="69">
        <f t="shared" si="48"/>
        <v>736</v>
      </c>
      <c r="J247" s="69">
        <f t="shared" si="64"/>
        <v>500</v>
      </c>
      <c r="K247" s="84">
        <f t="shared" si="49"/>
        <v>1236</v>
      </c>
      <c r="L247" s="13">
        <f t="shared" si="64"/>
        <v>0</v>
      </c>
      <c r="M247" s="84">
        <f t="shared" si="61"/>
        <v>1236</v>
      </c>
      <c r="N247" s="13">
        <f t="shared" si="64"/>
        <v>0</v>
      </c>
      <c r="O247" s="84">
        <f t="shared" si="62"/>
        <v>1236</v>
      </c>
      <c r="P247" s="13">
        <f t="shared" si="64"/>
        <v>0</v>
      </c>
      <c r="Q247" s="84">
        <f t="shared" si="58"/>
        <v>1236</v>
      </c>
      <c r="R247" s="13">
        <f t="shared" si="64"/>
        <v>137.9</v>
      </c>
      <c r="S247" s="84">
        <f t="shared" si="59"/>
        <v>1373.9</v>
      </c>
      <c r="T247" s="13">
        <f t="shared" si="64"/>
        <v>81.2</v>
      </c>
      <c r="U247" s="84">
        <f t="shared" si="57"/>
        <v>1455.1000000000001</v>
      </c>
    </row>
    <row r="248" spans="1:21" s="128" customFormat="1" ht="33">
      <c r="A248" s="61" t="str">
        <f ca="1">IF(ISERROR(MATCH(F248,Код_КВР,0)),"",INDIRECT(ADDRESS(MATCH(F248,Код_КВР,0)+1,2,,,"КВР")))</f>
        <v>Предоставление субсидий бюджетным, автономным учреждениям и иным некоммерческим организациям</v>
      </c>
      <c r="B248" s="126">
        <v>801</v>
      </c>
      <c r="C248" s="8" t="s">
        <v>214</v>
      </c>
      <c r="D248" s="8" t="s">
        <v>186</v>
      </c>
      <c r="E248" s="126" t="s">
        <v>580</v>
      </c>
      <c r="F248" s="126">
        <v>600</v>
      </c>
      <c r="G248" s="69">
        <f t="shared" si="64"/>
        <v>736</v>
      </c>
      <c r="H248" s="69">
        <f t="shared" si="64"/>
        <v>0</v>
      </c>
      <c r="I248" s="69">
        <f t="shared" si="48"/>
        <v>736</v>
      </c>
      <c r="J248" s="69">
        <f t="shared" si="64"/>
        <v>500</v>
      </c>
      <c r="K248" s="84">
        <f t="shared" si="49"/>
        <v>1236</v>
      </c>
      <c r="L248" s="13">
        <f t="shared" si="64"/>
        <v>0</v>
      </c>
      <c r="M248" s="84">
        <f t="shared" si="61"/>
        <v>1236</v>
      </c>
      <c r="N248" s="13">
        <f t="shared" si="64"/>
        <v>0</v>
      </c>
      <c r="O248" s="84">
        <f t="shared" si="62"/>
        <v>1236</v>
      </c>
      <c r="P248" s="13">
        <f t="shared" si="64"/>
        <v>0</v>
      </c>
      <c r="Q248" s="84">
        <f t="shared" si="58"/>
        <v>1236</v>
      </c>
      <c r="R248" s="13">
        <f t="shared" si="64"/>
        <v>137.9</v>
      </c>
      <c r="S248" s="84">
        <f t="shared" si="59"/>
        <v>1373.9</v>
      </c>
      <c r="T248" s="13">
        <f t="shared" si="64"/>
        <v>81.2</v>
      </c>
      <c r="U248" s="84">
        <f t="shared" si="57"/>
        <v>1455.1000000000001</v>
      </c>
    </row>
    <row r="249" spans="1:21" s="128" customFormat="1">
      <c r="A249" s="61" t="str">
        <f ca="1">IF(ISERROR(MATCH(F249,Код_КВР,0)),"",INDIRECT(ADDRESS(MATCH(F249,Код_КВР,0)+1,2,,,"КВР")))</f>
        <v>Субсидии бюджетным учреждениям</v>
      </c>
      <c r="B249" s="126">
        <v>801</v>
      </c>
      <c r="C249" s="8" t="s">
        <v>214</v>
      </c>
      <c r="D249" s="8" t="s">
        <v>186</v>
      </c>
      <c r="E249" s="126" t="s">
        <v>580</v>
      </c>
      <c r="F249" s="126">
        <v>610</v>
      </c>
      <c r="G249" s="69">
        <f t="shared" si="64"/>
        <v>736</v>
      </c>
      <c r="H249" s="69">
        <f t="shared" si="64"/>
        <v>0</v>
      </c>
      <c r="I249" s="69">
        <f t="shared" si="48"/>
        <v>736</v>
      </c>
      <c r="J249" s="69">
        <f t="shared" si="64"/>
        <v>500</v>
      </c>
      <c r="K249" s="84">
        <f t="shared" si="49"/>
        <v>1236</v>
      </c>
      <c r="L249" s="13">
        <f t="shared" si="64"/>
        <v>0</v>
      </c>
      <c r="M249" s="84">
        <f t="shared" si="61"/>
        <v>1236</v>
      </c>
      <c r="N249" s="13">
        <f t="shared" si="64"/>
        <v>0</v>
      </c>
      <c r="O249" s="84">
        <f t="shared" si="62"/>
        <v>1236</v>
      </c>
      <c r="P249" s="13">
        <f t="shared" si="64"/>
        <v>0</v>
      </c>
      <c r="Q249" s="84">
        <f t="shared" si="58"/>
        <v>1236</v>
      </c>
      <c r="R249" s="13">
        <f t="shared" si="64"/>
        <v>137.9</v>
      </c>
      <c r="S249" s="84">
        <f t="shared" si="59"/>
        <v>1373.9</v>
      </c>
      <c r="T249" s="13">
        <f t="shared" si="64"/>
        <v>81.2</v>
      </c>
      <c r="U249" s="84">
        <f t="shared" si="57"/>
        <v>1455.1000000000001</v>
      </c>
    </row>
    <row r="250" spans="1:21" s="128" customFormat="1">
      <c r="A250" s="61" t="str">
        <f ca="1">IF(ISERROR(MATCH(F250,Код_КВР,0)),"",INDIRECT(ADDRESS(MATCH(F250,Код_КВР,0)+1,2,,,"КВР")))</f>
        <v>Субсидии бюджетным учреждениям на иные цели</v>
      </c>
      <c r="B250" s="126">
        <v>801</v>
      </c>
      <c r="C250" s="8" t="s">
        <v>214</v>
      </c>
      <c r="D250" s="8" t="s">
        <v>186</v>
      </c>
      <c r="E250" s="126" t="s">
        <v>580</v>
      </c>
      <c r="F250" s="126">
        <v>612</v>
      </c>
      <c r="G250" s="69">
        <v>736</v>
      </c>
      <c r="H250" s="69"/>
      <c r="I250" s="69">
        <f t="shared" ref="I250:I316" si="65">G250+H250</f>
        <v>736</v>
      </c>
      <c r="J250" s="69">
        <v>500</v>
      </c>
      <c r="K250" s="84">
        <f t="shared" ref="K250:K316" si="66">I250+J250</f>
        <v>1236</v>
      </c>
      <c r="L250" s="13"/>
      <c r="M250" s="84">
        <f t="shared" si="61"/>
        <v>1236</v>
      </c>
      <c r="N250" s="13"/>
      <c r="O250" s="84">
        <f t="shared" si="62"/>
        <v>1236</v>
      </c>
      <c r="P250" s="13"/>
      <c r="Q250" s="84">
        <f t="shared" si="58"/>
        <v>1236</v>
      </c>
      <c r="R250" s="13">
        <f>162-24.1</f>
        <v>137.9</v>
      </c>
      <c r="S250" s="84">
        <f t="shared" si="59"/>
        <v>1373.9</v>
      </c>
      <c r="T250" s="13">
        <f>-98.2+179.4</f>
        <v>81.2</v>
      </c>
      <c r="U250" s="84">
        <f t="shared" si="57"/>
        <v>1455.1000000000001</v>
      </c>
    </row>
    <row r="251" spans="1:21" s="128" customFormat="1" ht="87.75" customHeight="1">
      <c r="A251" s="61" t="str">
        <f ca="1">IF(ISERROR(MATCH(E251,Код_КЦСР,0)),"",INDIRECT(ADDRESS(MATCH(E251,Код_КЦСР,0)+1,2,,,"КЦСР")))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51" s="126">
        <v>801</v>
      </c>
      <c r="C251" s="8" t="s">
        <v>214</v>
      </c>
      <c r="D251" s="8" t="s">
        <v>186</v>
      </c>
      <c r="E251" s="126" t="s">
        <v>581</v>
      </c>
      <c r="F251" s="126"/>
      <c r="G251" s="69">
        <f>G252</f>
        <v>45609.3</v>
      </c>
      <c r="H251" s="69">
        <f>H252</f>
        <v>0</v>
      </c>
      <c r="I251" s="69">
        <f t="shared" si="65"/>
        <v>45609.3</v>
      </c>
      <c r="J251" s="69">
        <f>J252</f>
        <v>1675.7</v>
      </c>
      <c r="K251" s="84">
        <f t="shared" si="66"/>
        <v>47285</v>
      </c>
      <c r="L251" s="13">
        <f>L252</f>
        <v>-642.5</v>
      </c>
      <c r="M251" s="84">
        <f t="shared" si="61"/>
        <v>46642.5</v>
      </c>
      <c r="N251" s="13">
        <f>N252</f>
        <v>41.6</v>
      </c>
      <c r="O251" s="84">
        <f t="shared" si="62"/>
        <v>46684.1</v>
      </c>
      <c r="P251" s="13">
        <f>P252</f>
        <v>1200</v>
      </c>
      <c r="Q251" s="84">
        <f t="shared" si="58"/>
        <v>47884.1</v>
      </c>
      <c r="R251" s="13">
        <f>R252</f>
        <v>-125.2</v>
      </c>
      <c r="S251" s="84">
        <f t="shared" si="59"/>
        <v>47758.9</v>
      </c>
      <c r="T251" s="13">
        <f>T252</f>
        <v>-81.199999999999989</v>
      </c>
      <c r="U251" s="84">
        <f t="shared" si="57"/>
        <v>47677.700000000004</v>
      </c>
    </row>
    <row r="252" spans="1:21" s="128" customFormat="1" ht="33">
      <c r="A252" s="61" t="str">
        <f ca="1">IF(ISERROR(MATCH(F252,Код_КВР,0)),"",INDIRECT(ADDRESS(MATCH(F252,Код_КВР,0)+1,2,,,"КВР")))</f>
        <v>Предоставление субсидий бюджетным, автономным учреждениям и иным некоммерческим организациям</v>
      </c>
      <c r="B252" s="126">
        <v>801</v>
      </c>
      <c r="C252" s="8" t="s">
        <v>214</v>
      </c>
      <c r="D252" s="8" t="s">
        <v>186</v>
      </c>
      <c r="E252" s="126" t="s">
        <v>581</v>
      </c>
      <c r="F252" s="126">
        <v>600</v>
      </c>
      <c r="G252" s="69">
        <f>G253</f>
        <v>45609.3</v>
      </c>
      <c r="H252" s="69">
        <f>H253</f>
        <v>0</v>
      </c>
      <c r="I252" s="69">
        <f t="shared" si="65"/>
        <v>45609.3</v>
      </c>
      <c r="J252" s="69">
        <f>J253</f>
        <v>1675.7</v>
      </c>
      <c r="K252" s="84">
        <f t="shared" si="66"/>
        <v>47285</v>
      </c>
      <c r="L252" s="13">
        <f>L253</f>
        <v>-642.5</v>
      </c>
      <c r="M252" s="84">
        <f t="shared" si="61"/>
        <v>46642.5</v>
      </c>
      <c r="N252" s="13">
        <f>N253</f>
        <v>41.6</v>
      </c>
      <c r="O252" s="84">
        <f t="shared" si="62"/>
        <v>46684.1</v>
      </c>
      <c r="P252" s="13">
        <f>P253</f>
        <v>1200</v>
      </c>
      <c r="Q252" s="84">
        <f t="shared" si="58"/>
        <v>47884.1</v>
      </c>
      <c r="R252" s="13">
        <f>R253</f>
        <v>-125.2</v>
      </c>
      <c r="S252" s="84">
        <f t="shared" si="59"/>
        <v>47758.9</v>
      </c>
      <c r="T252" s="13">
        <f>T253</f>
        <v>-81.199999999999989</v>
      </c>
      <c r="U252" s="84">
        <f t="shared" si="57"/>
        <v>47677.700000000004</v>
      </c>
    </row>
    <row r="253" spans="1:21" s="128" customFormat="1">
      <c r="A253" s="61" t="str">
        <f ca="1">IF(ISERROR(MATCH(F253,Код_КВР,0)),"",INDIRECT(ADDRESS(MATCH(F253,Код_КВР,0)+1,2,,,"КВР")))</f>
        <v>Субсидии бюджетным учреждениям</v>
      </c>
      <c r="B253" s="126">
        <v>801</v>
      </c>
      <c r="C253" s="8" t="s">
        <v>214</v>
      </c>
      <c r="D253" s="8" t="s">
        <v>186</v>
      </c>
      <c r="E253" s="126" t="s">
        <v>581</v>
      </c>
      <c r="F253" s="126">
        <v>610</v>
      </c>
      <c r="G253" s="69">
        <f>SUM(G254:G255)</f>
        <v>45609.3</v>
      </c>
      <c r="H253" s="69">
        <f>SUM(H254:H255)</f>
        <v>0</v>
      </c>
      <c r="I253" s="69">
        <f t="shared" si="65"/>
        <v>45609.3</v>
      </c>
      <c r="J253" s="69">
        <f>SUM(J254:J255)</f>
        <v>1675.7</v>
      </c>
      <c r="K253" s="84">
        <f t="shared" si="66"/>
        <v>47285</v>
      </c>
      <c r="L253" s="13">
        <f>SUM(L254:L255)</f>
        <v>-642.5</v>
      </c>
      <c r="M253" s="84">
        <f t="shared" si="61"/>
        <v>46642.5</v>
      </c>
      <c r="N253" s="13">
        <f>SUM(N254:N255)</f>
        <v>41.6</v>
      </c>
      <c r="O253" s="84">
        <f t="shared" si="62"/>
        <v>46684.1</v>
      </c>
      <c r="P253" s="13">
        <f>SUM(P254:P255)</f>
        <v>1200</v>
      </c>
      <c r="Q253" s="84">
        <f t="shared" si="58"/>
        <v>47884.1</v>
      </c>
      <c r="R253" s="13">
        <f>SUM(R254:R255)</f>
        <v>-125.2</v>
      </c>
      <c r="S253" s="84">
        <f t="shared" si="59"/>
        <v>47758.9</v>
      </c>
      <c r="T253" s="13">
        <f>SUM(T254:T255)</f>
        <v>-81.199999999999989</v>
      </c>
      <c r="U253" s="84">
        <f t="shared" si="57"/>
        <v>47677.700000000004</v>
      </c>
    </row>
    <row r="254" spans="1:21" s="128" customFormat="1" ht="49.5">
      <c r="A254" s="61" t="str">
        <f ca="1">IF(ISERROR(MATCH(F254,Код_КВР,0)),"",INDIRECT(ADDRESS(MATCH(F254,Код_КВР,0)+1,2,,,"КВР")))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4" s="126">
        <v>801</v>
      </c>
      <c r="C254" s="8" t="s">
        <v>214</v>
      </c>
      <c r="D254" s="8" t="s">
        <v>186</v>
      </c>
      <c r="E254" s="126" t="s">
        <v>581</v>
      </c>
      <c r="F254" s="126">
        <v>611</v>
      </c>
      <c r="G254" s="69">
        <v>42162.3</v>
      </c>
      <c r="H254" s="69"/>
      <c r="I254" s="69">
        <f t="shared" si="65"/>
        <v>42162.3</v>
      </c>
      <c r="J254" s="69">
        <f>1411.7+134</f>
        <v>1545.7</v>
      </c>
      <c r="K254" s="84">
        <f t="shared" si="66"/>
        <v>43708</v>
      </c>
      <c r="L254" s="13">
        <f>-247.9-394.6</f>
        <v>-642.5</v>
      </c>
      <c r="M254" s="84">
        <f t="shared" si="61"/>
        <v>43065.5</v>
      </c>
      <c r="N254" s="13"/>
      <c r="O254" s="84">
        <f t="shared" si="62"/>
        <v>43065.5</v>
      </c>
      <c r="P254" s="13"/>
      <c r="Q254" s="84">
        <f t="shared" si="58"/>
        <v>43065.5</v>
      </c>
      <c r="R254" s="13"/>
      <c r="S254" s="84">
        <f t="shared" si="59"/>
        <v>43065.5</v>
      </c>
      <c r="T254" s="13"/>
      <c r="U254" s="84">
        <f t="shared" si="57"/>
        <v>43065.5</v>
      </c>
    </row>
    <row r="255" spans="1:21" s="128" customFormat="1">
      <c r="A255" s="61" t="str">
        <f ca="1">IF(ISERROR(MATCH(F255,Код_КВР,0)),"",INDIRECT(ADDRESS(MATCH(F255,Код_КВР,0)+1,2,,,"КВР")))</f>
        <v>Субсидии бюджетным учреждениям на иные цели</v>
      </c>
      <c r="B255" s="126">
        <v>801</v>
      </c>
      <c r="C255" s="8" t="s">
        <v>214</v>
      </c>
      <c r="D255" s="8" t="s">
        <v>186</v>
      </c>
      <c r="E255" s="126" t="s">
        <v>581</v>
      </c>
      <c r="F255" s="126">
        <v>612</v>
      </c>
      <c r="G255" s="69">
        <v>3447</v>
      </c>
      <c r="H255" s="69"/>
      <c r="I255" s="69">
        <f t="shared" si="65"/>
        <v>3447</v>
      </c>
      <c r="J255" s="69">
        <v>130</v>
      </c>
      <c r="K255" s="84">
        <f t="shared" si="66"/>
        <v>3577</v>
      </c>
      <c r="L255" s="13"/>
      <c r="M255" s="84">
        <f t="shared" si="61"/>
        <v>3577</v>
      </c>
      <c r="N255" s="13">
        <v>41.6</v>
      </c>
      <c r="O255" s="84">
        <f t="shared" si="62"/>
        <v>3618.6</v>
      </c>
      <c r="P255" s="13">
        <v>1200</v>
      </c>
      <c r="Q255" s="84">
        <f t="shared" si="58"/>
        <v>4818.6000000000004</v>
      </c>
      <c r="R255" s="13">
        <f>-24-23.3-77.9</f>
        <v>-125.2</v>
      </c>
      <c r="S255" s="84">
        <f t="shared" si="59"/>
        <v>4693.4000000000005</v>
      </c>
      <c r="T255" s="13">
        <f>-42.6-4.6-33.9-0.1</f>
        <v>-81.199999999999989</v>
      </c>
      <c r="U255" s="84">
        <f t="shared" si="57"/>
        <v>4612.2000000000007</v>
      </c>
    </row>
    <row r="256" spans="1:21" s="128" customFormat="1" ht="33">
      <c r="A256" s="61" t="str">
        <f ca="1">IF(ISERROR(MATCH(E256,Код_КЦСР,0)),"",INDIRECT(ADDRESS(MATCH(E256,Код_КЦСР,0)+1,2,,,"КЦСР")))</f>
        <v>Муниципальная программа «Совершенствование муниципального управления в городе Череповце» на 2014-2018 годы</v>
      </c>
      <c r="B256" s="126">
        <v>801</v>
      </c>
      <c r="C256" s="8" t="s">
        <v>214</v>
      </c>
      <c r="D256" s="8" t="s">
        <v>186</v>
      </c>
      <c r="E256" s="126" t="s">
        <v>121</v>
      </c>
      <c r="F256" s="126"/>
      <c r="G256" s="69">
        <f>G257+G262</f>
        <v>6170</v>
      </c>
      <c r="H256" s="69">
        <f>H257+H262</f>
        <v>0</v>
      </c>
      <c r="I256" s="69">
        <f t="shared" si="65"/>
        <v>6170</v>
      </c>
      <c r="J256" s="69">
        <f>J257+J262</f>
        <v>-500</v>
      </c>
      <c r="K256" s="84">
        <f t="shared" si="66"/>
        <v>5670</v>
      </c>
      <c r="L256" s="13">
        <f>L257+L262</f>
        <v>0</v>
      </c>
      <c r="M256" s="84">
        <f t="shared" si="61"/>
        <v>5670</v>
      </c>
      <c r="N256" s="13">
        <f>N257+N262</f>
        <v>0</v>
      </c>
      <c r="O256" s="84">
        <f t="shared" si="62"/>
        <v>5670</v>
      </c>
      <c r="P256" s="13">
        <f>P257+P262</f>
        <v>-1200</v>
      </c>
      <c r="Q256" s="84">
        <f t="shared" si="58"/>
        <v>4470</v>
      </c>
      <c r="R256" s="13">
        <f>R257+R262</f>
        <v>-3469.7</v>
      </c>
      <c r="S256" s="84">
        <f t="shared" si="59"/>
        <v>1000.3000000000002</v>
      </c>
      <c r="T256" s="13">
        <f>T257+T262</f>
        <v>0</v>
      </c>
      <c r="U256" s="84">
        <f t="shared" si="57"/>
        <v>1000.3000000000002</v>
      </c>
    </row>
    <row r="257" spans="1:21" s="128" customFormat="1" ht="33">
      <c r="A257" s="61" t="str">
        <f ca="1">IF(ISERROR(MATCH(E257,Код_КЦСР,0)),"",INDIRECT(ADDRESS(MATCH(E257,Код_КЦСР,0)+1,2,,,"КЦСР")))</f>
        <v>Создание условий для обеспечения выполнения органами муниципальной власти своих полномочий</v>
      </c>
      <c r="B257" s="126">
        <v>801</v>
      </c>
      <c r="C257" s="8" t="s">
        <v>214</v>
      </c>
      <c r="D257" s="8" t="s">
        <v>186</v>
      </c>
      <c r="E257" s="126" t="s">
        <v>122</v>
      </c>
      <c r="F257" s="126"/>
      <c r="G257" s="69">
        <f t="shared" ref="G257:T260" si="67">G258</f>
        <v>290</v>
      </c>
      <c r="H257" s="69">
        <f t="shared" si="67"/>
        <v>0</v>
      </c>
      <c r="I257" s="69">
        <f t="shared" si="65"/>
        <v>290</v>
      </c>
      <c r="J257" s="69">
        <f t="shared" si="67"/>
        <v>0</v>
      </c>
      <c r="K257" s="84">
        <f t="shared" si="66"/>
        <v>290</v>
      </c>
      <c r="L257" s="13">
        <f t="shared" si="67"/>
        <v>0</v>
      </c>
      <c r="M257" s="84">
        <f t="shared" si="61"/>
        <v>290</v>
      </c>
      <c r="N257" s="13">
        <f t="shared" si="67"/>
        <v>0</v>
      </c>
      <c r="O257" s="84">
        <f t="shared" si="62"/>
        <v>290</v>
      </c>
      <c r="P257" s="13">
        <f t="shared" si="67"/>
        <v>0</v>
      </c>
      <c r="Q257" s="84">
        <f t="shared" si="58"/>
        <v>290</v>
      </c>
      <c r="R257" s="13">
        <f t="shared" si="67"/>
        <v>-12.7</v>
      </c>
      <c r="S257" s="84">
        <f t="shared" si="59"/>
        <v>277.3</v>
      </c>
      <c r="T257" s="13">
        <f t="shared" si="67"/>
        <v>0</v>
      </c>
      <c r="U257" s="84">
        <f t="shared" si="57"/>
        <v>277.3</v>
      </c>
    </row>
    <row r="258" spans="1:21" s="128" customFormat="1">
      <c r="A258" s="61" t="str">
        <f ca="1">IF(ISERROR(MATCH(E258,Код_КЦСР,0)),"",INDIRECT(ADDRESS(MATCH(E258,Код_КЦСР,0)+1,2,,,"КЦСР")))</f>
        <v>Обеспечение работы СЭД «Летограф»</v>
      </c>
      <c r="B258" s="126">
        <v>801</v>
      </c>
      <c r="C258" s="8" t="s">
        <v>214</v>
      </c>
      <c r="D258" s="8" t="s">
        <v>186</v>
      </c>
      <c r="E258" s="126" t="s">
        <v>124</v>
      </c>
      <c r="F258" s="126"/>
      <c r="G258" s="69">
        <f t="shared" si="67"/>
        <v>290</v>
      </c>
      <c r="H258" s="69">
        <f t="shared" si="67"/>
        <v>0</v>
      </c>
      <c r="I258" s="69">
        <f t="shared" si="65"/>
        <v>290</v>
      </c>
      <c r="J258" s="69">
        <f t="shared" si="67"/>
        <v>0</v>
      </c>
      <c r="K258" s="84">
        <f t="shared" si="66"/>
        <v>290</v>
      </c>
      <c r="L258" s="13">
        <f t="shared" si="67"/>
        <v>0</v>
      </c>
      <c r="M258" s="84">
        <f t="shared" si="61"/>
        <v>290</v>
      </c>
      <c r="N258" s="13">
        <f t="shared" si="67"/>
        <v>0</v>
      </c>
      <c r="O258" s="84">
        <f t="shared" si="62"/>
        <v>290</v>
      </c>
      <c r="P258" s="13">
        <f t="shared" si="67"/>
        <v>0</v>
      </c>
      <c r="Q258" s="84">
        <f t="shared" si="58"/>
        <v>290</v>
      </c>
      <c r="R258" s="13">
        <f t="shared" si="67"/>
        <v>-12.7</v>
      </c>
      <c r="S258" s="84">
        <f t="shared" si="59"/>
        <v>277.3</v>
      </c>
      <c r="T258" s="13">
        <f t="shared" si="67"/>
        <v>0</v>
      </c>
      <c r="U258" s="84">
        <f t="shared" si="57"/>
        <v>277.3</v>
      </c>
    </row>
    <row r="259" spans="1:21" s="128" customFormat="1" ht="33">
      <c r="A259" s="61" t="str">
        <f ca="1">IF(ISERROR(MATCH(F259,Код_КВР,0)),"",INDIRECT(ADDRESS(MATCH(F259,Код_КВР,0)+1,2,,,"КВР")))</f>
        <v>Предоставление субсидий бюджетным, автономным учреждениям и иным некоммерческим организациям</v>
      </c>
      <c r="B259" s="126">
        <v>801</v>
      </c>
      <c r="C259" s="8" t="s">
        <v>214</v>
      </c>
      <c r="D259" s="8" t="s">
        <v>186</v>
      </c>
      <c r="E259" s="126" t="s">
        <v>124</v>
      </c>
      <c r="F259" s="126">
        <v>600</v>
      </c>
      <c r="G259" s="69">
        <f t="shared" si="67"/>
        <v>290</v>
      </c>
      <c r="H259" s="69">
        <f t="shared" si="67"/>
        <v>0</v>
      </c>
      <c r="I259" s="69">
        <f t="shared" si="65"/>
        <v>290</v>
      </c>
      <c r="J259" s="69">
        <f t="shared" si="67"/>
        <v>0</v>
      </c>
      <c r="K259" s="84">
        <f t="shared" si="66"/>
        <v>290</v>
      </c>
      <c r="L259" s="13">
        <f t="shared" si="67"/>
        <v>0</v>
      </c>
      <c r="M259" s="84">
        <f t="shared" si="61"/>
        <v>290</v>
      </c>
      <c r="N259" s="13">
        <f t="shared" si="67"/>
        <v>0</v>
      </c>
      <c r="O259" s="84">
        <f t="shared" si="62"/>
        <v>290</v>
      </c>
      <c r="P259" s="13">
        <f t="shared" si="67"/>
        <v>0</v>
      </c>
      <c r="Q259" s="84">
        <f t="shared" si="58"/>
        <v>290</v>
      </c>
      <c r="R259" s="13">
        <f t="shared" si="67"/>
        <v>-12.7</v>
      </c>
      <c r="S259" s="84">
        <f t="shared" si="59"/>
        <v>277.3</v>
      </c>
      <c r="T259" s="13">
        <f t="shared" si="67"/>
        <v>0</v>
      </c>
      <c r="U259" s="84">
        <f t="shared" si="57"/>
        <v>277.3</v>
      </c>
    </row>
    <row r="260" spans="1:21" s="128" customFormat="1">
      <c r="A260" s="61" t="str">
        <f ca="1">IF(ISERROR(MATCH(F260,Код_КВР,0)),"",INDIRECT(ADDRESS(MATCH(F260,Код_КВР,0)+1,2,,,"КВР")))</f>
        <v>Субсидии бюджетным учреждениям</v>
      </c>
      <c r="B260" s="126">
        <v>801</v>
      </c>
      <c r="C260" s="8" t="s">
        <v>214</v>
      </c>
      <c r="D260" s="8" t="s">
        <v>186</v>
      </c>
      <c r="E260" s="126" t="s">
        <v>124</v>
      </c>
      <c r="F260" s="126">
        <v>610</v>
      </c>
      <c r="G260" s="69">
        <f t="shared" si="67"/>
        <v>290</v>
      </c>
      <c r="H260" s="69">
        <f t="shared" si="67"/>
        <v>0</v>
      </c>
      <c r="I260" s="69">
        <f>G260+H260</f>
        <v>290</v>
      </c>
      <c r="J260" s="69">
        <f t="shared" si="67"/>
        <v>0</v>
      </c>
      <c r="K260" s="84">
        <f t="shared" si="66"/>
        <v>290</v>
      </c>
      <c r="L260" s="13">
        <f t="shared" si="67"/>
        <v>0</v>
      </c>
      <c r="M260" s="84">
        <f t="shared" si="61"/>
        <v>290</v>
      </c>
      <c r="N260" s="13">
        <f t="shared" si="67"/>
        <v>0</v>
      </c>
      <c r="O260" s="84">
        <f t="shared" si="62"/>
        <v>290</v>
      </c>
      <c r="P260" s="13">
        <f t="shared" si="67"/>
        <v>0</v>
      </c>
      <c r="Q260" s="84">
        <f t="shared" si="58"/>
        <v>290</v>
      </c>
      <c r="R260" s="13">
        <f t="shared" si="67"/>
        <v>-12.7</v>
      </c>
      <c r="S260" s="84">
        <f t="shared" si="59"/>
        <v>277.3</v>
      </c>
      <c r="T260" s="13">
        <f t="shared" si="67"/>
        <v>0</v>
      </c>
      <c r="U260" s="84">
        <f t="shared" si="57"/>
        <v>277.3</v>
      </c>
    </row>
    <row r="261" spans="1:21" s="128" customFormat="1">
      <c r="A261" s="61" t="str">
        <f ca="1">IF(ISERROR(MATCH(F261,Код_КВР,0)),"",INDIRECT(ADDRESS(MATCH(F261,Код_КВР,0)+1,2,,,"КВР")))</f>
        <v>Субсидии бюджетным учреждениям на иные цели</v>
      </c>
      <c r="B261" s="126">
        <v>801</v>
      </c>
      <c r="C261" s="8" t="s">
        <v>214</v>
      </c>
      <c r="D261" s="8" t="s">
        <v>186</v>
      </c>
      <c r="E261" s="126" t="s">
        <v>124</v>
      </c>
      <c r="F261" s="126">
        <v>612</v>
      </c>
      <c r="G261" s="69">
        <v>290</v>
      </c>
      <c r="H261" s="69"/>
      <c r="I261" s="69">
        <f t="shared" si="65"/>
        <v>290</v>
      </c>
      <c r="J261" s="69"/>
      <c r="K261" s="84">
        <f t="shared" si="66"/>
        <v>290</v>
      </c>
      <c r="L261" s="13"/>
      <c r="M261" s="84">
        <f t="shared" si="61"/>
        <v>290</v>
      </c>
      <c r="N261" s="13"/>
      <c r="O261" s="84">
        <f t="shared" si="62"/>
        <v>290</v>
      </c>
      <c r="P261" s="13"/>
      <c r="Q261" s="84">
        <f t="shared" si="58"/>
        <v>290</v>
      </c>
      <c r="R261" s="13">
        <f>-12.7</f>
        <v>-12.7</v>
      </c>
      <c r="S261" s="84">
        <f t="shared" si="59"/>
        <v>277.3</v>
      </c>
      <c r="T261" s="13"/>
      <c r="U261" s="84">
        <f t="shared" si="57"/>
        <v>277.3</v>
      </c>
    </row>
    <row r="262" spans="1:21" s="128" customFormat="1" ht="71.25" customHeight="1">
      <c r="A262" s="61" t="str">
        <f ca="1">IF(ISERROR(MATCH(E262,Код_КЦСР,0)),"",INDIRECT(ADDRESS(MATCH(E262,Код_КЦСР,0)+1,2,,,"КЦСР")))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62" s="126">
        <v>801</v>
      </c>
      <c r="C262" s="8" t="s">
        <v>214</v>
      </c>
      <c r="D262" s="8" t="s">
        <v>186</v>
      </c>
      <c r="E262" s="126" t="s">
        <v>133</v>
      </c>
      <c r="F262" s="126"/>
      <c r="G262" s="69">
        <f t="shared" ref="G262:T265" si="68">G263</f>
        <v>5880</v>
      </c>
      <c r="H262" s="69">
        <f t="shared" si="68"/>
        <v>0</v>
      </c>
      <c r="I262" s="69">
        <f t="shared" si="65"/>
        <v>5880</v>
      </c>
      <c r="J262" s="69">
        <f t="shared" si="68"/>
        <v>-500</v>
      </c>
      <c r="K262" s="84">
        <f t="shared" si="66"/>
        <v>5380</v>
      </c>
      <c r="L262" s="13">
        <f t="shared" si="68"/>
        <v>0</v>
      </c>
      <c r="M262" s="84">
        <f t="shared" si="61"/>
        <v>5380</v>
      </c>
      <c r="N262" s="13">
        <f t="shared" si="68"/>
        <v>0</v>
      </c>
      <c r="O262" s="84">
        <f t="shared" si="62"/>
        <v>5380</v>
      </c>
      <c r="P262" s="13">
        <f t="shared" si="68"/>
        <v>-1200</v>
      </c>
      <c r="Q262" s="84">
        <f t="shared" si="58"/>
        <v>4180</v>
      </c>
      <c r="R262" s="13">
        <f t="shared" si="68"/>
        <v>-3457</v>
      </c>
      <c r="S262" s="84">
        <f t="shared" si="59"/>
        <v>723</v>
      </c>
      <c r="T262" s="13">
        <f t="shared" si="68"/>
        <v>0</v>
      </c>
      <c r="U262" s="84">
        <f t="shared" si="57"/>
        <v>723</v>
      </c>
    </row>
    <row r="263" spans="1:21" s="128" customFormat="1" ht="21" customHeight="1">
      <c r="A263" s="61" t="str">
        <f ca="1">IF(ISERROR(MATCH(E263,Код_КЦСР,0)),"",INDIRECT(ADDRESS(MATCH(E263,Код_КЦСР,0)+1,2,,,"КЦСР")))</f>
        <v>Совершенствование предоставления муниципальных услуг</v>
      </c>
      <c r="B263" s="126">
        <v>801</v>
      </c>
      <c r="C263" s="8" t="s">
        <v>214</v>
      </c>
      <c r="D263" s="8" t="s">
        <v>186</v>
      </c>
      <c r="E263" s="126" t="s">
        <v>135</v>
      </c>
      <c r="F263" s="126"/>
      <c r="G263" s="69">
        <f t="shared" si="68"/>
        <v>5880</v>
      </c>
      <c r="H263" s="69">
        <f t="shared" si="68"/>
        <v>0</v>
      </c>
      <c r="I263" s="69">
        <f t="shared" si="65"/>
        <v>5880</v>
      </c>
      <c r="J263" s="69">
        <f t="shared" si="68"/>
        <v>-500</v>
      </c>
      <c r="K263" s="84">
        <f t="shared" si="66"/>
        <v>5380</v>
      </c>
      <c r="L263" s="13">
        <f t="shared" si="68"/>
        <v>0</v>
      </c>
      <c r="M263" s="84">
        <f t="shared" si="61"/>
        <v>5380</v>
      </c>
      <c r="N263" s="13">
        <f t="shared" si="68"/>
        <v>0</v>
      </c>
      <c r="O263" s="84">
        <f t="shared" si="62"/>
        <v>5380</v>
      </c>
      <c r="P263" s="13">
        <f t="shared" si="68"/>
        <v>-1200</v>
      </c>
      <c r="Q263" s="84">
        <f t="shared" si="58"/>
        <v>4180</v>
      </c>
      <c r="R263" s="13">
        <f t="shared" si="68"/>
        <v>-3457</v>
      </c>
      <c r="S263" s="84">
        <f t="shared" si="59"/>
        <v>723</v>
      </c>
      <c r="T263" s="13">
        <f t="shared" si="68"/>
        <v>0</v>
      </c>
      <c r="U263" s="84">
        <f t="shared" si="57"/>
        <v>723</v>
      </c>
    </row>
    <row r="264" spans="1:21" s="128" customFormat="1" ht="33">
      <c r="A264" s="61" t="str">
        <f ca="1">IF(ISERROR(MATCH(F264,Код_КВР,0)),"",INDIRECT(ADDRESS(MATCH(F264,Код_КВР,0)+1,2,,,"КВР")))</f>
        <v>Предоставление субсидий бюджетным, автономным учреждениям и иным некоммерческим организациям</v>
      </c>
      <c r="B264" s="126">
        <v>801</v>
      </c>
      <c r="C264" s="8" t="s">
        <v>214</v>
      </c>
      <c r="D264" s="8" t="s">
        <v>186</v>
      </c>
      <c r="E264" s="126" t="s">
        <v>135</v>
      </c>
      <c r="F264" s="126">
        <v>600</v>
      </c>
      <c r="G264" s="69">
        <f t="shared" si="68"/>
        <v>5880</v>
      </c>
      <c r="H264" s="69">
        <f t="shared" si="68"/>
        <v>0</v>
      </c>
      <c r="I264" s="69">
        <f t="shared" si="65"/>
        <v>5880</v>
      </c>
      <c r="J264" s="69">
        <f t="shared" si="68"/>
        <v>-500</v>
      </c>
      <c r="K264" s="84">
        <f t="shared" si="66"/>
        <v>5380</v>
      </c>
      <c r="L264" s="13">
        <f t="shared" si="68"/>
        <v>0</v>
      </c>
      <c r="M264" s="84">
        <f t="shared" si="61"/>
        <v>5380</v>
      </c>
      <c r="N264" s="13">
        <f t="shared" si="68"/>
        <v>0</v>
      </c>
      <c r="O264" s="84">
        <f t="shared" si="62"/>
        <v>5380</v>
      </c>
      <c r="P264" s="13">
        <f t="shared" si="68"/>
        <v>-1200</v>
      </c>
      <c r="Q264" s="84">
        <f t="shared" si="58"/>
        <v>4180</v>
      </c>
      <c r="R264" s="13">
        <f t="shared" si="68"/>
        <v>-3457</v>
      </c>
      <c r="S264" s="84">
        <f t="shared" si="59"/>
        <v>723</v>
      </c>
      <c r="T264" s="13">
        <f t="shared" si="68"/>
        <v>0</v>
      </c>
      <c r="U264" s="84">
        <f t="shared" si="57"/>
        <v>723</v>
      </c>
    </row>
    <row r="265" spans="1:21" s="128" customFormat="1">
      <c r="A265" s="61" t="str">
        <f ca="1">IF(ISERROR(MATCH(F265,Код_КВР,0)),"",INDIRECT(ADDRESS(MATCH(F265,Код_КВР,0)+1,2,,,"КВР")))</f>
        <v>Субсидии бюджетным учреждениям</v>
      </c>
      <c r="B265" s="126">
        <v>801</v>
      </c>
      <c r="C265" s="8" t="s">
        <v>214</v>
      </c>
      <c r="D265" s="8" t="s">
        <v>186</v>
      </c>
      <c r="E265" s="126" t="s">
        <v>135</v>
      </c>
      <c r="F265" s="126">
        <v>610</v>
      </c>
      <c r="G265" s="69">
        <f t="shared" si="68"/>
        <v>5880</v>
      </c>
      <c r="H265" s="69">
        <f t="shared" si="68"/>
        <v>0</v>
      </c>
      <c r="I265" s="69">
        <f t="shared" si="65"/>
        <v>5880</v>
      </c>
      <c r="J265" s="69">
        <f t="shared" si="68"/>
        <v>-500</v>
      </c>
      <c r="K265" s="84">
        <f t="shared" si="66"/>
        <v>5380</v>
      </c>
      <c r="L265" s="13">
        <f t="shared" si="68"/>
        <v>0</v>
      </c>
      <c r="M265" s="84">
        <f t="shared" si="61"/>
        <v>5380</v>
      </c>
      <c r="N265" s="13">
        <f t="shared" si="68"/>
        <v>0</v>
      </c>
      <c r="O265" s="84">
        <f t="shared" si="62"/>
        <v>5380</v>
      </c>
      <c r="P265" s="13">
        <f t="shared" si="68"/>
        <v>-1200</v>
      </c>
      <c r="Q265" s="84">
        <f t="shared" si="58"/>
        <v>4180</v>
      </c>
      <c r="R265" s="13">
        <f t="shared" si="68"/>
        <v>-3457</v>
      </c>
      <c r="S265" s="84">
        <f t="shared" si="59"/>
        <v>723</v>
      </c>
      <c r="T265" s="13">
        <f t="shared" si="68"/>
        <v>0</v>
      </c>
      <c r="U265" s="84">
        <f t="shared" si="57"/>
        <v>723</v>
      </c>
    </row>
    <row r="266" spans="1:21" s="128" customFormat="1">
      <c r="A266" s="61" t="str">
        <f ca="1">IF(ISERROR(MATCH(F266,Код_КВР,0)),"",INDIRECT(ADDRESS(MATCH(F266,Код_КВР,0)+1,2,,,"КВР")))</f>
        <v>Субсидии бюджетным учреждениям на иные цели</v>
      </c>
      <c r="B266" s="126">
        <v>801</v>
      </c>
      <c r="C266" s="8" t="s">
        <v>214</v>
      </c>
      <c r="D266" s="8" t="s">
        <v>186</v>
      </c>
      <c r="E266" s="126" t="s">
        <v>135</v>
      </c>
      <c r="F266" s="126">
        <v>612</v>
      </c>
      <c r="G266" s="69">
        <v>5880</v>
      </c>
      <c r="H266" s="69"/>
      <c r="I266" s="69">
        <f t="shared" si="65"/>
        <v>5880</v>
      </c>
      <c r="J266" s="69">
        <v>-500</v>
      </c>
      <c r="K266" s="84">
        <f t="shared" si="66"/>
        <v>5380</v>
      </c>
      <c r="L266" s="13"/>
      <c r="M266" s="84">
        <f t="shared" si="61"/>
        <v>5380</v>
      </c>
      <c r="N266" s="13"/>
      <c r="O266" s="84">
        <f t="shared" si="62"/>
        <v>5380</v>
      </c>
      <c r="P266" s="13">
        <v>-1200</v>
      </c>
      <c r="Q266" s="84">
        <f t="shared" si="58"/>
        <v>4180</v>
      </c>
      <c r="R266" s="13">
        <f>-4657+1200</f>
        <v>-3457</v>
      </c>
      <c r="S266" s="84">
        <f t="shared" si="59"/>
        <v>723</v>
      </c>
      <c r="T266" s="13"/>
      <c r="U266" s="84">
        <f t="shared" si="57"/>
        <v>723</v>
      </c>
    </row>
    <row r="267" spans="1:21" s="128" customFormat="1" ht="33">
      <c r="A267" s="61" t="str">
        <f ca="1">IF(ISERROR(MATCH(E267,Код_КЦСР,0)),"",INDIRECT(ADDRESS(MATCH(E267,Код_КЦСР,0)+1,2,,,"КЦСР")))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67" s="126">
        <v>801</v>
      </c>
      <c r="C267" s="8" t="s">
        <v>214</v>
      </c>
      <c r="D267" s="8" t="s">
        <v>186</v>
      </c>
      <c r="E267" s="126" t="s">
        <v>148</v>
      </c>
      <c r="F267" s="126"/>
      <c r="G267" s="69">
        <f>G268</f>
        <v>1300.2</v>
      </c>
      <c r="H267" s="69">
        <f>H268</f>
        <v>0</v>
      </c>
      <c r="I267" s="69">
        <f t="shared" si="65"/>
        <v>1300.2</v>
      </c>
      <c r="J267" s="69">
        <f>J268</f>
        <v>0</v>
      </c>
      <c r="K267" s="84">
        <f t="shared" si="66"/>
        <v>1300.2</v>
      </c>
      <c r="L267" s="13">
        <f>L268</f>
        <v>0</v>
      </c>
      <c r="M267" s="84">
        <f t="shared" si="61"/>
        <v>1300.2</v>
      </c>
      <c r="N267" s="13">
        <f>N268</f>
        <v>0</v>
      </c>
      <c r="O267" s="84">
        <f t="shared" si="62"/>
        <v>1300.2</v>
      </c>
      <c r="P267" s="13">
        <f>P268</f>
        <v>0</v>
      </c>
      <c r="Q267" s="84">
        <f t="shared" si="58"/>
        <v>1300.2</v>
      </c>
      <c r="R267" s="13">
        <f>R268</f>
        <v>0</v>
      </c>
      <c r="S267" s="84">
        <f t="shared" si="59"/>
        <v>1300.2</v>
      </c>
      <c r="T267" s="13">
        <f>T268</f>
        <v>0</v>
      </c>
      <c r="U267" s="84">
        <f t="shared" si="57"/>
        <v>1300.2</v>
      </c>
    </row>
    <row r="268" spans="1:21" s="128" customFormat="1">
      <c r="A268" s="61" t="str">
        <f ca="1">IF(ISERROR(MATCH(E268,Код_КЦСР,0)),"",INDIRECT(ADDRESS(MATCH(E268,Код_КЦСР,0)+1,2,,,"КЦСР")))</f>
        <v>Профилактика преступлений и иных правонарушений в городе Череповце</v>
      </c>
      <c r="B268" s="126">
        <v>801</v>
      </c>
      <c r="C268" s="8" t="s">
        <v>214</v>
      </c>
      <c r="D268" s="8" t="s">
        <v>186</v>
      </c>
      <c r="E268" s="126" t="s">
        <v>150</v>
      </c>
      <c r="F268" s="126"/>
      <c r="G268" s="69">
        <f>G269+G273</f>
        <v>1300.2</v>
      </c>
      <c r="H268" s="69">
        <f>H269+H273</f>
        <v>0</v>
      </c>
      <c r="I268" s="69">
        <f t="shared" si="65"/>
        <v>1300.2</v>
      </c>
      <c r="J268" s="69">
        <f>J269+J273</f>
        <v>0</v>
      </c>
      <c r="K268" s="84">
        <f t="shared" si="66"/>
        <v>1300.2</v>
      </c>
      <c r="L268" s="13">
        <f>L269+L273</f>
        <v>0</v>
      </c>
      <c r="M268" s="84">
        <f t="shared" si="61"/>
        <v>1300.2</v>
      </c>
      <c r="N268" s="13">
        <f>N269+N273</f>
        <v>0</v>
      </c>
      <c r="O268" s="84">
        <f t="shared" si="62"/>
        <v>1300.2</v>
      </c>
      <c r="P268" s="13">
        <f>P269+P273</f>
        <v>0</v>
      </c>
      <c r="Q268" s="84">
        <f t="shared" si="58"/>
        <v>1300.2</v>
      </c>
      <c r="R268" s="13">
        <f>R269+R273</f>
        <v>0</v>
      </c>
      <c r="S268" s="84">
        <f t="shared" si="59"/>
        <v>1300.2</v>
      </c>
      <c r="T268" s="13">
        <f>T269+T273</f>
        <v>0</v>
      </c>
      <c r="U268" s="84">
        <f t="shared" si="57"/>
        <v>1300.2</v>
      </c>
    </row>
    <row r="269" spans="1:21" s="128" customFormat="1" ht="49.5">
      <c r="A269" s="61" t="str">
        <f ca="1">IF(ISERROR(MATCH(E269,Код_КЦСР,0)),"",INDIRECT(ADDRESS(MATCH(E269,Код_КЦСР,0)+1,2,,,"КЦСР")))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69" s="126">
        <v>801</v>
      </c>
      <c r="C269" s="8" t="s">
        <v>214</v>
      </c>
      <c r="D269" s="8" t="s">
        <v>186</v>
      </c>
      <c r="E269" s="126" t="s">
        <v>382</v>
      </c>
      <c r="F269" s="126"/>
      <c r="G269" s="69">
        <f t="shared" ref="G269:T271" si="69">G270</f>
        <v>65</v>
      </c>
      <c r="H269" s="69">
        <f t="shared" si="69"/>
        <v>0</v>
      </c>
      <c r="I269" s="69">
        <f t="shared" si="65"/>
        <v>65</v>
      </c>
      <c r="J269" s="69">
        <f t="shared" si="69"/>
        <v>0</v>
      </c>
      <c r="K269" s="84">
        <f t="shared" si="66"/>
        <v>65</v>
      </c>
      <c r="L269" s="13">
        <f t="shared" si="69"/>
        <v>0</v>
      </c>
      <c r="M269" s="84">
        <f t="shared" si="61"/>
        <v>65</v>
      </c>
      <c r="N269" s="13">
        <f t="shared" si="69"/>
        <v>0</v>
      </c>
      <c r="O269" s="84">
        <f t="shared" si="62"/>
        <v>65</v>
      </c>
      <c r="P269" s="13">
        <f t="shared" si="69"/>
        <v>0</v>
      </c>
      <c r="Q269" s="84">
        <f t="shared" si="58"/>
        <v>65</v>
      </c>
      <c r="R269" s="13">
        <f t="shared" si="69"/>
        <v>0</v>
      </c>
      <c r="S269" s="84">
        <f t="shared" si="59"/>
        <v>65</v>
      </c>
      <c r="T269" s="13">
        <f t="shared" si="69"/>
        <v>0</v>
      </c>
      <c r="U269" s="84">
        <f t="shared" si="57"/>
        <v>65</v>
      </c>
    </row>
    <row r="270" spans="1:21" s="128" customFormat="1" ht="33">
      <c r="A270" s="61" t="str">
        <f ca="1">IF(ISERROR(MATCH(F270,Код_КВР,0)),"",INDIRECT(ADDRESS(MATCH(F270,Код_КВР,0)+1,2,,,"КВР")))</f>
        <v>Предоставление субсидий бюджетным, автономным учреждениям и иным некоммерческим организациям</v>
      </c>
      <c r="B270" s="126">
        <v>801</v>
      </c>
      <c r="C270" s="8" t="s">
        <v>214</v>
      </c>
      <c r="D270" s="8" t="s">
        <v>186</v>
      </c>
      <c r="E270" s="126" t="s">
        <v>382</v>
      </c>
      <c r="F270" s="126">
        <v>600</v>
      </c>
      <c r="G270" s="69">
        <f t="shared" si="69"/>
        <v>65</v>
      </c>
      <c r="H270" s="69">
        <f t="shared" si="69"/>
        <v>0</v>
      </c>
      <c r="I270" s="69">
        <f t="shared" si="65"/>
        <v>65</v>
      </c>
      <c r="J270" s="69">
        <f t="shared" si="69"/>
        <v>0</v>
      </c>
      <c r="K270" s="84">
        <f t="shared" si="66"/>
        <v>65</v>
      </c>
      <c r="L270" s="13">
        <f t="shared" si="69"/>
        <v>0</v>
      </c>
      <c r="M270" s="84">
        <f t="shared" si="61"/>
        <v>65</v>
      </c>
      <c r="N270" s="13">
        <f t="shared" si="69"/>
        <v>0</v>
      </c>
      <c r="O270" s="84">
        <f t="shared" si="62"/>
        <v>65</v>
      </c>
      <c r="P270" s="13">
        <f t="shared" si="69"/>
        <v>0</v>
      </c>
      <c r="Q270" s="84">
        <f t="shared" si="58"/>
        <v>65</v>
      </c>
      <c r="R270" s="13">
        <f t="shared" si="69"/>
        <v>0</v>
      </c>
      <c r="S270" s="84">
        <f t="shared" si="59"/>
        <v>65</v>
      </c>
      <c r="T270" s="13">
        <f t="shared" si="69"/>
        <v>0</v>
      </c>
      <c r="U270" s="84">
        <f t="shared" si="57"/>
        <v>65</v>
      </c>
    </row>
    <row r="271" spans="1:21" s="128" customFormat="1">
      <c r="A271" s="61" t="str">
        <f ca="1">IF(ISERROR(MATCH(F271,Код_КВР,0)),"",INDIRECT(ADDRESS(MATCH(F271,Код_КВР,0)+1,2,,,"КВР")))</f>
        <v>Субсидии бюджетным учреждениям</v>
      </c>
      <c r="B271" s="126">
        <v>801</v>
      </c>
      <c r="C271" s="8" t="s">
        <v>214</v>
      </c>
      <c r="D271" s="8" t="s">
        <v>186</v>
      </c>
      <c r="E271" s="126" t="s">
        <v>382</v>
      </c>
      <c r="F271" s="126">
        <v>610</v>
      </c>
      <c r="G271" s="69">
        <f t="shared" si="69"/>
        <v>65</v>
      </c>
      <c r="H271" s="69">
        <f t="shared" si="69"/>
        <v>0</v>
      </c>
      <c r="I271" s="69">
        <f t="shared" si="65"/>
        <v>65</v>
      </c>
      <c r="J271" s="69">
        <f t="shared" si="69"/>
        <v>0</v>
      </c>
      <c r="K271" s="84">
        <f t="shared" si="66"/>
        <v>65</v>
      </c>
      <c r="L271" s="13">
        <f t="shared" si="69"/>
        <v>0</v>
      </c>
      <c r="M271" s="84">
        <f t="shared" si="61"/>
        <v>65</v>
      </c>
      <c r="N271" s="13">
        <f t="shared" si="69"/>
        <v>0</v>
      </c>
      <c r="O271" s="84">
        <f t="shared" si="62"/>
        <v>65</v>
      </c>
      <c r="P271" s="13">
        <f t="shared" si="69"/>
        <v>0</v>
      </c>
      <c r="Q271" s="84">
        <f t="shared" si="58"/>
        <v>65</v>
      </c>
      <c r="R271" s="13">
        <f t="shared" si="69"/>
        <v>0</v>
      </c>
      <c r="S271" s="84">
        <f t="shared" si="59"/>
        <v>65</v>
      </c>
      <c r="T271" s="13">
        <f t="shared" si="69"/>
        <v>0</v>
      </c>
      <c r="U271" s="84">
        <f t="shared" si="57"/>
        <v>65</v>
      </c>
    </row>
    <row r="272" spans="1:21" s="128" customFormat="1">
      <c r="A272" s="61" t="str">
        <f ca="1">IF(ISERROR(MATCH(F272,Код_КВР,0)),"",INDIRECT(ADDRESS(MATCH(F272,Код_КВР,0)+1,2,,,"КВР")))</f>
        <v>Субсидии бюджетным учреждениям на иные цели</v>
      </c>
      <c r="B272" s="126">
        <v>801</v>
      </c>
      <c r="C272" s="8" t="s">
        <v>214</v>
      </c>
      <c r="D272" s="8" t="s">
        <v>186</v>
      </c>
      <c r="E272" s="126" t="s">
        <v>382</v>
      </c>
      <c r="F272" s="126">
        <v>612</v>
      </c>
      <c r="G272" s="69">
        <v>65</v>
      </c>
      <c r="H272" s="69"/>
      <c r="I272" s="69">
        <f t="shared" si="65"/>
        <v>65</v>
      </c>
      <c r="J272" s="69"/>
      <c r="K272" s="84">
        <f t="shared" si="66"/>
        <v>65</v>
      </c>
      <c r="L272" s="13"/>
      <c r="M272" s="84">
        <f t="shared" si="61"/>
        <v>65</v>
      </c>
      <c r="N272" s="13"/>
      <c r="O272" s="84">
        <f t="shared" si="62"/>
        <v>65</v>
      </c>
      <c r="P272" s="13"/>
      <c r="Q272" s="84">
        <f t="shared" si="58"/>
        <v>65</v>
      </c>
      <c r="R272" s="13"/>
      <c r="S272" s="84">
        <f t="shared" si="59"/>
        <v>65</v>
      </c>
      <c r="T272" s="13"/>
      <c r="U272" s="84">
        <f t="shared" si="57"/>
        <v>65</v>
      </c>
    </row>
    <row r="273" spans="1:21" s="128" customFormat="1" ht="33">
      <c r="A273" s="61" t="str">
        <f ca="1">IF(ISERROR(MATCH(E273,Код_КЦСР,0)),"",INDIRECT(ADDRESS(MATCH(E273,Код_КЦСР,0)+1,2,,,"КЦСР")))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73" s="126">
        <v>801</v>
      </c>
      <c r="C273" s="8" t="s">
        <v>214</v>
      </c>
      <c r="D273" s="8" t="s">
        <v>186</v>
      </c>
      <c r="E273" s="126" t="s">
        <v>384</v>
      </c>
      <c r="F273" s="126"/>
      <c r="G273" s="69">
        <f t="shared" ref="G273:T275" si="70">G274</f>
        <v>1235.2</v>
      </c>
      <c r="H273" s="69">
        <f t="shared" si="70"/>
        <v>0</v>
      </c>
      <c r="I273" s="69">
        <f t="shared" si="65"/>
        <v>1235.2</v>
      </c>
      <c r="J273" s="69">
        <f t="shared" si="70"/>
        <v>0</v>
      </c>
      <c r="K273" s="84">
        <f t="shared" si="66"/>
        <v>1235.2</v>
      </c>
      <c r="L273" s="13">
        <f t="shared" si="70"/>
        <v>0</v>
      </c>
      <c r="M273" s="84">
        <f t="shared" si="61"/>
        <v>1235.2</v>
      </c>
      <c r="N273" s="13">
        <f t="shared" si="70"/>
        <v>0</v>
      </c>
      <c r="O273" s="84">
        <f t="shared" si="62"/>
        <v>1235.2</v>
      </c>
      <c r="P273" s="13">
        <f t="shared" si="70"/>
        <v>0</v>
      </c>
      <c r="Q273" s="84">
        <f t="shared" si="58"/>
        <v>1235.2</v>
      </c>
      <c r="R273" s="13">
        <f t="shared" si="70"/>
        <v>0</v>
      </c>
      <c r="S273" s="84">
        <f t="shared" si="59"/>
        <v>1235.2</v>
      </c>
      <c r="T273" s="13">
        <f t="shared" si="70"/>
        <v>0</v>
      </c>
      <c r="U273" s="84">
        <f t="shared" si="57"/>
        <v>1235.2</v>
      </c>
    </row>
    <row r="274" spans="1:21" s="128" customFormat="1" ht="33">
      <c r="A274" s="61" t="str">
        <f ca="1">IF(ISERROR(MATCH(F274,Код_КВР,0)),"",INDIRECT(ADDRESS(MATCH(F274,Код_КВР,0)+1,2,,,"КВР")))</f>
        <v>Предоставление субсидий бюджетным, автономным учреждениям и иным некоммерческим организациям</v>
      </c>
      <c r="B274" s="126">
        <v>801</v>
      </c>
      <c r="C274" s="8" t="s">
        <v>214</v>
      </c>
      <c r="D274" s="8" t="s">
        <v>186</v>
      </c>
      <c r="E274" s="126" t="s">
        <v>384</v>
      </c>
      <c r="F274" s="126">
        <v>600</v>
      </c>
      <c r="G274" s="69">
        <f t="shared" si="70"/>
        <v>1235.2</v>
      </c>
      <c r="H274" s="69">
        <f t="shared" si="70"/>
        <v>0</v>
      </c>
      <c r="I274" s="69">
        <f t="shared" si="65"/>
        <v>1235.2</v>
      </c>
      <c r="J274" s="69">
        <f t="shared" si="70"/>
        <v>0</v>
      </c>
      <c r="K274" s="84">
        <f t="shared" si="66"/>
        <v>1235.2</v>
      </c>
      <c r="L274" s="13">
        <f t="shared" si="70"/>
        <v>0</v>
      </c>
      <c r="M274" s="84">
        <f t="shared" si="61"/>
        <v>1235.2</v>
      </c>
      <c r="N274" s="13">
        <f t="shared" si="70"/>
        <v>0</v>
      </c>
      <c r="O274" s="84">
        <f t="shared" si="62"/>
        <v>1235.2</v>
      </c>
      <c r="P274" s="13">
        <f t="shared" si="70"/>
        <v>0</v>
      </c>
      <c r="Q274" s="84">
        <f t="shared" si="58"/>
        <v>1235.2</v>
      </c>
      <c r="R274" s="13">
        <f t="shared" si="70"/>
        <v>0</v>
      </c>
      <c r="S274" s="84">
        <f t="shared" si="59"/>
        <v>1235.2</v>
      </c>
      <c r="T274" s="13">
        <f t="shared" si="70"/>
        <v>0</v>
      </c>
      <c r="U274" s="84">
        <f t="shared" si="57"/>
        <v>1235.2</v>
      </c>
    </row>
    <row r="275" spans="1:21" s="128" customFormat="1">
      <c r="A275" s="61" t="str">
        <f ca="1">IF(ISERROR(MATCH(F275,Код_КВР,0)),"",INDIRECT(ADDRESS(MATCH(F275,Код_КВР,0)+1,2,,,"КВР")))</f>
        <v>Субсидии бюджетным учреждениям</v>
      </c>
      <c r="B275" s="126">
        <v>801</v>
      </c>
      <c r="C275" s="8" t="s">
        <v>214</v>
      </c>
      <c r="D275" s="8" t="s">
        <v>186</v>
      </c>
      <c r="E275" s="126" t="s">
        <v>384</v>
      </c>
      <c r="F275" s="126">
        <v>610</v>
      </c>
      <c r="G275" s="69">
        <f t="shared" si="70"/>
        <v>1235.2</v>
      </c>
      <c r="H275" s="69">
        <f t="shared" si="70"/>
        <v>0</v>
      </c>
      <c r="I275" s="69">
        <f t="shared" si="65"/>
        <v>1235.2</v>
      </c>
      <c r="J275" s="69">
        <f t="shared" si="70"/>
        <v>0</v>
      </c>
      <c r="K275" s="84">
        <f t="shared" si="66"/>
        <v>1235.2</v>
      </c>
      <c r="L275" s="13">
        <f t="shared" si="70"/>
        <v>0</v>
      </c>
      <c r="M275" s="84">
        <f t="shared" si="61"/>
        <v>1235.2</v>
      </c>
      <c r="N275" s="13">
        <f t="shared" si="70"/>
        <v>0</v>
      </c>
      <c r="O275" s="84">
        <f t="shared" si="62"/>
        <v>1235.2</v>
      </c>
      <c r="P275" s="13">
        <f t="shared" si="70"/>
        <v>0</v>
      </c>
      <c r="Q275" s="84">
        <f t="shared" si="58"/>
        <v>1235.2</v>
      </c>
      <c r="R275" s="13">
        <f t="shared" si="70"/>
        <v>0</v>
      </c>
      <c r="S275" s="84">
        <f t="shared" si="59"/>
        <v>1235.2</v>
      </c>
      <c r="T275" s="13">
        <f t="shared" si="70"/>
        <v>0</v>
      </c>
      <c r="U275" s="84">
        <f t="shared" si="57"/>
        <v>1235.2</v>
      </c>
    </row>
    <row r="276" spans="1:21" s="128" customFormat="1">
      <c r="A276" s="61" t="str">
        <f ca="1">IF(ISERROR(MATCH(F276,Код_КВР,0)),"",INDIRECT(ADDRESS(MATCH(F276,Код_КВР,0)+1,2,,,"КВР")))</f>
        <v>Субсидии бюджетным учреждениям на иные цели</v>
      </c>
      <c r="B276" s="126">
        <v>801</v>
      </c>
      <c r="C276" s="8" t="s">
        <v>214</v>
      </c>
      <c r="D276" s="8" t="s">
        <v>186</v>
      </c>
      <c r="E276" s="126" t="s">
        <v>384</v>
      </c>
      <c r="F276" s="126">
        <v>612</v>
      </c>
      <c r="G276" s="69">
        <v>1235.2</v>
      </c>
      <c r="H276" s="69"/>
      <c r="I276" s="69">
        <f t="shared" si="65"/>
        <v>1235.2</v>
      </c>
      <c r="J276" s="69"/>
      <c r="K276" s="84">
        <f t="shared" si="66"/>
        <v>1235.2</v>
      </c>
      <c r="L276" s="13"/>
      <c r="M276" s="84">
        <f t="shared" si="61"/>
        <v>1235.2</v>
      </c>
      <c r="N276" s="13"/>
      <c r="O276" s="84">
        <f t="shared" si="62"/>
        <v>1235.2</v>
      </c>
      <c r="P276" s="13"/>
      <c r="Q276" s="84">
        <f t="shared" si="58"/>
        <v>1235.2</v>
      </c>
      <c r="R276" s="13"/>
      <c r="S276" s="84">
        <f t="shared" si="59"/>
        <v>1235.2</v>
      </c>
      <c r="T276" s="13"/>
      <c r="U276" s="84">
        <f t="shared" si="57"/>
        <v>1235.2</v>
      </c>
    </row>
    <row r="277" spans="1:21" s="128" customFormat="1">
      <c r="A277" s="12" t="s">
        <v>221</v>
      </c>
      <c r="B277" s="126">
        <v>801</v>
      </c>
      <c r="C277" s="8" t="s">
        <v>214</v>
      </c>
      <c r="D277" s="8" t="s">
        <v>194</v>
      </c>
      <c r="E277" s="126"/>
      <c r="F277" s="126"/>
      <c r="G277" s="69">
        <f>G278+G288+G298</f>
        <v>14908.7</v>
      </c>
      <c r="H277" s="69">
        <f>H278+H288+H298</f>
        <v>0</v>
      </c>
      <c r="I277" s="69">
        <f t="shared" si="65"/>
        <v>14908.7</v>
      </c>
      <c r="J277" s="69">
        <f>J278+J288+J298</f>
        <v>0</v>
      </c>
      <c r="K277" s="84">
        <f t="shared" si="66"/>
        <v>14908.7</v>
      </c>
      <c r="L277" s="13">
        <f>L278+L288+L298</f>
        <v>0</v>
      </c>
      <c r="M277" s="84">
        <f t="shared" si="61"/>
        <v>14908.7</v>
      </c>
      <c r="N277" s="13">
        <f>N278+N288+N298</f>
        <v>278</v>
      </c>
      <c r="O277" s="84">
        <f t="shared" si="62"/>
        <v>15186.7</v>
      </c>
      <c r="P277" s="13">
        <f>P278+P288+P298</f>
        <v>0</v>
      </c>
      <c r="Q277" s="84">
        <f t="shared" si="58"/>
        <v>15186.7</v>
      </c>
      <c r="R277" s="13">
        <f>R278+R288+R298</f>
        <v>312.60000000000002</v>
      </c>
      <c r="S277" s="84">
        <f t="shared" si="59"/>
        <v>15499.300000000001</v>
      </c>
      <c r="T277" s="13">
        <f>T278+T288+T298</f>
        <v>0</v>
      </c>
      <c r="U277" s="84">
        <f t="shared" si="57"/>
        <v>15499.300000000001</v>
      </c>
    </row>
    <row r="278" spans="1:21" s="128" customFormat="1" ht="33">
      <c r="A278" s="61" t="str">
        <f ca="1">IF(ISERROR(MATCH(E278,Код_КЦСР,0)),"",INDIRECT(ADDRESS(MATCH(E278,Код_КЦСР,0)+1,2,,,"КЦСР")))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78" s="126">
        <v>801</v>
      </c>
      <c r="C278" s="8" t="s">
        <v>214</v>
      </c>
      <c r="D278" s="8" t="s">
        <v>194</v>
      </c>
      <c r="E278" s="126" t="s">
        <v>546</v>
      </c>
      <c r="F278" s="126"/>
      <c r="G278" s="69">
        <f>G279+G282</f>
        <v>3117.5</v>
      </c>
      <c r="H278" s="69">
        <f>H279+H282</f>
        <v>0</v>
      </c>
      <c r="I278" s="69">
        <f t="shared" si="65"/>
        <v>3117.5</v>
      </c>
      <c r="J278" s="69">
        <f>J279+J282</f>
        <v>0</v>
      </c>
      <c r="K278" s="84">
        <f t="shared" si="66"/>
        <v>3117.5</v>
      </c>
      <c r="L278" s="13">
        <f>L279+L282</f>
        <v>0</v>
      </c>
      <c r="M278" s="84">
        <f t="shared" si="61"/>
        <v>3117.5</v>
      </c>
      <c r="N278" s="13">
        <f>N279+N282</f>
        <v>278</v>
      </c>
      <c r="O278" s="84">
        <f t="shared" si="62"/>
        <v>3395.5</v>
      </c>
      <c r="P278" s="13">
        <f>P279+P282</f>
        <v>0</v>
      </c>
      <c r="Q278" s="84">
        <f t="shared" si="58"/>
        <v>3395.5</v>
      </c>
      <c r="R278" s="13">
        <f>R279+R282+R285</f>
        <v>312.60000000000002</v>
      </c>
      <c r="S278" s="84">
        <f t="shared" si="59"/>
        <v>3708.1</v>
      </c>
      <c r="T278" s="13">
        <f>T279+T282+T285</f>
        <v>0</v>
      </c>
      <c r="U278" s="84">
        <f t="shared" si="57"/>
        <v>3708.1</v>
      </c>
    </row>
    <row r="279" spans="1:21" s="128" customFormat="1" ht="33">
      <c r="A279" s="61" t="str">
        <f ca="1">IF(ISERROR(MATCH(E279,Код_КЦСР,0)),"",INDIRECT(ADDRESS(MATCH(E279,Код_КЦСР,0)+1,2,,,"КЦСР")))</f>
        <v>Субсидии организациям, образующим инфраструктуру поддержки МСП: НП «Агентство Городского Развития»</v>
      </c>
      <c r="B279" s="126">
        <v>801</v>
      </c>
      <c r="C279" s="8" t="s">
        <v>214</v>
      </c>
      <c r="D279" s="8" t="s">
        <v>194</v>
      </c>
      <c r="E279" s="126" t="s">
        <v>548</v>
      </c>
      <c r="F279" s="126"/>
      <c r="G279" s="69">
        <f>G280</f>
        <v>3115</v>
      </c>
      <c r="H279" s="69">
        <f>H280</f>
        <v>0</v>
      </c>
      <c r="I279" s="69">
        <f t="shared" si="65"/>
        <v>3115</v>
      </c>
      <c r="J279" s="69">
        <f>J280</f>
        <v>0</v>
      </c>
      <c r="K279" s="84">
        <f t="shared" si="66"/>
        <v>3115</v>
      </c>
      <c r="L279" s="13">
        <f>L280</f>
        <v>0</v>
      </c>
      <c r="M279" s="84">
        <f t="shared" si="61"/>
        <v>3115</v>
      </c>
      <c r="N279" s="13">
        <f>N280</f>
        <v>278</v>
      </c>
      <c r="O279" s="84">
        <f t="shared" si="62"/>
        <v>3393</v>
      </c>
      <c r="P279" s="13">
        <f>P280</f>
        <v>0</v>
      </c>
      <c r="Q279" s="84">
        <f t="shared" si="58"/>
        <v>3393</v>
      </c>
      <c r="R279" s="13">
        <f>R280</f>
        <v>0</v>
      </c>
      <c r="S279" s="84">
        <f t="shared" si="59"/>
        <v>3393</v>
      </c>
      <c r="T279" s="13">
        <f>T280</f>
        <v>0</v>
      </c>
      <c r="U279" s="84">
        <f t="shared" si="57"/>
        <v>3393</v>
      </c>
    </row>
    <row r="280" spans="1:21" s="128" customFormat="1" ht="33">
      <c r="A280" s="61" t="str">
        <f ca="1">IF(ISERROR(MATCH(F280,Код_КВР,0)),"",INDIRECT(ADDRESS(MATCH(F280,Код_КВР,0)+1,2,,,"КВР")))</f>
        <v>Предоставление субсидий бюджетным, автономным учреждениям и иным некоммерческим организациям</v>
      </c>
      <c r="B280" s="126">
        <v>801</v>
      </c>
      <c r="C280" s="8" t="s">
        <v>214</v>
      </c>
      <c r="D280" s="8" t="s">
        <v>194</v>
      </c>
      <c r="E280" s="126" t="s">
        <v>548</v>
      </c>
      <c r="F280" s="126">
        <v>600</v>
      </c>
      <c r="G280" s="69">
        <f>G281</f>
        <v>3115</v>
      </c>
      <c r="H280" s="69">
        <f>H281</f>
        <v>0</v>
      </c>
      <c r="I280" s="69">
        <f t="shared" si="65"/>
        <v>3115</v>
      </c>
      <c r="J280" s="69">
        <f>J281</f>
        <v>0</v>
      </c>
      <c r="K280" s="84">
        <f t="shared" si="66"/>
        <v>3115</v>
      </c>
      <c r="L280" s="13">
        <f>L281</f>
        <v>0</v>
      </c>
      <c r="M280" s="84">
        <f t="shared" si="61"/>
        <v>3115</v>
      </c>
      <c r="N280" s="13">
        <f>N281</f>
        <v>278</v>
      </c>
      <c r="O280" s="84">
        <f t="shared" si="62"/>
        <v>3393</v>
      </c>
      <c r="P280" s="13">
        <f>P281</f>
        <v>0</v>
      </c>
      <c r="Q280" s="84">
        <f t="shared" si="58"/>
        <v>3393</v>
      </c>
      <c r="R280" s="13">
        <f>R281</f>
        <v>0</v>
      </c>
      <c r="S280" s="84">
        <f t="shared" si="59"/>
        <v>3393</v>
      </c>
      <c r="T280" s="13">
        <f>T281</f>
        <v>0</v>
      </c>
      <c r="U280" s="84">
        <f t="shared" si="57"/>
        <v>3393</v>
      </c>
    </row>
    <row r="281" spans="1:21" s="128" customFormat="1" ht="33">
      <c r="A281" s="61" t="str">
        <f ca="1">IF(ISERROR(MATCH(F281,Код_КВР,0)),"",INDIRECT(ADDRESS(MATCH(F281,Код_КВР,0)+1,2,,,"КВР")))</f>
        <v>Субсидии некоммерческим организациям (за исключением государственных (муниципальных) учреждений)</v>
      </c>
      <c r="B281" s="126">
        <v>801</v>
      </c>
      <c r="C281" s="8" t="s">
        <v>214</v>
      </c>
      <c r="D281" s="8" t="s">
        <v>194</v>
      </c>
      <c r="E281" s="126" t="s">
        <v>548</v>
      </c>
      <c r="F281" s="126">
        <v>630</v>
      </c>
      <c r="G281" s="69">
        <v>3115</v>
      </c>
      <c r="H281" s="69"/>
      <c r="I281" s="69">
        <f t="shared" si="65"/>
        <v>3115</v>
      </c>
      <c r="J281" s="69"/>
      <c r="K281" s="84">
        <f t="shared" si="66"/>
        <v>3115</v>
      </c>
      <c r="L281" s="13"/>
      <c r="M281" s="84">
        <f t="shared" si="61"/>
        <v>3115</v>
      </c>
      <c r="N281" s="13">
        <v>278</v>
      </c>
      <c r="O281" s="84">
        <f t="shared" si="62"/>
        <v>3393</v>
      </c>
      <c r="P281" s="13"/>
      <c r="Q281" s="84">
        <f t="shared" si="58"/>
        <v>3393</v>
      </c>
      <c r="R281" s="13"/>
      <c r="S281" s="84">
        <f t="shared" si="59"/>
        <v>3393</v>
      </c>
      <c r="T281" s="13"/>
      <c r="U281" s="84">
        <f t="shared" si="57"/>
        <v>3393</v>
      </c>
    </row>
    <row r="282" spans="1:21" s="128" customFormat="1" ht="33">
      <c r="A282" s="61" t="str">
        <f ca="1">IF(ISERROR(MATCH(E282,Код_КЦСР,0)),"",INDIRECT(ADDRESS(MATCH(E282,Код_КЦСР,0)+1,2,,,"КЦСР")))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82" s="126">
        <v>801</v>
      </c>
      <c r="C282" s="8" t="s">
        <v>214</v>
      </c>
      <c r="D282" s="8" t="s">
        <v>194</v>
      </c>
      <c r="E282" s="126" t="s">
        <v>550</v>
      </c>
      <c r="F282" s="126"/>
      <c r="G282" s="69">
        <f>G283</f>
        <v>2.5</v>
      </c>
      <c r="H282" s="69">
        <f>H283</f>
        <v>0</v>
      </c>
      <c r="I282" s="69">
        <f t="shared" si="65"/>
        <v>2.5</v>
      </c>
      <c r="J282" s="69">
        <f>J283</f>
        <v>0</v>
      </c>
      <c r="K282" s="84">
        <f t="shared" si="66"/>
        <v>2.5</v>
      </c>
      <c r="L282" s="13">
        <f>L283</f>
        <v>0</v>
      </c>
      <c r="M282" s="84">
        <f t="shared" si="61"/>
        <v>2.5</v>
      </c>
      <c r="N282" s="13">
        <f>N283</f>
        <v>0</v>
      </c>
      <c r="O282" s="84">
        <f t="shared" si="62"/>
        <v>2.5</v>
      </c>
      <c r="P282" s="13">
        <f>P283</f>
        <v>0</v>
      </c>
      <c r="Q282" s="84">
        <f t="shared" si="58"/>
        <v>2.5</v>
      </c>
      <c r="R282" s="13">
        <f>R283</f>
        <v>0</v>
      </c>
      <c r="S282" s="84">
        <f t="shared" si="59"/>
        <v>2.5</v>
      </c>
      <c r="T282" s="13">
        <f>T283</f>
        <v>0</v>
      </c>
      <c r="U282" s="84">
        <f t="shared" ref="U282:U347" si="71">S282+T282</f>
        <v>2.5</v>
      </c>
    </row>
    <row r="283" spans="1:21" s="128" customFormat="1" ht="33">
      <c r="A283" s="61" t="str">
        <f ca="1">IF(ISERROR(MATCH(F283,Код_КВР,0)),"",INDIRECT(ADDRESS(MATCH(F283,Код_КВР,0)+1,2,,,"КВР")))</f>
        <v>Предоставление субсидий бюджетным, автономным учреждениям и иным некоммерческим организациям</v>
      </c>
      <c r="B283" s="126">
        <v>801</v>
      </c>
      <c r="C283" s="8" t="s">
        <v>214</v>
      </c>
      <c r="D283" s="8" t="s">
        <v>194</v>
      </c>
      <c r="E283" s="126" t="s">
        <v>550</v>
      </c>
      <c r="F283" s="126">
        <v>600</v>
      </c>
      <c r="G283" s="69">
        <f>G284</f>
        <v>2.5</v>
      </c>
      <c r="H283" s="69">
        <f>H284</f>
        <v>0</v>
      </c>
      <c r="I283" s="69">
        <f t="shared" si="65"/>
        <v>2.5</v>
      </c>
      <c r="J283" s="69">
        <f>J284</f>
        <v>0</v>
      </c>
      <c r="K283" s="84">
        <f t="shared" si="66"/>
        <v>2.5</v>
      </c>
      <c r="L283" s="13">
        <f>L284</f>
        <v>0</v>
      </c>
      <c r="M283" s="84">
        <f t="shared" si="61"/>
        <v>2.5</v>
      </c>
      <c r="N283" s="13">
        <f>N284</f>
        <v>0</v>
      </c>
      <c r="O283" s="84">
        <f t="shared" si="62"/>
        <v>2.5</v>
      </c>
      <c r="P283" s="13">
        <f>P284</f>
        <v>0</v>
      </c>
      <c r="Q283" s="84">
        <f t="shared" si="58"/>
        <v>2.5</v>
      </c>
      <c r="R283" s="13">
        <f>R284</f>
        <v>0</v>
      </c>
      <c r="S283" s="84">
        <f t="shared" si="59"/>
        <v>2.5</v>
      </c>
      <c r="T283" s="13">
        <f>T284</f>
        <v>0</v>
      </c>
      <c r="U283" s="84">
        <f t="shared" si="71"/>
        <v>2.5</v>
      </c>
    </row>
    <row r="284" spans="1:21" s="128" customFormat="1" ht="41.25" customHeight="1">
      <c r="A284" s="61" t="str">
        <f ca="1">IF(ISERROR(MATCH(F284,Код_КВР,0)),"",INDIRECT(ADDRESS(MATCH(F284,Код_КВР,0)+1,2,,,"КВР")))</f>
        <v>Субсидии некоммерческим организациям (за исключением государственных (муниципальных) учреждений)</v>
      </c>
      <c r="B284" s="126">
        <v>801</v>
      </c>
      <c r="C284" s="8" t="s">
        <v>214</v>
      </c>
      <c r="D284" s="8" t="s">
        <v>194</v>
      </c>
      <c r="E284" s="126" t="s">
        <v>550</v>
      </c>
      <c r="F284" s="126">
        <v>630</v>
      </c>
      <c r="G284" s="69">
        <v>2.5</v>
      </c>
      <c r="H284" s="69"/>
      <c r="I284" s="69">
        <f t="shared" si="65"/>
        <v>2.5</v>
      </c>
      <c r="J284" s="69"/>
      <c r="K284" s="84">
        <f t="shared" si="66"/>
        <v>2.5</v>
      </c>
      <c r="L284" s="13"/>
      <c r="M284" s="84">
        <f t="shared" si="61"/>
        <v>2.5</v>
      </c>
      <c r="N284" s="13"/>
      <c r="O284" s="84">
        <f t="shared" si="62"/>
        <v>2.5</v>
      </c>
      <c r="P284" s="13"/>
      <c r="Q284" s="84">
        <f t="shared" si="58"/>
        <v>2.5</v>
      </c>
      <c r="R284" s="13"/>
      <c r="S284" s="84">
        <f t="shared" si="59"/>
        <v>2.5</v>
      </c>
      <c r="T284" s="13"/>
      <c r="U284" s="84">
        <f t="shared" si="71"/>
        <v>2.5</v>
      </c>
    </row>
    <row r="285" spans="1:21" s="128" customFormat="1" ht="60.75" customHeight="1">
      <c r="A285" s="61" t="str">
        <f ca="1">IF(ISERROR(MATCH(E285,Код_КЦСР,0)),"",INDIRECT(ADDRESS(MATCH(E285,Код_КЦСР,0)+1,2,,,"КЦСР")))</f>
        <v>Государственная поддержка малого и среднего предпринимательства, включая крестьянские (фермерские) хозяйства, за счет субсидий из федерального бюджета</v>
      </c>
      <c r="B285" s="126">
        <v>801</v>
      </c>
      <c r="C285" s="8" t="s">
        <v>214</v>
      </c>
      <c r="D285" s="8" t="s">
        <v>194</v>
      </c>
      <c r="E285" s="126" t="s">
        <v>639</v>
      </c>
      <c r="F285" s="126"/>
      <c r="G285" s="69"/>
      <c r="H285" s="69"/>
      <c r="I285" s="69"/>
      <c r="J285" s="69"/>
      <c r="K285" s="84"/>
      <c r="L285" s="13"/>
      <c r="M285" s="84"/>
      <c r="N285" s="13"/>
      <c r="O285" s="84"/>
      <c r="P285" s="13"/>
      <c r="Q285" s="84"/>
      <c r="R285" s="13">
        <f>R286</f>
        <v>312.60000000000002</v>
      </c>
      <c r="S285" s="84">
        <f t="shared" si="59"/>
        <v>312.60000000000002</v>
      </c>
      <c r="T285" s="13">
        <f>T286</f>
        <v>0</v>
      </c>
      <c r="U285" s="84">
        <f t="shared" si="71"/>
        <v>312.60000000000002</v>
      </c>
    </row>
    <row r="286" spans="1:21" s="128" customFormat="1" ht="21.95" customHeight="1">
      <c r="A286" s="61" t="str">
        <f ca="1">IF(ISERROR(MATCH(F286,Код_КВР,0)),"",INDIRECT(ADDRESS(MATCH(F286,Код_КВР,0)+1,2,,,"КВР")))</f>
        <v>Иные бюджетные ассигнования</v>
      </c>
      <c r="B286" s="126">
        <v>801</v>
      </c>
      <c r="C286" s="8" t="s">
        <v>214</v>
      </c>
      <c r="D286" s="8" t="s">
        <v>194</v>
      </c>
      <c r="E286" s="126" t="s">
        <v>639</v>
      </c>
      <c r="F286" s="126">
        <v>800</v>
      </c>
      <c r="G286" s="69"/>
      <c r="H286" s="69"/>
      <c r="I286" s="69"/>
      <c r="J286" s="69"/>
      <c r="K286" s="84"/>
      <c r="L286" s="13"/>
      <c r="M286" s="84"/>
      <c r="N286" s="13"/>
      <c r="O286" s="84"/>
      <c r="P286" s="13"/>
      <c r="Q286" s="84"/>
      <c r="R286" s="13">
        <f>R287</f>
        <v>312.60000000000002</v>
      </c>
      <c r="S286" s="84">
        <f t="shared" si="59"/>
        <v>312.60000000000002</v>
      </c>
      <c r="T286" s="13">
        <f>T287</f>
        <v>0</v>
      </c>
      <c r="U286" s="84">
        <f t="shared" si="71"/>
        <v>312.60000000000002</v>
      </c>
    </row>
    <row r="287" spans="1:21" s="128" customFormat="1" ht="33">
      <c r="A287" s="61" t="str">
        <f ca="1">IF(ISERROR(MATCH(F287,Код_КВР,0)),"",INDIRECT(ADDRESS(MATCH(F287,Код_КВР,0)+1,2,,,"КВР")))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87" s="126">
        <v>801</v>
      </c>
      <c r="C287" s="8" t="s">
        <v>214</v>
      </c>
      <c r="D287" s="8" t="s">
        <v>194</v>
      </c>
      <c r="E287" s="126" t="s">
        <v>639</v>
      </c>
      <c r="F287" s="126">
        <v>810</v>
      </c>
      <c r="G287" s="69"/>
      <c r="H287" s="69"/>
      <c r="I287" s="69"/>
      <c r="J287" s="69"/>
      <c r="K287" s="84"/>
      <c r="L287" s="13"/>
      <c r="M287" s="84"/>
      <c r="N287" s="13"/>
      <c r="O287" s="84"/>
      <c r="P287" s="13"/>
      <c r="Q287" s="84"/>
      <c r="R287" s="13">
        <f>312.6</f>
        <v>312.60000000000002</v>
      </c>
      <c r="S287" s="84">
        <f t="shared" si="59"/>
        <v>312.60000000000002</v>
      </c>
      <c r="T287" s="13"/>
      <c r="U287" s="84">
        <f t="shared" si="71"/>
        <v>312.60000000000002</v>
      </c>
    </row>
    <row r="288" spans="1:21" s="128" customFormat="1" ht="33">
      <c r="A288" s="61" t="str">
        <f ca="1">IF(ISERROR(MATCH(E288,Код_КЦСР,0)),"",INDIRECT(ADDRESS(MATCH(E288,Код_КЦСР,0)+1,2,,,"КЦСР")))</f>
        <v>Муниципальная программа «Повышение инвестиционной привлекательности города Череповца» на 2014-2018 годы</v>
      </c>
      <c r="B288" s="126">
        <v>801</v>
      </c>
      <c r="C288" s="8" t="s">
        <v>214</v>
      </c>
      <c r="D288" s="8" t="s">
        <v>194</v>
      </c>
      <c r="E288" s="126" t="s">
        <v>552</v>
      </c>
      <c r="F288" s="126"/>
      <c r="G288" s="69">
        <f>G289+G292+G295</f>
        <v>11791.2</v>
      </c>
      <c r="H288" s="69">
        <f>H289+H292+H295</f>
        <v>0</v>
      </c>
      <c r="I288" s="69">
        <f t="shared" si="65"/>
        <v>11791.2</v>
      </c>
      <c r="J288" s="69">
        <f>J289+J292+J295</f>
        <v>0</v>
      </c>
      <c r="K288" s="84">
        <f t="shared" si="66"/>
        <v>11791.2</v>
      </c>
      <c r="L288" s="13">
        <f>L289+L292+L295</f>
        <v>0</v>
      </c>
      <c r="M288" s="84">
        <f t="shared" si="61"/>
        <v>11791.2</v>
      </c>
      <c r="N288" s="13">
        <f>N289+N292+N295</f>
        <v>0</v>
      </c>
      <c r="O288" s="84">
        <f t="shared" si="62"/>
        <v>11791.2</v>
      </c>
      <c r="P288" s="13">
        <f>P289+P292+P295</f>
        <v>0</v>
      </c>
      <c r="Q288" s="84">
        <f t="shared" si="58"/>
        <v>11791.2</v>
      </c>
      <c r="R288" s="13">
        <f>R289+R292+R295</f>
        <v>0</v>
      </c>
      <c r="S288" s="84">
        <f t="shared" si="59"/>
        <v>11791.2</v>
      </c>
      <c r="T288" s="13">
        <f>T289+T292+T295</f>
        <v>0</v>
      </c>
      <c r="U288" s="84">
        <f t="shared" si="71"/>
        <v>11791.2</v>
      </c>
    </row>
    <row r="289" spans="1:22" s="128" customFormat="1" ht="21.95" customHeight="1">
      <c r="A289" s="61" t="str">
        <f ca="1">IF(ISERROR(MATCH(E289,Код_КЦСР,0)),"",INDIRECT(ADDRESS(MATCH(E289,Код_КЦСР,0)+1,2,,,"КЦСР")))</f>
        <v>Стимулирование экономического роста путем привлечения инвесторов</v>
      </c>
      <c r="B289" s="126">
        <v>801</v>
      </c>
      <c r="C289" s="8" t="s">
        <v>214</v>
      </c>
      <c r="D289" s="8" t="s">
        <v>194</v>
      </c>
      <c r="E289" s="126" t="s">
        <v>554</v>
      </c>
      <c r="F289" s="126"/>
      <c r="G289" s="69">
        <f>G290</f>
        <v>5549.9</v>
      </c>
      <c r="H289" s="69">
        <f>H290</f>
        <v>0</v>
      </c>
      <c r="I289" s="69">
        <f t="shared" si="65"/>
        <v>5549.9</v>
      </c>
      <c r="J289" s="69">
        <f>J290</f>
        <v>0</v>
      </c>
      <c r="K289" s="84">
        <f t="shared" si="66"/>
        <v>5549.9</v>
      </c>
      <c r="L289" s="13">
        <f>L290</f>
        <v>0</v>
      </c>
      <c r="M289" s="84">
        <f t="shared" si="61"/>
        <v>5549.9</v>
      </c>
      <c r="N289" s="13">
        <f>N290</f>
        <v>0</v>
      </c>
      <c r="O289" s="84">
        <f t="shared" si="62"/>
        <v>5549.9</v>
      </c>
      <c r="P289" s="13">
        <f>P290</f>
        <v>0</v>
      </c>
      <c r="Q289" s="84">
        <f t="shared" si="58"/>
        <v>5549.9</v>
      </c>
      <c r="R289" s="13">
        <f>R290</f>
        <v>0</v>
      </c>
      <c r="S289" s="84">
        <f t="shared" si="59"/>
        <v>5549.9</v>
      </c>
      <c r="T289" s="13">
        <f>T290</f>
        <v>0</v>
      </c>
      <c r="U289" s="84">
        <f t="shared" si="71"/>
        <v>5549.9</v>
      </c>
    </row>
    <row r="290" spans="1:22" s="128" customFormat="1" ht="33">
      <c r="A290" s="61" t="str">
        <f ca="1">IF(ISERROR(MATCH(F290,Код_КВР,0)),"",INDIRECT(ADDRESS(MATCH(F290,Код_КВР,0)+1,2,,,"КВР")))</f>
        <v>Предоставление субсидий бюджетным, автономным учреждениям и иным некоммерческим организациям</v>
      </c>
      <c r="B290" s="126">
        <v>801</v>
      </c>
      <c r="C290" s="8" t="s">
        <v>214</v>
      </c>
      <c r="D290" s="8" t="s">
        <v>194</v>
      </c>
      <c r="E290" s="126" t="s">
        <v>554</v>
      </c>
      <c r="F290" s="126">
        <v>600</v>
      </c>
      <c r="G290" s="69">
        <f>G291</f>
        <v>5549.9</v>
      </c>
      <c r="H290" s="69">
        <f>H291</f>
        <v>0</v>
      </c>
      <c r="I290" s="69">
        <f t="shared" si="65"/>
        <v>5549.9</v>
      </c>
      <c r="J290" s="69">
        <f>J291</f>
        <v>0</v>
      </c>
      <c r="K290" s="84">
        <f t="shared" si="66"/>
        <v>5549.9</v>
      </c>
      <c r="L290" s="13">
        <f>L291</f>
        <v>0</v>
      </c>
      <c r="M290" s="84">
        <f t="shared" si="61"/>
        <v>5549.9</v>
      </c>
      <c r="N290" s="13">
        <f>N291</f>
        <v>0</v>
      </c>
      <c r="O290" s="84">
        <f t="shared" si="62"/>
        <v>5549.9</v>
      </c>
      <c r="P290" s="13">
        <f>P291</f>
        <v>0</v>
      </c>
      <c r="Q290" s="84">
        <f t="shared" si="58"/>
        <v>5549.9</v>
      </c>
      <c r="R290" s="13">
        <f>R291</f>
        <v>0</v>
      </c>
      <c r="S290" s="84">
        <f t="shared" si="59"/>
        <v>5549.9</v>
      </c>
      <c r="T290" s="13">
        <f>T291</f>
        <v>0</v>
      </c>
      <c r="U290" s="84">
        <f t="shared" si="71"/>
        <v>5549.9</v>
      </c>
    </row>
    <row r="291" spans="1:22" s="128" customFormat="1" ht="33">
      <c r="A291" s="61" t="str">
        <f ca="1">IF(ISERROR(MATCH(F291,Код_КВР,0)),"",INDIRECT(ADDRESS(MATCH(F291,Код_КВР,0)+1,2,,,"КВР")))</f>
        <v>Субсидии некоммерческим организациям (за исключением государственных (муниципальных) учреждений)</v>
      </c>
      <c r="B291" s="126">
        <v>801</v>
      </c>
      <c r="C291" s="8" t="s">
        <v>214</v>
      </c>
      <c r="D291" s="8" t="s">
        <v>194</v>
      </c>
      <c r="E291" s="126" t="s">
        <v>554</v>
      </c>
      <c r="F291" s="126">
        <v>630</v>
      </c>
      <c r="G291" s="69">
        <v>5549.9</v>
      </c>
      <c r="H291" s="69"/>
      <c r="I291" s="69">
        <f t="shared" si="65"/>
        <v>5549.9</v>
      </c>
      <c r="J291" s="69"/>
      <c r="K291" s="84">
        <f t="shared" si="66"/>
        <v>5549.9</v>
      </c>
      <c r="L291" s="13"/>
      <c r="M291" s="84">
        <f t="shared" si="61"/>
        <v>5549.9</v>
      </c>
      <c r="N291" s="13"/>
      <c r="O291" s="84">
        <f t="shared" si="62"/>
        <v>5549.9</v>
      </c>
      <c r="P291" s="13"/>
      <c r="Q291" s="84">
        <f t="shared" si="58"/>
        <v>5549.9</v>
      </c>
      <c r="R291" s="13"/>
      <c r="S291" s="84">
        <f t="shared" ref="S291:S360" si="72">Q291+R291</f>
        <v>5549.9</v>
      </c>
      <c r="T291" s="13"/>
      <c r="U291" s="84">
        <f t="shared" si="71"/>
        <v>5549.9</v>
      </c>
    </row>
    <row r="292" spans="1:22" s="128" customFormat="1" ht="33">
      <c r="A292" s="61" t="str">
        <f ca="1">IF(ISERROR(MATCH(E292,Код_КЦСР,0)),"",INDIRECT(ADDRESS(MATCH(E292,Код_КЦСР,0)+1,2,,,"КЦСР")))</f>
        <v>Информационное и нормативно-правовое сопровождение инвестиционной деятельности</v>
      </c>
      <c r="B292" s="126">
        <v>801</v>
      </c>
      <c r="C292" s="8" t="s">
        <v>214</v>
      </c>
      <c r="D292" s="8" t="s">
        <v>194</v>
      </c>
      <c r="E292" s="126" t="s">
        <v>556</v>
      </c>
      <c r="F292" s="126"/>
      <c r="G292" s="69">
        <f>G293</f>
        <v>2874.8</v>
      </c>
      <c r="H292" s="69">
        <f>H293</f>
        <v>0</v>
      </c>
      <c r="I292" s="69">
        <f t="shared" si="65"/>
        <v>2874.8</v>
      </c>
      <c r="J292" s="69">
        <f>J293</f>
        <v>0</v>
      </c>
      <c r="K292" s="84">
        <f t="shared" si="66"/>
        <v>2874.8</v>
      </c>
      <c r="L292" s="13">
        <f>L293</f>
        <v>0</v>
      </c>
      <c r="M292" s="84">
        <f t="shared" si="61"/>
        <v>2874.8</v>
      </c>
      <c r="N292" s="13">
        <f>N293</f>
        <v>0</v>
      </c>
      <c r="O292" s="84">
        <f t="shared" si="62"/>
        <v>2874.8</v>
      </c>
      <c r="P292" s="13">
        <f>P293</f>
        <v>0</v>
      </c>
      <c r="Q292" s="84">
        <f t="shared" si="58"/>
        <v>2874.8</v>
      </c>
      <c r="R292" s="13">
        <f>R293</f>
        <v>0</v>
      </c>
      <c r="S292" s="84">
        <f t="shared" si="72"/>
        <v>2874.8</v>
      </c>
      <c r="T292" s="13">
        <f>T293</f>
        <v>0</v>
      </c>
      <c r="U292" s="84">
        <f t="shared" si="71"/>
        <v>2874.8</v>
      </c>
    </row>
    <row r="293" spans="1:22" s="128" customFormat="1" ht="33">
      <c r="A293" s="61" t="str">
        <f ca="1">IF(ISERROR(MATCH(F293,Код_КВР,0)),"",INDIRECT(ADDRESS(MATCH(F293,Код_КВР,0)+1,2,,,"КВР")))</f>
        <v>Предоставление субсидий бюджетным, автономным учреждениям и иным некоммерческим организациям</v>
      </c>
      <c r="B293" s="126">
        <v>801</v>
      </c>
      <c r="C293" s="8" t="s">
        <v>214</v>
      </c>
      <c r="D293" s="8" t="s">
        <v>194</v>
      </c>
      <c r="E293" s="126" t="s">
        <v>556</v>
      </c>
      <c r="F293" s="126">
        <v>600</v>
      </c>
      <c r="G293" s="69">
        <f>G294</f>
        <v>2874.8</v>
      </c>
      <c r="H293" s="69">
        <f>H294</f>
        <v>0</v>
      </c>
      <c r="I293" s="69">
        <f t="shared" si="65"/>
        <v>2874.8</v>
      </c>
      <c r="J293" s="69">
        <f>J294</f>
        <v>0</v>
      </c>
      <c r="K293" s="84">
        <f t="shared" si="66"/>
        <v>2874.8</v>
      </c>
      <c r="L293" s="13">
        <f>L294</f>
        <v>0</v>
      </c>
      <c r="M293" s="84">
        <f t="shared" si="61"/>
        <v>2874.8</v>
      </c>
      <c r="N293" s="13">
        <f>N294</f>
        <v>0</v>
      </c>
      <c r="O293" s="84">
        <f t="shared" si="62"/>
        <v>2874.8</v>
      </c>
      <c r="P293" s="13">
        <f>P294</f>
        <v>0</v>
      </c>
      <c r="Q293" s="84">
        <f t="shared" si="58"/>
        <v>2874.8</v>
      </c>
      <c r="R293" s="13">
        <f>R294</f>
        <v>0</v>
      </c>
      <c r="S293" s="84">
        <f t="shared" si="72"/>
        <v>2874.8</v>
      </c>
      <c r="T293" s="13">
        <f>T294</f>
        <v>0</v>
      </c>
      <c r="U293" s="84">
        <f t="shared" si="71"/>
        <v>2874.8</v>
      </c>
    </row>
    <row r="294" spans="1:22" s="128" customFormat="1" ht="33">
      <c r="A294" s="61" t="str">
        <f ca="1">IF(ISERROR(MATCH(F294,Код_КВР,0)),"",INDIRECT(ADDRESS(MATCH(F294,Код_КВР,0)+1,2,,,"КВР")))</f>
        <v>Субсидии некоммерческим организациям (за исключением государственных (муниципальных) учреждений)</v>
      </c>
      <c r="B294" s="126">
        <v>801</v>
      </c>
      <c r="C294" s="8" t="s">
        <v>214</v>
      </c>
      <c r="D294" s="8" t="s">
        <v>194</v>
      </c>
      <c r="E294" s="126" t="s">
        <v>556</v>
      </c>
      <c r="F294" s="126">
        <v>630</v>
      </c>
      <c r="G294" s="69">
        <v>2874.8</v>
      </c>
      <c r="H294" s="69"/>
      <c r="I294" s="69">
        <f t="shared" si="65"/>
        <v>2874.8</v>
      </c>
      <c r="J294" s="69"/>
      <c r="K294" s="84">
        <f t="shared" si="66"/>
        <v>2874.8</v>
      </c>
      <c r="L294" s="13"/>
      <c r="M294" s="84">
        <f t="shared" si="61"/>
        <v>2874.8</v>
      </c>
      <c r="N294" s="13"/>
      <c r="O294" s="84">
        <f t="shared" si="62"/>
        <v>2874.8</v>
      </c>
      <c r="P294" s="13"/>
      <c r="Q294" s="84">
        <f t="shared" si="58"/>
        <v>2874.8</v>
      </c>
      <c r="R294" s="13"/>
      <c r="S294" s="84">
        <f t="shared" si="72"/>
        <v>2874.8</v>
      </c>
      <c r="T294" s="13"/>
      <c r="U294" s="84">
        <f t="shared" si="71"/>
        <v>2874.8</v>
      </c>
    </row>
    <row r="295" spans="1:22" s="128" customFormat="1">
      <c r="A295" s="61" t="str">
        <f ca="1">IF(ISERROR(MATCH(E295,Код_КЦСР,0)),"",INDIRECT(ADDRESS(MATCH(E295,Код_КЦСР,0)+1,2,,,"КЦСР")))</f>
        <v>Комплексное сопровождение инвестиционных проектов</v>
      </c>
      <c r="B295" s="126">
        <v>801</v>
      </c>
      <c r="C295" s="8" t="s">
        <v>214</v>
      </c>
      <c r="D295" s="8" t="s">
        <v>194</v>
      </c>
      <c r="E295" s="126" t="s">
        <v>558</v>
      </c>
      <c r="F295" s="126"/>
      <c r="G295" s="69">
        <f>G296</f>
        <v>3366.5</v>
      </c>
      <c r="H295" s="69">
        <f>H296</f>
        <v>0</v>
      </c>
      <c r="I295" s="69">
        <f t="shared" si="65"/>
        <v>3366.5</v>
      </c>
      <c r="J295" s="69">
        <f>J296</f>
        <v>0</v>
      </c>
      <c r="K295" s="84">
        <f t="shared" si="66"/>
        <v>3366.5</v>
      </c>
      <c r="L295" s="13">
        <f>L296</f>
        <v>0</v>
      </c>
      <c r="M295" s="84">
        <f t="shared" si="61"/>
        <v>3366.5</v>
      </c>
      <c r="N295" s="13">
        <f>N296</f>
        <v>0</v>
      </c>
      <c r="O295" s="84">
        <f t="shared" si="62"/>
        <v>3366.5</v>
      </c>
      <c r="P295" s="13">
        <f>P296</f>
        <v>0</v>
      </c>
      <c r="Q295" s="84">
        <f t="shared" si="58"/>
        <v>3366.5</v>
      </c>
      <c r="R295" s="13">
        <f>R296</f>
        <v>0</v>
      </c>
      <c r="S295" s="84">
        <f t="shared" si="72"/>
        <v>3366.5</v>
      </c>
      <c r="T295" s="13">
        <f>T296</f>
        <v>0</v>
      </c>
      <c r="U295" s="84">
        <f t="shared" si="71"/>
        <v>3366.5</v>
      </c>
    </row>
    <row r="296" spans="1:22" s="128" customFormat="1" ht="33">
      <c r="A296" s="61" t="str">
        <f ca="1">IF(ISERROR(MATCH(F296,Код_КВР,0)),"",INDIRECT(ADDRESS(MATCH(F296,Код_КВР,0)+1,2,,,"КВР")))</f>
        <v>Предоставление субсидий бюджетным, автономным учреждениям и иным некоммерческим организациям</v>
      </c>
      <c r="B296" s="126">
        <v>801</v>
      </c>
      <c r="C296" s="8" t="s">
        <v>214</v>
      </c>
      <c r="D296" s="8" t="s">
        <v>194</v>
      </c>
      <c r="E296" s="126" t="s">
        <v>558</v>
      </c>
      <c r="F296" s="126">
        <v>600</v>
      </c>
      <c r="G296" s="69">
        <f>G297</f>
        <v>3366.5</v>
      </c>
      <c r="H296" s="69">
        <f>H297</f>
        <v>0</v>
      </c>
      <c r="I296" s="69">
        <f t="shared" si="65"/>
        <v>3366.5</v>
      </c>
      <c r="J296" s="69">
        <f>J297</f>
        <v>0</v>
      </c>
      <c r="K296" s="84">
        <f t="shared" si="66"/>
        <v>3366.5</v>
      </c>
      <c r="L296" s="13">
        <f>L297</f>
        <v>0</v>
      </c>
      <c r="M296" s="84">
        <f t="shared" si="61"/>
        <v>3366.5</v>
      </c>
      <c r="N296" s="13">
        <f>N297</f>
        <v>0</v>
      </c>
      <c r="O296" s="84">
        <f t="shared" si="62"/>
        <v>3366.5</v>
      </c>
      <c r="P296" s="13">
        <f>P297</f>
        <v>0</v>
      </c>
      <c r="Q296" s="84">
        <f t="shared" ref="Q296:Q365" si="73">O296+P296</f>
        <v>3366.5</v>
      </c>
      <c r="R296" s="13">
        <f>R297</f>
        <v>0</v>
      </c>
      <c r="S296" s="84">
        <f t="shared" si="72"/>
        <v>3366.5</v>
      </c>
      <c r="T296" s="13">
        <f>T297</f>
        <v>0</v>
      </c>
      <c r="U296" s="84">
        <f t="shared" si="71"/>
        <v>3366.5</v>
      </c>
    </row>
    <row r="297" spans="1:22" s="128" customFormat="1" ht="33">
      <c r="A297" s="61" t="str">
        <f ca="1">IF(ISERROR(MATCH(F297,Код_КВР,0)),"",INDIRECT(ADDRESS(MATCH(F297,Код_КВР,0)+1,2,,,"КВР")))</f>
        <v>Субсидии некоммерческим организациям (за исключением государственных (муниципальных) учреждений)</v>
      </c>
      <c r="B297" s="126">
        <v>801</v>
      </c>
      <c r="C297" s="8" t="s">
        <v>214</v>
      </c>
      <c r="D297" s="8" t="s">
        <v>194</v>
      </c>
      <c r="E297" s="126" t="s">
        <v>558</v>
      </c>
      <c r="F297" s="126">
        <v>630</v>
      </c>
      <c r="G297" s="69">
        <v>3366.5</v>
      </c>
      <c r="H297" s="69"/>
      <c r="I297" s="69">
        <f t="shared" si="65"/>
        <v>3366.5</v>
      </c>
      <c r="J297" s="69"/>
      <c r="K297" s="84">
        <f t="shared" si="66"/>
        <v>3366.5</v>
      </c>
      <c r="L297" s="13"/>
      <c r="M297" s="84">
        <f t="shared" si="61"/>
        <v>3366.5</v>
      </c>
      <c r="N297" s="13"/>
      <c r="O297" s="84">
        <f t="shared" si="62"/>
        <v>3366.5</v>
      </c>
      <c r="P297" s="13"/>
      <c r="Q297" s="84">
        <f t="shared" si="73"/>
        <v>3366.5</v>
      </c>
      <c r="R297" s="13"/>
      <c r="S297" s="84">
        <f t="shared" si="72"/>
        <v>3366.5</v>
      </c>
      <c r="T297" s="13"/>
      <c r="U297" s="84">
        <f t="shared" si="71"/>
        <v>3366.5</v>
      </c>
    </row>
    <row r="298" spans="1:22" s="102" customFormat="1" ht="33" hidden="1">
      <c r="A298" s="61" t="str">
        <f ca="1">IF(ISERROR(MATCH(E298,Код_КЦСР,0)),"",INDIRECT(ADDRESS(MATCH(E298,Код_КЦСР,0)+1,2,,,"КЦСР")))</f>
        <v>Муниципальная программа «Развитие внутреннего и въездного туризма в г. Череповце» на 2014-2022 годы</v>
      </c>
      <c r="B298" s="100">
        <v>801</v>
      </c>
      <c r="C298" s="8" t="s">
        <v>214</v>
      </c>
      <c r="D298" s="8" t="s">
        <v>194</v>
      </c>
      <c r="E298" s="100" t="s">
        <v>1</v>
      </c>
      <c r="F298" s="100"/>
      <c r="G298" s="69">
        <f t="shared" ref="G298:T301" si="74">G299</f>
        <v>0</v>
      </c>
      <c r="H298" s="69">
        <f t="shared" si="74"/>
        <v>0</v>
      </c>
      <c r="I298" s="69">
        <f t="shared" si="65"/>
        <v>0</v>
      </c>
      <c r="J298" s="69">
        <f t="shared" si="74"/>
        <v>0</v>
      </c>
      <c r="K298" s="84">
        <f t="shared" si="66"/>
        <v>0</v>
      </c>
      <c r="L298" s="13">
        <f t="shared" si="74"/>
        <v>0</v>
      </c>
      <c r="M298" s="84">
        <f t="shared" si="61"/>
        <v>0</v>
      </c>
      <c r="N298" s="13">
        <f t="shared" si="74"/>
        <v>0</v>
      </c>
      <c r="O298" s="84">
        <f t="shared" si="62"/>
        <v>0</v>
      </c>
      <c r="P298" s="13">
        <f t="shared" si="74"/>
        <v>0</v>
      </c>
      <c r="Q298" s="84">
        <f t="shared" si="73"/>
        <v>0</v>
      </c>
      <c r="R298" s="13">
        <f t="shared" si="74"/>
        <v>0</v>
      </c>
      <c r="S298" s="84">
        <f>Q298+R298</f>
        <v>0</v>
      </c>
      <c r="T298" s="13">
        <f t="shared" si="74"/>
        <v>0</v>
      </c>
      <c r="U298" s="84">
        <f t="shared" si="71"/>
        <v>0</v>
      </c>
      <c r="V298" s="142" t="s">
        <v>706</v>
      </c>
    </row>
    <row r="299" spans="1:22" s="102" customFormat="1" hidden="1">
      <c r="A299" s="61" t="str">
        <f ca="1">IF(ISERROR(MATCH(E299,Код_КЦСР,0)),"",INDIRECT(ADDRESS(MATCH(E299,Код_КЦСР,0)+1,2,,,"КЦСР")))</f>
        <v>Продвижение городского туристского продукта на российском рынке</v>
      </c>
      <c r="B299" s="100">
        <v>801</v>
      </c>
      <c r="C299" s="8" t="s">
        <v>214</v>
      </c>
      <c r="D299" s="8" t="s">
        <v>194</v>
      </c>
      <c r="E299" s="100" t="s">
        <v>2</v>
      </c>
      <c r="F299" s="100"/>
      <c r="G299" s="69">
        <f t="shared" si="74"/>
        <v>0</v>
      </c>
      <c r="H299" s="69">
        <f t="shared" si="74"/>
        <v>0</v>
      </c>
      <c r="I299" s="69">
        <f t="shared" si="65"/>
        <v>0</v>
      </c>
      <c r="J299" s="69">
        <f t="shared" si="74"/>
        <v>0</v>
      </c>
      <c r="K299" s="84">
        <f t="shared" si="66"/>
        <v>0</v>
      </c>
      <c r="L299" s="13">
        <f t="shared" si="74"/>
        <v>0</v>
      </c>
      <c r="M299" s="84">
        <f t="shared" si="61"/>
        <v>0</v>
      </c>
      <c r="N299" s="13">
        <f t="shared" si="74"/>
        <v>0</v>
      </c>
      <c r="O299" s="84">
        <f t="shared" si="62"/>
        <v>0</v>
      </c>
      <c r="P299" s="13">
        <f t="shared" si="74"/>
        <v>0</v>
      </c>
      <c r="Q299" s="84">
        <f t="shared" si="73"/>
        <v>0</v>
      </c>
      <c r="R299" s="13">
        <f t="shared" si="74"/>
        <v>0</v>
      </c>
      <c r="S299" s="84">
        <f t="shared" si="72"/>
        <v>0</v>
      </c>
      <c r="T299" s="13">
        <f t="shared" si="74"/>
        <v>0</v>
      </c>
      <c r="U299" s="84">
        <f t="shared" si="71"/>
        <v>0</v>
      </c>
      <c r="V299" s="142" t="s">
        <v>706</v>
      </c>
    </row>
    <row r="300" spans="1:22" s="102" customFormat="1" hidden="1">
      <c r="A300" s="61" t="str">
        <f ca="1">IF(ISERROR(MATCH(F300,Код_КВР,0)),"",INDIRECT(ADDRESS(MATCH(F300,Код_КВР,0)+1,2,,,"КВР")))</f>
        <v>Закупка товаров, работ и услуг для муниципальных нужд</v>
      </c>
      <c r="B300" s="100">
        <v>801</v>
      </c>
      <c r="C300" s="8" t="s">
        <v>214</v>
      </c>
      <c r="D300" s="8" t="s">
        <v>194</v>
      </c>
      <c r="E300" s="100" t="s">
        <v>2</v>
      </c>
      <c r="F300" s="100">
        <v>200</v>
      </c>
      <c r="G300" s="69">
        <f t="shared" si="74"/>
        <v>0</v>
      </c>
      <c r="H300" s="69">
        <f t="shared" si="74"/>
        <v>0</v>
      </c>
      <c r="I300" s="69">
        <f t="shared" si="65"/>
        <v>0</v>
      </c>
      <c r="J300" s="69">
        <f t="shared" si="74"/>
        <v>0</v>
      </c>
      <c r="K300" s="84">
        <f t="shared" si="66"/>
        <v>0</v>
      </c>
      <c r="L300" s="13">
        <f t="shared" si="74"/>
        <v>0</v>
      </c>
      <c r="M300" s="84">
        <f t="shared" si="61"/>
        <v>0</v>
      </c>
      <c r="N300" s="13">
        <f t="shared" si="74"/>
        <v>0</v>
      </c>
      <c r="O300" s="84">
        <f t="shared" si="62"/>
        <v>0</v>
      </c>
      <c r="P300" s="13">
        <f t="shared" si="74"/>
        <v>0</v>
      </c>
      <c r="Q300" s="84">
        <f t="shared" si="73"/>
        <v>0</v>
      </c>
      <c r="R300" s="13">
        <f t="shared" si="74"/>
        <v>0</v>
      </c>
      <c r="S300" s="84">
        <f t="shared" si="72"/>
        <v>0</v>
      </c>
      <c r="T300" s="13">
        <f t="shared" si="74"/>
        <v>0</v>
      </c>
      <c r="U300" s="84">
        <f t="shared" si="71"/>
        <v>0</v>
      </c>
      <c r="V300" s="142" t="s">
        <v>706</v>
      </c>
    </row>
    <row r="301" spans="1:22" s="102" customFormat="1" ht="33" hidden="1">
      <c r="A301" s="61" t="str">
        <f ca="1">IF(ISERROR(MATCH(F301,Код_КВР,0)),"",INDIRECT(ADDRESS(MATCH(F301,Код_КВР,0)+1,2,,,"КВР")))</f>
        <v>Иные закупки товаров, работ и услуг для обеспечения муниципальных нужд</v>
      </c>
      <c r="B301" s="100">
        <v>801</v>
      </c>
      <c r="C301" s="8" t="s">
        <v>214</v>
      </c>
      <c r="D301" s="8" t="s">
        <v>194</v>
      </c>
      <c r="E301" s="100" t="s">
        <v>2</v>
      </c>
      <c r="F301" s="100">
        <v>240</v>
      </c>
      <c r="G301" s="69">
        <f t="shared" si="74"/>
        <v>0</v>
      </c>
      <c r="H301" s="69">
        <f t="shared" si="74"/>
        <v>0</v>
      </c>
      <c r="I301" s="69">
        <f t="shared" si="65"/>
        <v>0</v>
      </c>
      <c r="J301" s="69">
        <f t="shared" si="74"/>
        <v>0</v>
      </c>
      <c r="K301" s="84">
        <f t="shared" si="66"/>
        <v>0</v>
      </c>
      <c r="L301" s="13">
        <f t="shared" si="74"/>
        <v>0</v>
      </c>
      <c r="M301" s="84">
        <f t="shared" si="61"/>
        <v>0</v>
      </c>
      <c r="N301" s="13">
        <f t="shared" si="74"/>
        <v>0</v>
      </c>
      <c r="O301" s="84">
        <f t="shared" si="62"/>
        <v>0</v>
      </c>
      <c r="P301" s="13">
        <f t="shared" si="74"/>
        <v>0</v>
      </c>
      <c r="Q301" s="84">
        <f t="shared" si="73"/>
        <v>0</v>
      </c>
      <c r="R301" s="13">
        <f t="shared" si="74"/>
        <v>0</v>
      </c>
      <c r="S301" s="84">
        <f t="shared" si="72"/>
        <v>0</v>
      </c>
      <c r="T301" s="13">
        <f t="shared" si="74"/>
        <v>0</v>
      </c>
      <c r="U301" s="84">
        <f t="shared" si="71"/>
        <v>0</v>
      </c>
      <c r="V301" s="142" t="s">
        <v>706</v>
      </c>
    </row>
    <row r="302" spans="1:22" s="102" customFormat="1" ht="33" hidden="1">
      <c r="A302" s="61" t="str">
        <f ca="1">IF(ISERROR(MATCH(F302,Код_КВР,0)),"",INDIRECT(ADDRESS(MATCH(F302,Код_КВР,0)+1,2,,,"КВР")))</f>
        <v xml:space="preserve">Прочая закупка товаров, работ и услуг для обеспечения муниципальных нужд         </v>
      </c>
      <c r="B302" s="100">
        <v>801</v>
      </c>
      <c r="C302" s="8" t="s">
        <v>214</v>
      </c>
      <c r="D302" s="8" t="s">
        <v>194</v>
      </c>
      <c r="E302" s="100" t="s">
        <v>2</v>
      </c>
      <c r="F302" s="100">
        <v>244</v>
      </c>
      <c r="G302" s="69"/>
      <c r="H302" s="69"/>
      <c r="I302" s="69">
        <f t="shared" si="65"/>
        <v>0</v>
      </c>
      <c r="J302" s="69"/>
      <c r="K302" s="84">
        <f t="shared" si="66"/>
        <v>0</v>
      </c>
      <c r="L302" s="13"/>
      <c r="M302" s="84">
        <f t="shared" ref="M302:M371" si="75">K302+L302</f>
        <v>0</v>
      </c>
      <c r="N302" s="13"/>
      <c r="O302" s="84">
        <f t="shared" ref="O302:O371" si="76">M302+N302</f>
        <v>0</v>
      </c>
      <c r="P302" s="13"/>
      <c r="Q302" s="84">
        <f t="shared" si="73"/>
        <v>0</v>
      </c>
      <c r="R302" s="13"/>
      <c r="S302" s="84">
        <f t="shared" si="72"/>
        <v>0</v>
      </c>
      <c r="T302" s="13"/>
      <c r="U302" s="84">
        <f t="shared" si="71"/>
        <v>0</v>
      </c>
      <c r="V302" s="142" t="s">
        <v>706</v>
      </c>
    </row>
    <row r="303" spans="1:22" s="128" customFormat="1">
      <c r="A303" s="61" t="str">
        <f ca="1">IF(ISERROR(MATCH(C303,Код_Раздел,0)),"",INDIRECT(ADDRESS(MATCH(C303,Код_Раздел,0)+1,2,,,"Раздел")))</f>
        <v>Образование</v>
      </c>
      <c r="B303" s="126">
        <v>801</v>
      </c>
      <c r="C303" s="8" t="s">
        <v>193</v>
      </c>
      <c r="D303" s="8"/>
      <c r="E303" s="126"/>
      <c r="F303" s="126"/>
      <c r="G303" s="69">
        <f>G304</f>
        <v>8002.7</v>
      </c>
      <c r="H303" s="69">
        <f>H304</f>
        <v>0</v>
      </c>
      <c r="I303" s="69">
        <f t="shared" si="65"/>
        <v>8002.7</v>
      </c>
      <c r="J303" s="69">
        <f>J304</f>
        <v>0.7</v>
      </c>
      <c r="K303" s="84">
        <f t="shared" si="66"/>
        <v>8003.4</v>
      </c>
      <c r="L303" s="13">
        <f>L304</f>
        <v>-100.6</v>
      </c>
      <c r="M303" s="84">
        <f t="shared" si="75"/>
        <v>7902.7999999999993</v>
      </c>
      <c r="N303" s="13">
        <f>N304</f>
        <v>0</v>
      </c>
      <c r="O303" s="84">
        <f t="shared" si="76"/>
        <v>7902.7999999999993</v>
      </c>
      <c r="P303" s="13">
        <f>P304</f>
        <v>0</v>
      </c>
      <c r="Q303" s="84">
        <f t="shared" si="73"/>
        <v>7902.7999999999993</v>
      </c>
      <c r="R303" s="13">
        <f>R304</f>
        <v>0</v>
      </c>
      <c r="S303" s="84">
        <f t="shared" si="72"/>
        <v>7902.7999999999993</v>
      </c>
      <c r="T303" s="13">
        <f>T304</f>
        <v>0</v>
      </c>
      <c r="U303" s="84">
        <f t="shared" si="71"/>
        <v>7902.7999999999993</v>
      </c>
    </row>
    <row r="304" spans="1:22" s="128" customFormat="1">
      <c r="A304" s="12" t="s">
        <v>197</v>
      </c>
      <c r="B304" s="126">
        <v>801</v>
      </c>
      <c r="C304" s="8" t="s">
        <v>193</v>
      </c>
      <c r="D304" s="8" t="s">
        <v>193</v>
      </c>
      <c r="E304" s="126"/>
      <c r="F304" s="126"/>
      <c r="G304" s="69">
        <f>G305+G314</f>
        <v>8002.7</v>
      </c>
      <c r="H304" s="69">
        <f>H305+H314</f>
        <v>0</v>
      </c>
      <c r="I304" s="69">
        <f t="shared" si="65"/>
        <v>8002.7</v>
      </c>
      <c r="J304" s="69">
        <f>J305+J314+J327</f>
        <v>0.7</v>
      </c>
      <c r="K304" s="84">
        <f t="shared" si="66"/>
        <v>8003.4</v>
      </c>
      <c r="L304" s="13">
        <f>L305+L314+L327</f>
        <v>-100.6</v>
      </c>
      <c r="M304" s="84">
        <f t="shared" si="75"/>
        <v>7902.7999999999993</v>
      </c>
      <c r="N304" s="13">
        <f>N305+N314+N327</f>
        <v>0</v>
      </c>
      <c r="O304" s="84">
        <f t="shared" si="76"/>
        <v>7902.7999999999993</v>
      </c>
      <c r="P304" s="13">
        <f>P305+P314+P327</f>
        <v>0</v>
      </c>
      <c r="Q304" s="84">
        <f t="shared" si="73"/>
        <v>7902.7999999999993</v>
      </c>
      <c r="R304" s="13">
        <f>R305+R314+R327</f>
        <v>0</v>
      </c>
      <c r="S304" s="84">
        <f t="shared" si="72"/>
        <v>7902.7999999999993</v>
      </c>
      <c r="T304" s="13">
        <f>T305+T314+T327</f>
        <v>0</v>
      </c>
      <c r="U304" s="84">
        <f t="shared" si="71"/>
        <v>7902.7999999999993</v>
      </c>
    </row>
    <row r="305" spans="1:22" s="128" customFormat="1" ht="33">
      <c r="A305" s="61" t="str">
        <f ca="1">IF(ISERROR(MATCH(E305,Код_КЦСР,0)),"",INDIRECT(ADDRESS(MATCH(E305,Код_КЦСР,0)+1,2,,,"КЦСР")))</f>
        <v>Муниципальная программа «Развитие молодежной политики» на 2013-2018 годы</v>
      </c>
      <c r="B305" s="126">
        <v>801</v>
      </c>
      <c r="C305" s="8" t="s">
        <v>193</v>
      </c>
      <c r="D305" s="8" t="s">
        <v>193</v>
      </c>
      <c r="E305" s="126" t="s">
        <v>560</v>
      </c>
      <c r="F305" s="126"/>
      <c r="G305" s="69">
        <f>G306+G310</f>
        <v>7672.7</v>
      </c>
      <c r="H305" s="69">
        <f>H306+H310</f>
        <v>0</v>
      </c>
      <c r="I305" s="69">
        <f t="shared" si="65"/>
        <v>7672.7</v>
      </c>
      <c r="J305" s="69">
        <f>J306+J310</f>
        <v>0</v>
      </c>
      <c r="K305" s="84">
        <f t="shared" si="66"/>
        <v>7672.7</v>
      </c>
      <c r="L305" s="13">
        <f>L306+L310</f>
        <v>-100.6</v>
      </c>
      <c r="M305" s="84">
        <f t="shared" si="75"/>
        <v>7572.0999999999995</v>
      </c>
      <c r="N305" s="13">
        <f>N306+N310</f>
        <v>0</v>
      </c>
      <c r="O305" s="84">
        <f t="shared" si="76"/>
        <v>7572.0999999999995</v>
      </c>
      <c r="P305" s="13">
        <f>P306+P310</f>
        <v>0</v>
      </c>
      <c r="Q305" s="84">
        <f t="shared" si="73"/>
        <v>7572.0999999999995</v>
      </c>
      <c r="R305" s="13">
        <f>R306+R310</f>
        <v>0</v>
      </c>
      <c r="S305" s="84">
        <f t="shared" si="72"/>
        <v>7572.0999999999995</v>
      </c>
      <c r="T305" s="13">
        <f>T306+T310</f>
        <v>0</v>
      </c>
      <c r="U305" s="84">
        <f t="shared" si="71"/>
        <v>7572.0999999999995</v>
      </c>
    </row>
    <row r="306" spans="1:22" s="128" customFormat="1" ht="49.5">
      <c r="A306" s="61" t="str">
        <f ca="1">IF(ISERROR(MATCH(E306,Код_КЦСР,0)),"",INDIRECT(ADDRESS(MATCH(E306,Код_КЦСР,0)+1,2,,,"КЦСР")))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306" s="126">
        <v>801</v>
      </c>
      <c r="C306" s="8" t="s">
        <v>193</v>
      </c>
      <c r="D306" s="8" t="s">
        <v>193</v>
      </c>
      <c r="E306" s="126" t="s">
        <v>564</v>
      </c>
      <c r="F306" s="126"/>
      <c r="G306" s="69">
        <f t="shared" ref="G306:T308" si="77">G307</f>
        <v>844.8</v>
      </c>
      <c r="H306" s="69">
        <f t="shared" si="77"/>
        <v>0</v>
      </c>
      <c r="I306" s="69">
        <f t="shared" si="65"/>
        <v>844.8</v>
      </c>
      <c r="J306" s="69">
        <f t="shared" si="77"/>
        <v>0</v>
      </c>
      <c r="K306" s="84">
        <f t="shared" si="66"/>
        <v>844.8</v>
      </c>
      <c r="L306" s="13">
        <f t="shared" si="77"/>
        <v>0</v>
      </c>
      <c r="M306" s="84">
        <f t="shared" si="75"/>
        <v>844.8</v>
      </c>
      <c r="N306" s="13">
        <f t="shared" si="77"/>
        <v>0</v>
      </c>
      <c r="O306" s="84">
        <f t="shared" si="76"/>
        <v>844.8</v>
      </c>
      <c r="P306" s="13">
        <f t="shared" si="77"/>
        <v>0</v>
      </c>
      <c r="Q306" s="84">
        <f t="shared" si="73"/>
        <v>844.8</v>
      </c>
      <c r="R306" s="13">
        <f t="shared" si="77"/>
        <v>0</v>
      </c>
      <c r="S306" s="84">
        <f t="shared" si="72"/>
        <v>844.8</v>
      </c>
      <c r="T306" s="13">
        <f t="shared" si="77"/>
        <v>0</v>
      </c>
      <c r="U306" s="84">
        <f t="shared" si="71"/>
        <v>844.8</v>
      </c>
    </row>
    <row r="307" spans="1:22" s="128" customFormat="1" ht="33">
      <c r="A307" s="61" t="str">
        <f ca="1">IF(ISERROR(MATCH(F307,Код_КВР,0)),"",INDIRECT(ADDRESS(MATCH(F307,Код_КВР,0)+1,2,,,"КВР")))</f>
        <v>Предоставление субсидий бюджетным, автономным учреждениям и иным некоммерческим организациям</v>
      </c>
      <c r="B307" s="126">
        <v>801</v>
      </c>
      <c r="C307" s="8" t="s">
        <v>193</v>
      </c>
      <c r="D307" s="8" t="s">
        <v>193</v>
      </c>
      <c r="E307" s="126" t="s">
        <v>564</v>
      </c>
      <c r="F307" s="126">
        <v>600</v>
      </c>
      <c r="G307" s="69">
        <f t="shared" si="77"/>
        <v>844.8</v>
      </c>
      <c r="H307" s="69">
        <f t="shared" si="77"/>
        <v>0</v>
      </c>
      <c r="I307" s="69">
        <f t="shared" si="65"/>
        <v>844.8</v>
      </c>
      <c r="J307" s="69">
        <f t="shared" si="77"/>
        <v>0</v>
      </c>
      <c r="K307" s="84">
        <f t="shared" si="66"/>
        <v>844.8</v>
      </c>
      <c r="L307" s="13">
        <f t="shared" si="77"/>
        <v>0</v>
      </c>
      <c r="M307" s="84">
        <f t="shared" si="75"/>
        <v>844.8</v>
      </c>
      <c r="N307" s="13">
        <f t="shared" si="77"/>
        <v>0</v>
      </c>
      <c r="O307" s="84">
        <f t="shared" si="76"/>
        <v>844.8</v>
      </c>
      <c r="P307" s="13">
        <f t="shared" si="77"/>
        <v>0</v>
      </c>
      <c r="Q307" s="84">
        <f t="shared" si="73"/>
        <v>844.8</v>
      </c>
      <c r="R307" s="13">
        <f t="shared" si="77"/>
        <v>0</v>
      </c>
      <c r="S307" s="84">
        <f t="shared" si="72"/>
        <v>844.8</v>
      </c>
      <c r="T307" s="13">
        <f t="shared" si="77"/>
        <v>0</v>
      </c>
      <c r="U307" s="84">
        <f t="shared" si="71"/>
        <v>844.8</v>
      </c>
    </row>
    <row r="308" spans="1:22" s="128" customFormat="1">
      <c r="A308" s="61" t="str">
        <f ca="1">IF(ISERROR(MATCH(F308,Код_КВР,0)),"",INDIRECT(ADDRESS(MATCH(F308,Код_КВР,0)+1,2,,,"КВР")))</f>
        <v>Субсидии бюджетным учреждениям</v>
      </c>
      <c r="B308" s="126">
        <v>801</v>
      </c>
      <c r="C308" s="8" t="s">
        <v>193</v>
      </c>
      <c r="D308" s="8" t="s">
        <v>193</v>
      </c>
      <c r="E308" s="126" t="s">
        <v>564</v>
      </c>
      <c r="F308" s="126">
        <v>610</v>
      </c>
      <c r="G308" s="69">
        <f t="shared" si="77"/>
        <v>844.8</v>
      </c>
      <c r="H308" s="69">
        <f t="shared" si="77"/>
        <v>0</v>
      </c>
      <c r="I308" s="69">
        <f t="shared" si="65"/>
        <v>844.8</v>
      </c>
      <c r="J308" s="69">
        <f t="shared" si="77"/>
        <v>0</v>
      </c>
      <c r="K308" s="84">
        <f t="shared" si="66"/>
        <v>844.8</v>
      </c>
      <c r="L308" s="13">
        <f t="shared" si="77"/>
        <v>0</v>
      </c>
      <c r="M308" s="84">
        <f t="shared" si="75"/>
        <v>844.8</v>
      </c>
      <c r="N308" s="13">
        <f t="shared" si="77"/>
        <v>0</v>
      </c>
      <c r="O308" s="84">
        <f t="shared" si="76"/>
        <v>844.8</v>
      </c>
      <c r="P308" s="13">
        <f t="shared" si="77"/>
        <v>0</v>
      </c>
      <c r="Q308" s="84">
        <f t="shared" si="73"/>
        <v>844.8</v>
      </c>
      <c r="R308" s="13">
        <f t="shared" si="77"/>
        <v>0</v>
      </c>
      <c r="S308" s="84">
        <f t="shared" si="72"/>
        <v>844.8</v>
      </c>
      <c r="T308" s="13">
        <f t="shared" si="77"/>
        <v>0</v>
      </c>
      <c r="U308" s="84">
        <f t="shared" si="71"/>
        <v>844.8</v>
      </c>
    </row>
    <row r="309" spans="1:22" s="128" customFormat="1" ht="49.5">
      <c r="A309" s="61" t="str">
        <f ca="1">IF(ISERROR(MATCH(F309,Код_КВР,0)),"",INDIRECT(ADDRESS(MATCH(F309,Код_КВР,0)+1,2,,,"КВР")))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9" s="126">
        <v>801</v>
      </c>
      <c r="C309" s="8" t="s">
        <v>193</v>
      </c>
      <c r="D309" s="8" t="s">
        <v>193</v>
      </c>
      <c r="E309" s="126" t="s">
        <v>564</v>
      </c>
      <c r="F309" s="126">
        <v>611</v>
      </c>
      <c r="G309" s="69">
        <v>844.8</v>
      </c>
      <c r="H309" s="69"/>
      <c r="I309" s="69">
        <f t="shared" si="65"/>
        <v>844.8</v>
      </c>
      <c r="J309" s="69"/>
      <c r="K309" s="84">
        <f t="shared" si="66"/>
        <v>844.8</v>
      </c>
      <c r="L309" s="13"/>
      <c r="M309" s="84">
        <f t="shared" si="75"/>
        <v>844.8</v>
      </c>
      <c r="N309" s="13"/>
      <c r="O309" s="84">
        <f t="shared" si="76"/>
        <v>844.8</v>
      </c>
      <c r="P309" s="13"/>
      <c r="Q309" s="84">
        <f t="shared" si="73"/>
        <v>844.8</v>
      </c>
      <c r="R309" s="13"/>
      <c r="S309" s="84">
        <f t="shared" si="72"/>
        <v>844.8</v>
      </c>
      <c r="T309" s="13"/>
      <c r="U309" s="84">
        <f t="shared" si="71"/>
        <v>844.8</v>
      </c>
    </row>
    <row r="310" spans="1:22" s="128" customFormat="1" ht="66">
      <c r="A310" s="61" t="str">
        <f ca="1">IF(ISERROR(MATCH(E310,Код_КЦСР,0)),"",INDIRECT(ADDRESS(MATCH(E310,Код_КЦСР,0)+1,2,,,"КЦСР")))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310" s="126">
        <v>801</v>
      </c>
      <c r="C310" s="8" t="s">
        <v>193</v>
      </c>
      <c r="D310" s="8" t="s">
        <v>193</v>
      </c>
      <c r="E310" s="126" t="s">
        <v>565</v>
      </c>
      <c r="F310" s="126"/>
      <c r="G310" s="69">
        <f t="shared" ref="G310:T312" si="78">G311</f>
        <v>6827.9</v>
      </c>
      <c r="H310" s="69">
        <f t="shared" si="78"/>
        <v>0</v>
      </c>
      <c r="I310" s="69">
        <f t="shared" si="65"/>
        <v>6827.9</v>
      </c>
      <c r="J310" s="69">
        <f t="shared" si="78"/>
        <v>0</v>
      </c>
      <c r="K310" s="84">
        <f t="shared" si="66"/>
        <v>6827.9</v>
      </c>
      <c r="L310" s="13">
        <f t="shared" si="78"/>
        <v>-100.6</v>
      </c>
      <c r="M310" s="84">
        <f t="shared" si="75"/>
        <v>6727.2999999999993</v>
      </c>
      <c r="N310" s="13">
        <f t="shared" si="78"/>
        <v>0</v>
      </c>
      <c r="O310" s="84">
        <f t="shared" si="76"/>
        <v>6727.2999999999993</v>
      </c>
      <c r="P310" s="13">
        <f t="shared" si="78"/>
        <v>0</v>
      </c>
      <c r="Q310" s="84">
        <f t="shared" si="73"/>
        <v>6727.2999999999993</v>
      </c>
      <c r="R310" s="13">
        <f t="shared" si="78"/>
        <v>0</v>
      </c>
      <c r="S310" s="84">
        <f t="shared" si="72"/>
        <v>6727.2999999999993</v>
      </c>
      <c r="T310" s="13">
        <f t="shared" si="78"/>
        <v>0</v>
      </c>
      <c r="U310" s="84">
        <f t="shared" si="71"/>
        <v>6727.2999999999993</v>
      </c>
    </row>
    <row r="311" spans="1:22" s="128" customFormat="1" ht="33">
      <c r="A311" s="61" t="str">
        <f ca="1">IF(ISERROR(MATCH(F311,Код_КВР,0)),"",INDIRECT(ADDRESS(MATCH(F311,Код_КВР,0)+1,2,,,"КВР")))</f>
        <v>Предоставление субсидий бюджетным, автономным учреждениям и иным некоммерческим организациям</v>
      </c>
      <c r="B311" s="126">
        <v>801</v>
      </c>
      <c r="C311" s="8" t="s">
        <v>193</v>
      </c>
      <c r="D311" s="8" t="s">
        <v>193</v>
      </c>
      <c r="E311" s="126" t="s">
        <v>565</v>
      </c>
      <c r="F311" s="126">
        <v>600</v>
      </c>
      <c r="G311" s="69">
        <f t="shared" si="78"/>
        <v>6827.9</v>
      </c>
      <c r="H311" s="69">
        <f t="shared" si="78"/>
        <v>0</v>
      </c>
      <c r="I311" s="69">
        <f t="shared" si="65"/>
        <v>6827.9</v>
      </c>
      <c r="J311" s="69">
        <f t="shared" si="78"/>
        <v>0</v>
      </c>
      <c r="K311" s="84">
        <f t="shared" si="66"/>
        <v>6827.9</v>
      </c>
      <c r="L311" s="13">
        <f t="shared" si="78"/>
        <v>-100.6</v>
      </c>
      <c r="M311" s="84">
        <f t="shared" si="75"/>
        <v>6727.2999999999993</v>
      </c>
      <c r="N311" s="13">
        <f t="shared" si="78"/>
        <v>0</v>
      </c>
      <c r="O311" s="84">
        <f t="shared" si="76"/>
        <v>6727.2999999999993</v>
      </c>
      <c r="P311" s="13">
        <f t="shared" si="78"/>
        <v>0</v>
      </c>
      <c r="Q311" s="84">
        <f t="shared" si="73"/>
        <v>6727.2999999999993</v>
      </c>
      <c r="R311" s="13">
        <f t="shared" si="78"/>
        <v>0</v>
      </c>
      <c r="S311" s="84">
        <f t="shared" si="72"/>
        <v>6727.2999999999993</v>
      </c>
      <c r="T311" s="13">
        <f t="shared" si="78"/>
        <v>0</v>
      </c>
      <c r="U311" s="84">
        <f t="shared" si="71"/>
        <v>6727.2999999999993</v>
      </c>
    </row>
    <row r="312" spans="1:22" s="128" customFormat="1">
      <c r="A312" s="61" t="str">
        <f ca="1">IF(ISERROR(MATCH(F312,Код_КВР,0)),"",INDIRECT(ADDRESS(MATCH(F312,Код_КВР,0)+1,2,,,"КВР")))</f>
        <v>Субсидии бюджетным учреждениям</v>
      </c>
      <c r="B312" s="126">
        <v>801</v>
      </c>
      <c r="C312" s="8" t="s">
        <v>193</v>
      </c>
      <c r="D312" s="8" t="s">
        <v>193</v>
      </c>
      <c r="E312" s="126" t="s">
        <v>565</v>
      </c>
      <c r="F312" s="126">
        <v>610</v>
      </c>
      <c r="G312" s="69">
        <f t="shared" si="78"/>
        <v>6827.9</v>
      </c>
      <c r="H312" s="69">
        <f t="shared" si="78"/>
        <v>0</v>
      </c>
      <c r="I312" s="69">
        <f t="shared" si="65"/>
        <v>6827.9</v>
      </c>
      <c r="J312" s="69">
        <f t="shared" si="78"/>
        <v>0</v>
      </c>
      <c r="K312" s="84">
        <f t="shared" si="66"/>
        <v>6827.9</v>
      </c>
      <c r="L312" s="13">
        <f t="shared" si="78"/>
        <v>-100.6</v>
      </c>
      <c r="M312" s="84">
        <f t="shared" si="75"/>
        <v>6727.2999999999993</v>
      </c>
      <c r="N312" s="13">
        <f t="shared" si="78"/>
        <v>0</v>
      </c>
      <c r="O312" s="84">
        <f t="shared" si="76"/>
        <v>6727.2999999999993</v>
      </c>
      <c r="P312" s="13">
        <f t="shared" si="78"/>
        <v>0</v>
      </c>
      <c r="Q312" s="84">
        <f t="shared" si="73"/>
        <v>6727.2999999999993</v>
      </c>
      <c r="R312" s="13">
        <f t="shared" si="78"/>
        <v>0</v>
      </c>
      <c r="S312" s="84">
        <f t="shared" si="72"/>
        <v>6727.2999999999993</v>
      </c>
      <c r="T312" s="13">
        <f t="shared" si="78"/>
        <v>0</v>
      </c>
      <c r="U312" s="84">
        <f t="shared" si="71"/>
        <v>6727.2999999999993</v>
      </c>
    </row>
    <row r="313" spans="1:22" s="128" customFormat="1" ht="49.5">
      <c r="A313" s="61" t="str">
        <f ca="1">IF(ISERROR(MATCH(F313,Код_КВР,0)),"",INDIRECT(ADDRESS(MATCH(F313,Код_КВР,0)+1,2,,,"КВР")))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3" s="126">
        <v>801</v>
      </c>
      <c r="C313" s="8" t="s">
        <v>193</v>
      </c>
      <c r="D313" s="8" t="s">
        <v>193</v>
      </c>
      <c r="E313" s="126" t="s">
        <v>565</v>
      </c>
      <c r="F313" s="126">
        <v>611</v>
      </c>
      <c r="G313" s="69">
        <f>5894.2+933.7</f>
        <v>6827.9</v>
      </c>
      <c r="H313" s="69"/>
      <c r="I313" s="69">
        <f t="shared" si="65"/>
        <v>6827.9</v>
      </c>
      <c r="J313" s="69"/>
      <c r="K313" s="84">
        <f t="shared" si="66"/>
        <v>6827.9</v>
      </c>
      <c r="L313" s="13">
        <v>-100.6</v>
      </c>
      <c r="M313" s="84">
        <f t="shared" si="75"/>
        <v>6727.2999999999993</v>
      </c>
      <c r="N313" s="13"/>
      <c r="O313" s="84">
        <f t="shared" si="76"/>
        <v>6727.2999999999993</v>
      </c>
      <c r="P313" s="13"/>
      <c r="Q313" s="84">
        <f t="shared" si="73"/>
        <v>6727.2999999999993</v>
      </c>
      <c r="R313" s="13"/>
      <c r="S313" s="84">
        <f t="shared" si="72"/>
        <v>6727.2999999999993</v>
      </c>
      <c r="T313" s="13"/>
      <c r="U313" s="84">
        <f t="shared" si="71"/>
        <v>6727.2999999999993</v>
      </c>
    </row>
    <row r="314" spans="1:22">
      <c r="A314" s="61" t="str">
        <f ca="1">IF(ISERROR(MATCH(E314,Код_КЦСР,0)),"",INDIRECT(ADDRESS(MATCH(E314,Код_КЦСР,0)+1,2,,,"КЦСР")))</f>
        <v>Муниципальная программа «Здоровый город» на 2014-2022 годы</v>
      </c>
      <c r="B314" s="126">
        <v>801</v>
      </c>
      <c r="C314" s="8" t="s">
        <v>193</v>
      </c>
      <c r="D314" s="8" t="s">
        <v>193</v>
      </c>
      <c r="E314" s="126" t="s">
        <v>566</v>
      </c>
      <c r="F314" s="126"/>
      <c r="G314" s="69">
        <f>G315+G319+G323</f>
        <v>330</v>
      </c>
      <c r="H314" s="69">
        <f>H315+H319+H323</f>
        <v>0</v>
      </c>
      <c r="I314" s="69">
        <f t="shared" si="65"/>
        <v>330</v>
      </c>
      <c r="J314" s="69">
        <f>J315+J319+J323</f>
        <v>0</v>
      </c>
      <c r="K314" s="84">
        <f t="shared" si="66"/>
        <v>330</v>
      </c>
      <c r="L314" s="13">
        <f>L315+L319+L323</f>
        <v>0</v>
      </c>
      <c r="M314" s="84">
        <f t="shared" si="75"/>
        <v>330</v>
      </c>
      <c r="N314" s="13">
        <f>N315+N319+N323</f>
        <v>0</v>
      </c>
      <c r="O314" s="84">
        <f t="shared" si="76"/>
        <v>330</v>
      </c>
      <c r="P314" s="13">
        <f>P315+P319+P323</f>
        <v>0</v>
      </c>
      <c r="Q314" s="84">
        <f t="shared" si="73"/>
        <v>330</v>
      </c>
      <c r="R314" s="13">
        <f>R315+R319+R323</f>
        <v>0</v>
      </c>
      <c r="S314" s="84">
        <f t="shared" si="72"/>
        <v>330</v>
      </c>
      <c r="T314" s="13">
        <f>T315+T319+T323</f>
        <v>0</v>
      </c>
      <c r="U314" s="84">
        <f t="shared" si="71"/>
        <v>330</v>
      </c>
    </row>
    <row r="315" spans="1:22" hidden="1">
      <c r="A315" s="61" t="str">
        <f ca="1">IF(ISERROR(MATCH(E315,Код_КЦСР,0)),"",INDIRECT(ADDRESS(MATCH(E315,Код_КЦСР,0)+1,2,,,"КЦСР")))</f>
        <v>Организационно-методическое обеспечение Программы</v>
      </c>
      <c r="B315" s="100">
        <v>801</v>
      </c>
      <c r="C315" s="8" t="s">
        <v>193</v>
      </c>
      <c r="D315" s="8" t="s">
        <v>193</v>
      </c>
      <c r="E315" s="100" t="s">
        <v>568</v>
      </c>
      <c r="F315" s="100"/>
      <c r="G315" s="69">
        <f t="shared" ref="G315:T317" si="79">G316</f>
        <v>0</v>
      </c>
      <c r="H315" s="69">
        <f t="shared" si="79"/>
        <v>0</v>
      </c>
      <c r="I315" s="69">
        <f t="shared" si="65"/>
        <v>0</v>
      </c>
      <c r="J315" s="69">
        <f t="shared" si="79"/>
        <v>0</v>
      </c>
      <c r="K315" s="84">
        <f t="shared" si="66"/>
        <v>0</v>
      </c>
      <c r="L315" s="13">
        <f t="shared" si="79"/>
        <v>0</v>
      </c>
      <c r="M315" s="84">
        <f t="shared" si="75"/>
        <v>0</v>
      </c>
      <c r="N315" s="13">
        <f t="shared" si="79"/>
        <v>0</v>
      </c>
      <c r="O315" s="84">
        <f t="shared" si="76"/>
        <v>0</v>
      </c>
      <c r="P315" s="13">
        <f t="shared" si="79"/>
        <v>0</v>
      </c>
      <c r="Q315" s="84">
        <f t="shared" si="73"/>
        <v>0</v>
      </c>
      <c r="R315" s="13">
        <f t="shared" si="79"/>
        <v>0</v>
      </c>
      <c r="S315" s="84">
        <f t="shared" si="72"/>
        <v>0</v>
      </c>
      <c r="T315" s="13">
        <f t="shared" si="79"/>
        <v>0</v>
      </c>
      <c r="U315" s="84">
        <f t="shared" si="71"/>
        <v>0</v>
      </c>
      <c r="V315" s="142" t="s">
        <v>706</v>
      </c>
    </row>
    <row r="316" spans="1:22" ht="33" hidden="1">
      <c r="A316" s="61" t="str">
        <f ca="1">IF(ISERROR(MATCH(F316,Код_КВР,0)),"",INDIRECT(ADDRESS(MATCH(F316,Код_КВР,0)+1,2,,,"КВР")))</f>
        <v>Предоставление субсидий бюджетным, автономным учреждениям и иным некоммерческим организациям</v>
      </c>
      <c r="B316" s="100">
        <v>801</v>
      </c>
      <c r="C316" s="8" t="s">
        <v>193</v>
      </c>
      <c r="D316" s="8" t="s">
        <v>193</v>
      </c>
      <c r="E316" s="100" t="s">
        <v>568</v>
      </c>
      <c r="F316" s="100">
        <v>600</v>
      </c>
      <c r="G316" s="69">
        <f t="shared" si="79"/>
        <v>0</v>
      </c>
      <c r="H316" s="69">
        <f t="shared" si="79"/>
        <v>0</v>
      </c>
      <c r="I316" s="69">
        <f t="shared" si="65"/>
        <v>0</v>
      </c>
      <c r="J316" s="69">
        <f t="shared" si="79"/>
        <v>0</v>
      </c>
      <c r="K316" s="84">
        <f t="shared" si="66"/>
        <v>0</v>
      </c>
      <c r="L316" s="13">
        <f t="shared" si="79"/>
        <v>0</v>
      </c>
      <c r="M316" s="84">
        <f t="shared" si="75"/>
        <v>0</v>
      </c>
      <c r="N316" s="13">
        <f t="shared" si="79"/>
        <v>0</v>
      </c>
      <c r="O316" s="84">
        <f t="shared" si="76"/>
        <v>0</v>
      </c>
      <c r="P316" s="13">
        <f t="shared" si="79"/>
        <v>0</v>
      </c>
      <c r="Q316" s="84">
        <f t="shared" si="73"/>
        <v>0</v>
      </c>
      <c r="R316" s="13">
        <f t="shared" si="79"/>
        <v>0</v>
      </c>
      <c r="S316" s="84">
        <f t="shared" si="72"/>
        <v>0</v>
      </c>
      <c r="T316" s="13">
        <f t="shared" si="79"/>
        <v>0</v>
      </c>
      <c r="U316" s="84">
        <f t="shared" si="71"/>
        <v>0</v>
      </c>
      <c r="V316" s="142" t="s">
        <v>706</v>
      </c>
    </row>
    <row r="317" spans="1:22" hidden="1">
      <c r="A317" s="61" t="str">
        <f ca="1">IF(ISERROR(MATCH(F317,Код_КВР,0)),"",INDIRECT(ADDRESS(MATCH(F317,Код_КВР,0)+1,2,,,"КВР")))</f>
        <v>Субсидии бюджетным учреждениям</v>
      </c>
      <c r="B317" s="100">
        <v>801</v>
      </c>
      <c r="C317" s="8" t="s">
        <v>193</v>
      </c>
      <c r="D317" s="8" t="s">
        <v>193</v>
      </c>
      <c r="E317" s="100" t="s">
        <v>568</v>
      </c>
      <c r="F317" s="100">
        <v>610</v>
      </c>
      <c r="G317" s="69">
        <f t="shared" si="79"/>
        <v>0</v>
      </c>
      <c r="H317" s="69">
        <f t="shared" si="79"/>
        <v>0</v>
      </c>
      <c r="I317" s="69">
        <f t="shared" ref="I317:I398" si="80">G317+H317</f>
        <v>0</v>
      </c>
      <c r="J317" s="69">
        <f t="shared" si="79"/>
        <v>0</v>
      </c>
      <c r="K317" s="84">
        <f t="shared" ref="K317:K398" si="81">I317+J317</f>
        <v>0</v>
      </c>
      <c r="L317" s="13">
        <f t="shared" si="79"/>
        <v>0</v>
      </c>
      <c r="M317" s="84">
        <f t="shared" si="75"/>
        <v>0</v>
      </c>
      <c r="N317" s="13">
        <f t="shared" si="79"/>
        <v>0</v>
      </c>
      <c r="O317" s="84">
        <f t="shared" si="76"/>
        <v>0</v>
      </c>
      <c r="P317" s="13">
        <f t="shared" si="79"/>
        <v>0</v>
      </c>
      <c r="Q317" s="84">
        <f t="shared" si="73"/>
        <v>0</v>
      </c>
      <c r="R317" s="13">
        <f t="shared" si="79"/>
        <v>0</v>
      </c>
      <c r="S317" s="84">
        <f t="shared" si="72"/>
        <v>0</v>
      </c>
      <c r="T317" s="13">
        <f t="shared" si="79"/>
        <v>0</v>
      </c>
      <c r="U317" s="84">
        <f t="shared" si="71"/>
        <v>0</v>
      </c>
      <c r="V317" s="142" t="s">
        <v>706</v>
      </c>
    </row>
    <row r="318" spans="1:22" hidden="1">
      <c r="A318" s="61" t="str">
        <f ca="1">IF(ISERROR(MATCH(F318,Код_КВР,0)),"",INDIRECT(ADDRESS(MATCH(F318,Код_КВР,0)+1,2,,,"КВР")))</f>
        <v>Субсидии бюджетным учреждениям на иные цели</v>
      </c>
      <c r="B318" s="100">
        <v>801</v>
      </c>
      <c r="C318" s="8" t="s">
        <v>193</v>
      </c>
      <c r="D318" s="8" t="s">
        <v>193</v>
      </c>
      <c r="E318" s="100" t="s">
        <v>568</v>
      </c>
      <c r="F318" s="100">
        <v>612</v>
      </c>
      <c r="G318" s="69"/>
      <c r="H318" s="69"/>
      <c r="I318" s="69">
        <f t="shared" si="80"/>
        <v>0</v>
      </c>
      <c r="J318" s="69"/>
      <c r="K318" s="84">
        <f t="shared" si="81"/>
        <v>0</v>
      </c>
      <c r="L318" s="13"/>
      <c r="M318" s="84">
        <f t="shared" si="75"/>
        <v>0</v>
      </c>
      <c r="N318" s="13"/>
      <c r="O318" s="84">
        <f t="shared" si="76"/>
        <v>0</v>
      </c>
      <c r="P318" s="13"/>
      <c r="Q318" s="84">
        <f t="shared" si="73"/>
        <v>0</v>
      </c>
      <c r="R318" s="13"/>
      <c r="S318" s="84">
        <f t="shared" si="72"/>
        <v>0</v>
      </c>
      <c r="T318" s="13"/>
      <c r="U318" s="84">
        <f t="shared" si="71"/>
        <v>0</v>
      </c>
      <c r="V318" s="142" t="s">
        <v>706</v>
      </c>
    </row>
    <row r="319" spans="1:22">
      <c r="A319" s="61" t="str">
        <f ca="1">IF(ISERROR(MATCH(E319,Код_КЦСР,0)),"",INDIRECT(ADDRESS(MATCH(E319,Код_КЦСР,0)+1,2,,,"КЦСР")))</f>
        <v>Пропаганда здорового образа жизни</v>
      </c>
      <c r="B319" s="126">
        <v>801</v>
      </c>
      <c r="C319" s="8" t="s">
        <v>193</v>
      </c>
      <c r="D319" s="8" t="s">
        <v>193</v>
      </c>
      <c r="E319" s="126" t="s">
        <v>571</v>
      </c>
      <c r="F319" s="126"/>
      <c r="G319" s="69">
        <f t="shared" ref="G319:T321" si="82">G320</f>
        <v>330</v>
      </c>
      <c r="H319" s="69">
        <f t="shared" si="82"/>
        <v>0</v>
      </c>
      <c r="I319" s="69">
        <f t="shared" si="80"/>
        <v>330</v>
      </c>
      <c r="J319" s="69">
        <f t="shared" si="82"/>
        <v>0</v>
      </c>
      <c r="K319" s="84">
        <f t="shared" si="81"/>
        <v>330</v>
      </c>
      <c r="L319" s="13">
        <f t="shared" si="82"/>
        <v>0</v>
      </c>
      <c r="M319" s="84">
        <f t="shared" si="75"/>
        <v>330</v>
      </c>
      <c r="N319" s="13">
        <f t="shared" si="82"/>
        <v>0</v>
      </c>
      <c r="O319" s="84">
        <f t="shared" si="76"/>
        <v>330</v>
      </c>
      <c r="P319" s="13">
        <f t="shared" si="82"/>
        <v>0</v>
      </c>
      <c r="Q319" s="84">
        <f t="shared" si="73"/>
        <v>330</v>
      </c>
      <c r="R319" s="13">
        <f t="shared" si="82"/>
        <v>0</v>
      </c>
      <c r="S319" s="84">
        <f t="shared" si="72"/>
        <v>330</v>
      </c>
      <c r="T319" s="13">
        <f t="shared" si="82"/>
        <v>0</v>
      </c>
      <c r="U319" s="84">
        <f t="shared" si="71"/>
        <v>330</v>
      </c>
    </row>
    <row r="320" spans="1:22" ht="33">
      <c r="A320" s="61" t="str">
        <f ca="1">IF(ISERROR(MATCH(F320,Код_КВР,0)),"",INDIRECT(ADDRESS(MATCH(F320,Код_КВР,0)+1,2,,,"КВР")))</f>
        <v>Предоставление субсидий бюджетным, автономным учреждениям и иным некоммерческим организациям</v>
      </c>
      <c r="B320" s="126">
        <v>801</v>
      </c>
      <c r="C320" s="8" t="s">
        <v>193</v>
      </c>
      <c r="D320" s="8" t="s">
        <v>193</v>
      </c>
      <c r="E320" s="126" t="s">
        <v>571</v>
      </c>
      <c r="F320" s="126">
        <v>600</v>
      </c>
      <c r="G320" s="69">
        <f t="shared" si="82"/>
        <v>330</v>
      </c>
      <c r="H320" s="69">
        <f t="shared" si="82"/>
        <v>0</v>
      </c>
      <c r="I320" s="69">
        <f t="shared" si="80"/>
        <v>330</v>
      </c>
      <c r="J320" s="69">
        <f t="shared" si="82"/>
        <v>0</v>
      </c>
      <c r="K320" s="84">
        <f t="shared" si="81"/>
        <v>330</v>
      </c>
      <c r="L320" s="13">
        <f t="shared" si="82"/>
        <v>0</v>
      </c>
      <c r="M320" s="84">
        <f t="shared" si="75"/>
        <v>330</v>
      </c>
      <c r="N320" s="13">
        <f t="shared" si="82"/>
        <v>0</v>
      </c>
      <c r="O320" s="84">
        <f t="shared" si="76"/>
        <v>330</v>
      </c>
      <c r="P320" s="13">
        <f t="shared" si="82"/>
        <v>0</v>
      </c>
      <c r="Q320" s="84">
        <f t="shared" si="73"/>
        <v>330</v>
      </c>
      <c r="R320" s="13">
        <f t="shared" si="82"/>
        <v>0</v>
      </c>
      <c r="S320" s="84">
        <f t="shared" si="72"/>
        <v>330</v>
      </c>
      <c r="T320" s="13">
        <f t="shared" si="82"/>
        <v>0</v>
      </c>
      <c r="U320" s="84">
        <f t="shared" si="71"/>
        <v>330</v>
      </c>
    </row>
    <row r="321" spans="1:22">
      <c r="A321" s="61" t="str">
        <f ca="1">IF(ISERROR(MATCH(F321,Код_КВР,0)),"",INDIRECT(ADDRESS(MATCH(F321,Код_КВР,0)+1,2,,,"КВР")))</f>
        <v>Субсидии бюджетным учреждениям</v>
      </c>
      <c r="B321" s="126">
        <v>801</v>
      </c>
      <c r="C321" s="8" t="s">
        <v>193</v>
      </c>
      <c r="D321" s="8" t="s">
        <v>193</v>
      </c>
      <c r="E321" s="126" t="s">
        <v>571</v>
      </c>
      <c r="F321" s="126">
        <v>610</v>
      </c>
      <c r="G321" s="69">
        <f t="shared" si="82"/>
        <v>330</v>
      </c>
      <c r="H321" s="69">
        <f t="shared" si="82"/>
        <v>0</v>
      </c>
      <c r="I321" s="69">
        <f t="shared" si="80"/>
        <v>330</v>
      </c>
      <c r="J321" s="69">
        <f t="shared" si="82"/>
        <v>0</v>
      </c>
      <c r="K321" s="84">
        <f t="shared" si="81"/>
        <v>330</v>
      </c>
      <c r="L321" s="13">
        <f t="shared" si="82"/>
        <v>0</v>
      </c>
      <c r="M321" s="84">
        <f t="shared" si="75"/>
        <v>330</v>
      </c>
      <c r="N321" s="13">
        <f t="shared" si="82"/>
        <v>0</v>
      </c>
      <c r="O321" s="84">
        <f t="shared" si="76"/>
        <v>330</v>
      </c>
      <c r="P321" s="13">
        <f t="shared" si="82"/>
        <v>0</v>
      </c>
      <c r="Q321" s="84">
        <f t="shared" si="73"/>
        <v>330</v>
      </c>
      <c r="R321" s="13">
        <f t="shared" si="82"/>
        <v>0</v>
      </c>
      <c r="S321" s="84">
        <f t="shared" si="72"/>
        <v>330</v>
      </c>
      <c r="T321" s="13">
        <f t="shared" si="82"/>
        <v>0</v>
      </c>
      <c r="U321" s="84">
        <f t="shared" si="71"/>
        <v>330</v>
      </c>
    </row>
    <row r="322" spans="1:22">
      <c r="A322" s="61" t="str">
        <f ca="1">IF(ISERROR(MATCH(F322,Код_КВР,0)),"",INDIRECT(ADDRESS(MATCH(F322,Код_КВР,0)+1,2,,,"КВР")))</f>
        <v>Субсидии бюджетным учреждениям на иные цели</v>
      </c>
      <c r="B322" s="126">
        <v>801</v>
      </c>
      <c r="C322" s="8" t="s">
        <v>193</v>
      </c>
      <c r="D322" s="8" t="s">
        <v>193</v>
      </c>
      <c r="E322" s="126" t="s">
        <v>571</v>
      </c>
      <c r="F322" s="126">
        <v>612</v>
      </c>
      <c r="G322" s="69">
        <v>330</v>
      </c>
      <c r="H322" s="64"/>
      <c r="I322" s="69">
        <f t="shared" si="80"/>
        <v>330</v>
      </c>
      <c r="J322" s="64"/>
      <c r="K322" s="84">
        <f t="shared" si="81"/>
        <v>330</v>
      </c>
      <c r="L322" s="84"/>
      <c r="M322" s="84">
        <f t="shared" si="75"/>
        <v>330</v>
      </c>
      <c r="N322" s="84"/>
      <c r="O322" s="84">
        <f t="shared" si="76"/>
        <v>330</v>
      </c>
      <c r="P322" s="84"/>
      <c r="Q322" s="84">
        <f t="shared" si="73"/>
        <v>330</v>
      </c>
      <c r="R322" s="84"/>
      <c r="S322" s="84">
        <f t="shared" si="72"/>
        <v>330</v>
      </c>
      <c r="T322" s="84"/>
      <c r="U322" s="84">
        <f t="shared" si="71"/>
        <v>330</v>
      </c>
    </row>
    <row r="323" spans="1:22" hidden="1">
      <c r="A323" s="61" t="str">
        <f ca="1">IF(ISERROR(MATCH(E323,Код_КЦСР,0)),"",INDIRECT(ADDRESS(MATCH(E323,Код_КЦСР,0)+1,2,,,"КЦСР")))</f>
        <v>Здоровье на рабочем месте</v>
      </c>
      <c r="B323" s="100">
        <v>801</v>
      </c>
      <c r="C323" s="8" t="s">
        <v>193</v>
      </c>
      <c r="D323" s="8" t="s">
        <v>193</v>
      </c>
      <c r="E323" s="100" t="s">
        <v>573</v>
      </c>
      <c r="F323" s="100"/>
      <c r="G323" s="69">
        <f>G324</f>
        <v>0</v>
      </c>
      <c r="H323" s="64"/>
      <c r="I323" s="69">
        <f t="shared" si="80"/>
        <v>0</v>
      </c>
      <c r="J323" s="64"/>
      <c r="K323" s="84">
        <f t="shared" si="81"/>
        <v>0</v>
      </c>
      <c r="L323" s="84"/>
      <c r="M323" s="84">
        <f t="shared" si="75"/>
        <v>0</v>
      </c>
      <c r="N323" s="84"/>
      <c r="O323" s="84">
        <f t="shared" si="76"/>
        <v>0</v>
      </c>
      <c r="P323" s="84"/>
      <c r="Q323" s="84">
        <f t="shared" si="73"/>
        <v>0</v>
      </c>
      <c r="R323" s="84"/>
      <c r="S323" s="84">
        <f t="shared" si="72"/>
        <v>0</v>
      </c>
      <c r="T323" s="84"/>
      <c r="U323" s="84">
        <f t="shared" si="71"/>
        <v>0</v>
      </c>
      <c r="V323" s="142" t="s">
        <v>706</v>
      </c>
    </row>
    <row r="324" spans="1:22" ht="33" hidden="1">
      <c r="A324" s="61" t="str">
        <f ca="1">IF(ISERROR(MATCH(F324,Код_КВР,0)),"",INDIRECT(ADDRESS(MATCH(F324,Код_КВР,0)+1,2,,,"КВР")))</f>
        <v>Предоставление субсидий бюджетным, автономным учреждениям и иным некоммерческим организациям</v>
      </c>
      <c r="B324" s="100">
        <v>801</v>
      </c>
      <c r="C324" s="8" t="s">
        <v>193</v>
      </c>
      <c r="D324" s="8" t="s">
        <v>193</v>
      </c>
      <c r="E324" s="100" t="s">
        <v>573</v>
      </c>
      <c r="F324" s="100">
        <v>600</v>
      </c>
      <c r="G324" s="69">
        <f>G325</f>
        <v>0</v>
      </c>
      <c r="H324" s="64"/>
      <c r="I324" s="69">
        <f t="shared" si="80"/>
        <v>0</v>
      </c>
      <c r="J324" s="64"/>
      <c r="K324" s="84">
        <f t="shared" si="81"/>
        <v>0</v>
      </c>
      <c r="L324" s="84"/>
      <c r="M324" s="84">
        <f t="shared" si="75"/>
        <v>0</v>
      </c>
      <c r="N324" s="84"/>
      <c r="O324" s="84">
        <f t="shared" si="76"/>
        <v>0</v>
      </c>
      <c r="P324" s="84"/>
      <c r="Q324" s="84">
        <f t="shared" si="73"/>
        <v>0</v>
      </c>
      <c r="R324" s="84"/>
      <c r="S324" s="84">
        <f t="shared" si="72"/>
        <v>0</v>
      </c>
      <c r="T324" s="84"/>
      <c r="U324" s="84">
        <f t="shared" si="71"/>
        <v>0</v>
      </c>
      <c r="V324" s="142" t="s">
        <v>706</v>
      </c>
    </row>
    <row r="325" spans="1:22" hidden="1">
      <c r="A325" s="61" t="str">
        <f ca="1">IF(ISERROR(MATCH(F325,Код_КВР,0)),"",INDIRECT(ADDRESS(MATCH(F325,Код_КВР,0)+1,2,,,"КВР")))</f>
        <v>Субсидии бюджетным учреждениям</v>
      </c>
      <c r="B325" s="100">
        <v>801</v>
      </c>
      <c r="C325" s="8" t="s">
        <v>193</v>
      </c>
      <c r="D325" s="8" t="s">
        <v>193</v>
      </c>
      <c r="E325" s="100" t="s">
        <v>573</v>
      </c>
      <c r="F325" s="100">
        <v>610</v>
      </c>
      <c r="G325" s="69">
        <f>G326</f>
        <v>0</v>
      </c>
      <c r="H325" s="64"/>
      <c r="I325" s="69">
        <f t="shared" si="80"/>
        <v>0</v>
      </c>
      <c r="J325" s="64"/>
      <c r="K325" s="84">
        <f t="shared" si="81"/>
        <v>0</v>
      </c>
      <c r="L325" s="84"/>
      <c r="M325" s="84">
        <f t="shared" si="75"/>
        <v>0</v>
      </c>
      <c r="N325" s="84"/>
      <c r="O325" s="84">
        <f t="shared" si="76"/>
        <v>0</v>
      </c>
      <c r="P325" s="84"/>
      <c r="Q325" s="84">
        <f t="shared" si="73"/>
        <v>0</v>
      </c>
      <c r="R325" s="84"/>
      <c r="S325" s="84">
        <f t="shared" si="72"/>
        <v>0</v>
      </c>
      <c r="T325" s="84"/>
      <c r="U325" s="84">
        <f t="shared" si="71"/>
        <v>0</v>
      </c>
      <c r="V325" s="142" t="s">
        <v>706</v>
      </c>
    </row>
    <row r="326" spans="1:22" hidden="1">
      <c r="A326" s="61" t="str">
        <f ca="1">IF(ISERROR(MATCH(F326,Код_КВР,0)),"",INDIRECT(ADDRESS(MATCH(F326,Код_КВР,0)+1,2,,,"КВР")))</f>
        <v>Субсидии бюджетным учреждениям на иные цели</v>
      </c>
      <c r="B326" s="100">
        <v>801</v>
      </c>
      <c r="C326" s="8" t="s">
        <v>193</v>
      </c>
      <c r="D326" s="8" t="s">
        <v>193</v>
      </c>
      <c r="E326" s="100" t="s">
        <v>573</v>
      </c>
      <c r="F326" s="100">
        <v>612</v>
      </c>
      <c r="G326" s="69"/>
      <c r="H326" s="64"/>
      <c r="I326" s="69">
        <f t="shared" si="80"/>
        <v>0</v>
      </c>
      <c r="J326" s="64"/>
      <c r="K326" s="84">
        <f t="shared" si="81"/>
        <v>0</v>
      </c>
      <c r="L326" s="84"/>
      <c r="M326" s="84">
        <f t="shared" si="75"/>
        <v>0</v>
      </c>
      <c r="N326" s="84"/>
      <c r="O326" s="84">
        <f t="shared" si="76"/>
        <v>0</v>
      </c>
      <c r="P326" s="84"/>
      <c r="Q326" s="84">
        <f t="shared" si="73"/>
        <v>0</v>
      </c>
      <c r="R326" s="84"/>
      <c r="S326" s="84">
        <f t="shared" si="72"/>
        <v>0</v>
      </c>
      <c r="T326" s="84"/>
      <c r="U326" s="84">
        <f t="shared" si="71"/>
        <v>0</v>
      </c>
      <c r="V326" s="142" t="s">
        <v>706</v>
      </c>
    </row>
    <row r="327" spans="1:22" ht="33">
      <c r="A327" s="61" t="str">
        <f ca="1">IF(ISERROR(MATCH(E327,Код_КЦСР,0)),"",INDIRECT(ADDRESS(MATCH(E327,Код_КЦСР,0)+1,2,,,"КЦСР")))</f>
        <v>Непрограммные направления деятельности органов местного самоуправления</v>
      </c>
      <c r="B327" s="126">
        <v>801</v>
      </c>
      <c r="C327" s="8" t="s">
        <v>193</v>
      </c>
      <c r="D327" s="8" t="s">
        <v>193</v>
      </c>
      <c r="E327" s="126" t="s">
        <v>295</v>
      </c>
      <c r="F327" s="126"/>
      <c r="G327" s="69"/>
      <c r="H327" s="64"/>
      <c r="I327" s="69"/>
      <c r="J327" s="64">
        <f>J328</f>
        <v>0.7</v>
      </c>
      <c r="K327" s="84">
        <f t="shared" si="81"/>
        <v>0.7</v>
      </c>
      <c r="L327" s="84">
        <f>L328</f>
        <v>0</v>
      </c>
      <c r="M327" s="84">
        <f t="shared" si="75"/>
        <v>0.7</v>
      </c>
      <c r="N327" s="84">
        <f>N328</f>
        <v>0</v>
      </c>
      <c r="O327" s="84">
        <f t="shared" si="76"/>
        <v>0.7</v>
      </c>
      <c r="P327" s="84">
        <f>P328</f>
        <v>0</v>
      </c>
      <c r="Q327" s="84">
        <f t="shared" si="73"/>
        <v>0.7</v>
      </c>
      <c r="R327" s="84">
        <f>R328</f>
        <v>0</v>
      </c>
      <c r="S327" s="84">
        <f t="shared" si="72"/>
        <v>0.7</v>
      </c>
      <c r="T327" s="84">
        <f>T328</f>
        <v>0</v>
      </c>
      <c r="U327" s="84">
        <f t="shared" si="71"/>
        <v>0.7</v>
      </c>
    </row>
    <row r="328" spans="1:22">
      <c r="A328" s="61" t="str">
        <f ca="1">IF(ISERROR(MATCH(E328,Код_КЦСР,0)),"",INDIRECT(ADDRESS(MATCH(E328,Код_КЦСР,0)+1,2,,,"КЦСР")))</f>
        <v>Расходы, не включенные в муниципальные программы города Череповца</v>
      </c>
      <c r="B328" s="126">
        <v>801</v>
      </c>
      <c r="C328" s="8" t="s">
        <v>193</v>
      </c>
      <c r="D328" s="8" t="s">
        <v>193</v>
      </c>
      <c r="E328" s="126" t="s">
        <v>297</v>
      </c>
      <c r="F328" s="126"/>
      <c r="G328" s="69"/>
      <c r="H328" s="64"/>
      <c r="I328" s="69"/>
      <c r="J328" s="64">
        <f>J329</f>
        <v>0.7</v>
      </c>
      <c r="K328" s="84">
        <f t="shared" si="81"/>
        <v>0.7</v>
      </c>
      <c r="L328" s="84">
        <f>L329</f>
        <v>0</v>
      </c>
      <c r="M328" s="84">
        <f t="shared" si="75"/>
        <v>0.7</v>
      </c>
      <c r="N328" s="84">
        <f>N329</f>
        <v>0</v>
      </c>
      <c r="O328" s="84">
        <f t="shared" si="76"/>
        <v>0.7</v>
      </c>
      <c r="P328" s="84">
        <f>P329</f>
        <v>0</v>
      </c>
      <c r="Q328" s="84">
        <f t="shared" si="73"/>
        <v>0.7</v>
      </c>
      <c r="R328" s="84">
        <f>R329</f>
        <v>0</v>
      </c>
      <c r="S328" s="84">
        <f t="shared" si="72"/>
        <v>0.7</v>
      </c>
      <c r="T328" s="84">
        <f>T329</f>
        <v>0</v>
      </c>
      <c r="U328" s="84">
        <f t="shared" si="71"/>
        <v>0.7</v>
      </c>
    </row>
    <row r="329" spans="1:22">
      <c r="A329" s="61" t="str">
        <f ca="1">IF(ISERROR(MATCH(E329,Код_КЦСР,0)),"",INDIRECT(ADDRESS(MATCH(E329,Код_КЦСР,0)+1,2,,,"КЦСР")))</f>
        <v>Кредиторская задолженность, сложившаяся по итогам 2013 года</v>
      </c>
      <c r="B329" s="126">
        <v>801</v>
      </c>
      <c r="C329" s="8" t="s">
        <v>193</v>
      </c>
      <c r="D329" s="8" t="s">
        <v>193</v>
      </c>
      <c r="E329" s="126" t="s">
        <v>367</v>
      </c>
      <c r="F329" s="126"/>
      <c r="G329" s="69"/>
      <c r="H329" s="64"/>
      <c r="I329" s="69"/>
      <c r="J329" s="64">
        <f>J330</f>
        <v>0.7</v>
      </c>
      <c r="K329" s="84">
        <f t="shared" si="81"/>
        <v>0.7</v>
      </c>
      <c r="L329" s="84">
        <f>L330</f>
        <v>0</v>
      </c>
      <c r="M329" s="84">
        <f t="shared" si="75"/>
        <v>0.7</v>
      </c>
      <c r="N329" s="84">
        <f>N330</f>
        <v>0</v>
      </c>
      <c r="O329" s="84">
        <f t="shared" si="76"/>
        <v>0.7</v>
      </c>
      <c r="P329" s="84">
        <f>P330</f>
        <v>0</v>
      </c>
      <c r="Q329" s="84">
        <f t="shared" si="73"/>
        <v>0.7</v>
      </c>
      <c r="R329" s="84">
        <f>R330</f>
        <v>0</v>
      </c>
      <c r="S329" s="84">
        <f t="shared" si="72"/>
        <v>0.7</v>
      </c>
      <c r="T329" s="84">
        <f>T330</f>
        <v>0</v>
      </c>
      <c r="U329" s="84">
        <f t="shared" si="71"/>
        <v>0.7</v>
      </c>
    </row>
    <row r="330" spans="1:22" ht="33">
      <c r="A330" s="61" t="str">
        <f ca="1">IF(ISERROR(MATCH(F330,Код_КВР,0)),"",INDIRECT(ADDRESS(MATCH(F330,Код_КВР,0)+1,2,,,"КВР")))</f>
        <v>Предоставление субсидий бюджетным, автономным учреждениям и иным некоммерческим организациям</v>
      </c>
      <c r="B330" s="126">
        <v>801</v>
      </c>
      <c r="C330" s="8" t="s">
        <v>193</v>
      </c>
      <c r="D330" s="8" t="s">
        <v>193</v>
      </c>
      <c r="E330" s="126" t="s">
        <v>367</v>
      </c>
      <c r="F330" s="126">
        <v>600</v>
      </c>
      <c r="G330" s="69"/>
      <c r="H330" s="64"/>
      <c r="I330" s="69"/>
      <c r="J330" s="64">
        <f>J331</f>
        <v>0.7</v>
      </c>
      <c r="K330" s="84">
        <f t="shared" si="81"/>
        <v>0.7</v>
      </c>
      <c r="L330" s="84">
        <f>L331</f>
        <v>0</v>
      </c>
      <c r="M330" s="84">
        <f t="shared" si="75"/>
        <v>0.7</v>
      </c>
      <c r="N330" s="84">
        <f>N331</f>
        <v>0</v>
      </c>
      <c r="O330" s="84">
        <f t="shared" si="76"/>
        <v>0.7</v>
      </c>
      <c r="P330" s="84">
        <f>P331</f>
        <v>0</v>
      </c>
      <c r="Q330" s="84">
        <f t="shared" si="73"/>
        <v>0.7</v>
      </c>
      <c r="R330" s="84">
        <f>R331</f>
        <v>0</v>
      </c>
      <c r="S330" s="84">
        <f t="shared" si="72"/>
        <v>0.7</v>
      </c>
      <c r="T330" s="84">
        <f>T331</f>
        <v>0</v>
      </c>
      <c r="U330" s="84">
        <f t="shared" si="71"/>
        <v>0.7</v>
      </c>
    </row>
    <row r="331" spans="1:22">
      <c r="A331" s="61" t="str">
        <f ca="1">IF(ISERROR(MATCH(F331,Код_КВР,0)),"",INDIRECT(ADDRESS(MATCH(F331,Код_КВР,0)+1,2,,,"КВР")))</f>
        <v>Субсидии бюджетным учреждениям</v>
      </c>
      <c r="B331" s="126">
        <v>801</v>
      </c>
      <c r="C331" s="8" t="s">
        <v>193</v>
      </c>
      <c r="D331" s="8" t="s">
        <v>193</v>
      </c>
      <c r="E331" s="126" t="s">
        <v>367</v>
      </c>
      <c r="F331" s="126">
        <v>610</v>
      </c>
      <c r="G331" s="69"/>
      <c r="H331" s="64"/>
      <c r="I331" s="69"/>
      <c r="J331" s="64">
        <f>J332</f>
        <v>0.7</v>
      </c>
      <c r="K331" s="84">
        <f t="shared" si="81"/>
        <v>0.7</v>
      </c>
      <c r="L331" s="84">
        <f>L332</f>
        <v>0</v>
      </c>
      <c r="M331" s="84">
        <f t="shared" si="75"/>
        <v>0.7</v>
      </c>
      <c r="N331" s="84">
        <f>N332</f>
        <v>0</v>
      </c>
      <c r="O331" s="84">
        <f t="shared" si="76"/>
        <v>0.7</v>
      </c>
      <c r="P331" s="84">
        <f>P332</f>
        <v>0</v>
      </c>
      <c r="Q331" s="84">
        <f t="shared" si="73"/>
        <v>0.7</v>
      </c>
      <c r="R331" s="84">
        <f>R332</f>
        <v>0</v>
      </c>
      <c r="S331" s="84">
        <f t="shared" si="72"/>
        <v>0.7</v>
      </c>
      <c r="T331" s="84">
        <f>T332</f>
        <v>0</v>
      </c>
      <c r="U331" s="84">
        <f t="shared" si="71"/>
        <v>0.7</v>
      </c>
    </row>
    <row r="332" spans="1:22">
      <c r="A332" s="61" t="str">
        <f ca="1">IF(ISERROR(MATCH(F332,Код_КВР,0)),"",INDIRECT(ADDRESS(MATCH(F332,Код_КВР,0)+1,2,,,"КВР")))</f>
        <v>Субсидии бюджетным учреждениям на иные цели</v>
      </c>
      <c r="B332" s="126">
        <v>801</v>
      </c>
      <c r="C332" s="8" t="s">
        <v>193</v>
      </c>
      <c r="D332" s="8" t="s">
        <v>193</v>
      </c>
      <c r="E332" s="126" t="s">
        <v>367</v>
      </c>
      <c r="F332" s="126">
        <v>612</v>
      </c>
      <c r="G332" s="69"/>
      <c r="H332" s="64"/>
      <c r="I332" s="69"/>
      <c r="J332" s="64">
        <v>0.7</v>
      </c>
      <c r="K332" s="84">
        <f t="shared" si="81"/>
        <v>0.7</v>
      </c>
      <c r="L332" s="84"/>
      <c r="M332" s="84">
        <f t="shared" si="75"/>
        <v>0.7</v>
      </c>
      <c r="N332" s="84"/>
      <c r="O332" s="84">
        <f t="shared" si="76"/>
        <v>0.7</v>
      </c>
      <c r="P332" s="84"/>
      <c r="Q332" s="84">
        <f t="shared" si="73"/>
        <v>0.7</v>
      </c>
      <c r="R332" s="84"/>
      <c r="S332" s="84">
        <f t="shared" si="72"/>
        <v>0.7</v>
      </c>
      <c r="T332" s="84"/>
      <c r="U332" s="84">
        <f t="shared" si="71"/>
        <v>0.7</v>
      </c>
    </row>
    <row r="333" spans="1:22">
      <c r="A333" s="61" t="str">
        <f ca="1">IF(ISERROR(MATCH(C333,Код_Раздел,0)),"",INDIRECT(ADDRESS(MATCH(C333,Код_Раздел,0)+1,2,,,"Раздел")))</f>
        <v>Социальная политика</v>
      </c>
      <c r="B333" s="126">
        <v>801</v>
      </c>
      <c r="C333" s="8" t="s">
        <v>186</v>
      </c>
      <c r="D333" s="8"/>
      <c r="E333" s="126"/>
      <c r="F333" s="126"/>
      <c r="G333" s="69">
        <f>G334+G342</f>
        <v>34846.800000000003</v>
      </c>
      <c r="H333" s="69">
        <f>H334+H342</f>
        <v>0</v>
      </c>
      <c r="I333" s="69">
        <f t="shared" si="80"/>
        <v>34846.800000000003</v>
      </c>
      <c r="J333" s="69">
        <f>J334+J342</f>
        <v>0</v>
      </c>
      <c r="K333" s="84">
        <f t="shared" si="81"/>
        <v>34846.800000000003</v>
      </c>
      <c r="L333" s="13">
        <f>L334+L342</f>
        <v>0</v>
      </c>
      <c r="M333" s="84">
        <f t="shared" si="75"/>
        <v>34846.800000000003</v>
      </c>
      <c r="N333" s="13">
        <f>N334+N342</f>
        <v>0</v>
      </c>
      <c r="O333" s="84">
        <f t="shared" si="76"/>
        <v>34846.800000000003</v>
      </c>
      <c r="P333" s="13">
        <f>P334+P342</f>
        <v>0</v>
      </c>
      <c r="Q333" s="84">
        <f t="shared" si="73"/>
        <v>34846.800000000003</v>
      </c>
      <c r="R333" s="13">
        <f>R334+R342</f>
        <v>-3318.1000000000004</v>
      </c>
      <c r="S333" s="84">
        <f t="shared" si="72"/>
        <v>31528.700000000004</v>
      </c>
      <c r="T333" s="13">
        <f>T334+T342</f>
        <v>1</v>
      </c>
      <c r="U333" s="84">
        <f t="shared" si="71"/>
        <v>31529.700000000004</v>
      </c>
    </row>
    <row r="334" spans="1:22">
      <c r="A334" s="12" t="s">
        <v>183</v>
      </c>
      <c r="B334" s="126">
        <v>801</v>
      </c>
      <c r="C334" s="8" t="s">
        <v>186</v>
      </c>
      <c r="D334" s="8" t="s">
        <v>211</v>
      </c>
      <c r="E334" s="126"/>
      <c r="F334" s="126"/>
      <c r="G334" s="69">
        <f t="shared" ref="G334:T337" si="83">G335</f>
        <v>13440</v>
      </c>
      <c r="H334" s="69">
        <f t="shared" si="83"/>
        <v>0</v>
      </c>
      <c r="I334" s="69">
        <f t="shared" si="80"/>
        <v>13440</v>
      </c>
      <c r="J334" s="69">
        <f t="shared" si="83"/>
        <v>0</v>
      </c>
      <c r="K334" s="84">
        <f t="shared" si="81"/>
        <v>13440</v>
      </c>
      <c r="L334" s="13">
        <f t="shared" si="83"/>
        <v>0</v>
      </c>
      <c r="M334" s="84">
        <f t="shared" si="75"/>
        <v>13440</v>
      </c>
      <c r="N334" s="13">
        <f t="shared" si="83"/>
        <v>0</v>
      </c>
      <c r="O334" s="84">
        <f t="shared" si="76"/>
        <v>13440</v>
      </c>
      <c r="P334" s="13">
        <f t="shared" si="83"/>
        <v>0</v>
      </c>
      <c r="Q334" s="84">
        <f t="shared" si="73"/>
        <v>13440</v>
      </c>
      <c r="R334" s="13">
        <f t="shared" si="83"/>
        <v>0</v>
      </c>
      <c r="S334" s="84">
        <f t="shared" si="72"/>
        <v>13440</v>
      </c>
      <c r="T334" s="13">
        <f t="shared" si="83"/>
        <v>0</v>
      </c>
      <c r="U334" s="84">
        <f t="shared" si="71"/>
        <v>13440</v>
      </c>
    </row>
    <row r="335" spans="1:22" ht="33">
      <c r="A335" s="61" t="str">
        <f ca="1">IF(ISERROR(MATCH(E335,Код_КЦСР,0)),"",INDIRECT(ADDRESS(MATCH(E335,Код_КЦСР,0)+1,2,,,"КЦСР")))</f>
        <v>Муниципальная программа «Совершенствование муниципального управления в городе Череповце» на 2014-2018 годы</v>
      </c>
      <c r="B335" s="126">
        <v>801</v>
      </c>
      <c r="C335" s="8" t="s">
        <v>186</v>
      </c>
      <c r="D335" s="8" t="s">
        <v>211</v>
      </c>
      <c r="E335" s="126" t="s">
        <v>121</v>
      </c>
      <c r="F335" s="126"/>
      <c r="G335" s="69">
        <f t="shared" si="83"/>
        <v>13440</v>
      </c>
      <c r="H335" s="69">
        <f t="shared" si="83"/>
        <v>0</v>
      </c>
      <c r="I335" s="69">
        <f t="shared" si="80"/>
        <v>13440</v>
      </c>
      <c r="J335" s="69">
        <f t="shared" si="83"/>
        <v>0</v>
      </c>
      <c r="K335" s="84">
        <f t="shared" si="81"/>
        <v>13440</v>
      </c>
      <c r="L335" s="13">
        <f t="shared" si="83"/>
        <v>0</v>
      </c>
      <c r="M335" s="84">
        <f t="shared" si="75"/>
        <v>13440</v>
      </c>
      <c r="N335" s="13">
        <f t="shared" si="83"/>
        <v>0</v>
      </c>
      <c r="O335" s="84">
        <f t="shared" si="76"/>
        <v>13440</v>
      </c>
      <c r="P335" s="13">
        <f t="shared" si="83"/>
        <v>0</v>
      </c>
      <c r="Q335" s="84">
        <f t="shared" si="73"/>
        <v>13440</v>
      </c>
      <c r="R335" s="13">
        <f t="shared" si="83"/>
        <v>0</v>
      </c>
      <c r="S335" s="84">
        <f t="shared" si="72"/>
        <v>13440</v>
      </c>
      <c r="T335" s="13">
        <f t="shared" si="83"/>
        <v>0</v>
      </c>
      <c r="U335" s="84">
        <f t="shared" si="71"/>
        <v>13440</v>
      </c>
    </row>
    <row r="336" spans="1:22">
      <c r="A336" s="61" t="str">
        <f ca="1">IF(ISERROR(MATCH(E336,Код_КЦСР,0)),"",INDIRECT(ADDRESS(MATCH(E336,Код_КЦСР,0)+1,2,,,"КЦСР")))</f>
        <v>Развитие муниципальной службы в мэрии города Череповца</v>
      </c>
      <c r="B336" s="126">
        <v>801</v>
      </c>
      <c r="C336" s="8" t="s">
        <v>186</v>
      </c>
      <c r="D336" s="8" t="s">
        <v>211</v>
      </c>
      <c r="E336" s="126" t="s">
        <v>128</v>
      </c>
      <c r="F336" s="126"/>
      <c r="G336" s="69">
        <f t="shared" si="83"/>
        <v>13440</v>
      </c>
      <c r="H336" s="69">
        <f t="shared" si="83"/>
        <v>0</v>
      </c>
      <c r="I336" s="69">
        <f t="shared" si="80"/>
        <v>13440</v>
      </c>
      <c r="J336" s="69">
        <f t="shared" si="83"/>
        <v>0</v>
      </c>
      <c r="K336" s="84">
        <f t="shared" si="81"/>
        <v>13440</v>
      </c>
      <c r="L336" s="13">
        <f t="shared" si="83"/>
        <v>0</v>
      </c>
      <c r="M336" s="84">
        <f t="shared" si="75"/>
        <v>13440</v>
      </c>
      <c r="N336" s="13">
        <f t="shared" si="83"/>
        <v>0</v>
      </c>
      <c r="O336" s="84">
        <f t="shared" si="76"/>
        <v>13440</v>
      </c>
      <c r="P336" s="13">
        <f t="shared" si="83"/>
        <v>0</v>
      </c>
      <c r="Q336" s="84">
        <f t="shared" si="73"/>
        <v>13440</v>
      </c>
      <c r="R336" s="13">
        <f t="shared" si="83"/>
        <v>0</v>
      </c>
      <c r="S336" s="84">
        <f t="shared" si="72"/>
        <v>13440</v>
      </c>
      <c r="T336" s="13">
        <f t="shared" si="83"/>
        <v>0</v>
      </c>
      <c r="U336" s="84">
        <f t="shared" si="71"/>
        <v>13440</v>
      </c>
    </row>
    <row r="337" spans="1:22">
      <c r="A337" s="61" t="str">
        <f ca="1">IF(ISERROR(MATCH(E337,Код_КЦСР,0)),"",INDIRECT(ADDRESS(MATCH(E337,Код_КЦСР,0)+1,2,,,"КЦСР")))</f>
        <v>Повышение престижа муниципальной службы в городе</v>
      </c>
      <c r="B337" s="126">
        <v>801</v>
      </c>
      <c r="C337" s="8" t="s">
        <v>186</v>
      </c>
      <c r="D337" s="8" t="s">
        <v>211</v>
      </c>
      <c r="E337" s="126" t="s">
        <v>131</v>
      </c>
      <c r="F337" s="126"/>
      <c r="G337" s="69">
        <f t="shared" si="83"/>
        <v>13440</v>
      </c>
      <c r="H337" s="69">
        <f t="shared" si="83"/>
        <v>0</v>
      </c>
      <c r="I337" s="69">
        <f t="shared" si="80"/>
        <v>13440</v>
      </c>
      <c r="J337" s="69">
        <f t="shared" si="83"/>
        <v>0</v>
      </c>
      <c r="K337" s="84">
        <f t="shared" si="81"/>
        <v>13440</v>
      </c>
      <c r="L337" s="13">
        <f t="shared" si="83"/>
        <v>0</v>
      </c>
      <c r="M337" s="84">
        <f t="shared" si="75"/>
        <v>13440</v>
      </c>
      <c r="N337" s="13">
        <f t="shared" si="83"/>
        <v>0</v>
      </c>
      <c r="O337" s="84">
        <f t="shared" si="76"/>
        <v>13440</v>
      </c>
      <c r="P337" s="13">
        <f t="shared" si="83"/>
        <v>0</v>
      </c>
      <c r="Q337" s="84">
        <f t="shared" si="73"/>
        <v>13440</v>
      </c>
      <c r="R337" s="13">
        <f t="shared" si="83"/>
        <v>0</v>
      </c>
      <c r="S337" s="84">
        <f t="shared" si="72"/>
        <v>13440</v>
      </c>
      <c r="T337" s="13">
        <f t="shared" si="83"/>
        <v>0</v>
      </c>
      <c r="U337" s="84">
        <f t="shared" si="71"/>
        <v>13440</v>
      </c>
    </row>
    <row r="338" spans="1:22">
      <c r="A338" s="61" t="str">
        <f ca="1">IF(ISERROR(MATCH(F338,Код_КВР,0)),"",INDIRECT(ADDRESS(MATCH(F338,Код_КВР,0)+1,2,,,"КВР")))</f>
        <v>Социальное обеспечение и иные выплаты населению</v>
      </c>
      <c r="B338" s="126">
        <v>801</v>
      </c>
      <c r="C338" s="8" t="s">
        <v>186</v>
      </c>
      <c r="D338" s="8" t="s">
        <v>211</v>
      </c>
      <c r="E338" s="126" t="s">
        <v>131</v>
      </c>
      <c r="F338" s="126">
        <v>300</v>
      </c>
      <c r="G338" s="69">
        <f>G341</f>
        <v>13440</v>
      </c>
      <c r="H338" s="69">
        <f>H341</f>
        <v>0</v>
      </c>
      <c r="I338" s="69">
        <f t="shared" si="80"/>
        <v>13440</v>
      </c>
      <c r="J338" s="69">
        <f>J341</f>
        <v>0</v>
      </c>
      <c r="K338" s="84">
        <f t="shared" si="81"/>
        <v>13440</v>
      </c>
      <c r="L338" s="13">
        <f>L341</f>
        <v>0</v>
      </c>
      <c r="M338" s="84">
        <f t="shared" si="75"/>
        <v>13440</v>
      </c>
      <c r="N338" s="13">
        <f>N341</f>
        <v>0</v>
      </c>
      <c r="O338" s="84">
        <f t="shared" si="76"/>
        <v>13440</v>
      </c>
      <c r="P338" s="13">
        <f>P341</f>
        <v>0</v>
      </c>
      <c r="Q338" s="84">
        <f t="shared" si="73"/>
        <v>13440</v>
      </c>
      <c r="R338" s="13">
        <f>R341</f>
        <v>0</v>
      </c>
      <c r="S338" s="84">
        <f>Q338+R338</f>
        <v>13440</v>
      </c>
      <c r="T338" s="13">
        <f>T339+T341</f>
        <v>0</v>
      </c>
      <c r="U338" s="84">
        <f t="shared" si="71"/>
        <v>13440</v>
      </c>
    </row>
    <row r="339" spans="1:22" ht="33">
      <c r="A339" s="61" t="str">
        <f ca="1">IF(ISERROR(MATCH(F339,Код_КВР,0)),"",INDIRECT(ADDRESS(MATCH(F339,Код_КВР,0)+1,2,,,"КВР")))</f>
        <v>Социальные выплаты гражданам, кроме публичных нормативных социальных выплат</v>
      </c>
      <c r="B339" s="126">
        <v>801</v>
      </c>
      <c r="C339" s="8" t="s">
        <v>186</v>
      </c>
      <c r="D339" s="8" t="s">
        <v>211</v>
      </c>
      <c r="E339" s="126" t="s">
        <v>131</v>
      </c>
      <c r="F339" s="126">
        <v>320</v>
      </c>
      <c r="G339" s="69"/>
      <c r="H339" s="69"/>
      <c r="I339" s="69"/>
      <c r="J339" s="69"/>
      <c r="K339" s="84"/>
      <c r="L339" s="13"/>
      <c r="M339" s="84"/>
      <c r="N339" s="13"/>
      <c r="O339" s="84"/>
      <c r="P339" s="13"/>
      <c r="Q339" s="84"/>
      <c r="R339" s="13"/>
      <c r="S339" s="84"/>
      <c r="T339" s="13">
        <f>T340</f>
        <v>13440</v>
      </c>
      <c r="U339" s="84">
        <f t="shared" si="71"/>
        <v>13440</v>
      </c>
    </row>
    <row r="340" spans="1:22" ht="33">
      <c r="A340" s="61" t="str">
        <f ca="1">IF(ISERROR(MATCH(F340,Код_КВР,0)),"",INDIRECT(ADDRESS(MATCH(F340,Код_КВР,0)+1,2,,,"КВР")))</f>
        <v>Пособия, компенсации и иные социальные выплаты гражданам, кроме публичных нормативных обязательств</v>
      </c>
      <c r="B340" s="126">
        <v>801</v>
      </c>
      <c r="C340" s="8" t="s">
        <v>186</v>
      </c>
      <c r="D340" s="8" t="s">
        <v>211</v>
      </c>
      <c r="E340" s="126" t="s">
        <v>131</v>
      </c>
      <c r="F340" s="126">
        <v>321</v>
      </c>
      <c r="G340" s="69"/>
      <c r="H340" s="69"/>
      <c r="I340" s="69"/>
      <c r="J340" s="69"/>
      <c r="K340" s="84"/>
      <c r="L340" s="13"/>
      <c r="M340" s="84"/>
      <c r="N340" s="13"/>
      <c r="O340" s="84"/>
      <c r="P340" s="13"/>
      <c r="Q340" s="84"/>
      <c r="R340" s="13"/>
      <c r="S340" s="84"/>
      <c r="T340" s="13">
        <v>13440</v>
      </c>
      <c r="U340" s="84">
        <f t="shared" si="71"/>
        <v>13440</v>
      </c>
    </row>
    <row r="341" spans="1:22" hidden="1">
      <c r="A341" s="61" t="str">
        <f ca="1">IF(ISERROR(MATCH(F341,Код_КВР,0)),"",INDIRECT(ADDRESS(MATCH(F341,Код_КВР,0)+1,2,,,"КВР")))</f>
        <v>Иные выплаты населению</v>
      </c>
      <c r="B341" s="126">
        <v>801</v>
      </c>
      <c r="C341" s="8" t="s">
        <v>186</v>
      </c>
      <c r="D341" s="8" t="s">
        <v>211</v>
      </c>
      <c r="E341" s="126" t="s">
        <v>131</v>
      </c>
      <c r="F341" s="126">
        <v>360</v>
      </c>
      <c r="G341" s="69">
        <v>13440</v>
      </c>
      <c r="H341" s="64"/>
      <c r="I341" s="69">
        <f t="shared" si="80"/>
        <v>13440</v>
      </c>
      <c r="J341" s="64"/>
      <c r="K341" s="84">
        <f t="shared" si="81"/>
        <v>13440</v>
      </c>
      <c r="L341" s="84"/>
      <c r="M341" s="84">
        <f t="shared" si="75"/>
        <v>13440</v>
      </c>
      <c r="N341" s="84"/>
      <c r="O341" s="84">
        <f t="shared" si="76"/>
        <v>13440</v>
      </c>
      <c r="P341" s="84"/>
      <c r="Q341" s="84">
        <f t="shared" si="73"/>
        <v>13440</v>
      </c>
      <c r="R341" s="84"/>
      <c r="S341" s="84">
        <f t="shared" si="72"/>
        <v>13440</v>
      </c>
      <c r="T341" s="84">
        <v>-13440</v>
      </c>
      <c r="U341" s="84">
        <f t="shared" si="71"/>
        <v>0</v>
      </c>
      <c r="V341" s="142" t="s">
        <v>706</v>
      </c>
    </row>
    <row r="342" spans="1:22">
      <c r="A342" s="12" t="s">
        <v>177</v>
      </c>
      <c r="B342" s="126">
        <v>801</v>
      </c>
      <c r="C342" s="8" t="s">
        <v>186</v>
      </c>
      <c r="D342" s="8" t="s">
        <v>213</v>
      </c>
      <c r="E342" s="126"/>
      <c r="F342" s="126"/>
      <c r="G342" s="69">
        <f>G343+G366</f>
        <v>21406.799999999999</v>
      </c>
      <c r="H342" s="69">
        <f>H343+H366</f>
        <v>0</v>
      </c>
      <c r="I342" s="69">
        <f t="shared" si="80"/>
        <v>21406.799999999999</v>
      </c>
      <c r="J342" s="69">
        <f>J343+J366</f>
        <v>0</v>
      </c>
      <c r="K342" s="84">
        <f t="shared" si="81"/>
        <v>21406.799999999999</v>
      </c>
      <c r="L342" s="13">
        <f>L343+L366</f>
        <v>0</v>
      </c>
      <c r="M342" s="84">
        <f t="shared" si="75"/>
        <v>21406.799999999999</v>
      </c>
      <c r="N342" s="13">
        <f>N343+N366</f>
        <v>0</v>
      </c>
      <c r="O342" s="84">
        <f t="shared" si="76"/>
        <v>21406.799999999999</v>
      </c>
      <c r="P342" s="13">
        <f>P343+P366</f>
        <v>0</v>
      </c>
      <c r="Q342" s="84">
        <f t="shared" si="73"/>
        <v>21406.799999999999</v>
      </c>
      <c r="R342" s="13">
        <f>R343+R366</f>
        <v>-3318.1000000000004</v>
      </c>
      <c r="S342" s="84">
        <f t="shared" si="72"/>
        <v>18088.699999999997</v>
      </c>
      <c r="T342" s="13">
        <f>T343+T366</f>
        <v>1</v>
      </c>
      <c r="U342" s="84">
        <f t="shared" si="71"/>
        <v>18089.699999999997</v>
      </c>
    </row>
    <row r="343" spans="1:22" ht="33">
      <c r="A343" s="61" t="str">
        <f ca="1">IF(ISERROR(MATCH(E343,Код_КЦСР,0)),"",INDIRECT(ADDRESS(MATCH(E343,Код_КЦСР,0)+1,2,,,"КЦСР")))</f>
        <v>Муниципальная программа «Обеспечение жильем отдельных категорий граждан» на 2014-2020 годы</v>
      </c>
      <c r="B343" s="126">
        <v>801</v>
      </c>
      <c r="C343" s="8" t="s">
        <v>186</v>
      </c>
      <c r="D343" s="8" t="s">
        <v>213</v>
      </c>
      <c r="E343" s="126" t="s">
        <v>23</v>
      </c>
      <c r="F343" s="126"/>
      <c r="G343" s="69">
        <f>G344+G348+G361</f>
        <v>21306.799999999999</v>
      </c>
      <c r="H343" s="69">
        <f>H344+H348+H361</f>
        <v>0</v>
      </c>
      <c r="I343" s="69">
        <f t="shared" si="80"/>
        <v>21306.799999999999</v>
      </c>
      <c r="J343" s="69">
        <f>J344+J348+J361</f>
        <v>0</v>
      </c>
      <c r="K343" s="84">
        <f t="shared" si="81"/>
        <v>21306.799999999999</v>
      </c>
      <c r="L343" s="13">
        <f>L344+L348+L361</f>
        <v>0</v>
      </c>
      <c r="M343" s="84">
        <f t="shared" si="75"/>
        <v>21306.799999999999</v>
      </c>
      <c r="N343" s="13">
        <f>N344+N348+N361</f>
        <v>0</v>
      </c>
      <c r="O343" s="84">
        <f t="shared" si="76"/>
        <v>21306.799999999999</v>
      </c>
      <c r="P343" s="13">
        <f>P344+P348+P361</f>
        <v>0</v>
      </c>
      <c r="Q343" s="84">
        <f t="shared" si="73"/>
        <v>21306.799999999999</v>
      </c>
      <c r="R343" s="13">
        <f>R344+R348+R361</f>
        <v>-3318.1000000000004</v>
      </c>
      <c r="S343" s="84">
        <f t="shared" si="72"/>
        <v>17988.699999999997</v>
      </c>
      <c r="T343" s="13">
        <f>T344+T348+T361</f>
        <v>1</v>
      </c>
      <c r="U343" s="84">
        <f t="shared" si="71"/>
        <v>17989.699999999997</v>
      </c>
    </row>
    <row r="344" spans="1:22" ht="73.5" customHeight="1">
      <c r="A344" s="61" t="str">
        <f ca="1">IF(ISERROR(MATCH(E344,Код_КЦСР,0)),"",INDIRECT(ADDRESS(MATCH(E344,Код_КЦСР,0)+1,2,,,"КЦСР")))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344" s="126">
        <v>801</v>
      </c>
      <c r="C344" s="8" t="s">
        <v>186</v>
      </c>
      <c r="D344" s="8" t="s">
        <v>213</v>
      </c>
      <c r="E344" s="126" t="s">
        <v>437</v>
      </c>
      <c r="F344" s="126"/>
      <c r="G344" s="69">
        <f t="shared" ref="G344:T346" si="84">G345</f>
        <v>9250.7000000000007</v>
      </c>
      <c r="H344" s="69">
        <f t="shared" si="84"/>
        <v>0</v>
      </c>
      <c r="I344" s="69">
        <f t="shared" si="80"/>
        <v>9250.7000000000007</v>
      </c>
      <c r="J344" s="69">
        <f t="shared" si="84"/>
        <v>0</v>
      </c>
      <c r="K344" s="84">
        <f t="shared" si="81"/>
        <v>9250.7000000000007</v>
      </c>
      <c r="L344" s="13">
        <f t="shared" si="84"/>
        <v>0</v>
      </c>
      <c r="M344" s="84">
        <f t="shared" si="75"/>
        <v>9250.7000000000007</v>
      </c>
      <c r="N344" s="13">
        <f t="shared" si="84"/>
        <v>0</v>
      </c>
      <c r="O344" s="84">
        <f t="shared" si="76"/>
        <v>9250.7000000000007</v>
      </c>
      <c r="P344" s="13">
        <f t="shared" si="84"/>
        <v>0</v>
      </c>
      <c r="Q344" s="84">
        <f t="shared" si="73"/>
        <v>9250.7000000000007</v>
      </c>
      <c r="R344" s="13">
        <f t="shared" si="84"/>
        <v>2812.5</v>
      </c>
      <c r="S344" s="84">
        <f t="shared" si="72"/>
        <v>12063.2</v>
      </c>
      <c r="T344" s="13">
        <f t="shared" si="84"/>
        <v>1</v>
      </c>
      <c r="U344" s="84">
        <f t="shared" si="71"/>
        <v>12064.2</v>
      </c>
    </row>
    <row r="345" spans="1:22">
      <c r="A345" s="61" t="str">
        <f ca="1">IF(ISERROR(MATCH(F345,Код_КВР,0)),"",INDIRECT(ADDRESS(MATCH(F345,Код_КВР,0)+1,2,,,"КВР")))</f>
        <v>Социальное обеспечение и иные выплаты населению</v>
      </c>
      <c r="B345" s="126">
        <v>801</v>
      </c>
      <c r="C345" s="8" t="s">
        <v>186</v>
      </c>
      <c r="D345" s="8" t="s">
        <v>213</v>
      </c>
      <c r="E345" s="126" t="s">
        <v>437</v>
      </c>
      <c r="F345" s="126">
        <v>300</v>
      </c>
      <c r="G345" s="69">
        <f t="shared" si="84"/>
        <v>9250.7000000000007</v>
      </c>
      <c r="H345" s="69">
        <f t="shared" si="84"/>
        <v>0</v>
      </c>
      <c r="I345" s="69">
        <f t="shared" si="80"/>
        <v>9250.7000000000007</v>
      </c>
      <c r="J345" s="69">
        <f t="shared" si="84"/>
        <v>0</v>
      </c>
      <c r="K345" s="84">
        <f t="shared" si="81"/>
        <v>9250.7000000000007</v>
      </c>
      <c r="L345" s="13">
        <f t="shared" si="84"/>
        <v>0</v>
      </c>
      <c r="M345" s="84">
        <f t="shared" si="75"/>
        <v>9250.7000000000007</v>
      </c>
      <c r="N345" s="13">
        <f t="shared" si="84"/>
        <v>0</v>
      </c>
      <c r="O345" s="84">
        <f t="shared" si="76"/>
        <v>9250.7000000000007</v>
      </c>
      <c r="P345" s="13">
        <f t="shared" si="84"/>
        <v>0</v>
      </c>
      <c r="Q345" s="84">
        <f t="shared" si="73"/>
        <v>9250.7000000000007</v>
      </c>
      <c r="R345" s="13">
        <f t="shared" si="84"/>
        <v>2812.5</v>
      </c>
      <c r="S345" s="84">
        <f t="shared" si="72"/>
        <v>12063.2</v>
      </c>
      <c r="T345" s="13">
        <f t="shared" si="84"/>
        <v>1</v>
      </c>
      <c r="U345" s="84">
        <f t="shared" si="71"/>
        <v>12064.2</v>
      </c>
    </row>
    <row r="346" spans="1:22" ht="33">
      <c r="A346" s="61" t="str">
        <f ca="1">IF(ISERROR(MATCH(F346,Код_КВР,0)),"",INDIRECT(ADDRESS(MATCH(F346,Код_КВР,0)+1,2,,,"КВР")))</f>
        <v>Социальные выплаты гражданам, кроме публичных нормативных социальных выплат</v>
      </c>
      <c r="B346" s="126">
        <v>801</v>
      </c>
      <c r="C346" s="8" t="s">
        <v>186</v>
      </c>
      <c r="D346" s="8" t="s">
        <v>213</v>
      </c>
      <c r="E346" s="126" t="s">
        <v>437</v>
      </c>
      <c r="F346" s="126">
        <v>320</v>
      </c>
      <c r="G346" s="69">
        <f t="shared" si="84"/>
        <v>9250.7000000000007</v>
      </c>
      <c r="H346" s="69">
        <f t="shared" si="84"/>
        <v>0</v>
      </c>
      <c r="I346" s="69">
        <f t="shared" si="80"/>
        <v>9250.7000000000007</v>
      </c>
      <c r="J346" s="69">
        <f t="shared" si="84"/>
        <v>0</v>
      </c>
      <c r="K346" s="84">
        <f t="shared" si="81"/>
        <v>9250.7000000000007</v>
      </c>
      <c r="L346" s="13">
        <f t="shared" si="84"/>
        <v>0</v>
      </c>
      <c r="M346" s="84">
        <f t="shared" si="75"/>
        <v>9250.7000000000007</v>
      </c>
      <c r="N346" s="13">
        <f t="shared" si="84"/>
        <v>0</v>
      </c>
      <c r="O346" s="84">
        <f t="shared" si="76"/>
        <v>9250.7000000000007</v>
      </c>
      <c r="P346" s="13">
        <f t="shared" si="84"/>
        <v>0</v>
      </c>
      <c r="Q346" s="84">
        <f t="shared" si="73"/>
        <v>9250.7000000000007</v>
      </c>
      <c r="R346" s="13">
        <f t="shared" si="84"/>
        <v>2812.5</v>
      </c>
      <c r="S346" s="84">
        <f t="shared" si="72"/>
        <v>12063.2</v>
      </c>
      <c r="T346" s="13">
        <f t="shared" si="84"/>
        <v>1</v>
      </c>
      <c r="U346" s="84">
        <f t="shared" si="71"/>
        <v>12064.2</v>
      </c>
    </row>
    <row r="347" spans="1:22">
      <c r="A347" s="61" t="str">
        <f ca="1">IF(ISERROR(MATCH(F347,Код_КВР,0)),"",INDIRECT(ADDRESS(MATCH(F347,Код_КВР,0)+1,2,,,"КВР")))</f>
        <v>Субсидии гражданам на приобретение жилья</v>
      </c>
      <c r="B347" s="126">
        <v>801</v>
      </c>
      <c r="C347" s="8" t="s">
        <v>186</v>
      </c>
      <c r="D347" s="8" t="s">
        <v>213</v>
      </c>
      <c r="E347" s="126" t="s">
        <v>437</v>
      </c>
      <c r="F347" s="126">
        <v>322</v>
      </c>
      <c r="G347" s="69">
        <v>9250.7000000000007</v>
      </c>
      <c r="H347" s="64"/>
      <c r="I347" s="69">
        <f t="shared" si="80"/>
        <v>9250.7000000000007</v>
      </c>
      <c r="J347" s="64"/>
      <c r="K347" s="84">
        <f t="shared" si="81"/>
        <v>9250.7000000000007</v>
      </c>
      <c r="L347" s="84"/>
      <c r="M347" s="84">
        <f t="shared" si="75"/>
        <v>9250.7000000000007</v>
      </c>
      <c r="N347" s="84"/>
      <c r="O347" s="84">
        <f t="shared" si="76"/>
        <v>9250.7000000000007</v>
      </c>
      <c r="P347" s="84"/>
      <c r="Q347" s="84">
        <f t="shared" si="73"/>
        <v>9250.7000000000007</v>
      </c>
      <c r="R347" s="84">
        <f>3136.9-324.4</f>
        <v>2812.5</v>
      </c>
      <c r="S347" s="84">
        <f t="shared" si="72"/>
        <v>12063.2</v>
      </c>
      <c r="T347" s="84">
        <v>1</v>
      </c>
      <c r="U347" s="84">
        <f t="shared" si="71"/>
        <v>12064.2</v>
      </c>
    </row>
    <row r="348" spans="1:22">
      <c r="A348" s="61" t="str">
        <f ca="1">IF(ISERROR(MATCH(E348,Код_КЦСР,0)),"",INDIRECT(ADDRESS(MATCH(E348,Код_КЦСР,0)+1,2,,,"КЦСР")))</f>
        <v>Обеспечение жильем молодых семей</v>
      </c>
      <c r="B348" s="126">
        <v>801</v>
      </c>
      <c r="C348" s="8" t="s">
        <v>186</v>
      </c>
      <c r="D348" s="8" t="s">
        <v>213</v>
      </c>
      <c r="E348" s="126" t="s">
        <v>25</v>
      </c>
      <c r="F348" s="126"/>
      <c r="G348" s="69">
        <f>G349+G357</f>
        <v>2886.3</v>
      </c>
      <c r="H348" s="69">
        <f>H349+H357</f>
        <v>0</v>
      </c>
      <c r="I348" s="69">
        <f t="shared" si="80"/>
        <v>2886.3</v>
      </c>
      <c r="J348" s="69">
        <f>J349+J357</f>
        <v>0</v>
      </c>
      <c r="K348" s="84">
        <f t="shared" si="81"/>
        <v>2886.3</v>
      </c>
      <c r="L348" s="13">
        <f>L349+L357</f>
        <v>0</v>
      </c>
      <c r="M348" s="84">
        <f t="shared" si="75"/>
        <v>2886.3</v>
      </c>
      <c r="N348" s="13">
        <f>N349+N357</f>
        <v>0</v>
      </c>
      <c r="O348" s="84">
        <f t="shared" si="76"/>
        <v>2886.3</v>
      </c>
      <c r="P348" s="13">
        <f>P349+P357</f>
        <v>0</v>
      </c>
      <c r="Q348" s="84">
        <f t="shared" si="73"/>
        <v>2886.3</v>
      </c>
      <c r="R348" s="13">
        <f>R349+R357+R353</f>
        <v>504</v>
      </c>
      <c r="S348" s="84">
        <f t="shared" si="72"/>
        <v>3390.3</v>
      </c>
      <c r="T348" s="13">
        <f>T349+T357+T353</f>
        <v>0</v>
      </c>
      <c r="U348" s="84">
        <f t="shared" ref="U348:U411" si="85">S348+T348</f>
        <v>3390.3</v>
      </c>
    </row>
    <row r="349" spans="1:22" ht="33">
      <c r="A349" s="61" t="str">
        <f ca="1">IF(ISERROR(MATCH(E349,Код_КЦСР,0)),"",INDIRECT(ADDRESS(MATCH(E349,Код_КЦСР,0)+1,2,,,"КЦСР")))</f>
        <v>Предоставление социальных выплат на приобретение (строительство) жилья молодыми семьями</v>
      </c>
      <c r="B349" s="126">
        <v>801</v>
      </c>
      <c r="C349" s="8" t="s">
        <v>186</v>
      </c>
      <c r="D349" s="8" t="s">
        <v>213</v>
      </c>
      <c r="E349" s="126" t="s">
        <v>27</v>
      </c>
      <c r="F349" s="126"/>
      <c r="G349" s="69">
        <f t="shared" ref="G349:T351" si="86">G350</f>
        <v>2886.3</v>
      </c>
      <c r="H349" s="69">
        <f t="shared" si="86"/>
        <v>0</v>
      </c>
      <c r="I349" s="69">
        <f t="shared" si="80"/>
        <v>2886.3</v>
      </c>
      <c r="J349" s="69">
        <f t="shared" si="86"/>
        <v>0</v>
      </c>
      <c r="K349" s="84">
        <f t="shared" si="81"/>
        <v>2886.3</v>
      </c>
      <c r="L349" s="13">
        <f t="shared" si="86"/>
        <v>0</v>
      </c>
      <c r="M349" s="84">
        <f t="shared" si="75"/>
        <v>2886.3</v>
      </c>
      <c r="N349" s="13">
        <f t="shared" si="86"/>
        <v>0</v>
      </c>
      <c r="O349" s="84">
        <f t="shared" si="76"/>
        <v>2886.3</v>
      </c>
      <c r="P349" s="13">
        <f t="shared" si="86"/>
        <v>0</v>
      </c>
      <c r="Q349" s="84">
        <f t="shared" si="73"/>
        <v>2886.3</v>
      </c>
      <c r="R349" s="13">
        <f t="shared" si="86"/>
        <v>-1220.2</v>
      </c>
      <c r="S349" s="84">
        <f t="shared" si="72"/>
        <v>1666.1000000000001</v>
      </c>
      <c r="T349" s="13">
        <f t="shared" si="86"/>
        <v>0</v>
      </c>
      <c r="U349" s="84">
        <f t="shared" si="85"/>
        <v>1666.1000000000001</v>
      </c>
    </row>
    <row r="350" spans="1:22">
      <c r="A350" s="61" t="str">
        <f ca="1">IF(ISERROR(MATCH(F350,Код_КВР,0)),"",INDIRECT(ADDRESS(MATCH(F350,Код_КВР,0)+1,2,,,"КВР")))</f>
        <v>Социальное обеспечение и иные выплаты населению</v>
      </c>
      <c r="B350" s="126">
        <v>801</v>
      </c>
      <c r="C350" s="8" t="s">
        <v>186</v>
      </c>
      <c r="D350" s="8" t="s">
        <v>213</v>
      </c>
      <c r="E350" s="126" t="s">
        <v>27</v>
      </c>
      <c r="F350" s="126">
        <v>300</v>
      </c>
      <c r="G350" s="69">
        <f t="shared" si="86"/>
        <v>2886.3</v>
      </c>
      <c r="H350" s="69">
        <f t="shared" si="86"/>
        <v>0</v>
      </c>
      <c r="I350" s="69">
        <f t="shared" si="80"/>
        <v>2886.3</v>
      </c>
      <c r="J350" s="69">
        <f t="shared" si="86"/>
        <v>0</v>
      </c>
      <c r="K350" s="84">
        <f t="shared" si="81"/>
        <v>2886.3</v>
      </c>
      <c r="L350" s="13">
        <f t="shared" si="86"/>
        <v>0</v>
      </c>
      <c r="M350" s="84">
        <f t="shared" si="75"/>
        <v>2886.3</v>
      </c>
      <c r="N350" s="13">
        <f t="shared" si="86"/>
        <v>0</v>
      </c>
      <c r="O350" s="84">
        <f t="shared" si="76"/>
        <v>2886.3</v>
      </c>
      <c r="P350" s="13">
        <f t="shared" si="86"/>
        <v>0</v>
      </c>
      <c r="Q350" s="84">
        <f t="shared" si="73"/>
        <v>2886.3</v>
      </c>
      <c r="R350" s="13">
        <f t="shared" si="86"/>
        <v>-1220.2</v>
      </c>
      <c r="S350" s="84">
        <f t="shared" si="72"/>
        <v>1666.1000000000001</v>
      </c>
      <c r="T350" s="13">
        <f t="shared" si="86"/>
        <v>0</v>
      </c>
      <c r="U350" s="84">
        <f t="shared" si="85"/>
        <v>1666.1000000000001</v>
      </c>
    </row>
    <row r="351" spans="1:22" ht="33">
      <c r="A351" s="61" t="str">
        <f ca="1">IF(ISERROR(MATCH(F351,Код_КВР,0)),"",INDIRECT(ADDRESS(MATCH(F351,Код_КВР,0)+1,2,,,"КВР")))</f>
        <v>Социальные выплаты гражданам, кроме публичных нормативных социальных выплат</v>
      </c>
      <c r="B351" s="126">
        <v>801</v>
      </c>
      <c r="C351" s="8" t="s">
        <v>186</v>
      </c>
      <c r="D351" s="8" t="s">
        <v>213</v>
      </c>
      <c r="E351" s="126" t="s">
        <v>27</v>
      </c>
      <c r="F351" s="126">
        <v>320</v>
      </c>
      <c r="G351" s="69">
        <f t="shared" si="86"/>
        <v>2886.3</v>
      </c>
      <c r="H351" s="69">
        <f t="shared" si="86"/>
        <v>0</v>
      </c>
      <c r="I351" s="69">
        <f t="shared" si="80"/>
        <v>2886.3</v>
      </c>
      <c r="J351" s="69">
        <f t="shared" si="86"/>
        <v>0</v>
      </c>
      <c r="K351" s="84">
        <f t="shared" si="81"/>
        <v>2886.3</v>
      </c>
      <c r="L351" s="13">
        <f t="shared" si="86"/>
        <v>0</v>
      </c>
      <c r="M351" s="84">
        <f t="shared" si="75"/>
        <v>2886.3</v>
      </c>
      <c r="N351" s="13">
        <f t="shared" si="86"/>
        <v>0</v>
      </c>
      <c r="O351" s="84">
        <f t="shared" si="76"/>
        <v>2886.3</v>
      </c>
      <c r="P351" s="13">
        <f t="shared" si="86"/>
        <v>0</v>
      </c>
      <c r="Q351" s="84">
        <f t="shared" si="73"/>
        <v>2886.3</v>
      </c>
      <c r="R351" s="13">
        <f t="shared" si="86"/>
        <v>-1220.2</v>
      </c>
      <c r="S351" s="84">
        <f t="shared" si="72"/>
        <v>1666.1000000000001</v>
      </c>
      <c r="T351" s="13">
        <f t="shared" si="86"/>
        <v>0</v>
      </c>
      <c r="U351" s="84">
        <f t="shared" si="85"/>
        <v>1666.1000000000001</v>
      </c>
    </row>
    <row r="352" spans="1:22">
      <c r="A352" s="61" t="str">
        <f ca="1">IF(ISERROR(MATCH(F352,Код_КВР,0)),"",INDIRECT(ADDRESS(MATCH(F352,Код_КВР,0)+1,2,,,"КВР")))</f>
        <v>Субсидии гражданам на приобретение жилья</v>
      </c>
      <c r="B352" s="126">
        <v>801</v>
      </c>
      <c r="C352" s="8" t="s">
        <v>186</v>
      </c>
      <c r="D352" s="8" t="s">
        <v>213</v>
      </c>
      <c r="E352" s="126" t="s">
        <v>27</v>
      </c>
      <c r="F352" s="126">
        <v>322</v>
      </c>
      <c r="G352" s="69">
        <v>2886.3</v>
      </c>
      <c r="H352" s="64"/>
      <c r="I352" s="69">
        <f t="shared" si="80"/>
        <v>2886.3</v>
      </c>
      <c r="J352" s="64"/>
      <c r="K352" s="84">
        <f t="shared" si="81"/>
        <v>2886.3</v>
      </c>
      <c r="L352" s="84"/>
      <c r="M352" s="84">
        <f t="shared" si="75"/>
        <v>2886.3</v>
      </c>
      <c r="N352" s="84"/>
      <c r="O352" s="84">
        <f t="shared" si="76"/>
        <v>2886.3</v>
      </c>
      <c r="P352" s="84"/>
      <c r="Q352" s="84">
        <f t="shared" si="73"/>
        <v>2886.3</v>
      </c>
      <c r="R352" s="84">
        <v>-1220.2</v>
      </c>
      <c r="S352" s="84">
        <f t="shared" si="72"/>
        <v>1666.1000000000001</v>
      </c>
      <c r="T352" s="84"/>
      <c r="U352" s="84">
        <f t="shared" si="85"/>
        <v>1666.1000000000001</v>
      </c>
    </row>
    <row r="353" spans="1:21" ht="49.5">
      <c r="A353" s="61" t="str">
        <f ca="1">IF(ISERROR(MATCH(E353,Код_КЦСР,0)),"",INDIRECT(ADDRESS(MATCH(E353,Код_КЦСР,0)+1,2,,,"КЦСР")))</f>
        <v>Мероприятия подпрограммы «Обеспечение жильем молодых семей» федеральной целевой программы «Жилище» на 2011-2015 годы за счет субсидий из федерального бюджета</v>
      </c>
      <c r="B353" s="126">
        <v>801</v>
      </c>
      <c r="C353" s="8" t="s">
        <v>186</v>
      </c>
      <c r="D353" s="8" t="s">
        <v>213</v>
      </c>
      <c r="E353" s="126" t="s">
        <v>635</v>
      </c>
      <c r="F353" s="126"/>
      <c r="G353" s="69"/>
      <c r="H353" s="64"/>
      <c r="I353" s="69"/>
      <c r="J353" s="64"/>
      <c r="K353" s="84"/>
      <c r="L353" s="84"/>
      <c r="M353" s="84"/>
      <c r="N353" s="84"/>
      <c r="O353" s="84"/>
      <c r="P353" s="84"/>
      <c r="Q353" s="84"/>
      <c r="R353" s="84">
        <f>R354</f>
        <v>804</v>
      </c>
      <c r="S353" s="84">
        <f t="shared" si="72"/>
        <v>804</v>
      </c>
      <c r="T353" s="84">
        <f>T354</f>
        <v>0</v>
      </c>
      <c r="U353" s="84">
        <f t="shared" si="85"/>
        <v>804</v>
      </c>
    </row>
    <row r="354" spans="1:21">
      <c r="A354" s="61" t="str">
        <f ca="1">IF(ISERROR(MATCH(F354,Код_КВР,0)),"",INDIRECT(ADDRESS(MATCH(F354,Код_КВР,0)+1,2,,,"КВР")))</f>
        <v>Социальное обеспечение и иные выплаты населению</v>
      </c>
      <c r="B354" s="126">
        <v>801</v>
      </c>
      <c r="C354" s="8" t="s">
        <v>186</v>
      </c>
      <c r="D354" s="8" t="s">
        <v>213</v>
      </c>
      <c r="E354" s="126" t="s">
        <v>635</v>
      </c>
      <c r="F354" s="126">
        <v>300</v>
      </c>
      <c r="G354" s="69"/>
      <c r="H354" s="64"/>
      <c r="I354" s="69"/>
      <c r="J354" s="64"/>
      <c r="K354" s="84"/>
      <c r="L354" s="84"/>
      <c r="M354" s="84"/>
      <c r="N354" s="84"/>
      <c r="O354" s="84"/>
      <c r="P354" s="84"/>
      <c r="Q354" s="84"/>
      <c r="R354" s="84">
        <f>R355</f>
        <v>804</v>
      </c>
      <c r="S354" s="84">
        <f t="shared" si="72"/>
        <v>804</v>
      </c>
      <c r="T354" s="84">
        <f>T355</f>
        <v>0</v>
      </c>
      <c r="U354" s="84">
        <f t="shared" si="85"/>
        <v>804</v>
      </c>
    </row>
    <row r="355" spans="1:21" ht="33">
      <c r="A355" s="61" t="str">
        <f ca="1">IF(ISERROR(MATCH(F355,Код_КВР,0)),"",INDIRECT(ADDRESS(MATCH(F355,Код_КВР,0)+1,2,,,"КВР")))</f>
        <v>Социальные выплаты гражданам, кроме публичных нормативных социальных выплат</v>
      </c>
      <c r="B355" s="126">
        <v>801</v>
      </c>
      <c r="C355" s="8" t="s">
        <v>186</v>
      </c>
      <c r="D355" s="8" t="s">
        <v>213</v>
      </c>
      <c r="E355" s="126" t="s">
        <v>635</v>
      </c>
      <c r="F355" s="126">
        <v>320</v>
      </c>
      <c r="G355" s="69"/>
      <c r="H355" s="64"/>
      <c r="I355" s="69"/>
      <c r="J355" s="64"/>
      <c r="K355" s="84"/>
      <c r="L355" s="84"/>
      <c r="M355" s="84"/>
      <c r="N355" s="84"/>
      <c r="O355" s="84"/>
      <c r="P355" s="84"/>
      <c r="Q355" s="84"/>
      <c r="R355" s="84">
        <f>R356</f>
        <v>804</v>
      </c>
      <c r="S355" s="84">
        <f t="shared" si="72"/>
        <v>804</v>
      </c>
      <c r="T355" s="84">
        <f>T356</f>
        <v>0</v>
      </c>
      <c r="U355" s="84">
        <f t="shared" si="85"/>
        <v>804</v>
      </c>
    </row>
    <row r="356" spans="1:21">
      <c r="A356" s="61" t="str">
        <f ca="1">IF(ISERROR(MATCH(F356,Код_КВР,0)),"",INDIRECT(ADDRESS(MATCH(F356,Код_КВР,0)+1,2,,,"КВР")))</f>
        <v>Субсидии гражданам на приобретение жилья</v>
      </c>
      <c r="B356" s="126">
        <v>801</v>
      </c>
      <c r="C356" s="8" t="s">
        <v>186</v>
      </c>
      <c r="D356" s="8" t="s">
        <v>213</v>
      </c>
      <c r="E356" s="126" t="s">
        <v>635</v>
      </c>
      <c r="F356" s="126">
        <v>322</v>
      </c>
      <c r="G356" s="69"/>
      <c r="H356" s="64"/>
      <c r="I356" s="69"/>
      <c r="J356" s="64"/>
      <c r="K356" s="84"/>
      <c r="L356" s="84"/>
      <c r="M356" s="84"/>
      <c r="N356" s="84"/>
      <c r="O356" s="84"/>
      <c r="P356" s="84"/>
      <c r="Q356" s="84"/>
      <c r="R356" s="84">
        <v>804</v>
      </c>
      <c r="S356" s="84">
        <f t="shared" si="72"/>
        <v>804</v>
      </c>
      <c r="T356" s="84"/>
      <c r="U356" s="84">
        <f t="shared" si="85"/>
        <v>804</v>
      </c>
    </row>
    <row r="357" spans="1:21" ht="120" customHeight="1">
      <c r="A357" s="61" t="str">
        <f ca="1">IF(ISERROR(MATCH(E357,Код_КЦСР,0)),"",INDIRECT(ADDRESS(MATCH(E357,Код_КЦСР,0)+1,2,,,"КЦСР")))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357" s="126">
        <v>801</v>
      </c>
      <c r="C357" s="8" t="s">
        <v>186</v>
      </c>
      <c r="D357" s="8" t="s">
        <v>213</v>
      </c>
      <c r="E357" s="126" t="s">
        <v>415</v>
      </c>
      <c r="F357" s="126"/>
      <c r="G357" s="69">
        <f>G358</f>
        <v>0</v>
      </c>
      <c r="H357" s="64"/>
      <c r="I357" s="69">
        <f t="shared" si="80"/>
        <v>0</v>
      </c>
      <c r="J357" s="64"/>
      <c r="K357" s="84">
        <f t="shared" si="81"/>
        <v>0</v>
      </c>
      <c r="L357" s="84"/>
      <c r="M357" s="84">
        <f t="shared" si="75"/>
        <v>0</v>
      </c>
      <c r="N357" s="84"/>
      <c r="O357" s="84">
        <f t="shared" si="76"/>
        <v>0</v>
      </c>
      <c r="P357" s="84"/>
      <c r="Q357" s="84">
        <f t="shared" si="73"/>
        <v>0</v>
      </c>
      <c r="R357" s="13">
        <f t="shared" ref="R357:T357" si="87">R358</f>
        <v>920.2</v>
      </c>
      <c r="S357" s="84">
        <f t="shared" si="72"/>
        <v>920.2</v>
      </c>
      <c r="T357" s="13">
        <f t="shared" si="87"/>
        <v>0</v>
      </c>
      <c r="U357" s="84">
        <f t="shared" si="85"/>
        <v>920.2</v>
      </c>
    </row>
    <row r="358" spans="1:21">
      <c r="A358" s="61" t="str">
        <f ca="1">IF(ISERROR(MATCH(F358,Код_КВР,0)),"",INDIRECT(ADDRESS(MATCH(F358,Код_КВР,0)+1,2,,,"КВР")))</f>
        <v>Социальное обеспечение и иные выплаты населению</v>
      </c>
      <c r="B358" s="126">
        <v>801</v>
      </c>
      <c r="C358" s="8" t="s">
        <v>186</v>
      </c>
      <c r="D358" s="8" t="s">
        <v>213</v>
      </c>
      <c r="E358" s="126" t="s">
        <v>415</v>
      </c>
      <c r="F358" s="126">
        <v>300</v>
      </c>
      <c r="G358" s="69">
        <f>G359</f>
        <v>0</v>
      </c>
      <c r="H358" s="64"/>
      <c r="I358" s="69">
        <f t="shared" si="80"/>
        <v>0</v>
      </c>
      <c r="J358" s="64"/>
      <c r="K358" s="84">
        <f t="shared" si="81"/>
        <v>0</v>
      </c>
      <c r="L358" s="84"/>
      <c r="M358" s="84">
        <f t="shared" si="75"/>
        <v>0</v>
      </c>
      <c r="N358" s="84"/>
      <c r="O358" s="84">
        <f t="shared" si="76"/>
        <v>0</v>
      </c>
      <c r="P358" s="84"/>
      <c r="Q358" s="84">
        <f t="shared" si="73"/>
        <v>0</v>
      </c>
      <c r="R358" s="84">
        <f>R359</f>
        <v>920.2</v>
      </c>
      <c r="S358" s="84">
        <f t="shared" si="72"/>
        <v>920.2</v>
      </c>
      <c r="T358" s="84">
        <f>T359</f>
        <v>0</v>
      </c>
      <c r="U358" s="84">
        <f t="shared" si="85"/>
        <v>920.2</v>
      </c>
    </row>
    <row r="359" spans="1:21" ht="33">
      <c r="A359" s="61" t="str">
        <f ca="1">IF(ISERROR(MATCH(F359,Код_КВР,0)),"",INDIRECT(ADDRESS(MATCH(F359,Код_КВР,0)+1,2,,,"КВР")))</f>
        <v>Социальные выплаты гражданам, кроме публичных нормативных социальных выплат</v>
      </c>
      <c r="B359" s="126">
        <v>801</v>
      </c>
      <c r="C359" s="8" t="s">
        <v>186</v>
      </c>
      <c r="D359" s="8" t="s">
        <v>213</v>
      </c>
      <c r="E359" s="126" t="s">
        <v>415</v>
      </c>
      <c r="F359" s="126">
        <v>320</v>
      </c>
      <c r="G359" s="69">
        <f>G360</f>
        <v>0</v>
      </c>
      <c r="H359" s="64"/>
      <c r="I359" s="69">
        <f t="shared" si="80"/>
        <v>0</v>
      </c>
      <c r="J359" s="64"/>
      <c r="K359" s="84">
        <f t="shared" si="81"/>
        <v>0</v>
      </c>
      <c r="L359" s="84"/>
      <c r="M359" s="84">
        <f t="shared" si="75"/>
        <v>0</v>
      </c>
      <c r="N359" s="84"/>
      <c r="O359" s="84">
        <f t="shared" si="76"/>
        <v>0</v>
      </c>
      <c r="P359" s="84"/>
      <c r="Q359" s="84">
        <f t="shared" si="73"/>
        <v>0</v>
      </c>
      <c r="R359" s="84">
        <f>R360</f>
        <v>920.2</v>
      </c>
      <c r="S359" s="84">
        <f t="shared" si="72"/>
        <v>920.2</v>
      </c>
      <c r="T359" s="84">
        <f>T360</f>
        <v>0</v>
      </c>
      <c r="U359" s="84">
        <f t="shared" si="85"/>
        <v>920.2</v>
      </c>
    </row>
    <row r="360" spans="1:21">
      <c r="A360" s="61" t="str">
        <f ca="1">IF(ISERROR(MATCH(F360,Код_КВР,0)),"",INDIRECT(ADDRESS(MATCH(F360,Код_КВР,0)+1,2,,,"КВР")))</f>
        <v>Субсидии гражданам на приобретение жилья</v>
      </c>
      <c r="B360" s="126">
        <v>801</v>
      </c>
      <c r="C360" s="8" t="s">
        <v>186</v>
      </c>
      <c r="D360" s="8" t="s">
        <v>213</v>
      </c>
      <c r="E360" s="126" t="s">
        <v>415</v>
      </c>
      <c r="F360" s="126">
        <v>322</v>
      </c>
      <c r="G360" s="69"/>
      <c r="H360" s="64"/>
      <c r="I360" s="69">
        <f t="shared" si="80"/>
        <v>0</v>
      </c>
      <c r="J360" s="64"/>
      <c r="K360" s="84">
        <f t="shared" si="81"/>
        <v>0</v>
      </c>
      <c r="L360" s="84"/>
      <c r="M360" s="84">
        <f t="shared" si="75"/>
        <v>0</v>
      </c>
      <c r="N360" s="84"/>
      <c r="O360" s="84">
        <f t="shared" si="76"/>
        <v>0</v>
      </c>
      <c r="P360" s="84"/>
      <c r="Q360" s="84">
        <f t="shared" si="73"/>
        <v>0</v>
      </c>
      <c r="R360" s="84">
        <v>920.2</v>
      </c>
      <c r="S360" s="84">
        <f t="shared" si="72"/>
        <v>920.2</v>
      </c>
      <c r="T360" s="84"/>
      <c r="U360" s="84">
        <f t="shared" si="85"/>
        <v>920.2</v>
      </c>
    </row>
    <row r="361" spans="1:21" ht="33">
      <c r="A361" s="61" t="str">
        <f ca="1">IF(ISERROR(MATCH(E361,Код_КЦСР,0)),"",INDIRECT(ADDRESS(MATCH(E361,Код_КЦСР,0)+1,2,,,"КЦСР")))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61" s="126">
        <v>801</v>
      </c>
      <c r="C361" s="8" t="s">
        <v>186</v>
      </c>
      <c r="D361" s="8" t="s">
        <v>213</v>
      </c>
      <c r="E361" s="126" t="s">
        <v>29</v>
      </c>
      <c r="F361" s="126"/>
      <c r="G361" s="69">
        <f t="shared" ref="G361:T364" si="88">G362</f>
        <v>9169.7999999999993</v>
      </c>
      <c r="H361" s="69">
        <f t="shared" si="88"/>
        <v>0</v>
      </c>
      <c r="I361" s="69">
        <f t="shared" si="80"/>
        <v>9169.7999999999993</v>
      </c>
      <c r="J361" s="69">
        <f t="shared" si="88"/>
        <v>0</v>
      </c>
      <c r="K361" s="84">
        <f t="shared" si="81"/>
        <v>9169.7999999999993</v>
      </c>
      <c r="L361" s="13">
        <f t="shared" si="88"/>
        <v>0</v>
      </c>
      <c r="M361" s="84">
        <f t="shared" si="75"/>
        <v>9169.7999999999993</v>
      </c>
      <c r="N361" s="13">
        <f t="shared" si="88"/>
        <v>0</v>
      </c>
      <c r="O361" s="84">
        <f t="shared" si="76"/>
        <v>9169.7999999999993</v>
      </c>
      <c r="P361" s="13">
        <f t="shared" si="88"/>
        <v>0</v>
      </c>
      <c r="Q361" s="84">
        <f t="shared" si="73"/>
        <v>9169.7999999999993</v>
      </c>
      <c r="R361" s="13">
        <f>R362</f>
        <v>-6634.6</v>
      </c>
      <c r="S361" s="84">
        <f t="shared" ref="S361:S424" si="89">Q361+R361</f>
        <v>2535.1999999999989</v>
      </c>
      <c r="T361" s="13">
        <f>T362</f>
        <v>0</v>
      </c>
      <c r="U361" s="84">
        <f t="shared" si="85"/>
        <v>2535.1999999999989</v>
      </c>
    </row>
    <row r="362" spans="1:21" ht="33">
      <c r="A362" s="61" t="str">
        <f ca="1">IF(ISERROR(MATCH(E362,Код_КЦСР,0)),"",INDIRECT(ADDRESS(MATCH(E362,Код_КЦСР,0)+1,2,,,"КЦСР")))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62" s="126">
        <v>801</v>
      </c>
      <c r="C362" s="8" t="s">
        <v>186</v>
      </c>
      <c r="D362" s="8" t="s">
        <v>213</v>
      </c>
      <c r="E362" s="126" t="s">
        <v>31</v>
      </c>
      <c r="F362" s="126"/>
      <c r="G362" s="69">
        <f t="shared" si="88"/>
        <v>9169.7999999999993</v>
      </c>
      <c r="H362" s="69">
        <f t="shared" si="88"/>
        <v>0</v>
      </c>
      <c r="I362" s="69">
        <f t="shared" si="80"/>
        <v>9169.7999999999993</v>
      </c>
      <c r="J362" s="69">
        <f t="shared" si="88"/>
        <v>0</v>
      </c>
      <c r="K362" s="84">
        <f t="shared" si="81"/>
        <v>9169.7999999999993</v>
      </c>
      <c r="L362" s="13">
        <f t="shared" si="88"/>
        <v>0</v>
      </c>
      <c r="M362" s="84">
        <f t="shared" si="75"/>
        <v>9169.7999999999993</v>
      </c>
      <c r="N362" s="13">
        <f t="shared" si="88"/>
        <v>0</v>
      </c>
      <c r="O362" s="84">
        <f t="shared" si="76"/>
        <v>9169.7999999999993</v>
      </c>
      <c r="P362" s="13">
        <f t="shared" si="88"/>
        <v>0</v>
      </c>
      <c r="Q362" s="84">
        <f t="shared" si="73"/>
        <v>9169.7999999999993</v>
      </c>
      <c r="R362" s="13">
        <f t="shared" si="88"/>
        <v>-6634.6</v>
      </c>
      <c r="S362" s="84">
        <f t="shared" si="89"/>
        <v>2535.1999999999989</v>
      </c>
      <c r="T362" s="13">
        <f t="shared" si="88"/>
        <v>0</v>
      </c>
      <c r="U362" s="84">
        <f t="shared" si="85"/>
        <v>2535.1999999999989</v>
      </c>
    </row>
    <row r="363" spans="1:21">
      <c r="A363" s="61" t="str">
        <f ca="1">IF(ISERROR(MATCH(F363,Код_КВР,0)),"",INDIRECT(ADDRESS(MATCH(F363,Код_КВР,0)+1,2,,,"КВР")))</f>
        <v>Социальное обеспечение и иные выплаты населению</v>
      </c>
      <c r="B363" s="126">
        <v>801</v>
      </c>
      <c r="C363" s="8" t="s">
        <v>186</v>
      </c>
      <c r="D363" s="8" t="s">
        <v>213</v>
      </c>
      <c r="E363" s="126" t="s">
        <v>31</v>
      </c>
      <c r="F363" s="126">
        <v>300</v>
      </c>
      <c r="G363" s="69">
        <f t="shared" si="88"/>
        <v>9169.7999999999993</v>
      </c>
      <c r="H363" s="69">
        <f t="shared" si="88"/>
        <v>0</v>
      </c>
      <c r="I363" s="69">
        <f t="shared" si="80"/>
        <v>9169.7999999999993</v>
      </c>
      <c r="J363" s="69">
        <f t="shared" si="88"/>
        <v>0</v>
      </c>
      <c r="K363" s="84">
        <f t="shared" si="81"/>
        <v>9169.7999999999993</v>
      </c>
      <c r="L363" s="13">
        <f t="shared" si="88"/>
        <v>0</v>
      </c>
      <c r="M363" s="84">
        <f t="shared" si="75"/>
        <v>9169.7999999999993</v>
      </c>
      <c r="N363" s="13">
        <f t="shared" si="88"/>
        <v>0</v>
      </c>
      <c r="O363" s="84">
        <f t="shared" si="76"/>
        <v>9169.7999999999993</v>
      </c>
      <c r="P363" s="13">
        <f t="shared" si="88"/>
        <v>0</v>
      </c>
      <c r="Q363" s="84">
        <f t="shared" si="73"/>
        <v>9169.7999999999993</v>
      </c>
      <c r="R363" s="13">
        <f t="shared" si="88"/>
        <v>-6634.6</v>
      </c>
      <c r="S363" s="84">
        <f t="shared" si="89"/>
        <v>2535.1999999999989</v>
      </c>
      <c r="T363" s="13">
        <f t="shared" si="88"/>
        <v>0</v>
      </c>
      <c r="U363" s="84">
        <f t="shared" si="85"/>
        <v>2535.1999999999989</v>
      </c>
    </row>
    <row r="364" spans="1:21" ht="33">
      <c r="A364" s="61" t="str">
        <f ca="1">IF(ISERROR(MATCH(F364,Код_КВР,0)),"",INDIRECT(ADDRESS(MATCH(F364,Код_КВР,0)+1,2,,,"КВР")))</f>
        <v>Социальные выплаты гражданам, кроме публичных нормативных социальных выплат</v>
      </c>
      <c r="B364" s="126">
        <v>801</v>
      </c>
      <c r="C364" s="8" t="s">
        <v>186</v>
      </c>
      <c r="D364" s="8" t="s">
        <v>213</v>
      </c>
      <c r="E364" s="126" t="s">
        <v>31</v>
      </c>
      <c r="F364" s="126">
        <v>320</v>
      </c>
      <c r="G364" s="69">
        <f t="shared" si="88"/>
        <v>9169.7999999999993</v>
      </c>
      <c r="H364" s="69">
        <f t="shared" si="88"/>
        <v>0</v>
      </c>
      <c r="I364" s="69">
        <f t="shared" si="80"/>
        <v>9169.7999999999993</v>
      </c>
      <c r="J364" s="69">
        <f t="shared" si="88"/>
        <v>0</v>
      </c>
      <c r="K364" s="84">
        <f t="shared" si="81"/>
        <v>9169.7999999999993</v>
      </c>
      <c r="L364" s="13">
        <f t="shared" si="88"/>
        <v>0</v>
      </c>
      <c r="M364" s="84">
        <f t="shared" si="75"/>
        <v>9169.7999999999993</v>
      </c>
      <c r="N364" s="13">
        <f t="shared" si="88"/>
        <v>0</v>
      </c>
      <c r="O364" s="84">
        <f t="shared" si="76"/>
        <v>9169.7999999999993</v>
      </c>
      <c r="P364" s="13">
        <f t="shared" si="88"/>
        <v>0</v>
      </c>
      <c r="Q364" s="84">
        <f t="shared" si="73"/>
        <v>9169.7999999999993</v>
      </c>
      <c r="R364" s="13">
        <f t="shared" si="88"/>
        <v>-6634.6</v>
      </c>
      <c r="S364" s="84">
        <f t="shared" si="89"/>
        <v>2535.1999999999989</v>
      </c>
      <c r="T364" s="13">
        <f t="shared" si="88"/>
        <v>0</v>
      </c>
      <c r="U364" s="84">
        <f t="shared" si="85"/>
        <v>2535.1999999999989</v>
      </c>
    </row>
    <row r="365" spans="1:21" ht="33">
      <c r="A365" s="61" t="str">
        <f ca="1">IF(ISERROR(MATCH(F365,Код_КВР,0)),"",INDIRECT(ADDRESS(MATCH(F365,Код_КВР,0)+1,2,,,"КВР")))</f>
        <v>Пособия, компенсации и иные социальные выплаты гражданам, кроме публичных нормативных обязательств</v>
      </c>
      <c r="B365" s="126">
        <v>801</v>
      </c>
      <c r="C365" s="8" t="s">
        <v>186</v>
      </c>
      <c r="D365" s="8" t="s">
        <v>213</v>
      </c>
      <c r="E365" s="126" t="s">
        <v>31</v>
      </c>
      <c r="F365" s="126">
        <v>321</v>
      </c>
      <c r="G365" s="69">
        <v>9169.7999999999993</v>
      </c>
      <c r="H365" s="64"/>
      <c r="I365" s="69">
        <f t="shared" si="80"/>
        <v>9169.7999999999993</v>
      </c>
      <c r="J365" s="64"/>
      <c r="K365" s="84">
        <f t="shared" si="81"/>
        <v>9169.7999999999993</v>
      </c>
      <c r="L365" s="84"/>
      <c r="M365" s="84">
        <f t="shared" si="75"/>
        <v>9169.7999999999993</v>
      </c>
      <c r="N365" s="84"/>
      <c r="O365" s="84">
        <f t="shared" si="76"/>
        <v>9169.7999999999993</v>
      </c>
      <c r="P365" s="84"/>
      <c r="Q365" s="84">
        <f t="shared" si="73"/>
        <v>9169.7999999999993</v>
      </c>
      <c r="R365" s="84">
        <f>-2500-4134.6</f>
        <v>-6634.6</v>
      </c>
      <c r="S365" s="84">
        <f t="shared" si="89"/>
        <v>2535.1999999999989</v>
      </c>
      <c r="T365" s="84"/>
      <c r="U365" s="84">
        <f t="shared" si="85"/>
        <v>2535.1999999999989</v>
      </c>
    </row>
    <row r="366" spans="1:21" ht="33">
      <c r="A366" s="111" t="str">
        <f ca="1">IF(ISERROR(MATCH(E366,Код_КЦСР,0)),"",INDIRECT(ADDRESS(MATCH(E366,Код_КЦСР,0)+1,2,,,"КЦСР")))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66" s="126">
        <v>801</v>
      </c>
      <c r="C366" s="8" t="s">
        <v>186</v>
      </c>
      <c r="D366" s="8" t="s">
        <v>213</v>
      </c>
      <c r="E366" s="126" t="s">
        <v>148</v>
      </c>
      <c r="F366" s="126"/>
      <c r="G366" s="69">
        <f t="shared" ref="G366:T369" si="90">G367</f>
        <v>100</v>
      </c>
      <c r="H366" s="69">
        <f t="shared" si="90"/>
        <v>0</v>
      </c>
      <c r="I366" s="69">
        <f t="shared" si="80"/>
        <v>100</v>
      </c>
      <c r="J366" s="69">
        <f t="shared" si="90"/>
        <v>0</v>
      </c>
      <c r="K366" s="84">
        <f t="shared" si="81"/>
        <v>100</v>
      </c>
      <c r="L366" s="13">
        <f t="shared" si="90"/>
        <v>0</v>
      </c>
      <c r="M366" s="84">
        <f t="shared" si="75"/>
        <v>100</v>
      </c>
      <c r="N366" s="13">
        <f t="shared" si="90"/>
        <v>0</v>
      </c>
      <c r="O366" s="84">
        <f t="shared" si="76"/>
        <v>100</v>
      </c>
      <c r="P366" s="13">
        <f t="shared" si="90"/>
        <v>0</v>
      </c>
      <c r="Q366" s="84">
        <f t="shared" ref="Q366:Q429" si="91">O366+P366</f>
        <v>100</v>
      </c>
      <c r="R366" s="13">
        <f t="shared" si="90"/>
        <v>0</v>
      </c>
      <c r="S366" s="84">
        <f t="shared" si="89"/>
        <v>100</v>
      </c>
      <c r="T366" s="13">
        <f t="shared" si="90"/>
        <v>0</v>
      </c>
      <c r="U366" s="84">
        <f t="shared" si="85"/>
        <v>100</v>
      </c>
    </row>
    <row r="367" spans="1:21">
      <c r="A367" s="61" t="str">
        <f ca="1">IF(ISERROR(MATCH(E367,Код_КЦСР,0)),"",INDIRECT(ADDRESS(MATCH(E367,Код_КЦСР,0)+1,2,,,"КЦСР")))</f>
        <v>Профилактика преступлений и иных правонарушений в городе Череповце</v>
      </c>
      <c r="B367" s="126">
        <v>801</v>
      </c>
      <c r="C367" s="8" t="s">
        <v>186</v>
      </c>
      <c r="D367" s="8" t="s">
        <v>213</v>
      </c>
      <c r="E367" s="126" t="s">
        <v>150</v>
      </c>
      <c r="F367" s="126"/>
      <c r="G367" s="69">
        <f t="shared" si="90"/>
        <v>100</v>
      </c>
      <c r="H367" s="69">
        <f t="shared" si="90"/>
        <v>0</v>
      </c>
      <c r="I367" s="69">
        <f t="shared" si="80"/>
        <v>100</v>
      </c>
      <c r="J367" s="69">
        <f t="shared" si="90"/>
        <v>0</v>
      </c>
      <c r="K367" s="84">
        <f t="shared" si="81"/>
        <v>100</v>
      </c>
      <c r="L367" s="13">
        <f t="shared" si="90"/>
        <v>0</v>
      </c>
      <c r="M367" s="84">
        <f t="shared" si="75"/>
        <v>100</v>
      </c>
      <c r="N367" s="13">
        <f t="shared" si="90"/>
        <v>0</v>
      </c>
      <c r="O367" s="84">
        <f t="shared" si="76"/>
        <v>100</v>
      </c>
      <c r="P367" s="13">
        <f t="shared" si="90"/>
        <v>0</v>
      </c>
      <c r="Q367" s="84">
        <f t="shared" si="91"/>
        <v>100</v>
      </c>
      <c r="R367" s="13">
        <f t="shared" si="90"/>
        <v>0</v>
      </c>
      <c r="S367" s="84">
        <f t="shared" si="89"/>
        <v>100</v>
      </c>
      <c r="T367" s="13">
        <f t="shared" si="90"/>
        <v>0</v>
      </c>
      <c r="U367" s="84">
        <f t="shared" si="85"/>
        <v>100</v>
      </c>
    </row>
    <row r="368" spans="1:21">
      <c r="A368" s="61" t="str">
        <f ca="1">IF(ISERROR(MATCH(E368,Код_КЦСР,0)),"",INDIRECT(ADDRESS(MATCH(E368,Код_КЦСР,0)+1,2,,,"КЦСР")))</f>
        <v>Привлечение общественности к охране общественного порядка</v>
      </c>
      <c r="B368" s="126">
        <v>801</v>
      </c>
      <c r="C368" s="8" t="s">
        <v>186</v>
      </c>
      <c r="D368" s="8" t="s">
        <v>213</v>
      </c>
      <c r="E368" s="126" t="s">
        <v>152</v>
      </c>
      <c r="F368" s="126"/>
      <c r="G368" s="69">
        <f t="shared" si="90"/>
        <v>100</v>
      </c>
      <c r="H368" s="69">
        <f t="shared" si="90"/>
        <v>0</v>
      </c>
      <c r="I368" s="69">
        <f t="shared" si="80"/>
        <v>100</v>
      </c>
      <c r="J368" s="69">
        <f t="shared" si="90"/>
        <v>0</v>
      </c>
      <c r="K368" s="84">
        <f t="shared" si="81"/>
        <v>100</v>
      </c>
      <c r="L368" s="13">
        <f t="shared" si="90"/>
        <v>0</v>
      </c>
      <c r="M368" s="84">
        <f t="shared" si="75"/>
        <v>100</v>
      </c>
      <c r="N368" s="13">
        <f t="shared" si="90"/>
        <v>0</v>
      </c>
      <c r="O368" s="84">
        <f t="shared" si="76"/>
        <v>100</v>
      </c>
      <c r="P368" s="13">
        <f t="shared" si="90"/>
        <v>0</v>
      </c>
      <c r="Q368" s="84">
        <f t="shared" si="91"/>
        <v>100</v>
      </c>
      <c r="R368" s="13">
        <f t="shared" si="90"/>
        <v>0</v>
      </c>
      <c r="S368" s="84">
        <f t="shared" si="89"/>
        <v>100</v>
      </c>
      <c r="T368" s="13">
        <f t="shared" si="90"/>
        <v>0</v>
      </c>
      <c r="U368" s="84">
        <f t="shared" si="85"/>
        <v>100</v>
      </c>
    </row>
    <row r="369" spans="1:21">
      <c r="A369" s="61" t="str">
        <f ca="1">IF(ISERROR(MATCH(F369,Код_КВР,0)),"",INDIRECT(ADDRESS(MATCH(F369,Код_КВР,0)+1,2,,,"КВР")))</f>
        <v>Социальное обеспечение и иные выплаты населению</v>
      </c>
      <c r="B369" s="126">
        <v>801</v>
      </c>
      <c r="C369" s="8" t="s">
        <v>186</v>
      </c>
      <c r="D369" s="8" t="s">
        <v>213</v>
      </c>
      <c r="E369" s="126" t="s">
        <v>152</v>
      </c>
      <c r="F369" s="126">
        <v>300</v>
      </c>
      <c r="G369" s="69">
        <f t="shared" si="90"/>
        <v>100</v>
      </c>
      <c r="H369" s="69">
        <f t="shared" si="90"/>
        <v>0</v>
      </c>
      <c r="I369" s="69">
        <f t="shared" si="80"/>
        <v>100</v>
      </c>
      <c r="J369" s="69">
        <f t="shared" si="90"/>
        <v>0</v>
      </c>
      <c r="K369" s="84">
        <f t="shared" si="81"/>
        <v>100</v>
      </c>
      <c r="L369" s="13">
        <f t="shared" si="90"/>
        <v>0</v>
      </c>
      <c r="M369" s="84">
        <f t="shared" si="75"/>
        <v>100</v>
      </c>
      <c r="N369" s="13">
        <f t="shared" si="90"/>
        <v>0</v>
      </c>
      <c r="O369" s="84">
        <f t="shared" si="76"/>
        <v>100</v>
      </c>
      <c r="P369" s="13">
        <f t="shared" si="90"/>
        <v>0</v>
      </c>
      <c r="Q369" s="84">
        <f t="shared" si="91"/>
        <v>100</v>
      </c>
      <c r="R369" s="13">
        <f t="shared" si="90"/>
        <v>0</v>
      </c>
      <c r="S369" s="84">
        <f t="shared" si="89"/>
        <v>100</v>
      </c>
      <c r="T369" s="13">
        <f t="shared" si="90"/>
        <v>0</v>
      </c>
      <c r="U369" s="84">
        <f t="shared" si="85"/>
        <v>100</v>
      </c>
    </row>
    <row r="370" spans="1:21">
      <c r="A370" s="61" t="str">
        <f ca="1">IF(ISERROR(MATCH(F370,Код_КВР,0)),"",INDIRECT(ADDRESS(MATCH(F370,Код_КВР,0)+1,2,,,"КВР")))</f>
        <v>Иные выплаты населению</v>
      </c>
      <c r="B370" s="126">
        <v>801</v>
      </c>
      <c r="C370" s="8" t="s">
        <v>186</v>
      </c>
      <c r="D370" s="8" t="s">
        <v>213</v>
      </c>
      <c r="E370" s="126" t="s">
        <v>152</v>
      </c>
      <c r="F370" s="126">
        <v>360</v>
      </c>
      <c r="G370" s="69">
        <v>100</v>
      </c>
      <c r="H370" s="64"/>
      <c r="I370" s="69">
        <f t="shared" si="80"/>
        <v>100</v>
      </c>
      <c r="J370" s="64"/>
      <c r="K370" s="84">
        <f t="shared" si="81"/>
        <v>100</v>
      </c>
      <c r="L370" s="84"/>
      <c r="M370" s="84">
        <f t="shared" si="75"/>
        <v>100</v>
      </c>
      <c r="N370" s="84"/>
      <c r="O370" s="84">
        <f t="shared" si="76"/>
        <v>100</v>
      </c>
      <c r="P370" s="84"/>
      <c r="Q370" s="84">
        <f t="shared" si="91"/>
        <v>100</v>
      </c>
      <c r="R370" s="84"/>
      <c r="S370" s="84">
        <f t="shared" si="89"/>
        <v>100</v>
      </c>
      <c r="T370" s="84"/>
      <c r="U370" s="84">
        <f t="shared" si="85"/>
        <v>100</v>
      </c>
    </row>
    <row r="371" spans="1:21">
      <c r="A371" s="61" t="str">
        <f ca="1">IF(ISERROR(MATCH(C371,Код_Раздел,0)),"",INDIRECT(ADDRESS(MATCH(C371,Код_Раздел,0)+1,2,,,"Раздел")))</f>
        <v>Средства массовой информации</v>
      </c>
      <c r="B371" s="126">
        <v>801</v>
      </c>
      <c r="C371" s="8" t="s">
        <v>194</v>
      </c>
      <c r="D371" s="8"/>
      <c r="E371" s="126"/>
      <c r="F371" s="126"/>
      <c r="G371" s="69">
        <f>G372</f>
        <v>44285.899999999994</v>
      </c>
      <c r="H371" s="69">
        <f>H372</f>
        <v>0</v>
      </c>
      <c r="I371" s="69">
        <f t="shared" si="80"/>
        <v>44285.899999999994</v>
      </c>
      <c r="J371" s="69">
        <f>J372</f>
        <v>134</v>
      </c>
      <c r="K371" s="84">
        <f t="shared" si="81"/>
        <v>44419.899999999994</v>
      </c>
      <c r="L371" s="13">
        <f>L372</f>
        <v>-61.9</v>
      </c>
      <c r="M371" s="84">
        <f t="shared" si="75"/>
        <v>44357.999999999993</v>
      </c>
      <c r="N371" s="13">
        <f>N372</f>
        <v>34.9</v>
      </c>
      <c r="O371" s="84">
        <f t="shared" si="76"/>
        <v>44392.899999999994</v>
      </c>
      <c r="P371" s="13">
        <f>P372</f>
        <v>0</v>
      </c>
      <c r="Q371" s="84">
        <f t="shared" si="91"/>
        <v>44392.899999999994</v>
      </c>
      <c r="R371" s="13">
        <f>R372</f>
        <v>4108.8</v>
      </c>
      <c r="S371" s="84">
        <f t="shared" si="89"/>
        <v>48501.7</v>
      </c>
      <c r="T371" s="13">
        <f>T372</f>
        <v>400</v>
      </c>
      <c r="U371" s="84">
        <f t="shared" si="85"/>
        <v>48901.7</v>
      </c>
    </row>
    <row r="372" spans="1:21">
      <c r="A372" s="12" t="s">
        <v>196</v>
      </c>
      <c r="B372" s="126">
        <v>801</v>
      </c>
      <c r="C372" s="8" t="s">
        <v>194</v>
      </c>
      <c r="D372" s="8" t="s">
        <v>212</v>
      </c>
      <c r="E372" s="126"/>
      <c r="F372" s="126"/>
      <c r="G372" s="69">
        <f>G379</f>
        <v>44285.899999999994</v>
      </c>
      <c r="H372" s="69">
        <f>H379</f>
        <v>0</v>
      </c>
      <c r="I372" s="69">
        <f t="shared" si="80"/>
        <v>44285.899999999994</v>
      </c>
      <c r="J372" s="69">
        <f>J373+J379</f>
        <v>134</v>
      </c>
      <c r="K372" s="84">
        <f t="shared" si="81"/>
        <v>44419.899999999994</v>
      </c>
      <c r="L372" s="13">
        <f>L373+L379</f>
        <v>-61.9</v>
      </c>
      <c r="M372" s="84">
        <f t="shared" ref="M372:M444" si="92">K372+L372</f>
        <v>44357.999999999993</v>
      </c>
      <c r="N372" s="13">
        <f>N373+N379</f>
        <v>34.9</v>
      </c>
      <c r="O372" s="84">
        <f t="shared" ref="O372:O444" si="93">M372+N372</f>
        <v>44392.899999999994</v>
      </c>
      <c r="P372" s="13">
        <f>P373+P379</f>
        <v>0</v>
      </c>
      <c r="Q372" s="84">
        <f t="shared" si="91"/>
        <v>44392.899999999994</v>
      </c>
      <c r="R372" s="13">
        <f>R373+R379</f>
        <v>4108.8</v>
      </c>
      <c r="S372" s="84">
        <f t="shared" si="89"/>
        <v>48501.7</v>
      </c>
      <c r="T372" s="13">
        <f>T373+T379</f>
        <v>400</v>
      </c>
      <c r="U372" s="84">
        <f t="shared" si="85"/>
        <v>48901.7</v>
      </c>
    </row>
    <row r="373" spans="1:21" ht="33">
      <c r="A373" s="61" t="str">
        <f ca="1">IF(ISERROR(MATCH(E373,Код_КЦСР,0)),"",INDIRECT(ADDRESS(MATCH(E373,Код_КЦСР,0)+1,2,,,"КЦСР")))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373" s="126">
        <v>801</v>
      </c>
      <c r="C373" s="8" t="s">
        <v>194</v>
      </c>
      <c r="D373" s="8" t="s">
        <v>212</v>
      </c>
      <c r="E373" s="126" t="s">
        <v>78</v>
      </c>
      <c r="F373" s="126"/>
      <c r="G373" s="69"/>
      <c r="H373" s="69"/>
      <c r="I373" s="69"/>
      <c r="J373" s="69">
        <f>J374</f>
        <v>7.5</v>
      </c>
      <c r="K373" s="84">
        <f t="shared" si="81"/>
        <v>7.5</v>
      </c>
      <c r="L373" s="13">
        <f>L374</f>
        <v>0</v>
      </c>
      <c r="M373" s="84">
        <f t="shared" si="92"/>
        <v>7.5</v>
      </c>
      <c r="N373" s="13">
        <f>N374</f>
        <v>0</v>
      </c>
      <c r="O373" s="84">
        <f t="shared" si="93"/>
        <v>7.5</v>
      </c>
      <c r="P373" s="13">
        <f>P374</f>
        <v>0</v>
      </c>
      <c r="Q373" s="84">
        <f t="shared" si="91"/>
        <v>7.5</v>
      </c>
      <c r="R373" s="13">
        <f>R374</f>
        <v>0</v>
      </c>
      <c r="S373" s="84">
        <f t="shared" si="89"/>
        <v>7.5</v>
      </c>
      <c r="T373" s="13">
        <f>T374</f>
        <v>0</v>
      </c>
      <c r="U373" s="84">
        <f t="shared" si="85"/>
        <v>7.5</v>
      </c>
    </row>
    <row r="374" spans="1:21">
      <c r="A374" s="61" t="str">
        <f ca="1">IF(ISERROR(MATCH(E374,Код_КЦСР,0)),"",INDIRECT(ADDRESS(MATCH(E374,Код_КЦСР,0)+1,2,,,"КЦСР")))</f>
        <v>Обеспечение пожарной безопасности муниципальных учреждений города</v>
      </c>
      <c r="B374" s="126">
        <v>801</v>
      </c>
      <c r="C374" s="8" t="s">
        <v>194</v>
      </c>
      <c r="D374" s="8" t="s">
        <v>212</v>
      </c>
      <c r="E374" s="126" t="s">
        <v>80</v>
      </c>
      <c r="F374" s="126"/>
      <c r="G374" s="69"/>
      <c r="H374" s="69"/>
      <c r="I374" s="69"/>
      <c r="J374" s="69">
        <f>J375</f>
        <v>7.5</v>
      </c>
      <c r="K374" s="84">
        <f t="shared" si="81"/>
        <v>7.5</v>
      </c>
      <c r="L374" s="13">
        <f>L375</f>
        <v>0</v>
      </c>
      <c r="M374" s="84">
        <f t="shared" si="92"/>
        <v>7.5</v>
      </c>
      <c r="N374" s="13">
        <f>N375</f>
        <v>0</v>
      </c>
      <c r="O374" s="84">
        <f t="shared" si="93"/>
        <v>7.5</v>
      </c>
      <c r="P374" s="13">
        <f>P375</f>
        <v>0</v>
      </c>
      <c r="Q374" s="84">
        <f t="shared" si="91"/>
        <v>7.5</v>
      </c>
      <c r="R374" s="13">
        <f>R375</f>
        <v>0</v>
      </c>
      <c r="S374" s="84">
        <f t="shared" si="89"/>
        <v>7.5</v>
      </c>
      <c r="T374" s="13">
        <f>T375</f>
        <v>0</v>
      </c>
      <c r="U374" s="84">
        <f t="shared" si="85"/>
        <v>7.5</v>
      </c>
    </row>
    <row r="375" spans="1:21" ht="49.5">
      <c r="A375" s="61" t="str">
        <f ca="1">IF(ISERROR(MATCH(E375,Код_КЦСР,0)),"",INDIRECT(ADDRESS(MATCH(E375,Код_КЦСР,0)+1,2,,,"КЦСР")))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375" s="126">
        <v>801</v>
      </c>
      <c r="C375" s="8" t="s">
        <v>194</v>
      </c>
      <c r="D375" s="8" t="s">
        <v>212</v>
      </c>
      <c r="E375" s="126" t="s">
        <v>82</v>
      </c>
      <c r="F375" s="126"/>
      <c r="G375" s="69"/>
      <c r="H375" s="69"/>
      <c r="I375" s="69"/>
      <c r="J375" s="69">
        <f>J376</f>
        <v>7.5</v>
      </c>
      <c r="K375" s="84">
        <f t="shared" si="81"/>
        <v>7.5</v>
      </c>
      <c r="L375" s="13">
        <f>L376</f>
        <v>0</v>
      </c>
      <c r="M375" s="84">
        <f t="shared" si="92"/>
        <v>7.5</v>
      </c>
      <c r="N375" s="13">
        <f>N376</f>
        <v>0</v>
      </c>
      <c r="O375" s="84">
        <f t="shared" si="93"/>
        <v>7.5</v>
      </c>
      <c r="P375" s="13">
        <f>P376</f>
        <v>0</v>
      </c>
      <c r="Q375" s="84">
        <f t="shared" si="91"/>
        <v>7.5</v>
      </c>
      <c r="R375" s="13">
        <f>R376</f>
        <v>0</v>
      </c>
      <c r="S375" s="84">
        <f t="shared" si="89"/>
        <v>7.5</v>
      </c>
      <c r="T375" s="13">
        <f>T376</f>
        <v>0</v>
      </c>
      <c r="U375" s="84">
        <f t="shared" si="85"/>
        <v>7.5</v>
      </c>
    </row>
    <row r="376" spans="1:21">
      <c r="A376" s="61" t="str">
        <f t="shared" ref="A376:A378" ca="1" si="94">IF(ISERROR(MATCH(F376,Код_КВР,0)),"",INDIRECT(ADDRESS(MATCH(F376,Код_КВР,0)+1,2,,,"КВР")))</f>
        <v>Закупка товаров, работ и услуг для муниципальных нужд</v>
      </c>
      <c r="B376" s="126">
        <v>801</v>
      </c>
      <c r="C376" s="8" t="s">
        <v>194</v>
      </c>
      <c r="D376" s="8" t="s">
        <v>212</v>
      </c>
      <c r="E376" s="126" t="s">
        <v>82</v>
      </c>
      <c r="F376" s="126">
        <v>200</v>
      </c>
      <c r="G376" s="69"/>
      <c r="H376" s="69"/>
      <c r="I376" s="69"/>
      <c r="J376" s="69">
        <f>J377</f>
        <v>7.5</v>
      </c>
      <c r="K376" s="84">
        <f t="shared" si="81"/>
        <v>7.5</v>
      </c>
      <c r="L376" s="13">
        <f>L377</f>
        <v>0</v>
      </c>
      <c r="M376" s="84">
        <f t="shared" si="92"/>
        <v>7.5</v>
      </c>
      <c r="N376" s="13">
        <f>N377</f>
        <v>0</v>
      </c>
      <c r="O376" s="84">
        <f t="shared" si="93"/>
        <v>7.5</v>
      </c>
      <c r="P376" s="13">
        <f>P377</f>
        <v>0</v>
      </c>
      <c r="Q376" s="84">
        <f t="shared" si="91"/>
        <v>7.5</v>
      </c>
      <c r="R376" s="13">
        <f>R377</f>
        <v>0</v>
      </c>
      <c r="S376" s="84">
        <f t="shared" si="89"/>
        <v>7.5</v>
      </c>
      <c r="T376" s="13">
        <f>T377</f>
        <v>0</v>
      </c>
      <c r="U376" s="84">
        <f t="shared" si="85"/>
        <v>7.5</v>
      </c>
    </row>
    <row r="377" spans="1:21" ht="33">
      <c r="A377" s="61" t="str">
        <f t="shared" ca="1" si="94"/>
        <v>Иные закупки товаров, работ и услуг для обеспечения муниципальных нужд</v>
      </c>
      <c r="B377" s="126">
        <v>801</v>
      </c>
      <c r="C377" s="8" t="s">
        <v>194</v>
      </c>
      <c r="D377" s="8" t="s">
        <v>212</v>
      </c>
      <c r="E377" s="126" t="s">
        <v>82</v>
      </c>
      <c r="F377" s="126">
        <v>240</v>
      </c>
      <c r="G377" s="69"/>
      <c r="H377" s="69"/>
      <c r="I377" s="69"/>
      <c r="J377" s="69">
        <f>J378</f>
        <v>7.5</v>
      </c>
      <c r="K377" s="84">
        <f t="shared" si="81"/>
        <v>7.5</v>
      </c>
      <c r="L377" s="13">
        <f>L378</f>
        <v>0</v>
      </c>
      <c r="M377" s="84">
        <f t="shared" si="92"/>
        <v>7.5</v>
      </c>
      <c r="N377" s="13">
        <f>N378</f>
        <v>0</v>
      </c>
      <c r="O377" s="84">
        <f t="shared" si="93"/>
        <v>7.5</v>
      </c>
      <c r="P377" s="13">
        <f>P378</f>
        <v>0</v>
      </c>
      <c r="Q377" s="84">
        <f t="shared" si="91"/>
        <v>7.5</v>
      </c>
      <c r="R377" s="13">
        <f>R378</f>
        <v>0</v>
      </c>
      <c r="S377" s="84">
        <f t="shared" si="89"/>
        <v>7.5</v>
      </c>
      <c r="T377" s="13">
        <f>T378</f>
        <v>0</v>
      </c>
      <c r="U377" s="84">
        <f t="shared" si="85"/>
        <v>7.5</v>
      </c>
    </row>
    <row r="378" spans="1:21" ht="33">
      <c r="A378" s="61" t="str">
        <f t="shared" ca="1" si="94"/>
        <v xml:space="preserve">Прочая закупка товаров, работ и услуг для обеспечения муниципальных нужд         </v>
      </c>
      <c r="B378" s="126">
        <v>801</v>
      </c>
      <c r="C378" s="8" t="s">
        <v>194</v>
      </c>
      <c r="D378" s="8" t="s">
        <v>212</v>
      </c>
      <c r="E378" s="126" t="s">
        <v>82</v>
      </c>
      <c r="F378" s="126">
        <v>244</v>
      </c>
      <c r="G378" s="69"/>
      <c r="H378" s="69"/>
      <c r="I378" s="69"/>
      <c r="J378" s="69">
        <v>7.5</v>
      </c>
      <c r="K378" s="84">
        <f t="shared" si="81"/>
        <v>7.5</v>
      </c>
      <c r="L378" s="13"/>
      <c r="M378" s="84">
        <f t="shared" si="92"/>
        <v>7.5</v>
      </c>
      <c r="N378" s="13"/>
      <c r="O378" s="84">
        <f t="shared" si="93"/>
        <v>7.5</v>
      </c>
      <c r="P378" s="13"/>
      <c r="Q378" s="84">
        <f t="shared" si="91"/>
        <v>7.5</v>
      </c>
      <c r="R378" s="13"/>
      <c r="S378" s="84">
        <f t="shared" si="89"/>
        <v>7.5</v>
      </c>
      <c r="T378" s="13"/>
      <c r="U378" s="84">
        <f t="shared" si="85"/>
        <v>7.5</v>
      </c>
    </row>
    <row r="379" spans="1:21" ht="49.5">
      <c r="A379" s="61" t="str">
        <f ca="1">IF(ISERROR(MATCH(E379,Код_КЦСР,0)),"",INDIRECT(ADDRESS(MATCH(E379,Код_КЦСР,0)+1,2,,,"КЦСР")))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379" s="126">
        <v>801</v>
      </c>
      <c r="C379" s="8" t="s">
        <v>194</v>
      </c>
      <c r="D379" s="8" t="s">
        <v>212</v>
      </c>
      <c r="E379" s="126" t="s">
        <v>139</v>
      </c>
      <c r="F379" s="126"/>
      <c r="G379" s="69">
        <f>G380+G390</f>
        <v>44285.899999999994</v>
      </c>
      <c r="H379" s="69">
        <f>H380+H390</f>
        <v>0</v>
      </c>
      <c r="I379" s="69">
        <f t="shared" si="80"/>
        <v>44285.899999999994</v>
      </c>
      <c r="J379" s="69">
        <f>J380+J390</f>
        <v>126.5</v>
      </c>
      <c r="K379" s="84">
        <f t="shared" si="81"/>
        <v>44412.399999999994</v>
      </c>
      <c r="L379" s="13">
        <f>L380+L390</f>
        <v>-61.9</v>
      </c>
      <c r="M379" s="84">
        <f t="shared" si="92"/>
        <v>44350.499999999993</v>
      </c>
      <c r="N379" s="13">
        <f>N380+N390</f>
        <v>34.9</v>
      </c>
      <c r="O379" s="84">
        <f t="shared" si="93"/>
        <v>44385.399999999994</v>
      </c>
      <c r="P379" s="13">
        <f>P380+P390</f>
        <v>0</v>
      </c>
      <c r="Q379" s="84">
        <f t="shared" si="91"/>
        <v>44385.399999999994</v>
      </c>
      <c r="R379" s="13">
        <f>R380+R390</f>
        <v>4108.8</v>
      </c>
      <c r="S379" s="84">
        <f t="shared" si="89"/>
        <v>48494.2</v>
      </c>
      <c r="T379" s="13">
        <f>T380+T390</f>
        <v>400</v>
      </c>
      <c r="U379" s="84">
        <f t="shared" si="85"/>
        <v>48894.2</v>
      </c>
    </row>
    <row r="380" spans="1:21" ht="49.5">
      <c r="A380" s="61" t="str">
        <f ca="1">IF(ISERROR(MATCH(E380,Код_КЦСР,0)),"",INDIRECT(ADDRESS(MATCH(E380,Код_КЦСР,0)+1,2,,,"КЦСР")))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80" s="126">
        <v>801</v>
      </c>
      <c r="C380" s="8" t="s">
        <v>194</v>
      </c>
      <c r="D380" s="8" t="s">
        <v>212</v>
      </c>
      <c r="E380" s="126" t="s">
        <v>144</v>
      </c>
      <c r="F380" s="126"/>
      <c r="G380" s="69">
        <f>G381+G383+G386</f>
        <v>23381.1</v>
      </c>
      <c r="H380" s="69">
        <f>H381+H383+H386</f>
        <v>0</v>
      </c>
      <c r="I380" s="69">
        <f t="shared" si="80"/>
        <v>23381.1</v>
      </c>
      <c r="J380" s="69">
        <f>J381+J383+J386</f>
        <v>126.5</v>
      </c>
      <c r="K380" s="84">
        <f t="shared" si="81"/>
        <v>23507.599999999999</v>
      </c>
      <c r="L380" s="13">
        <f>L381+L383+L386</f>
        <v>-61.9</v>
      </c>
      <c r="M380" s="84">
        <f t="shared" si="92"/>
        <v>23445.699999999997</v>
      </c>
      <c r="N380" s="13">
        <f>N381+N383+N386</f>
        <v>34.9</v>
      </c>
      <c r="O380" s="84">
        <f t="shared" si="93"/>
        <v>23480.6</v>
      </c>
      <c r="P380" s="13">
        <f>P381+P383+P386</f>
        <v>0</v>
      </c>
      <c r="Q380" s="84">
        <f t="shared" si="91"/>
        <v>23480.6</v>
      </c>
      <c r="R380" s="13">
        <f>R381+R383+R386</f>
        <v>1063.4000000000001</v>
      </c>
      <c r="S380" s="84">
        <f t="shared" si="89"/>
        <v>24544</v>
      </c>
      <c r="T380" s="13">
        <f>T381+T383+T386</f>
        <v>400</v>
      </c>
      <c r="U380" s="84">
        <f t="shared" si="85"/>
        <v>24944</v>
      </c>
    </row>
    <row r="381" spans="1:21" ht="33">
      <c r="A381" s="61" t="str">
        <f t="shared" ref="A381:A387" ca="1" si="95">IF(ISERROR(MATCH(F381,Код_КВР,0)),"",INDIRECT(ADDRESS(MATCH(F381,Код_КВР,0)+1,2,,,"КВР")))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81" s="126">
        <v>801</v>
      </c>
      <c r="C381" s="8" t="s">
        <v>194</v>
      </c>
      <c r="D381" s="8" t="s">
        <v>212</v>
      </c>
      <c r="E381" s="126" t="s">
        <v>144</v>
      </c>
      <c r="F381" s="126">
        <v>100</v>
      </c>
      <c r="G381" s="69">
        <f>G382</f>
        <v>19202.599999999999</v>
      </c>
      <c r="H381" s="69">
        <f>H382</f>
        <v>0</v>
      </c>
      <c r="I381" s="69">
        <f t="shared" si="80"/>
        <v>19202.599999999999</v>
      </c>
      <c r="J381" s="69">
        <f>J382</f>
        <v>0</v>
      </c>
      <c r="K381" s="84">
        <f t="shared" si="81"/>
        <v>19202.599999999999</v>
      </c>
      <c r="L381" s="13">
        <f>L382</f>
        <v>0</v>
      </c>
      <c r="M381" s="84">
        <f t="shared" si="92"/>
        <v>19202.599999999999</v>
      </c>
      <c r="N381" s="13">
        <f>N382</f>
        <v>0</v>
      </c>
      <c r="O381" s="84">
        <f t="shared" si="93"/>
        <v>19202.599999999999</v>
      </c>
      <c r="P381" s="13">
        <f>P382</f>
        <v>0</v>
      </c>
      <c r="Q381" s="84">
        <f t="shared" si="91"/>
        <v>19202.599999999999</v>
      </c>
      <c r="R381" s="13">
        <f>R382</f>
        <v>0</v>
      </c>
      <c r="S381" s="84">
        <f t="shared" si="89"/>
        <v>19202.599999999999</v>
      </c>
      <c r="T381" s="13">
        <f>T382</f>
        <v>15</v>
      </c>
      <c r="U381" s="84">
        <f t="shared" si="85"/>
        <v>19217.599999999999</v>
      </c>
    </row>
    <row r="382" spans="1:21">
      <c r="A382" s="61" t="str">
        <f t="shared" ca="1" si="95"/>
        <v>Расходы на выплаты персоналу казенных учреждений</v>
      </c>
      <c r="B382" s="126">
        <v>801</v>
      </c>
      <c r="C382" s="8" t="s">
        <v>194</v>
      </c>
      <c r="D382" s="8" t="s">
        <v>212</v>
      </c>
      <c r="E382" s="126" t="s">
        <v>144</v>
      </c>
      <c r="F382" s="126">
        <v>110</v>
      </c>
      <c r="G382" s="69">
        <v>19202.599999999999</v>
      </c>
      <c r="H382" s="69"/>
      <c r="I382" s="69">
        <f t="shared" si="80"/>
        <v>19202.599999999999</v>
      </c>
      <c r="J382" s="69"/>
      <c r="K382" s="84">
        <f t="shared" si="81"/>
        <v>19202.599999999999</v>
      </c>
      <c r="L382" s="13"/>
      <c r="M382" s="84">
        <f t="shared" si="92"/>
        <v>19202.599999999999</v>
      </c>
      <c r="N382" s="13"/>
      <c r="O382" s="84">
        <f t="shared" si="93"/>
        <v>19202.599999999999</v>
      </c>
      <c r="P382" s="13"/>
      <c r="Q382" s="84">
        <f t="shared" si="91"/>
        <v>19202.599999999999</v>
      </c>
      <c r="R382" s="13"/>
      <c r="S382" s="84">
        <f t="shared" si="89"/>
        <v>19202.599999999999</v>
      </c>
      <c r="T382" s="13">
        <v>15</v>
      </c>
      <c r="U382" s="84">
        <f t="shared" si="85"/>
        <v>19217.599999999999</v>
      </c>
    </row>
    <row r="383" spans="1:21">
      <c r="A383" s="61" t="str">
        <f t="shared" ca="1" si="95"/>
        <v>Закупка товаров, работ и услуг для муниципальных нужд</v>
      </c>
      <c r="B383" s="126">
        <v>801</v>
      </c>
      <c r="C383" s="8" t="s">
        <v>194</v>
      </c>
      <c r="D383" s="8" t="s">
        <v>212</v>
      </c>
      <c r="E383" s="126" t="s">
        <v>144</v>
      </c>
      <c r="F383" s="126">
        <v>200</v>
      </c>
      <c r="G383" s="69">
        <f>G384</f>
        <v>4028.5</v>
      </c>
      <c r="H383" s="69">
        <f>H384</f>
        <v>0</v>
      </c>
      <c r="I383" s="69">
        <f t="shared" si="80"/>
        <v>4028.5</v>
      </c>
      <c r="J383" s="69">
        <f>J384</f>
        <v>124.5</v>
      </c>
      <c r="K383" s="84">
        <f t="shared" si="81"/>
        <v>4153</v>
      </c>
      <c r="L383" s="13">
        <f>L384</f>
        <v>-61.9</v>
      </c>
      <c r="M383" s="84">
        <f t="shared" si="92"/>
        <v>4091.1</v>
      </c>
      <c r="N383" s="13">
        <f>N384</f>
        <v>30.099999999999998</v>
      </c>
      <c r="O383" s="84">
        <f t="shared" si="93"/>
        <v>4121.2</v>
      </c>
      <c r="P383" s="13">
        <f>P384</f>
        <v>-18</v>
      </c>
      <c r="Q383" s="84">
        <f t="shared" si="91"/>
        <v>4103.2</v>
      </c>
      <c r="R383" s="13">
        <f>R384</f>
        <v>1063.4000000000001</v>
      </c>
      <c r="S383" s="84">
        <f t="shared" si="89"/>
        <v>5166.6000000000004</v>
      </c>
      <c r="T383" s="13">
        <f>T384</f>
        <v>385</v>
      </c>
      <c r="U383" s="84">
        <f t="shared" si="85"/>
        <v>5551.6</v>
      </c>
    </row>
    <row r="384" spans="1:21" ht="33">
      <c r="A384" s="61" t="str">
        <f t="shared" ca="1" si="95"/>
        <v>Иные закупки товаров, работ и услуг для обеспечения муниципальных нужд</v>
      </c>
      <c r="B384" s="126">
        <v>801</v>
      </c>
      <c r="C384" s="8" t="s">
        <v>194</v>
      </c>
      <c r="D384" s="8" t="s">
        <v>212</v>
      </c>
      <c r="E384" s="126" t="s">
        <v>144</v>
      </c>
      <c r="F384" s="126">
        <v>240</v>
      </c>
      <c r="G384" s="69">
        <f>G385</f>
        <v>4028.5</v>
      </c>
      <c r="H384" s="64"/>
      <c r="I384" s="69">
        <f t="shared" si="80"/>
        <v>4028.5</v>
      </c>
      <c r="J384" s="64">
        <f>J385</f>
        <v>124.5</v>
      </c>
      <c r="K384" s="84">
        <f t="shared" si="81"/>
        <v>4153</v>
      </c>
      <c r="L384" s="84">
        <f>L385</f>
        <v>-61.9</v>
      </c>
      <c r="M384" s="84">
        <f t="shared" si="92"/>
        <v>4091.1</v>
      </c>
      <c r="N384" s="84">
        <f>N385</f>
        <v>30.099999999999998</v>
      </c>
      <c r="O384" s="84">
        <f t="shared" si="93"/>
        <v>4121.2</v>
      </c>
      <c r="P384" s="84">
        <f>P385</f>
        <v>-18</v>
      </c>
      <c r="Q384" s="84">
        <f t="shared" si="91"/>
        <v>4103.2</v>
      </c>
      <c r="R384" s="84">
        <f>R385</f>
        <v>1063.4000000000001</v>
      </c>
      <c r="S384" s="84">
        <f t="shared" si="89"/>
        <v>5166.6000000000004</v>
      </c>
      <c r="T384" s="84">
        <f>T385</f>
        <v>385</v>
      </c>
      <c r="U384" s="84">
        <f t="shared" si="85"/>
        <v>5551.6</v>
      </c>
    </row>
    <row r="385" spans="1:21" ht="33">
      <c r="A385" s="61" t="str">
        <f t="shared" ca="1" si="95"/>
        <v xml:space="preserve">Прочая закупка товаров, работ и услуг для обеспечения муниципальных нужд         </v>
      </c>
      <c r="B385" s="126">
        <v>801</v>
      </c>
      <c r="C385" s="8" t="s">
        <v>194</v>
      </c>
      <c r="D385" s="8" t="s">
        <v>212</v>
      </c>
      <c r="E385" s="126" t="s">
        <v>144</v>
      </c>
      <c r="F385" s="126">
        <v>244</v>
      </c>
      <c r="G385" s="69">
        <v>4028.5</v>
      </c>
      <c r="H385" s="64"/>
      <c r="I385" s="69">
        <f t="shared" si="80"/>
        <v>4028.5</v>
      </c>
      <c r="J385" s="64">
        <f>134-7.5-2</f>
        <v>124.5</v>
      </c>
      <c r="K385" s="84">
        <f t="shared" si="81"/>
        <v>4153</v>
      </c>
      <c r="L385" s="84">
        <f>-3.9-58</f>
        <v>-61.9</v>
      </c>
      <c r="M385" s="84">
        <f t="shared" si="92"/>
        <v>4091.1</v>
      </c>
      <c r="N385" s="84">
        <f>34.9-4.8</f>
        <v>30.099999999999998</v>
      </c>
      <c r="O385" s="84">
        <f t="shared" si="93"/>
        <v>4121.2</v>
      </c>
      <c r="P385" s="84">
        <f>-6-12</f>
        <v>-18</v>
      </c>
      <c r="Q385" s="84">
        <f t="shared" si="91"/>
        <v>4103.2</v>
      </c>
      <c r="R385" s="84">
        <f>363.4+700</f>
        <v>1063.4000000000001</v>
      </c>
      <c r="S385" s="84">
        <f t="shared" si="89"/>
        <v>5166.6000000000004</v>
      </c>
      <c r="T385" s="84">
        <v>385</v>
      </c>
      <c r="U385" s="84">
        <f t="shared" si="85"/>
        <v>5551.6</v>
      </c>
    </row>
    <row r="386" spans="1:21">
      <c r="A386" s="61" t="str">
        <f t="shared" ca="1" si="95"/>
        <v>Иные бюджетные ассигнования</v>
      </c>
      <c r="B386" s="126">
        <v>801</v>
      </c>
      <c r="C386" s="8" t="s">
        <v>194</v>
      </c>
      <c r="D386" s="8" t="s">
        <v>212</v>
      </c>
      <c r="E386" s="126" t="s">
        <v>144</v>
      </c>
      <c r="F386" s="126">
        <v>800</v>
      </c>
      <c r="G386" s="69">
        <f>G387</f>
        <v>150</v>
      </c>
      <c r="H386" s="69">
        <f>H387</f>
        <v>0</v>
      </c>
      <c r="I386" s="69">
        <f t="shared" si="80"/>
        <v>150</v>
      </c>
      <c r="J386" s="69">
        <f>J387</f>
        <v>2</v>
      </c>
      <c r="K386" s="84">
        <f t="shared" si="81"/>
        <v>152</v>
      </c>
      <c r="L386" s="13">
        <f>L387</f>
        <v>0</v>
      </c>
      <c r="M386" s="84">
        <f t="shared" si="92"/>
        <v>152</v>
      </c>
      <c r="N386" s="13">
        <f>N387</f>
        <v>4.8</v>
      </c>
      <c r="O386" s="84">
        <f t="shared" si="93"/>
        <v>156.80000000000001</v>
      </c>
      <c r="P386" s="13">
        <f>P387</f>
        <v>18</v>
      </c>
      <c r="Q386" s="84">
        <f t="shared" si="91"/>
        <v>174.8</v>
      </c>
      <c r="R386" s="13">
        <f>R387</f>
        <v>0</v>
      </c>
      <c r="S386" s="84">
        <f t="shared" si="89"/>
        <v>174.8</v>
      </c>
      <c r="T386" s="13">
        <f>T387</f>
        <v>0</v>
      </c>
      <c r="U386" s="84">
        <f t="shared" si="85"/>
        <v>174.8</v>
      </c>
    </row>
    <row r="387" spans="1:21">
      <c r="A387" s="61" t="str">
        <f t="shared" ca="1" si="95"/>
        <v>Уплата налогов, сборов и иных платежей</v>
      </c>
      <c r="B387" s="126">
        <v>801</v>
      </c>
      <c r="C387" s="8" t="s">
        <v>194</v>
      </c>
      <c r="D387" s="8" t="s">
        <v>212</v>
      </c>
      <c r="E387" s="126" t="s">
        <v>144</v>
      </c>
      <c r="F387" s="126">
        <v>850</v>
      </c>
      <c r="G387" s="69">
        <f>SUM(G388:G389)</f>
        <v>150</v>
      </c>
      <c r="H387" s="69">
        <f>SUM(H388:H389)</f>
        <v>0</v>
      </c>
      <c r="I387" s="69">
        <f t="shared" si="80"/>
        <v>150</v>
      </c>
      <c r="J387" s="69">
        <f>SUM(J388:J389)</f>
        <v>2</v>
      </c>
      <c r="K387" s="84">
        <f t="shared" si="81"/>
        <v>152</v>
      </c>
      <c r="L387" s="13">
        <f>SUM(L388:L389)</f>
        <v>0</v>
      </c>
      <c r="M387" s="84">
        <f t="shared" si="92"/>
        <v>152</v>
      </c>
      <c r="N387" s="13">
        <f>SUM(N388:N389)</f>
        <v>4.8</v>
      </c>
      <c r="O387" s="84">
        <f t="shared" si="93"/>
        <v>156.80000000000001</v>
      </c>
      <c r="P387" s="13">
        <f>SUM(P388:P389)</f>
        <v>18</v>
      </c>
      <c r="Q387" s="84">
        <f t="shared" si="91"/>
        <v>174.8</v>
      </c>
      <c r="R387" s="13">
        <f>SUM(R388:R389)</f>
        <v>0</v>
      </c>
      <c r="S387" s="84">
        <f t="shared" si="89"/>
        <v>174.8</v>
      </c>
      <c r="T387" s="13">
        <f>SUM(T388:T389)</f>
        <v>0</v>
      </c>
      <c r="U387" s="84">
        <f t="shared" si="85"/>
        <v>174.8</v>
      </c>
    </row>
    <row r="388" spans="1:21">
      <c r="A388" s="61" t="str">
        <f ca="1">IF(ISERROR(MATCH(F388,Код_КВР,0)),"",INDIRECT(ADDRESS(MATCH(F388,Код_КВР,0)+1,2,,,"КВР")))</f>
        <v>Уплата налога на имущество организаций и земельного налога</v>
      </c>
      <c r="B388" s="126">
        <v>801</v>
      </c>
      <c r="C388" s="8" t="s">
        <v>194</v>
      </c>
      <c r="D388" s="8" t="s">
        <v>212</v>
      </c>
      <c r="E388" s="126" t="s">
        <v>144</v>
      </c>
      <c r="F388" s="126">
        <v>851</v>
      </c>
      <c r="G388" s="69">
        <v>142</v>
      </c>
      <c r="H388" s="64"/>
      <c r="I388" s="69">
        <f t="shared" si="80"/>
        <v>142</v>
      </c>
      <c r="J388" s="64"/>
      <c r="K388" s="84">
        <f t="shared" si="81"/>
        <v>142</v>
      </c>
      <c r="L388" s="84"/>
      <c r="M388" s="84">
        <f t="shared" si="92"/>
        <v>142</v>
      </c>
      <c r="N388" s="84"/>
      <c r="O388" s="84">
        <f t="shared" si="93"/>
        <v>142</v>
      </c>
      <c r="P388" s="84"/>
      <c r="Q388" s="84">
        <f t="shared" si="91"/>
        <v>142</v>
      </c>
      <c r="R388" s="84"/>
      <c r="S388" s="84">
        <f t="shared" si="89"/>
        <v>142</v>
      </c>
      <c r="T388" s="84"/>
      <c r="U388" s="84">
        <f t="shared" si="85"/>
        <v>142</v>
      </c>
    </row>
    <row r="389" spans="1:21">
      <c r="A389" s="61" t="str">
        <f ca="1">IF(ISERROR(MATCH(F389,Код_КВР,0)),"",INDIRECT(ADDRESS(MATCH(F389,Код_КВР,0)+1,2,,,"КВР")))</f>
        <v>Уплата прочих налогов, сборов и иных платежей</v>
      </c>
      <c r="B389" s="126">
        <v>801</v>
      </c>
      <c r="C389" s="8" t="s">
        <v>194</v>
      </c>
      <c r="D389" s="8" t="s">
        <v>212</v>
      </c>
      <c r="E389" s="126" t="s">
        <v>144</v>
      </c>
      <c r="F389" s="126">
        <v>852</v>
      </c>
      <c r="G389" s="69">
        <v>8</v>
      </c>
      <c r="H389" s="64"/>
      <c r="I389" s="69">
        <f t="shared" si="80"/>
        <v>8</v>
      </c>
      <c r="J389" s="64">
        <v>2</v>
      </c>
      <c r="K389" s="84">
        <f t="shared" si="81"/>
        <v>10</v>
      </c>
      <c r="L389" s="84"/>
      <c r="M389" s="84">
        <f t="shared" si="92"/>
        <v>10</v>
      </c>
      <c r="N389" s="84">
        <v>4.8</v>
      </c>
      <c r="O389" s="84">
        <f t="shared" si="93"/>
        <v>14.8</v>
      </c>
      <c r="P389" s="84">
        <f>6+12</f>
        <v>18</v>
      </c>
      <c r="Q389" s="84">
        <f t="shared" si="91"/>
        <v>32.799999999999997</v>
      </c>
      <c r="R389" s="84"/>
      <c r="S389" s="84">
        <f t="shared" si="89"/>
        <v>32.799999999999997</v>
      </c>
      <c r="T389" s="84"/>
      <c r="U389" s="84">
        <f t="shared" si="85"/>
        <v>32.799999999999997</v>
      </c>
    </row>
    <row r="390" spans="1:21" ht="49.5">
      <c r="A390" s="61" t="str">
        <f ca="1">IF(ISERROR(MATCH(E390,Код_КЦСР,0)),"",INDIRECT(ADDRESS(MATCH(E390,Код_КЦСР,0)+1,2,,,"КЦСР")))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90" s="126">
        <v>801</v>
      </c>
      <c r="C390" s="8" t="s">
        <v>194</v>
      </c>
      <c r="D390" s="8" t="s">
        <v>212</v>
      </c>
      <c r="E390" s="126" t="s">
        <v>146</v>
      </c>
      <c r="F390" s="126"/>
      <c r="G390" s="69">
        <f t="shared" ref="G390:T392" si="96">G391</f>
        <v>20904.8</v>
      </c>
      <c r="H390" s="69">
        <f t="shared" si="96"/>
        <v>0</v>
      </c>
      <c r="I390" s="69">
        <f t="shared" si="80"/>
        <v>20904.8</v>
      </c>
      <c r="J390" s="69">
        <f t="shared" si="96"/>
        <v>0</v>
      </c>
      <c r="K390" s="84">
        <f t="shared" si="81"/>
        <v>20904.8</v>
      </c>
      <c r="L390" s="13">
        <f t="shared" si="96"/>
        <v>0</v>
      </c>
      <c r="M390" s="84">
        <f t="shared" si="92"/>
        <v>20904.8</v>
      </c>
      <c r="N390" s="13">
        <f t="shared" si="96"/>
        <v>0</v>
      </c>
      <c r="O390" s="84">
        <f t="shared" si="93"/>
        <v>20904.8</v>
      </c>
      <c r="P390" s="13">
        <f t="shared" si="96"/>
        <v>0</v>
      </c>
      <c r="Q390" s="84">
        <f t="shared" si="91"/>
        <v>20904.8</v>
      </c>
      <c r="R390" s="13">
        <f t="shared" si="96"/>
        <v>3045.4</v>
      </c>
      <c r="S390" s="84">
        <f t="shared" si="89"/>
        <v>23950.2</v>
      </c>
      <c r="T390" s="13">
        <f t="shared" si="96"/>
        <v>0</v>
      </c>
      <c r="U390" s="84">
        <f t="shared" si="85"/>
        <v>23950.2</v>
      </c>
    </row>
    <row r="391" spans="1:21">
      <c r="A391" s="61" t="str">
        <f ca="1">IF(ISERROR(MATCH(F391,Код_КВР,0)),"",INDIRECT(ADDRESS(MATCH(F391,Код_КВР,0)+1,2,,,"КВР")))</f>
        <v>Закупка товаров, работ и услуг для муниципальных нужд</v>
      </c>
      <c r="B391" s="126">
        <v>801</v>
      </c>
      <c r="C391" s="8" t="s">
        <v>194</v>
      </c>
      <c r="D391" s="8" t="s">
        <v>212</v>
      </c>
      <c r="E391" s="126" t="s">
        <v>146</v>
      </c>
      <c r="F391" s="126">
        <v>200</v>
      </c>
      <c r="G391" s="69">
        <f t="shared" si="96"/>
        <v>20904.8</v>
      </c>
      <c r="H391" s="69">
        <f t="shared" si="96"/>
        <v>0</v>
      </c>
      <c r="I391" s="69">
        <f t="shared" si="80"/>
        <v>20904.8</v>
      </c>
      <c r="J391" s="69">
        <f t="shared" si="96"/>
        <v>0</v>
      </c>
      <c r="K391" s="84">
        <f t="shared" si="81"/>
        <v>20904.8</v>
      </c>
      <c r="L391" s="13">
        <f t="shared" si="96"/>
        <v>0</v>
      </c>
      <c r="M391" s="84">
        <f t="shared" si="92"/>
        <v>20904.8</v>
      </c>
      <c r="N391" s="13">
        <f t="shared" si="96"/>
        <v>0</v>
      </c>
      <c r="O391" s="84">
        <f t="shared" si="93"/>
        <v>20904.8</v>
      </c>
      <c r="P391" s="13">
        <f t="shared" si="96"/>
        <v>0</v>
      </c>
      <c r="Q391" s="84">
        <f t="shared" si="91"/>
        <v>20904.8</v>
      </c>
      <c r="R391" s="13">
        <f t="shared" si="96"/>
        <v>3045.4</v>
      </c>
      <c r="S391" s="84">
        <f t="shared" si="89"/>
        <v>23950.2</v>
      </c>
      <c r="T391" s="13">
        <f t="shared" si="96"/>
        <v>0</v>
      </c>
      <c r="U391" s="84">
        <f t="shared" si="85"/>
        <v>23950.2</v>
      </c>
    </row>
    <row r="392" spans="1:21" ht="33">
      <c r="A392" s="61" t="str">
        <f ca="1">IF(ISERROR(MATCH(F392,Код_КВР,0)),"",INDIRECT(ADDRESS(MATCH(F392,Код_КВР,0)+1,2,,,"КВР")))</f>
        <v>Иные закупки товаров, работ и услуг для обеспечения муниципальных нужд</v>
      </c>
      <c r="B392" s="126">
        <v>801</v>
      </c>
      <c r="C392" s="8" t="s">
        <v>194</v>
      </c>
      <c r="D392" s="8" t="s">
        <v>212</v>
      </c>
      <c r="E392" s="126" t="s">
        <v>146</v>
      </c>
      <c r="F392" s="126">
        <v>240</v>
      </c>
      <c r="G392" s="69">
        <f t="shared" si="96"/>
        <v>20904.8</v>
      </c>
      <c r="H392" s="69">
        <f t="shared" si="96"/>
        <v>0</v>
      </c>
      <c r="I392" s="69">
        <f t="shared" si="80"/>
        <v>20904.8</v>
      </c>
      <c r="J392" s="69">
        <f t="shared" si="96"/>
        <v>0</v>
      </c>
      <c r="K392" s="84">
        <f t="shared" si="81"/>
        <v>20904.8</v>
      </c>
      <c r="L392" s="13">
        <f t="shared" si="96"/>
        <v>0</v>
      </c>
      <c r="M392" s="84">
        <f t="shared" si="92"/>
        <v>20904.8</v>
      </c>
      <c r="N392" s="13">
        <f t="shared" si="96"/>
        <v>0</v>
      </c>
      <c r="O392" s="84">
        <f t="shared" si="93"/>
        <v>20904.8</v>
      </c>
      <c r="P392" s="13">
        <f t="shared" si="96"/>
        <v>0</v>
      </c>
      <c r="Q392" s="84">
        <f t="shared" si="91"/>
        <v>20904.8</v>
      </c>
      <c r="R392" s="13">
        <f t="shared" si="96"/>
        <v>3045.4</v>
      </c>
      <c r="S392" s="84">
        <f t="shared" si="89"/>
        <v>23950.2</v>
      </c>
      <c r="T392" s="13">
        <f t="shared" si="96"/>
        <v>0</v>
      </c>
      <c r="U392" s="84">
        <f t="shared" si="85"/>
        <v>23950.2</v>
      </c>
    </row>
    <row r="393" spans="1:21" ht="33">
      <c r="A393" s="61" t="str">
        <f ca="1">IF(ISERROR(MATCH(F393,Код_КВР,0)),"",INDIRECT(ADDRESS(MATCH(F393,Код_КВР,0)+1,2,,,"КВР")))</f>
        <v xml:space="preserve">Прочая закупка товаров, работ и услуг для обеспечения муниципальных нужд         </v>
      </c>
      <c r="B393" s="126">
        <v>801</v>
      </c>
      <c r="C393" s="8" t="s">
        <v>194</v>
      </c>
      <c r="D393" s="8" t="s">
        <v>212</v>
      </c>
      <c r="E393" s="126" t="s">
        <v>146</v>
      </c>
      <c r="F393" s="126">
        <v>244</v>
      </c>
      <c r="G393" s="69">
        <v>20904.8</v>
      </c>
      <c r="H393" s="64"/>
      <c r="I393" s="69">
        <f t="shared" si="80"/>
        <v>20904.8</v>
      </c>
      <c r="J393" s="64"/>
      <c r="K393" s="84">
        <f t="shared" si="81"/>
        <v>20904.8</v>
      </c>
      <c r="L393" s="84"/>
      <c r="M393" s="84">
        <f t="shared" si="92"/>
        <v>20904.8</v>
      </c>
      <c r="N393" s="84"/>
      <c r="O393" s="84">
        <f t="shared" si="93"/>
        <v>20904.8</v>
      </c>
      <c r="P393" s="84"/>
      <c r="Q393" s="84">
        <f t="shared" si="91"/>
        <v>20904.8</v>
      </c>
      <c r="R393" s="84">
        <v>3045.4</v>
      </c>
      <c r="S393" s="84">
        <f t="shared" si="89"/>
        <v>23950.2</v>
      </c>
      <c r="T393" s="84"/>
      <c r="U393" s="84">
        <f t="shared" si="85"/>
        <v>23950.2</v>
      </c>
    </row>
    <row r="394" spans="1:21">
      <c r="A394" s="61" t="str">
        <f ca="1">IF(ISERROR(MATCH(B394,Код_ППП,0)),"",INDIRECT(ADDRESS(MATCH(B394,Код_ППП,0)+1,2,,,"ППП")))</f>
        <v>ЧЕРЕПОВЕЦКАЯ ГОРОДСКАЯ ДУМА</v>
      </c>
      <c r="B394" s="126">
        <v>802</v>
      </c>
      <c r="C394" s="8"/>
      <c r="D394" s="8"/>
      <c r="E394" s="126"/>
      <c r="F394" s="126"/>
      <c r="G394" s="69">
        <f t="shared" ref="G394:H398" si="97">G395</f>
        <v>28887.4</v>
      </c>
      <c r="H394" s="69">
        <f t="shared" si="97"/>
        <v>0</v>
      </c>
      <c r="I394" s="69">
        <f t="shared" si="80"/>
        <v>28887.4</v>
      </c>
      <c r="J394" s="69">
        <f>J395</f>
        <v>-8530.4</v>
      </c>
      <c r="K394" s="84">
        <f t="shared" si="81"/>
        <v>20357</v>
      </c>
      <c r="L394" s="13">
        <f>L395</f>
        <v>0</v>
      </c>
      <c r="M394" s="84">
        <f t="shared" si="92"/>
        <v>20357</v>
      </c>
      <c r="N394" s="13">
        <f>N395</f>
        <v>0</v>
      </c>
      <c r="O394" s="84">
        <f t="shared" si="93"/>
        <v>20357</v>
      </c>
      <c r="P394" s="13">
        <f>P395</f>
        <v>0</v>
      </c>
      <c r="Q394" s="84">
        <f t="shared" si="91"/>
        <v>20357</v>
      </c>
      <c r="R394" s="13">
        <f>R395</f>
        <v>-209.8</v>
      </c>
      <c r="S394" s="84">
        <f t="shared" si="89"/>
        <v>20147.2</v>
      </c>
      <c r="T394" s="13">
        <f>T395</f>
        <v>0</v>
      </c>
      <c r="U394" s="84">
        <f t="shared" si="85"/>
        <v>20147.2</v>
      </c>
    </row>
    <row r="395" spans="1:21">
      <c r="A395" s="61" t="str">
        <f ca="1">IF(ISERROR(MATCH(C395,Код_Раздел,0)),"",INDIRECT(ADDRESS(MATCH(C395,Код_Раздел,0)+1,2,,,"Раздел")))</f>
        <v>Общегосударственные  вопросы</v>
      </c>
      <c r="B395" s="126">
        <v>802</v>
      </c>
      <c r="C395" s="8" t="s">
        <v>211</v>
      </c>
      <c r="D395" s="8"/>
      <c r="E395" s="126"/>
      <c r="F395" s="126"/>
      <c r="G395" s="69">
        <f t="shared" si="97"/>
        <v>28887.4</v>
      </c>
      <c r="H395" s="69">
        <f t="shared" si="97"/>
        <v>0</v>
      </c>
      <c r="I395" s="69">
        <f t="shared" si="80"/>
        <v>28887.4</v>
      </c>
      <c r="J395" s="69">
        <f>J396</f>
        <v>-8530.4</v>
      </c>
      <c r="K395" s="84">
        <f t="shared" si="81"/>
        <v>20357</v>
      </c>
      <c r="L395" s="13">
        <f>L396</f>
        <v>0</v>
      </c>
      <c r="M395" s="84">
        <f t="shared" si="92"/>
        <v>20357</v>
      </c>
      <c r="N395" s="13">
        <f>N396</f>
        <v>0</v>
      </c>
      <c r="O395" s="84">
        <f t="shared" si="93"/>
        <v>20357</v>
      </c>
      <c r="P395" s="13">
        <f>P396</f>
        <v>0</v>
      </c>
      <c r="Q395" s="84">
        <f t="shared" si="91"/>
        <v>20357</v>
      </c>
      <c r="R395" s="13">
        <f>R396</f>
        <v>-209.8</v>
      </c>
      <c r="S395" s="84">
        <f t="shared" si="89"/>
        <v>20147.2</v>
      </c>
      <c r="T395" s="13">
        <f>T396</f>
        <v>0</v>
      </c>
      <c r="U395" s="84">
        <f t="shared" si="85"/>
        <v>20147.2</v>
      </c>
    </row>
    <row r="396" spans="1:21" ht="49.5">
      <c r="A396" s="12" t="s">
        <v>166</v>
      </c>
      <c r="B396" s="126">
        <v>802</v>
      </c>
      <c r="C396" s="8" t="s">
        <v>211</v>
      </c>
      <c r="D396" s="8" t="s">
        <v>213</v>
      </c>
      <c r="E396" s="126"/>
      <c r="F396" s="126"/>
      <c r="G396" s="69">
        <f t="shared" si="97"/>
        <v>28887.4</v>
      </c>
      <c r="H396" s="69">
        <f t="shared" si="97"/>
        <v>0</v>
      </c>
      <c r="I396" s="69">
        <f t="shared" si="80"/>
        <v>28887.4</v>
      </c>
      <c r="J396" s="69">
        <f>J397</f>
        <v>-8530.4</v>
      </c>
      <c r="K396" s="84">
        <f t="shared" si="81"/>
        <v>20357</v>
      </c>
      <c r="L396" s="13">
        <f>L397</f>
        <v>0</v>
      </c>
      <c r="M396" s="84">
        <f t="shared" si="92"/>
        <v>20357</v>
      </c>
      <c r="N396" s="13">
        <f>N397</f>
        <v>0</v>
      </c>
      <c r="O396" s="84">
        <f t="shared" si="93"/>
        <v>20357</v>
      </c>
      <c r="P396" s="13">
        <f>P397</f>
        <v>0</v>
      </c>
      <c r="Q396" s="84">
        <f t="shared" si="91"/>
        <v>20357</v>
      </c>
      <c r="R396" s="13">
        <f>R397</f>
        <v>-209.8</v>
      </c>
      <c r="S396" s="84">
        <f t="shared" si="89"/>
        <v>20147.2</v>
      </c>
      <c r="T396" s="13">
        <f>T397</f>
        <v>0</v>
      </c>
      <c r="U396" s="84">
        <f t="shared" si="85"/>
        <v>20147.2</v>
      </c>
    </row>
    <row r="397" spans="1:21" ht="33">
      <c r="A397" s="61" t="str">
        <f ca="1">IF(ISERROR(MATCH(E397,Код_КЦСР,0)),"",INDIRECT(ADDRESS(MATCH(E397,Код_КЦСР,0)+1,2,,,"КЦСР")))</f>
        <v>Непрограммные направления деятельности органов местного самоуправления</v>
      </c>
      <c r="B397" s="126">
        <v>802</v>
      </c>
      <c r="C397" s="8" t="s">
        <v>211</v>
      </c>
      <c r="D397" s="8" t="s">
        <v>213</v>
      </c>
      <c r="E397" s="126" t="s">
        <v>295</v>
      </c>
      <c r="F397" s="126"/>
      <c r="G397" s="69">
        <f t="shared" si="97"/>
        <v>28887.4</v>
      </c>
      <c r="H397" s="69">
        <f t="shared" si="97"/>
        <v>0</v>
      </c>
      <c r="I397" s="69">
        <f t="shared" si="80"/>
        <v>28887.4</v>
      </c>
      <c r="J397" s="69">
        <f>J398</f>
        <v>-8530.4</v>
      </c>
      <c r="K397" s="84">
        <f t="shared" si="81"/>
        <v>20357</v>
      </c>
      <c r="L397" s="13">
        <f>L398</f>
        <v>0</v>
      </c>
      <c r="M397" s="84">
        <f t="shared" si="92"/>
        <v>20357</v>
      </c>
      <c r="N397" s="13">
        <f>N398</f>
        <v>0</v>
      </c>
      <c r="O397" s="84">
        <f t="shared" si="93"/>
        <v>20357</v>
      </c>
      <c r="P397" s="13">
        <f>P398</f>
        <v>0</v>
      </c>
      <c r="Q397" s="84">
        <f t="shared" si="91"/>
        <v>20357</v>
      </c>
      <c r="R397" s="13">
        <f>R398</f>
        <v>-209.8</v>
      </c>
      <c r="S397" s="84">
        <f t="shared" si="89"/>
        <v>20147.2</v>
      </c>
      <c r="T397" s="13">
        <f>T398</f>
        <v>0</v>
      </c>
      <c r="U397" s="84">
        <f t="shared" si="85"/>
        <v>20147.2</v>
      </c>
    </row>
    <row r="398" spans="1:21">
      <c r="A398" s="61" t="str">
        <f ca="1">IF(ISERROR(MATCH(E398,Код_КЦСР,0)),"",INDIRECT(ADDRESS(MATCH(E398,Код_КЦСР,0)+1,2,,,"КЦСР")))</f>
        <v>Расходы, не включенные в муниципальные программы города Череповца</v>
      </c>
      <c r="B398" s="126">
        <v>802</v>
      </c>
      <c r="C398" s="8" t="s">
        <v>211</v>
      </c>
      <c r="D398" s="8" t="s">
        <v>213</v>
      </c>
      <c r="E398" s="126" t="s">
        <v>297</v>
      </c>
      <c r="F398" s="126"/>
      <c r="G398" s="69">
        <f t="shared" si="97"/>
        <v>28887.4</v>
      </c>
      <c r="H398" s="69">
        <f t="shared" si="97"/>
        <v>0</v>
      </c>
      <c r="I398" s="69">
        <f t="shared" si="80"/>
        <v>28887.4</v>
      </c>
      <c r="J398" s="69">
        <f>J399</f>
        <v>-8530.4</v>
      </c>
      <c r="K398" s="84">
        <f t="shared" si="81"/>
        <v>20357</v>
      </c>
      <c r="L398" s="13">
        <f>L399</f>
        <v>0</v>
      </c>
      <c r="M398" s="84">
        <f t="shared" si="92"/>
        <v>20357</v>
      </c>
      <c r="N398" s="13">
        <f>N399</f>
        <v>0</v>
      </c>
      <c r="O398" s="84">
        <f t="shared" si="93"/>
        <v>20357</v>
      </c>
      <c r="P398" s="13">
        <f>P399</f>
        <v>0</v>
      </c>
      <c r="Q398" s="84">
        <f t="shared" si="91"/>
        <v>20357</v>
      </c>
      <c r="R398" s="13">
        <f>R399</f>
        <v>-209.8</v>
      </c>
      <c r="S398" s="84">
        <f t="shared" si="89"/>
        <v>20147.2</v>
      </c>
      <c r="T398" s="13">
        <f>T399</f>
        <v>0</v>
      </c>
      <c r="U398" s="84">
        <f t="shared" si="85"/>
        <v>20147.2</v>
      </c>
    </row>
    <row r="399" spans="1:21" ht="33">
      <c r="A399" s="61" t="str">
        <f ca="1">IF(ISERROR(MATCH(E399,Код_КЦСР,0)),"",INDIRECT(ADDRESS(MATCH(E399,Код_КЦСР,0)+1,2,,,"КЦСР")))</f>
        <v>Руководство и управление в сфере установленных функций органов местного самоуправления</v>
      </c>
      <c r="B399" s="126">
        <v>802</v>
      </c>
      <c r="C399" s="8" t="s">
        <v>211</v>
      </c>
      <c r="D399" s="8" t="s">
        <v>213</v>
      </c>
      <c r="E399" s="126" t="s">
        <v>299</v>
      </c>
      <c r="F399" s="126"/>
      <c r="G399" s="69">
        <f>G400+G410+G413</f>
        <v>28887.4</v>
      </c>
      <c r="H399" s="69">
        <f>H400+H410+H413</f>
        <v>0</v>
      </c>
      <c r="I399" s="69">
        <f t="shared" ref="I399:I478" si="98">G399+H399</f>
        <v>28887.4</v>
      </c>
      <c r="J399" s="69">
        <f>J400+J410+J413</f>
        <v>-8530.4</v>
      </c>
      <c r="K399" s="84">
        <f t="shared" ref="K399:K472" si="99">I399+J399</f>
        <v>20357</v>
      </c>
      <c r="L399" s="13">
        <f>L400+L410+L413</f>
        <v>0</v>
      </c>
      <c r="M399" s="84">
        <f t="shared" si="92"/>
        <v>20357</v>
      </c>
      <c r="N399" s="13">
        <f>N400+N410+N413</f>
        <v>0</v>
      </c>
      <c r="O399" s="84">
        <f t="shared" si="93"/>
        <v>20357</v>
      </c>
      <c r="P399" s="13">
        <f>P400+P410+P413</f>
        <v>0</v>
      </c>
      <c r="Q399" s="84">
        <f t="shared" si="91"/>
        <v>20357</v>
      </c>
      <c r="R399" s="13">
        <f>R400+R410+R413</f>
        <v>-209.8</v>
      </c>
      <c r="S399" s="84">
        <f t="shared" si="89"/>
        <v>20147.2</v>
      </c>
      <c r="T399" s="13">
        <f>T400+T410+T413</f>
        <v>0</v>
      </c>
      <c r="U399" s="84">
        <f t="shared" si="85"/>
        <v>20147.2</v>
      </c>
    </row>
    <row r="400" spans="1:21">
      <c r="A400" s="61" t="str">
        <f ca="1">IF(ISERROR(MATCH(E400,Код_КЦСР,0)),"",INDIRECT(ADDRESS(MATCH(E400,Код_КЦСР,0)+1,2,,,"КЦСР")))</f>
        <v>Центральный аппарат</v>
      </c>
      <c r="B400" s="126">
        <v>802</v>
      </c>
      <c r="C400" s="8" t="s">
        <v>211</v>
      </c>
      <c r="D400" s="8" t="s">
        <v>213</v>
      </c>
      <c r="E400" s="126" t="s">
        <v>302</v>
      </c>
      <c r="F400" s="126"/>
      <c r="G400" s="69">
        <f>G401+G403+G406</f>
        <v>22979.500000000004</v>
      </c>
      <c r="H400" s="69">
        <f>H401+H403+H406</f>
        <v>0</v>
      </c>
      <c r="I400" s="69">
        <f t="shared" si="98"/>
        <v>22979.500000000004</v>
      </c>
      <c r="J400" s="69">
        <f>J401+J403+J406</f>
        <v>-8530.4</v>
      </c>
      <c r="K400" s="84">
        <f t="shared" si="99"/>
        <v>14449.100000000004</v>
      </c>
      <c r="L400" s="13">
        <f>L401+L403+L406</f>
        <v>0</v>
      </c>
      <c r="M400" s="84">
        <f t="shared" si="92"/>
        <v>14449.100000000004</v>
      </c>
      <c r="N400" s="13">
        <f>N401+N403+N406</f>
        <v>0</v>
      </c>
      <c r="O400" s="84">
        <f t="shared" si="93"/>
        <v>14449.100000000004</v>
      </c>
      <c r="P400" s="13">
        <f>P401+P403+P406</f>
        <v>0</v>
      </c>
      <c r="Q400" s="84">
        <f t="shared" si="91"/>
        <v>14449.100000000004</v>
      </c>
      <c r="R400" s="13">
        <f>R401+R403+R406</f>
        <v>-209.8</v>
      </c>
      <c r="S400" s="84">
        <f t="shared" si="89"/>
        <v>14239.300000000005</v>
      </c>
      <c r="T400" s="13">
        <f>T401+T403+T406</f>
        <v>0</v>
      </c>
      <c r="U400" s="84">
        <f t="shared" si="85"/>
        <v>14239.300000000005</v>
      </c>
    </row>
    <row r="401" spans="1:22" ht="33">
      <c r="A401" s="61" t="str">
        <f t="shared" ref="A401:A407" ca="1" si="100">IF(ISERROR(MATCH(F401,Код_КВР,0)),"",INDIRECT(ADDRESS(MATCH(F401,Код_КВР,0)+1,2,,,"КВР")))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01" s="126">
        <v>802</v>
      </c>
      <c r="C401" s="8" t="s">
        <v>211</v>
      </c>
      <c r="D401" s="8" t="s">
        <v>213</v>
      </c>
      <c r="E401" s="126" t="s">
        <v>302</v>
      </c>
      <c r="F401" s="126">
        <v>100</v>
      </c>
      <c r="G401" s="69">
        <f>G402</f>
        <v>21566.300000000003</v>
      </c>
      <c r="H401" s="69">
        <f>H402</f>
        <v>0</v>
      </c>
      <c r="I401" s="69">
        <f t="shared" si="98"/>
        <v>21566.300000000003</v>
      </c>
      <c r="J401" s="69">
        <f>J402</f>
        <v>-8140.3</v>
      </c>
      <c r="K401" s="84">
        <f t="shared" si="99"/>
        <v>13426.000000000004</v>
      </c>
      <c r="L401" s="13">
        <f>L402</f>
        <v>0</v>
      </c>
      <c r="M401" s="84">
        <f t="shared" si="92"/>
        <v>13426.000000000004</v>
      </c>
      <c r="N401" s="13">
        <f>N402</f>
        <v>0</v>
      </c>
      <c r="O401" s="84">
        <f t="shared" si="93"/>
        <v>13426.000000000004</v>
      </c>
      <c r="P401" s="13">
        <f>P402</f>
        <v>0</v>
      </c>
      <c r="Q401" s="84">
        <f t="shared" si="91"/>
        <v>13426.000000000004</v>
      </c>
      <c r="R401" s="13">
        <f>R402</f>
        <v>-209.8</v>
      </c>
      <c r="S401" s="84">
        <f t="shared" si="89"/>
        <v>13216.200000000004</v>
      </c>
      <c r="T401" s="13">
        <f>T402</f>
        <v>0</v>
      </c>
      <c r="U401" s="84">
        <f t="shared" si="85"/>
        <v>13216.200000000004</v>
      </c>
    </row>
    <row r="402" spans="1:22">
      <c r="A402" s="61" t="str">
        <f t="shared" ca="1" si="100"/>
        <v>Расходы на выплаты персоналу муниципальных органов</v>
      </c>
      <c r="B402" s="126">
        <v>802</v>
      </c>
      <c r="C402" s="8" t="s">
        <v>211</v>
      </c>
      <c r="D402" s="8" t="s">
        <v>213</v>
      </c>
      <c r="E402" s="126" t="s">
        <v>302</v>
      </c>
      <c r="F402" s="126">
        <v>120</v>
      </c>
      <c r="G402" s="69">
        <f>21202.4+363.9</f>
        <v>21566.300000000003</v>
      </c>
      <c r="H402" s="64"/>
      <c r="I402" s="69">
        <f t="shared" si="98"/>
        <v>21566.300000000003</v>
      </c>
      <c r="J402" s="64">
        <v>-8140.3</v>
      </c>
      <c r="K402" s="84">
        <f t="shared" si="99"/>
        <v>13426.000000000004</v>
      </c>
      <c r="L402" s="84"/>
      <c r="M402" s="84">
        <f t="shared" si="92"/>
        <v>13426.000000000004</v>
      </c>
      <c r="N402" s="84"/>
      <c r="O402" s="84">
        <f t="shared" si="93"/>
        <v>13426.000000000004</v>
      </c>
      <c r="P402" s="84"/>
      <c r="Q402" s="84">
        <f t="shared" si="91"/>
        <v>13426.000000000004</v>
      </c>
      <c r="R402" s="84">
        <v>-209.8</v>
      </c>
      <c r="S402" s="84">
        <f t="shared" si="89"/>
        <v>13216.200000000004</v>
      </c>
      <c r="T402" s="84"/>
      <c r="U402" s="84">
        <f t="shared" si="85"/>
        <v>13216.200000000004</v>
      </c>
    </row>
    <row r="403" spans="1:22">
      <c r="A403" s="61" t="str">
        <f t="shared" ca="1" si="100"/>
        <v>Закупка товаров, работ и услуг для муниципальных нужд</v>
      </c>
      <c r="B403" s="126">
        <v>802</v>
      </c>
      <c r="C403" s="8" t="s">
        <v>211</v>
      </c>
      <c r="D403" s="8" t="s">
        <v>213</v>
      </c>
      <c r="E403" s="126" t="s">
        <v>302</v>
      </c>
      <c r="F403" s="126">
        <v>200</v>
      </c>
      <c r="G403" s="69">
        <f>G404</f>
        <v>1410.8</v>
      </c>
      <c r="H403" s="69">
        <f>H404</f>
        <v>0</v>
      </c>
      <c r="I403" s="69">
        <f t="shared" si="98"/>
        <v>1410.8</v>
      </c>
      <c r="J403" s="69">
        <f>J404</f>
        <v>-390.1</v>
      </c>
      <c r="K403" s="84">
        <f t="shared" si="99"/>
        <v>1020.6999999999999</v>
      </c>
      <c r="L403" s="13">
        <f>L404</f>
        <v>0</v>
      </c>
      <c r="M403" s="84">
        <f t="shared" si="92"/>
        <v>1020.6999999999999</v>
      </c>
      <c r="N403" s="13">
        <f>N404</f>
        <v>0</v>
      </c>
      <c r="O403" s="84">
        <f t="shared" si="93"/>
        <v>1020.6999999999999</v>
      </c>
      <c r="P403" s="13">
        <f>P404</f>
        <v>0</v>
      </c>
      <c r="Q403" s="84">
        <f t="shared" si="91"/>
        <v>1020.6999999999999</v>
      </c>
      <c r="R403" s="13">
        <f>R404</f>
        <v>0</v>
      </c>
      <c r="S403" s="84">
        <f t="shared" si="89"/>
        <v>1020.6999999999999</v>
      </c>
      <c r="T403" s="13">
        <f>T404</f>
        <v>0</v>
      </c>
      <c r="U403" s="84">
        <f t="shared" si="85"/>
        <v>1020.6999999999999</v>
      </c>
    </row>
    <row r="404" spans="1:22" ht="33">
      <c r="A404" s="61" t="str">
        <f t="shared" ca="1" si="100"/>
        <v>Иные закупки товаров, работ и услуг для обеспечения муниципальных нужд</v>
      </c>
      <c r="B404" s="126">
        <v>802</v>
      </c>
      <c r="C404" s="8" t="s">
        <v>211</v>
      </c>
      <c r="D404" s="8" t="s">
        <v>213</v>
      </c>
      <c r="E404" s="126" t="s">
        <v>302</v>
      </c>
      <c r="F404" s="126">
        <v>240</v>
      </c>
      <c r="G404" s="69">
        <f>G405</f>
        <v>1410.8</v>
      </c>
      <c r="H404" s="64"/>
      <c r="I404" s="69">
        <f t="shared" si="98"/>
        <v>1410.8</v>
      </c>
      <c r="J404" s="64">
        <f>J405</f>
        <v>-390.1</v>
      </c>
      <c r="K404" s="84">
        <f t="shared" si="99"/>
        <v>1020.6999999999999</v>
      </c>
      <c r="L404" s="84">
        <f>L405</f>
        <v>0</v>
      </c>
      <c r="M404" s="84">
        <f t="shared" si="92"/>
        <v>1020.6999999999999</v>
      </c>
      <c r="N404" s="84">
        <f>N405</f>
        <v>0</v>
      </c>
      <c r="O404" s="84">
        <f t="shared" si="93"/>
        <v>1020.6999999999999</v>
      </c>
      <c r="P404" s="84">
        <f>P405</f>
        <v>0</v>
      </c>
      <c r="Q404" s="84">
        <f t="shared" si="91"/>
        <v>1020.6999999999999</v>
      </c>
      <c r="R404" s="84">
        <f>R405</f>
        <v>0</v>
      </c>
      <c r="S404" s="84">
        <f t="shared" si="89"/>
        <v>1020.6999999999999</v>
      </c>
      <c r="T404" s="84">
        <f>T405</f>
        <v>0</v>
      </c>
      <c r="U404" s="84">
        <f t="shared" si="85"/>
        <v>1020.6999999999999</v>
      </c>
    </row>
    <row r="405" spans="1:22" ht="33">
      <c r="A405" s="61" t="str">
        <f t="shared" ca="1" si="100"/>
        <v xml:space="preserve">Прочая закупка товаров, работ и услуг для обеспечения муниципальных нужд         </v>
      </c>
      <c r="B405" s="126">
        <v>802</v>
      </c>
      <c r="C405" s="8" t="s">
        <v>211</v>
      </c>
      <c r="D405" s="8" t="s">
        <v>213</v>
      </c>
      <c r="E405" s="126" t="s">
        <v>302</v>
      </c>
      <c r="F405" s="126">
        <v>244</v>
      </c>
      <c r="G405" s="69">
        <v>1410.8</v>
      </c>
      <c r="H405" s="64"/>
      <c r="I405" s="69">
        <f t="shared" si="98"/>
        <v>1410.8</v>
      </c>
      <c r="J405" s="64">
        <v>-390.1</v>
      </c>
      <c r="K405" s="84">
        <f t="shared" si="99"/>
        <v>1020.6999999999999</v>
      </c>
      <c r="L405" s="84"/>
      <c r="M405" s="84">
        <f t="shared" si="92"/>
        <v>1020.6999999999999</v>
      </c>
      <c r="N405" s="84"/>
      <c r="O405" s="84">
        <f t="shared" si="93"/>
        <v>1020.6999999999999</v>
      </c>
      <c r="P405" s="84"/>
      <c r="Q405" s="84">
        <f t="shared" si="91"/>
        <v>1020.6999999999999</v>
      </c>
      <c r="R405" s="84"/>
      <c r="S405" s="84">
        <f t="shared" si="89"/>
        <v>1020.6999999999999</v>
      </c>
      <c r="T405" s="84"/>
      <c r="U405" s="84">
        <f t="shared" si="85"/>
        <v>1020.6999999999999</v>
      </c>
    </row>
    <row r="406" spans="1:22">
      <c r="A406" s="61" t="str">
        <f t="shared" ca="1" si="100"/>
        <v>Иные бюджетные ассигнования</v>
      </c>
      <c r="B406" s="126">
        <v>802</v>
      </c>
      <c r="C406" s="8" t="s">
        <v>211</v>
      </c>
      <c r="D406" s="8" t="s">
        <v>213</v>
      </c>
      <c r="E406" s="126" t="s">
        <v>302</v>
      </c>
      <c r="F406" s="126">
        <v>800</v>
      </c>
      <c r="G406" s="69">
        <f>G407</f>
        <v>2.4</v>
      </c>
      <c r="H406" s="69">
        <f>H407</f>
        <v>0</v>
      </c>
      <c r="I406" s="69">
        <f t="shared" si="98"/>
        <v>2.4</v>
      </c>
      <c r="J406" s="69">
        <f>J407</f>
        <v>0</v>
      </c>
      <c r="K406" s="84">
        <f t="shared" si="99"/>
        <v>2.4</v>
      </c>
      <c r="L406" s="13">
        <f>L407</f>
        <v>0</v>
      </c>
      <c r="M406" s="84">
        <f t="shared" si="92"/>
        <v>2.4</v>
      </c>
      <c r="N406" s="13">
        <f>N407</f>
        <v>0</v>
      </c>
      <c r="O406" s="84">
        <f t="shared" si="93"/>
        <v>2.4</v>
      </c>
      <c r="P406" s="13">
        <f>P407</f>
        <v>0</v>
      </c>
      <c r="Q406" s="84">
        <f t="shared" si="91"/>
        <v>2.4</v>
      </c>
      <c r="R406" s="13">
        <f>R407</f>
        <v>0</v>
      </c>
      <c r="S406" s="84">
        <f t="shared" si="89"/>
        <v>2.4</v>
      </c>
      <c r="T406" s="13">
        <f>T407</f>
        <v>0</v>
      </c>
      <c r="U406" s="84">
        <f t="shared" si="85"/>
        <v>2.4</v>
      </c>
    </row>
    <row r="407" spans="1:22">
      <c r="A407" s="61" t="str">
        <f t="shared" ca="1" si="100"/>
        <v>Уплата налогов, сборов и иных платежей</v>
      </c>
      <c r="B407" s="126">
        <v>802</v>
      </c>
      <c r="C407" s="8" t="s">
        <v>211</v>
      </c>
      <c r="D407" s="8" t="s">
        <v>213</v>
      </c>
      <c r="E407" s="126" t="s">
        <v>302</v>
      </c>
      <c r="F407" s="126">
        <v>850</v>
      </c>
      <c r="G407" s="69">
        <f>G409</f>
        <v>2.4</v>
      </c>
      <c r="H407" s="69">
        <f>H409</f>
        <v>0</v>
      </c>
      <c r="I407" s="69">
        <f t="shared" si="98"/>
        <v>2.4</v>
      </c>
      <c r="J407" s="69">
        <f>J408+J409</f>
        <v>0</v>
      </c>
      <c r="K407" s="84">
        <f t="shared" si="99"/>
        <v>2.4</v>
      </c>
      <c r="L407" s="13">
        <f>L408+L409</f>
        <v>0</v>
      </c>
      <c r="M407" s="84">
        <f t="shared" si="92"/>
        <v>2.4</v>
      </c>
      <c r="N407" s="13">
        <f>N408+N409</f>
        <v>0</v>
      </c>
      <c r="O407" s="84">
        <f t="shared" si="93"/>
        <v>2.4</v>
      </c>
      <c r="P407" s="13">
        <f>P408+P409</f>
        <v>0</v>
      </c>
      <c r="Q407" s="84">
        <f t="shared" si="91"/>
        <v>2.4</v>
      </c>
      <c r="R407" s="13">
        <f>R408+R409</f>
        <v>0</v>
      </c>
      <c r="S407" s="84">
        <f t="shared" si="89"/>
        <v>2.4</v>
      </c>
      <c r="T407" s="13">
        <f>T408+T409</f>
        <v>0</v>
      </c>
      <c r="U407" s="84">
        <f t="shared" si="85"/>
        <v>2.4</v>
      </c>
    </row>
    <row r="408" spans="1:22">
      <c r="A408" s="61" t="str">
        <f ca="1">IF(ISERROR(MATCH(F408,Код_КВР,0)),"",INDIRECT(ADDRESS(MATCH(F408,Код_КВР,0)+1,2,,,"КВР")))</f>
        <v>Уплата налога на имущество организаций и земельного налога</v>
      </c>
      <c r="B408" s="126">
        <v>802</v>
      </c>
      <c r="C408" s="8" t="s">
        <v>211</v>
      </c>
      <c r="D408" s="8" t="s">
        <v>213</v>
      </c>
      <c r="E408" s="126" t="s">
        <v>302</v>
      </c>
      <c r="F408" s="126">
        <v>851</v>
      </c>
      <c r="G408" s="69"/>
      <c r="H408" s="69"/>
      <c r="I408" s="69"/>
      <c r="J408" s="69">
        <v>2.4</v>
      </c>
      <c r="K408" s="84">
        <f t="shared" si="99"/>
        <v>2.4</v>
      </c>
      <c r="L408" s="13"/>
      <c r="M408" s="84">
        <f t="shared" si="92"/>
        <v>2.4</v>
      </c>
      <c r="N408" s="13"/>
      <c r="O408" s="84">
        <f t="shared" si="93"/>
        <v>2.4</v>
      </c>
      <c r="P408" s="13"/>
      <c r="Q408" s="84">
        <f t="shared" si="91"/>
        <v>2.4</v>
      </c>
      <c r="R408" s="13"/>
      <c r="S408" s="84">
        <f t="shared" si="89"/>
        <v>2.4</v>
      </c>
      <c r="T408" s="13"/>
      <c r="U408" s="84">
        <f t="shared" si="85"/>
        <v>2.4</v>
      </c>
    </row>
    <row r="409" spans="1:22" hidden="1">
      <c r="A409" s="61" t="str">
        <f ca="1">IF(ISERROR(MATCH(F409,Код_КВР,0)),"",INDIRECT(ADDRESS(MATCH(F409,Код_КВР,0)+1,2,,,"КВР")))</f>
        <v>Уплата прочих налогов, сборов и иных платежей</v>
      </c>
      <c r="B409" s="100">
        <v>802</v>
      </c>
      <c r="C409" s="8" t="s">
        <v>211</v>
      </c>
      <c r="D409" s="8" t="s">
        <v>213</v>
      </c>
      <c r="E409" s="100" t="s">
        <v>302</v>
      </c>
      <c r="F409" s="100">
        <v>852</v>
      </c>
      <c r="G409" s="69">
        <v>2.4</v>
      </c>
      <c r="H409" s="64"/>
      <c r="I409" s="69">
        <f t="shared" si="98"/>
        <v>2.4</v>
      </c>
      <c r="J409" s="64">
        <v>-2.4</v>
      </c>
      <c r="K409" s="84">
        <f t="shared" si="99"/>
        <v>0</v>
      </c>
      <c r="L409" s="84"/>
      <c r="M409" s="84">
        <f t="shared" si="92"/>
        <v>0</v>
      </c>
      <c r="N409" s="84"/>
      <c r="O409" s="84">
        <f t="shared" si="93"/>
        <v>0</v>
      </c>
      <c r="P409" s="84"/>
      <c r="Q409" s="84">
        <f t="shared" si="91"/>
        <v>0</v>
      </c>
      <c r="R409" s="84"/>
      <c r="S409" s="84">
        <f t="shared" si="89"/>
        <v>0</v>
      </c>
      <c r="T409" s="84"/>
      <c r="U409" s="84">
        <f t="shared" si="85"/>
        <v>0</v>
      </c>
      <c r="V409" s="142" t="s">
        <v>706</v>
      </c>
    </row>
    <row r="410" spans="1:22">
      <c r="A410" s="61" t="str">
        <f ca="1">IF(ISERROR(MATCH(E410,Код_КЦСР,0)),"",INDIRECT(ADDRESS(MATCH(E410,Код_КЦСР,0)+1,2,,,"КЦСР")))</f>
        <v>Председатель представительного органа муниципального образования</v>
      </c>
      <c r="B410" s="126">
        <v>802</v>
      </c>
      <c r="C410" s="8" t="s">
        <v>211</v>
      </c>
      <c r="D410" s="8" t="s">
        <v>213</v>
      </c>
      <c r="E410" s="126" t="s">
        <v>303</v>
      </c>
      <c r="F410" s="126"/>
      <c r="G410" s="69">
        <f>G411</f>
        <v>2201.1</v>
      </c>
      <c r="H410" s="69">
        <f>H411</f>
        <v>0</v>
      </c>
      <c r="I410" s="69">
        <f t="shared" si="98"/>
        <v>2201.1</v>
      </c>
      <c r="J410" s="69">
        <f>J411</f>
        <v>0</v>
      </c>
      <c r="K410" s="84">
        <f t="shared" si="99"/>
        <v>2201.1</v>
      </c>
      <c r="L410" s="13">
        <f>L411</f>
        <v>0</v>
      </c>
      <c r="M410" s="84">
        <f t="shared" si="92"/>
        <v>2201.1</v>
      </c>
      <c r="N410" s="13">
        <f>N411</f>
        <v>0</v>
      </c>
      <c r="O410" s="84">
        <f t="shared" si="93"/>
        <v>2201.1</v>
      </c>
      <c r="P410" s="13">
        <f>P411</f>
        <v>0</v>
      </c>
      <c r="Q410" s="84">
        <f t="shared" si="91"/>
        <v>2201.1</v>
      </c>
      <c r="R410" s="13">
        <f>R411</f>
        <v>0</v>
      </c>
      <c r="S410" s="84">
        <f t="shared" si="89"/>
        <v>2201.1</v>
      </c>
      <c r="T410" s="13">
        <f>T411</f>
        <v>0</v>
      </c>
      <c r="U410" s="84">
        <f t="shared" si="85"/>
        <v>2201.1</v>
      </c>
    </row>
    <row r="411" spans="1:22" ht="33">
      <c r="A411" s="61" t="str">
        <f ca="1">IF(ISERROR(MATCH(F411,Код_КВР,0)),"",INDIRECT(ADDRESS(MATCH(F411,Код_КВР,0)+1,2,,,"КВР")))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1" s="126">
        <v>802</v>
      </c>
      <c r="C411" s="8" t="s">
        <v>211</v>
      </c>
      <c r="D411" s="8" t="s">
        <v>213</v>
      </c>
      <c r="E411" s="126" t="s">
        <v>303</v>
      </c>
      <c r="F411" s="126">
        <v>100</v>
      </c>
      <c r="G411" s="69">
        <f>G412</f>
        <v>2201.1</v>
      </c>
      <c r="H411" s="69">
        <f>H412</f>
        <v>0</v>
      </c>
      <c r="I411" s="69">
        <f t="shared" si="98"/>
        <v>2201.1</v>
      </c>
      <c r="J411" s="69">
        <f>J412</f>
        <v>0</v>
      </c>
      <c r="K411" s="84">
        <f t="shared" si="99"/>
        <v>2201.1</v>
      </c>
      <c r="L411" s="13">
        <f>L412</f>
        <v>0</v>
      </c>
      <c r="M411" s="84">
        <f t="shared" si="92"/>
        <v>2201.1</v>
      </c>
      <c r="N411" s="13">
        <f>N412</f>
        <v>0</v>
      </c>
      <c r="O411" s="84">
        <f t="shared" si="93"/>
        <v>2201.1</v>
      </c>
      <c r="P411" s="13">
        <f>P412</f>
        <v>0</v>
      </c>
      <c r="Q411" s="84">
        <f t="shared" si="91"/>
        <v>2201.1</v>
      </c>
      <c r="R411" s="13">
        <f>R412</f>
        <v>0</v>
      </c>
      <c r="S411" s="84">
        <f t="shared" si="89"/>
        <v>2201.1</v>
      </c>
      <c r="T411" s="13">
        <f>T412</f>
        <v>0</v>
      </c>
      <c r="U411" s="84">
        <f t="shared" si="85"/>
        <v>2201.1</v>
      </c>
    </row>
    <row r="412" spans="1:22">
      <c r="A412" s="61" t="str">
        <f ca="1">IF(ISERROR(MATCH(F412,Код_КВР,0)),"",INDIRECT(ADDRESS(MATCH(F412,Код_КВР,0)+1,2,,,"КВР")))</f>
        <v>Расходы на выплаты персоналу муниципальных органов</v>
      </c>
      <c r="B412" s="126">
        <v>802</v>
      </c>
      <c r="C412" s="8" t="s">
        <v>211</v>
      </c>
      <c r="D412" s="8" t="s">
        <v>213</v>
      </c>
      <c r="E412" s="126" t="s">
        <v>303</v>
      </c>
      <c r="F412" s="126">
        <v>120</v>
      </c>
      <c r="G412" s="69">
        <v>2201.1</v>
      </c>
      <c r="H412" s="64"/>
      <c r="I412" s="69">
        <f t="shared" si="98"/>
        <v>2201.1</v>
      </c>
      <c r="J412" s="64"/>
      <c r="K412" s="84">
        <f t="shared" si="99"/>
        <v>2201.1</v>
      </c>
      <c r="L412" s="84"/>
      <c r="M412" s="84">
        <f t="shared" si="92"/>
        <v>2201.1</v>
      </c>
      <c r="N412" s="84"/>
      <c r="O412" s="84">
        <f t="shared" si="93"/>
        <v>2201.1</v>
      </c>
      <c r="P412" s="84"/>
      <c r="Q412" s="84">
        <f t="shared" si="91"/>
        <v>2201.1</v>
      </c>
      <c r="R412" s="84"/>
      <c r="S412" s="84">
        <f t="shared" si="89"/>
        <v>2201.1</v>
      </c>
      <c r="T412" s="84"/>
      <c r="U412" s="84">
        <f t="shared" ref="U412:U475" si="101">S412+T412</f>
        <v>2201.1</v>
      </c>
    </row>
    <row r="413" spans="1:22">
      <c r="A413" s="61" t="str">
        <f ca="1">IF(ISERROR(MATCH(E413,Код_КЦСР,0)),"",INDIRECT(ADDRESS(MATCH(E413,Код_КЦСР,0)+1,2,,,"КЦСР")))</f>
        <v>Депутаты представительного органа муниципального образования</v>
      </c>
      <c r="B413" s="126">
        <v>802</v>
      </c>
      <c r="C413" s="8" t="s">
        <v>211</v>
      </c>
      <c r="D413" s="8" t="s">
        <v>213</v>
      </c>
      <c r="E413" s="126" t="s">
        <v>304</v>
      </c>
      <c r="F413" s="126"/>
      <c r="G413" s="69">
        <f>G414</f>
        <v>3706.8</v>
      </c>
      <c r="H413" s="69">
        <f>H414</f>
        <v>0</v>
      </c>
      <c r="I413" s="69">
        <f t="shared" si="98"/>
        <v>3706.8</v>
      </c>
      <c r="J413" s="69">
        <f>J414</f>
        <v>0</v>
      </c>
      <c r="K413" s="84">
        <f t="shared" si="99"/>
        <v>3706.8</v>
      </c>
      <c r="L413" s="13">
        <f>L414</f>
        <v>0</v>
      </c>
      <c r="M413" s="84">
        <f t="shared" si="92"/>
        <v>3706.8</v>
      </c>
      <c r="N413" s="13">
        <f>N414</f>
        <v>0</v>
      </c>
      <c r="O413" s="84">
        <f t="shared" si="93"/>
        <v>3706.8</v>
      </c>
      <c r="P413" s="13">
        <f>P414</f>
        <v>0</v>
      </c>
      <c r="Q413" s="84">
        <f t="shared" si="91"/>
        <v>3706.8</v>
      </c>
      <c r="R413" s="13">
        <f>R414</f>
        <v>0</v>
      </c>
      <c r="S413" s="84">
        <f t="shared" si="89"/>
        <v>3706.8</v>
      </c>
      <c r="T413" s="13">
        <f>T414</f>
        <v>0</v>
      </c>
      <c r="U413" s="84">
        <f t="shared" si="101"/>
        <v>3706.8</v>
      </c>
    </row>
    <row r="414" spans="1:22" ht="33">
      <c r="A414" s="61" t="str">
        <f ca="1">IF(ISERROR(MATCH(F414,Код_КВР,0)),"",INDIRECT(ADDRESS(MATCH(F414,Код_КВР,0)+1,2,,,"КВР")))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4" s="126">
        <v>802</v>
      </c>
      <c r="C414" s="8" t="s">
        <v>211</v>
      </c>
      <c r="D414" s="8" t="s">
        <v>213</v>
      </c>
      <c r="E414" s="126" t="s">
        <v>304</v>
      </c>
      <c r="F414" s="126">
        <v>100</v>
      </c>
      <c r="G414" s="69">
        <f>G415</f>
        <v>3706.8</v>
      </c>
      <c r="H414" s="69">
        <f>H415</f>
        <v>0</v>
      </c>
      <c r="I414" s="69">
        <f t="shared" si="98"/>
        <v>3706.8</v>
      </c>
      <c r="J414" s="69">
        <f>J415</f>
        <v>0</v>
      </c>
      <c r="K414" s="84">
        <f t="shared" si="99"/>
        <v>3706.8</v>
      </c>
      <c r="L414" s="13">
        <f>L415</f>
        <v>0</v>
      </c>
      <c r="M414" s="84">
        <f t="shared" si="92"/>
        <v>3706.8</v>
      </c>
      <c r="N414" s="13">
        <f>N415</f>
        <v>0</v>
      </c>
      <c r="O414" s="84">
        <f t="shared" si="93"/>
        <v>3706.8</v>
      </c>
      <c r="P414" s="13">
        <f>P415</f>
        <v>0</v>
      </c>
      <c r="Q414" s="84">
        <f t="shared" si="91"/>
        <v>3706.8</v>
      </c>
      <c r="R414" s="13">
        <f>R415</f>
        <v>0</v>
      </c>
      <c r="S414" s="84">
        <f t="shared" si="89"/>
        <v>3706.8</v>
      </c>
      <c r="T414" s="13">
        <f>T415</f>
        <v>0</v>
      </c>
      <c r="U414" s="84">
        <f t="shared" si="101"/>
        <v>3706.8</v>
      </c>
    </row>
    <row r="415" spans="1:22">
      <c r="A415" s="61" t="str">
        <f ca="1">IF(ISERROR(MATCH(F415,Код_КВР,0)),"",INDIRECT(ADDRESS(MATCH(F415,Код_КВР,0)+1,2,,,"КВР")))</f>
        <v>Расходы на выплаты персоналу муниципальных органов</v>
      </c>
      <c r="B415" s="126">
        <v>802</v>
      </c>
      <c r="C415" s="8" t="s">
        <v>211</v>
      </c>
      <c r="D415" s="8" t="s">
        <v>213</v>
      </c>
      <c r="E415" s="126" t="s">
        <v>304</v>
      </c>
      <c r="F415" s="126">
        <v>120</v>
      </c>
      <c r="G415" s="69">
        <v>3706.8</v>
      </c>
      <c r="H415" s="64"/>
      <c r="I415" s="69">
        <f t="shared" si="98"/>
        <v>3706.8</v>
      </c>
      <c r="J415" s="64"/>
      <c r="K415" s="84">
        <f t="shared" si="99"/>
        <v>3706.8</v>
      </c>
      <c r="L415" s="84"/>
      <c r="M415" s="84">
        <f t="shared" si="92"/>
        <v>3706.8</v>
      </c>
      <c r="N415" s="84"/>
      <c r="O415" s="84">
        <f t="shared" si="93"/>
        <v>3706.8</v>
      </c>
      <c r="P415" s="84"/>
      <c r="Q415" s="84">
        <f t="shared" si="91"/>
        <v>3706.8</v>
      </c>
      <c r="R415" s="84"/>
      <c r="S415" s="84">
        <f t="shared" si="89"/>
        <v>3706.8</v>
      </c>
      <c r="T415" s="84"/>
      <c r="U415" s="84">
        <f t="shared" si="101"/>
        <v>3706.8</v>
      </c>
    </row>
    <row r="416" spans="1:22" ht="33">
      <c r="A416" s="61" t="str">
        <f ca="1">IF(ISERROR(MATCH(B416,Код_ППП,0)),"",INDIRECT(ADDRESS(MATCH(B416,Код_ППП,0)+1,2,,,"ППП")))</f>
        <v>ДЕПАРТАМЕНТ ЖИЛИЩНО-КОММУНАЛЬНОГО ХОЗЯЙСТВА МЭРИИ ГОРОДА</v>
      </c>
      <c r="B416" s="126">
        <v>803</v>
      </c>
      <c r="C416" s="8"/>
      <c r="D416" s="8"/>
      <c r="E416" s="126"/>
      <c r="F416" s="126"/>
      <c r="G416" s="69">
        <f>G417+G425+G479+G528+G534+G542</f>
        <v>785341.7</v>
      </c>
      <c r="H416" s="69">
        <f>H417+H425+H479+H528+H534+H542</f>
        <v>67187.899999999994</v>
      </c>
      <c r="I416" s="69">
        <f t="shared" si="98"/>
        <v>852529.6</v>
      </c>
      <c r="J416" s="69">
        <f>J417+J425+J479+J528+J534+J542</f>
        <v>-898.90000000000009</v>
      </c>
      <c r="K416" s="84">
        <f t="shared" si="99"/>
        <v>851630.7</v>
      </c>
      <c r="L416" s="13">
        <f>L417+L425+L479+L528+L534+L542</f>
        <v>-6594.8</v>
      </c>
      <c r="M416" s="84">
        <f t="shared" si="92"/>
        <v>845035.89999999991</v>
      </c>
      <c r="N416" s="13">
        <f>N417+N425+N479+N528+N534+N542</f>
        <v>-841</v>
      </c>
      <c r="O416" s="84">
        <f t="shared" si="93"/>
        <v>844194.89999999991</v>
      </c>
      <c r="P416" s="13">
        <f>P417+P425+P479+P528+P534+P542</f>
        <v>-140.19999999999999</v>
      </c>
      <c r="Q416" s="84">
        <f t="shared" si="91"/>
        <v>844054.7</v>
      </c>
      <c r="R416" s="13">
        <f>R417+R425+R479+R528+R534+R542</f>
        <v>362.40000000000146</v>
      </c>
      <c r="S416" s="84">
        <f t="shared" si="89"/>
        <v>844417.1</v>
      </c>
      <c r="T416" s="13">
        <f>T417+T425+T479+T528+T534+T542</f>
        <v>0</v>
      </c>
      <c r="U416" s="84">
        <f t="shared" si="101"/>
        <v>844417.1</v>
      </c>
    </row>
    <row r="417" spans="1:21">
      <c r="A417" s="61" t="str">
        <f ca="1">IF(ISERROR(MATCH(C417,Код_Раздел,0)),"",INDIRECT(ADDRESS(MATCH(C417,Код_Раздел,0)+1,2,,,"Раздел")))</f>
        <v>Общегосударственные  вопросы</v>
      </c>
      <c r="B417" s="126">
        <v>803</v>
      </c>
      <c r="C417" s="8" t="s">
        <v>211</v>
      </c>
      <c r="D417" s="8"/>
      <c r="E417" s="126"/>
      <c r="F417" s="126"/>
      <c r="G417" s="69">
        <f t="shared" ref="G417:T423" si="102">G418</f>
        <v>160</v>
      </c>
      <c r="H417" s="69">
        <f t="shared" si="102"/>
        <v>0</v>
      </c>
      <c r="I417" s="69">
        <f t="shared" si="98"/>
        <v>160</v>
      </c>
      <c r="J417" s="69">
        <f t="shared" si="102"/>
        <v>0</v>
      </c>
      <c r="K417" s="84">
        <f t="shared" si="99"/>
        <v>160</v>
      </c>
      <c r="L417" s="13">
        <f t="shared" si="102"/>
        <v>0</v>
      </c>
      <c r="M417" s="84">
        <f t="shared" si="92"/>
        <v>160</v>
      </c>
      <c r="N417" s="13">
        <f t="shared" si="102"/>
        <v>0</v>
      </c>
      <c r="O417" s="84">
        <f t="shared" si="93"/>
        <v>160</v>
      </c>
      <c r="P417" s="13">
        <f t="shared" si="102"/>
        <v>0</v>
      </c>
      <c r="Q417" s="84">
        <f t="shared" si="91"/>
        <v>160</v>
      </c>
      <c r="R417" s="13">
        <f t="shared" si="102"/>
        <v>0</v>
      </c>
      <c r="S417" s="84">
        <f t="shared" si="89"/>
        <v>160</v>
      </c>
      <c r="T417" s="13">
        <f t="shared" si="102"/>
        <v>0</v>
      </c>
      <c r="U417" s="84">
        <f t="shared" si="101"/>
        <v>160</v>
      </c>
    </row>
    <row r="418" spans="1:21">
      <c r="A418" s="12" t="s">
        <v>235</v>
      </c>
      <c r="B418" s="126">
        <v>803</v>
      </c>
      <c r="C418" s="8" t="s">
        <v>211</v>
      </c>
      <c r="D418" s="8" t="s">
        <v>188</v>
      </c>
      <c r="E418" s="126"/>
      <c r="F418" s="126"/>
      <c r="G418" s="69">
        <f t="shared" si="102"/>
        <v>160</v>
      </c>
      <c r="H418" s="69">
        <f t="shared" si="102"/>
        <v>0</v>
      </c>
      <c r="I418" s="69">
        <f t="shared" si="98"/>
        <v>160</v>
      </c>
      <c r="J418" s="69">
        <f t="shared" si="102"/>
        <v>0</v>
      </c>
      <c r="K418" s="84">
        <f t="shared" si="99"/>
        <v>160</v>
      </c>
      <c r="L418" s="13">
        <f t="shared" si="102"/>
        <v>0</v>
      </c>
      <c r="M418" s="84">
        <f t="shared" si="92"/>
        <v>160</v>
      </c>
      <c r="N418" s="13">
        <f t="shared" si="102"/>
        <v>0</v>
      </c>
      <c r="O418" s="84">
        <f t="shared" si="93"/>
        <v>160</v>
      </c>
      <c r="P418" s="13">
        <f t="shared" si="102"/>
        <v>0</v>
      </c>
      <c r="Q418" s="84">
        <f t="shared" si="91"/>
        <v>160</v>
      </c>
      <c r="R418" s="13">
        <f t="shared" si="102"/>
        <v>0</v>
      </c>
      <c r="S418" s="84">
        <f t="shared" si="89"/>
        <v>160</v>
      </c>
      <c r="T418" s="13">
        <f t="shared" si="102"/>
        <v>0</v>
      </c>
      <c r="U418" s="84">
        <f t="shared" si="101"/>
        <v>160</v>
      </c>
    </row>
    <row r="419" spans="1:21" ht="33">
      <c r="A419" s="61" t="str">
        <f ca="1">IF(ISERROR(MATCH(E419,Код_КЦСР,0)),"",INDIRECT(ADDRESS(MATCH(E419,Код_КЦСР,0)+1,2,,,"КЦСР")))</f>
        <v>Муниципальная программа «Развитие жилищно-коммунального хозяйства города Череповца» на 2014-2018 годы</v>
      </c>
      <c r="B419" s="126">
        <v>803</v>
      </c>
      <c r="C419" s="8" t="s">
        <v>211</v>
      </c>
      <c r="D419" s="8" t="s">
        <v>188</v>
      </c>
      <c r="E419" s="126" t="s">
        <v>45</v>
      </c>
      <c r="F419" s="126"/>
      <c r="G419" s="69">
        <f t="shared" si="102"/>
        <v>160</v>
      </c>
      <c r="H419" s="69">
        <f t="shared" si="102"/>
        <v>0</v>
      </c>
      <c r="I419" s="69">
        <f t="shared" si="98"/>
        <v>160</v>
      </c>
      <c r="J419" s="69">
        <f t="shared" si="102"/>
        <v>0</v>
      </c>
      <c r="K419" s="84">
        <f t="shared" si="99"/>
        <v>160</v>
      </c>
      <c r="L419" s="13">
        <f t="shared" si="102"/>
        <v>0</v>
      </c>
      <c r="M419" s="84">
        <f t="shared" si="92"/>
        <v>160</v>
      </c>
      <c r="N419" s="13">
        <f t="shared" si="102"/>
        <v>0</v>
      </c>
      <c r="O419" s="84">
        <f t="shared" si="93"/>
        <v>160</v>
      </c>
      <c r="P419" s="13">
        <f t="shared" si="102"/>
        <v>0</v>
      </c>
      <c r="Q419" s="84">
        <f t="shared" si="91"/>
        <v>160</v>
      </c>
      <c r="R419" s="13">
        <f t="shared" si="102"/>
        <v>0</v>
      </c>
      <c r="S419" s="84">
        <f t="shared" si="89"/>
        <v>160</v>
      </c>
      <c r="T419" s="13">
        <f t="shared" si="102"/>
        <v>0</v>
      </c>
      <c r="U419" s="84">
        <f t="shared" si="101"/>
        <v>160</v>
      </c>
    </row>
    <row r="420" spans="1:21">
      <c r="A420" s="61" t="str">
        <f ca="1">IF(ISERROR(MATCH(E420,Код_КЦСР,0)),"",INDIRECT(ADDRESS(MATCH(E420,Код_КЦСР,0)+1,2,,,"КЦСР")))</f>
        <v>Развитие благоустройства города</v>
      </c>
      <c r="B420" s="126">
        <v>803</v>
      </c>
      <c r="C420" s="8" t="s">
        <v>211</v>
      </c>
      <c r="D420" s="8" t="s">
        <v>188</v>
      </c>
      <c r="E420" s="126" t="s">
        <v>46</v>
      </c>
      <c r="F420" s="126"/>
      <c r="G420" s="69">
        <f t="shared" si="102"/>
        <v>160</v>
      </c>
      <c r="H420" s="69">
        <f t="shared" si="102"/>
        <v>0</v>
      </c>
      <c r="I420" s="69">
        <f t="shared" si="98"/>
        <v>160</v>
      </c>
      <c r="J420" s="69">
        <f t="shared" si="102"/>
        <v>0</v>
      </c>
      <c r="K420" s="84">
        <f t="shared" si="99"/>
        <v>160</v>
      </c>
      <c r="L420" s="13">
        <f t="shared" si="102"/>
        <v>0</v>
      </c>
      <c r="M420" s="84">
        <f t="shared" si="92"/>
        <v>160</v>
      </c>
      <c r="N420" s="13">
        <f t="shared" si="102"/>
        <v>0</v>
      </c>
      <c r="O420" s="84">
        <f t="shared" si="93"/>
        <v>160</v>
      </c>
      <c r="P420" s="13">
        <f t="shared" si="102"/>
        <v>0</v>
      </c>
      <c r="Q420" s="84">
        <f t="shared" si="91"/>
        <v>160</v>
      </c>
      <c r="R420" s="13">
        <f t="shared" si="102"/>
        <v>0</v>
      </c>
      <c r="S420" s="84">
        <f t="shared" si="89"/>
        <v>160</v>
      </c>
      <c r="T420" s="13">
        <f t="shared" si="102"/>
        <v>0</v>
      </c>
      <c r="U420" s="84">
        <f t="shared" si="101"/>
        <v>160</v>
      </c>
    </row>
    <row r="421" spans="1:21" ht="33">
      <c r="A421" s="61" t="str">
        <f ca="1">IF(ISERROR(MATCH(E421,Код_КЦСР,0)),"",INDIRECT(ADDRESS(MATCH(E421,Код_КЦСР,0)+1,2,,,"КЦСР")))</f>
        <v>Мероприятия по решению общегосударственных вопросов и вопросов в области национальной политики</v>
      </c>
      <c r="B421" s="126">
        <v>803</v>
      </c>
      <c r="C421" s="8" t="s">
        <v>211</v>
      </c>
      <c r="D421" s="8" t="s">
        <v>188</v>
      </c>
      <c r="E421" s="126" t="s">
        <v>52</v>
      </c>
      <c r="F421" s="126"/>
      <c r="G421" s="69">
        <f t="shared" si="102"/>
        <v>160</v>
      </c>
      <c r="H421" s="69">
        <f t="shared" si="102"/>
        <v>0</v>
      </c>
      <c r="I421" s="69">
        <f t="shared" si="98"/>
        <v>160</v>
      </c>
      <c r="J421" s="69">
        <f t="shared" si="102"/>
        <v>0</v>
      </c>
      <c r="K421" s="84">
        <f t="shared" si="99"/>
        <v>160</v>
      </c>
      <c r="L421" s="13">
        <f t="shared" si="102"/>
        <v>0</v>
      </c>
      <c r="M421" s="84">
        <f t="shared" si="92"/>
        <v>160</v>
      </c>
      <c r="N421" s="13">
        <f t="shared" si="102"/>
        <v>0</v>
      </c>
      <c r="O421" s="84">
        <f t="shared" si="93"/>
        <v>160</v>
      </c>
      <c r="P421" s="13">
        <f t="shared" si="102"/>
        <v>0</v>
      </c>
      <c r="Q421" s="84">
        <f t="shared" si="91"/>
        <v>160</v>
      </c>
      <c r="R421" s="13">
        <f t="shared" si="102"/>
        <v>0</v>
      </c>
      <c r="S421" s="84">
        <f t="shared" si="89"/>
        <v>160</v>
      </c>
      <c r="T421" s="13">
        <f t="shared" si="102"/>
        <v>0</v>
      </c>
      <c r="U421" s="84">
        <f t="shared" si="101"/>
        <v>160</v>
      </c>
    </row>
    <row r="422" spans="1:21">
      <c r="A422" s="61" t="str">
        <f ca="1">IF(ISERROR(MATCH(F422,Код_КВР,0)),"",INDIRECT(ADDRESS(MATCH(F422,Код_КВР,0)+1,2,,,"КВР")))</f>
        <v>Закупка товаров, работ и услуг для муниципальных нужд</v>
      </c>
      <c r="B422" s="126">
        <v>803</v>
      </c>
      <c r="C422" s="8" t="s">
        <v>211</v>
      </c>
      <c r="D422" s="8" t="s">
        <v>188</v>
      </c>
      <c r="E422" s="126" t="s">
        <v>52</v>
      </c>
      <c r="F422" s="126">
        <v>200</v>
      </c>
      <c r="G422" s="69">
        <f t="shared" si="102"/>
        <v>160</v>
      </c>
      <c r="H422" s="69">
        <f t="shared" si="102"/>
        <v>0</v>
      </c>
      <c r="I422" s="69">
        <f t="shared" si="98"/>
        <v>160</v>
      </c>
      <c r="J422" s="69">
        <f t="shared" si="102"/>
        <v>0</v>
      </c>
      <c r="K422" s="84">
        <f t="shared" si="99"/>
        <v>160</v>
      </c>
      <c r="L422" s="13">
        <f t="shared" si="102"/>
        <v>0</v>
      </c>
      <c r="M422" s="84">
        <f t="shared" si="92"/>
        <v>160</v>
      </c>
      <c r="N422" s="13">
        <f t="shared" si="102"/>
        <v>0</v>
      </c>
      <c r="O422" s="84">
        <f t="shared" si="93"/>
        <v>160</v>
      </c>
      <c r="P422" s="13">
        <f t="shared" si="102"/>
        <v>0</v>
      </c>
      <c r="Q422" s="84">
        <f t="shared" si="91"/>
        <v>160</v>
      </c>
      <c r="R422" s="13">
        <f t="shared" si="102"/>
        <v>0</v>
      </c>
      <c r="S422" s="84">
        <f t="shared" si="89"/>
        <v>160</v>
      </c>
      <c r="T422" s="13">
        <f t="shared" si="102"/>
        <v>0</v>
      </c>
      <c r="U422" s="84">
        <f t="shared" si="101"/>
        <v>160</v>
      </c>
    </row>
    <row r="423" spans="1:21" ht="33">
      <c r="A423" s="61" t="str">
        <f ca="1">IF(ISERROR(MATCH(F423,Код_КВР,0)),"",INDIRECT(ADDRESS(MATCH(F423,Код_КВР,0)+1,2,,,"КВР")))</f>
        <v>Иные закупки товаров, работ и услуг для обеспечения муниципальных нужд</v>
      </c>
      <c r="B423" s="126">
        <v>803</v>
      </c>
      <c r="C423" s="8" t="s">
        <v>211</v>
      </c>
      <c r="D423" s="8" t="s">
        <v>188</v>
      </c>
      <c r="E423" s="126" t="s">
        <v>52</v>
      </c>
      <c r="F423" s="126">
        <v>240</v>
      </c>
      <c r="G423" s="69">
        <f t="shared" si="102"/>
        <v>160</v>
      </c>
      <c r="H423" s="69">
        <f t="shared" si="102"/>
        <v>0</v>
      </c>
      <c r="I423" s="69">
        <f t="shared" si="98"/>
        <v>160</v>
      </c>
      <c r="J423" s="69">
        <f t="shared" si="102"/>
        <v>0</v>
      </c>
      <c r="K423" s="84">
        <f t="shared" si="99"/>
        <v>160</v>
      </c>
      <c r="L423" s="13">
        <f t="shared" si="102"/>
        <v>0</v>
      </c>
      <c r="M423" s="84">
        <f t="shared" si="92"/>
        <v>160</v>
      </c>
      <c r="N423" s="13">
        <f t="shared" si="102"/>
        <v>0</v>
      </c>
      <c r="O423" s="84">
        <f t="shared" si="93"/>
        <v>160</v>
      </c>
      <c r="P423" s="13">
        <f t="shared" si="102"/>
        <v>0</v>
      </c>
      <c r="Q423" s="84">
        <f t="shared" si="91"/>
        <v>160</v>
      </c>
      <c r="R423" s="13">
        <f t="shared" si="102"/>
        <v>0</v>
      </c>
      <c r="S423" s="84">
        <f t="shared" si="89"/>
        <v>160</v>
      </c>
      <c r="T423" s="13">
        <f t="shared" si="102"/>
        <v>0</v>
      </c>
      <c r="U423" s="84">
        <f t="shared" si="101"/>
        <v>160</v>
      </c>
    </row>
    <row r="424" spans="1:21" ht="33">
      <c r="A424" s="61" t="str">
        <f ca="1">IF(ISERROR(MATCH(F424,Код_КВР,0)),"",INDIRECT(ADDRESS(MATCH(F424,Код_КВР,0)+1,2,,,"КВР")))</f>
        <v xml:space="preserve">Прочая закупка товаров, работ и услуг для обеспечения муниципальных нужд         </v>
      </c>
      <c r="B424" s="126">
        <v>803</v>
      </c>
      <c r="C424" s="8" t="s">
        <v>211</v>
      </c>
      <c r="D424" s="8" t="s">
        <v>188</v>
      </c>
      <c r="E424" s="126" t="s">
        <v>52</v>
      </c>
      <c r="F424" s="126">
        <v>244</v>
      </c>
      <c r="G424" s="69">
        <v>160</v>
      </c>
      <c r="H424" s="64"/>
      <c r="I424" s="69">
        <f t="shared" si="98"/>
        <v>160</v>
      </c>
      <c r="J424" s="64"/>
      <c r="K424" s="84">
        <f t="shared" si="99"/>
        <v>160</v>
      </c>
      <c r="L424" s="84"/>
      <c r="M424" s="84">
        <f t="shared" si="92"/>
        <v>160</v>
      </c>
      <c r="N424" s="84"/>
      <c r="O424" s="84">
        <f t="shared" si="93"/>
        <v>160</v>
      </c>
      <c r="P424" s="84"/>
      <c r="Q424" s="84">
        <f t="shared" si="91"/>
        <v>160</v>
      </c>
      <c r="R424" s="84"/>
      <c r="S424" s="84">
        <f t="shared" si="89"/>
        <v>160</v>
      </c>
      <c r="T424" s="84"/>
      <c r="U424" s="84">
        <f t="shared" si="101"/>
        <v>160</v>
      </c>
    </row>
    <row r="425" spans="1:21">
      <c r="A425" s="61" t="str">
        <f ca="1">IF(ISERROR(MATCH(C425,Код_Раздел,0)),"",INDIRECT(ADDRESS(MATCH(C425,Код_Раздел,0)+1,2,,,"Раздел")))</f>
        <v>Национальная экономика</v>
      </c>
      <c r="B425" s="126">
        <v>803</v>
      </c>
      <c r="C425" s="8" t="s">
        <v>214</v>
      </c>
      <c r="D425" s="8"/>
      <c r="E425" s="126"/>
      <c r="F425" s="126"/>
      <c r="G425" s="69">
        <f>G432+G463</f>
        <v>615132.69999999995</v>
      </c>
      <c r="H425" s="69">
        <f>H432+H463+H426</f>
        <v>67187.899999999994</v>
      </c>
      <c r="I425" s="69">
        <f>G425+H425</f>
        <v>682320.6</v>
      </c>
      <c r="J425" s="69">
        <f>J432+J463+J426</f>
        <v>0</v>
      </c>
      <c r="K425" s="84">
        <f t="shared" si="99"/>
        <v>682320.6</v>
      </c>
      <c r="L425" s="13">
        <f>L432+L463+L426</f>
        <v>-3913.1000000000004</v>
      </c>
      <c r="M425" s="84">
        <f t="shared" si="92"/>
        <v>678407.5</v>
      </c>
      <c r="N425" s="13">
        <f>N432+N463+N426</f>
        <v>-676.69999999999993</v>
      </c>
      <c r="O425" s="84">
        <f t="shared" si="93"/>
        <v>677730.8</v>
      </c>
      <c r="P425" s="13">
        <f>P432+P463+P426</f>
        <v>0</v>
      </c>
      <c r="Q425" s="84">
        <f t="shared" si="91"/>
        <v>677730.8</v>
      </c>
      <c r="R425" s="13">
        <f>R432+R463+R426</f>
        <v>-5879.7999999999993</v>
      </c>
      <c r="S425" s="84">
        <f t="shared" ref="S425:S501" si="103">Q425+R425</f>
        <v>671851</v>
      </c>
      <c r="T425" s="13">
        <f>T432+T463+T426</f>
        <v>-5813.4</v>
      </c>
      <c r="U425" s="84">
        <f t="shared" si="101"/>
        <v>666037.6</v>
      </c>
    </row>
    <row r="426" spans="1:21">
      <c r="A426" s="76" t="s">
        <v>357</v>
      </c>
      <c r="B426" s="126">
        <v>803</v>
      </c>
      <c r="C426" s="8" t="s">
        <v>214</v>
      </c>
      <c r="D426" s="8" t="s">
        <v>220</v>
      </c>
      <c r="E426" s="126"/>
      <c r="F426" s="126"/>
      <c r="G426" s="69"/>
      <c r="H426" s="69">
        <f>H427</f>
        <v>15804.3</v>
      </c>
      <c r="I426" s="69">
        <f t="shared" si="98"/>
        <v>15804.3</v>
      </c>
      <c r="J426" s="69">
        <f>J427</f>
        <v>0</v>
      </c>
      <c r="K426" s="84">
        <f t="shared" si="99"/>
        <v>15804.3</v>
      </c>
      <c r="L426" s="13">
        <f>L427</f>
        <v>0</v>
      </c>
      <c r="M426" s="84">
        <f t="shared" si="92"/>
        <v>15804.3</v>
      </c>
      <c r="N426" s="13">
        <f>N427</f>
        <v>0</v>
      </c>
      <c r="O426" s="84">
        <f t="shared" si="93"/>
        <v>15804.3</v>
      </c>
      <c r="P426" s="13">
        <f>P427</f>
        <v>0</v>
      </c>
      <c r="Q426" s="84">
        <f t="shared" si="91"/>
        <v>15804.3</v>
      </c>
      <c r="R426" s="13">
        <f>R427</f>
        <v>0</v>
      </c>
      <c r="S426" s="84">
        <f t="shared" si="103"/>
        <v>15804.3</v>
      </c>
      <c r="T426" s="13">
        <f>T427</f>
        <v>0</v>
      </c>
      <c r="U426" s="84">
        <f t="shared" si="101"/>
        <v>15804.3</v>
      </c>
    </row>
    <row r="427" spans="1:21" ht="33">
      <c r="A427" s="61" t="str">
        <f ca="1">IF(ISERROR(MATCH(E427,Код_КЦСР,0)),"",INDIRECT(ADDRESS(MATCH(E427,Код_КЦСР,0)+1,2,,,"КЦСР")))</f>
        <v>Муниципальная программа «Развитие земельно-имущественного комплекса  города Череповца» на 2014-2018 годы</v>
      </c>
      <c r="B427" s="126">
        <v>803</v>
      </c>
      <c r="C427" s="8" t="s">
        <v>214</v>
      </c>
      <c r="D427" s="8" t="s">
        <v>220</v>
      </c>
      <c r="E427" s="126" t="s">
        <v>60</v>
      </c>
      <c r="F427" s="126"/>
      <c r="G427" s="69"/>
      <c r="H427" s="69">
        <f>H428</f>
        <v>15804.3</v>
      </c>
      <c r="I427" s="69">
        <f t="shared" si="98"/>
        <v>15804.3</v>
      </c>
      <c r="J427" s="69">
        <f>J428</f>
        <v>0</v>
      </c>
      <c r="K427" s="84">
        <f t="shared" si="99"/>
        <v>15804.3</v>
      </c>
      <c r="L427" s="13">
        <f>L428</f>
        <v>0</v>
      </c>
      <c r="M427" s="84">
        <f t="shared" si="92"/>
        <v>15804.3</v>
      </c>
      <c r="N427" s="13">
        <f>N428</f>
        <v>0</v>
      </c>
      <c r="O427" s="84">
        <f t="shared" si="93"/>
        <v>15804.3</v>
      </c>
      <c r="P427" s="13">
        <f>P428</f>
        <v>0</v>
      </c>
      <c r="Q427" s="84">
        <f t="shared" si="91"/>
        <v>15804.3</v>
      </c>
      <c r="R427" s="13">
        <f>R428</f>
        <v>0</v>
      </c>
      <c r="S427" s="84">
        <f t="shared" si="103"/>
        <v>15804.3</v>
      </c>
      <c r="T427" s="13">
        <f>T428</f>
        <v>0</v>
      </c>
      <c r="U427" s="84">
        <f t="shared" si="101"/>
        <v>15804.3</v>
      </c>
    </row>
    <row r="428" spans="1:21" ht="33">
      <c r="A428" s="61" t="str">
        <f ca="1">IF(ISERROR(MATCH(E428,Код_КЦСР,0)),"",INDIRECT(ADDRESS(MATCH(E428,Код_КЦСР,0)+1,2,,,"КЦСР")))</f>
        <v>Формирование и обеспечение сохранности муниципального земельно-имущественного комплекса</v>
      </c>
      <c r="B428" s="126">
        <v>803</v>
      </c>
      <c r="C428" s="8" t="s">
        <v>214</v>
      </c>
      <c r="D428" s="8" t="s">
        <v>220</v>
      </c>
      <c r="E428" s="126" t="s">
        <v>62</v>
      </c>
      <c r="F428" s="126"/>
      <c r="G428" s="69"/>
      <c r="H428" s="69">
        <f>H429</f>
        <v>15804.3</v>
      </c>
      <c r="I428" s="69">
        <f t="shared" si="98"/>
        <v>15804.3</v>
      </c>
      <c r="J428" s="69">
        <f>J429</f>
        <v>0</v>
      </c>
      <c r="K428" s="84">
        <f t="shared" si="99"/>
        <v>15804.3</v>
      </c>
      <c r="L428" s="13">
        <f>L429</f>
        <v>0</v>
      </c>
      <c r="M428" s="84">
        <f t="shared" si="92"/>
        <v>15804.3</v>
      </c>
      <c r="N428" s="13">
        <f>N429</f>
        <v>0</v>
      </c>
      <c r="O428" s="84">
        <f t="shared" si="93"/>
        <v>15804.3</v>
      </c>
      <c r="P428" s="13">
        <f>P429</f>
        <v>0</v>
      </c>
      <c r="Q428" s="84">
        <f t="shared" si="91"/>
        <v>15804.3</v>
      </c>
      <c r="R428" s="13">
        <f>R429</f>
        <v>0</v>
      </c>
      <c r="S428" s="84">
        <f t="shared" si="103"/>
        <v>15804.3</v>
      </c>
      <c r="T428" s="13">
        <f>T429</f>
        <v>0</v>
      </c>
      <c r="U428" s="84">
        <f t="shared" si="101"/>
        <v>15804.3</v>
      </c>
    </row>
    <row r="429" spans="1:21">
      <c r="A429" s="61" t="str">
        <f ca="1">IF(ISERROR(MATCH(F429,Код_КВР,0)),"",INDIRECT(ADDRESS(MATCH(F429,Код_КВР,0)+1,2,,,"КВР")))</f>
        <v>Закупка товаров, работ и услуг для муниципальных нужд</v>
      </c>
      <c r="B429" s="126">
        <v>803</v>
      </c>
      <c r="C429" s="8" t="s">
        <v>214</v>
      </c>
      <c r="D429" s="8" t="s">
        <v>220</v>
      </c>
      <c r="E429" s="126" t="s">
        <v>62</v>
      </c>
      <c r="F429" s="126">
        <v>200</v>
      </c>
      <c r="G429" s="69"/>
      <c r="H429" s="69">
        <f>H430</f>
        <v>15804.3</v>
      </c>
      <c r="I429" s="69">
        <f t="shared" si="98"/>
        <v>15804.3</v>
      </c>
      <c r="J429" s="69">
        <f>J430</f>
        <v>0</v>
      </c>
      <c r="K429" s="84">
        <f t="shared" si="99"/>
        <v>15804.3</v>
      </c>
      <c r="L429" s="13">
        <f>L430</f>
        <v>0</v>
      </c>
      <c r="M429" s="84">
        <f t="shared" si="92"/>
        <v>15804.3</v>
      </c>
      <c r="N429" s="13">
        <f>N430</f>
        <v>0</v>
      </c>
      <c r="O429" s="84">
        <f t="shared" si="93"/>
        <v>15804.3</v>
      </c>
      <c r="P429" s="13">
        <f>P430</f>
        <v>0</v>
      </c>
      <c r="Q429" s="84">
        <f t="shared" si="91"/>
        <v>15804.3</v>
      </c>
      <c r="R429" s="13">
        <f>R430</f>
        <v>0</v>
      </c>
      <c r="S429" s="84">
        <f t="shared" si="103"/>
        <v>15804.3</v>
      </c>
      <c r="T429" s="13">
        <f>T430</f>
        <v>0</v>
      </c>
      <c r="U429" s="84">
        <f t="shared" si="101"/>
        <v>15804.3</v>
      </c>
    </row>
    <row r="430" spans="1:21" ht="33">
      <c r="A430" s="61" t="str">
        <f ca="1">IF(ISERROR(MATCH(F430,Код_КВР,0)),"",INDIRECT(ADDRESS(MATCH(F430,Код_КВР,0)+1,2,,,"КВР")))</f>
        <v>Иные закупки товаров, работ и услуг для обеспечения муниципальных нужд</v>
      </c>
      <c r="B430" s="126">
        <v>803</v>
      </c>
      <c r="C430" s="8" t="s">
        <v>214</v>
      </c>
      <c r="D430" s="8" t="s">
        <v>220</v>
      </c>
      <c r="E430" s="126" t="s">
        <v>62</v>
      </c>
      <c r="F430" s="126">
        <v>240</v>
      </c>
      <c r="G430" s="69"/>
      <c r="H430" s="69">
        <f>H431</f>
        <v>15804.3</v>
      </c>
      <c r="I430" s="69">
        <f t="shared" si="98"/>
        <v>15804.3</v>
      </c>
      <c r="J430" s="69">
        <f>J431</f>
        <v>0</v>
      </c>
      <c r="K430" s="84">
        <f t="shared" si="99"/>
        <v>15804.3</v>
      </c>
      <c r="L430" s="13">
        <f>L431</f>
        <v>0</v>
      </c>
      <c r="M430" s="84">
        <f t="shared" si="92"/>
        <v>15804.3</v>
      </c>
      <c r="N430" s="13">
        <f>N431</f>
        <v>0</v>
      </c>
      <c r="O430" s="84">
        <f t="shared" si="93"/>
        <v>15804.3</v>
      </c>
      <c r="P430" s="13">
        <f>P431</f>
        <v>0</v>
      </c>
      <c r="Q430" s="84">
        <f t="shared" ref="Q430:Q506" si="104">O430+P430</f>
        <v>15804.3</v>
      </c>
      <c r="R430" s="13">
        <f>R431</f>
        <v>0</v>
      </c>
      <c r="S430" s="84">
        <f t="shared" si="103"/>
        <v>15804.3</v>
      </c>
      <c r="T430" s="13">
        <f>T431</f>
        <v>0</v>
      </c>
      <c r="U430" s="84">
        <f t="shared" si="101"/>
        <v>15804.3</v>
      </c>
    </row>
    <row r="431" spans="1:21" ht="33">
      <c r="A431" s="61" t="str">
        <f ca="1">IF(ISERROR(MATCH(F431,Код_КВР,0)),"",INDIRECT(ADDRESS(MATCH(F431,Код_КВР,0)+1,2,,,"КВР")))</f>
        <v xml:space="preserve">Прочая закупка товаров, работ и услуг для обеспечения муниципальных нужд         </v>
      </c>
      <c r="B431" s="126">
        <v>803</v>
      </c>
      <c r="C431" s="8" t="s">
        <v>214</v>
      </c>
      <c r="D431" s="8" t="s">
        <v>220</v>
      </c>
      <c r="E431" s="126" t="s">
        <v>62</v>
      </c>
      <c r="F431" s="126">
        <v>244</v>
      </c>
      <c r="G431" s="69"/>
      <c r="H431" s="69">
        <v>15804.3</v>
      </c>
      <c r="I431" s="69">
        <f t="shared" si="98"/>
        <v>15804.3</v>
      </c>
      <c r="J431" s="69"/>
      <c r="K431" s="84">
        <f t="shared" si="99"/>
        <v>15804.3</v>
      </c>
      <c r="L431" s="13"/>
      <c r="M431" s="84">
        <f t="shared" si="92"/>
        <v>15804.3</v>
      </c>
      <c r="N431" s="13"/>
      <c r="O431" s="84">
        <f t="shared" si="93"/>
        <v>15804.3</v>
      </c>
      <c r="P431" s="13"/>
      <c r="Q431" s="84">
        <f t="shared" si="104"/>
        <v>15804.3</v>
      </c>
      <c r="R431" s="13"/>
      <c r="S431" s="84">
        <f t="shared" si="103"/>
        <v>15804.3</v>
      </c>
      <c r="T431" s="13"/>
      <c r="U431" s="84">
        <f t="shared" si="101"/>
        <v>15804.3</v>
      </c>
    </row>
    <row r="432" spans="1:21">
      <c r="A432" s="76" t="s">
        <v>178</v>
      </c>
      <c r="B432" s="126">
        <v>803</v>
      </c>
      <c r="C432" s="8" t="s">
        <v>214</v>
      </c>
      <c r="D432" s="8" t="s">
        <v>217</v>
      </c>
      <c r="E432" s="126"/>
      <c r="F432" s="126"/>
      <c r="G432" s="69">
        <f>G442+G458</f>
        <v>615002.69999999995</v>
      </c>
      <c r="H432" s="69">
        <f>H442+H458</f>
        <v>51383.6</v>
      </c>
      <c r="I432" s="69">
        <f t="shared" si="98"/>
        <v>666386.29999999993</v>
      </c>
      <c r="J432" s="69">
        <f>J442+J458</f>
        <v>0</v>
      </c>
      <c r="K432" s="84">
        <f t="shared" si="99"/>
        <v>666386.29999999993</v>
      </c>
      <c r="L432" s="13">
        <f>L442+L458</f>
        <v>-3913.1000000000004</v>
      </c>
      <c r="M432" s="84">
        <f t="shared" si="92"/>
        <v>662473.19999999995</v>
      </c>
      <c r="N432" s="13">
        <f>N442+N458</f>
        <v>-676.69999999999993</v>
      </c>
      <c r="O432" s="84">
        <f t="shared" si="93"/>
        <v>661796.5</v>
      </c>
      <c r="P432" s="13">
        <f>P442+P458</f>
        <v>0</v>
      </c>
      <c r="Q432" s="84">
        <f t="shared" si="104"/>
        <v>661796.5</v>
      </c>
      <c r="R432" s="13">
        <f>R442+R458+R433</f>
        <v>-5879.7999999999993</v>
      </c>
      <c r="S432" s="84">
        <f t="shared" si="103"/>
        <v>655916.69999999995</v>
      </c>
      <c r="T432" s="13">
        <f>T442+T458+T433</f>
        <v>-5813.4</v>
      </c>
      <c r="U432" s="84">
        <f t="shared" si="101"/>
        <v>650103.29999999993</v>
      </c>
    </row>
    <row r="433" spans="1:21" ht="33">
      <c r="A433" s="61" t="str">
        <f ca="1">IF(ISERROR(MATCH(E433,Код_КЦСР,0)),"",INDIRECT(ADDRESS(MATCH(E433,Код_КЦСР,0)+1,2,,,"КЦСР")))</f>
        <v>Муниципальная программа «Социальная поддержка граждан» на 2014-2018 годы</v>
      </c>
      <c r="B433" s="126">
        <v>803</v>
      </c>
      <c r="C433" s="8" t="s">
        <v>214</v>
      </c>
      <c r="D433" s="8" t="s">
        <v>217</v>
      </c>
      <c r="E433" s="126" t="s">
        <v>5</v>
      </c>
      <c r="F433" s="126"/>
      <c r="G433" s="69"/>
      <c r="H433" s="69"/>
      <c r="I433" s="69"/>
      <c r="J433" s="69"/>
      <c r="K433" s="84"/>
      <c r="L433" s="13"/>
      <c r="M433" s="84"/>
      <c r="N433" s="13"/>
      <c r="O433" s="84"/>
      <c r="P433" s="13"/>
      <c r="Q433" s="84"/>
      <c r="R433" s="13">
        <f>R434+R438</f>
        <v>150</v>
      </c>
      <c r="S433" s="84">
        <f t="shared" si="103"/>
        <v>150</v>
      </c>
      <c r="T433" s="13">
        <f>T434+T438</f>
        <v>0</v>
      </c>
      <c r="U433" s="84">
        <f t="shared" si="101"/>
        <v>150</v>
      </c>
    </row>
    <row r="434" spans="1:21" ht="49.5">
      <c r="A434" s="61" t="str">
        <f ca="1">IF(ISERROR(MATCH(E434,Код_КЦСР,0)),"",INDIRECT(ADDRESS(MATCH(E434,Код_КЦСР,0)+1,2,,,"КЦСР")))</f>
        <v>Мероприятия по подпрограмме «Безбарьерная среда» в рамках софинансирования с государственной программой «Социальная поддержка граждан в Вологодской области на 2014-2018 годы»</v>
      </c>
      <c r="B434" s="126">
        <v>803</v>
      </c>
      <c r="C434" s="8" t="s">
        <v>214</v>
      </c>
      <c r="D434" s="8" t="s">
        <v>217</v>
      </c>
      <c r="E434" s="126" t="s">
        <v>655</v>
      </c>
      <c r="F434" s="126"/>
      <c r="G434" s="69"/>
      <c r="H434" s="69"/>
      <c r="I434" s="69"/>
      <c r="J434" s="69"/>
      <c r="K434" s="84"/>
      <c r="L434" s="13"/>
      <c r="M434" s="84"/>
      <c r="N434" s="13"/>
      <c r="O434" s="84"/>
      <c r="P434" s="13"/>
      <c r="Q434" s="84"/>
      <c r="R434" s="13">
        <f>R435</f>
        <v>75</v>
      </c>
      <c r="S434" s="84">
        <f t="shared" si="103"/>
        <v>75</v>
      </c>
      <c r="T434" s="13">
        <f>T435</f>
        <v>0</v>
      </c>
      <c r="U434" s="84">
        <f t="shared" si="101"/>
        <v>75</v>
      </c>
    </row>
    <row r="435" spans="1:21">
      <c r="A435" s="61" t="str">
        <f ca="1">IF(ISERROR(MATCH(F435,Код_КВР,0)),"",INDIRECT(ADDRESS(MATCH(F435,Код_КВР,0)+1,2,,,"КВР")))</f>
        <v>Закупка товаров, работ и услуг для муниципальных нужд</v>
      </c>
      <c r="B435" s="126">
        <v>803</v>
      </c>
      <c r="C435" s="8" t="s">
        <v>214</v>
      </c>
      <c r="D435" s="8" t="s">
        <v>217</v>
      </c>
      <c r="E435" s="126" t="s">
        <v>655</v>
      </c>
      <c r="F435" s="126">
        <v>200</v>
      </c>
      <c r="G435" s="69"/>
      <c r="H435" s="69"/>
      <c r="I435" s="69"/>
      <c r="J435" s="69"/>
      <c r="K435" s="84"/>
      <c r="L435" s="13"/>
      <c r="M435" s="84"/>
      <c r="N435" s="13"/>
      <c r="O435" s="84"/>
      <c r="P435" s="13"/>
      <c r="Q435" s="84"/>
      <c r="R435" s="13">
        <f>R436</f>
        <v>75</v>
      </c>
      <c r="S435" s="84">
        <f t="shared" si="103"/>
        <v>75</v>
      </c>
      <c r="T435" s="13">
        <f>T436</f>
        <v>0</v>
      </c>
      <c r="U435" s="84">
        <f t="shared" si="101"/>
        <v>75</v>
      </c>
    </row>
    <row r="436" spans="1:21" ht="33">
      <c r="A436" s="61" t="str">
        <f ca="1">IF(ISERROR(MATCH(F436,Код_КВР,0)),"",INDIRECT(ADDRESS(MATCH(F436,Код_КВР,0)+1,2,,,"КВР")))</f>
        <v>Иные закупки товаров, работ и услуг для обеспечения муниципальных нужд</v>
      </c>
      <c r="B436" s="126">
        <v>803</v>
      </c>
      <c r="C436" s="8" t="s">
        <v>214</v>
      </c>
      <c r="D436" s="8" t="s">
        <v>217</v>
      </c>
      <c r="E436" s="126" t="s">
        <v>655</v>
      </c>
      <c r="F436" s="126">
        <v>240</v>
      </c>
      <c r="G436" s="69"/>
      <c r="H436" s="69"/>
      <c r="I436" s="69"/>
      <c r="J436" s="69"/>
      <c r="K436" s="84"/>
      <c r="L436" s="13"/>
      <c r="M436" s="84"/>
      <c r="N436" s="13"/>
      <c r="O436" s="84"/>
      <c r="P436" s="13"/>
      <c r="Q436" s="84"/>
      <c r="R436" s="13">
        <f>R437</f>
        <v>75</v>
      </c>
      <c r="S436" s="84">
        <f t="shared" si="103"/>
        <v>75</v>
      </c>
      <c r="T436" s="13">
        <f>T437</f>
        <v>0</v>
      </c>
      <c r="U436" s="84">
        <f t="shared" si="101"/>
        <v>75</v>
      </c>
    </row>
    <row r="437" spans="1:21" ht="33">
      <c r="A437" s="61" t="str">
        <f ca="1">IF(ISERROR(MATCH(F437,Код_КВР,0)),"",INDIRECT(ADDRESS(MATCH(F437,Код_КВР,0)+1,2,,,"КВР")))</f>
        <v xml:space="preserve">Прочая закупка товаров, работ и услуг для обеспечения муниципальных нужд         </v>
      </c>
      <c r="B437" s="126">
        <v>803</v>
      </c>
      <c r="C437" s="8" t="s">
        <v>214</v>
      </c>
      <c r="D437" s="8" t="s">
        <v>217</v>
      </c>
      <c r="E437" s="126" t="s">
        <v>655</v>
      </c>
      <c r="F437" s="126">
        <v>244</v>
      </c>
      <c r="G437" s="69"/>
      <c r="H437" s="69"/>
      <c r="I437" s="69"/>
      <c r="J437" s="69"/>
      <c r="K437" s="84"/>
      <c r="L437" s="13"/>
      <c r="M437" s="84"/>
      <c r="N437" s="13"/>
      <c r="O437" s="84"/>
      <c r="P437" s="13"/>
      <c r="Q437" s="84"/>
      <c r="R437" s="13">
        <v>75</v>
      </c>
      <c r="S437" s="84">
        <f t="shared" si="103"/>
        <v>75</v>
      </c>
      <c r="T437" s="13"/>
      <c r="U437" s="84">
        <f t="shared" si="101"/>
        <v>75</v>
      </c>
    </row>
    <row r="438" spans="1:21" ht="49.5">
      <c r="A438" s="61" t="str">
        <f ca="1">IF(ISERROR(MATCH(E438,Код_КЦСР,0)),"",INDIRECT(ADDRESS(MATCH(E438,Код_КЦСР,0)+1,2,,,"КЦСР")))</f>
        <v>Мероприятия государственной программы Российской Федерации «Доступная среда» на 2011-2015 годы за счет средств федерального бюджета</v>
      </c>
      <c r="B438" s="126">
        <v>803</v>
      </c>
      <c r="C438" s="8" t="s">
        <v>214</v>
      </c>
      <c r="D438" s="8" t="s">
        <v>217</v>
      </c>
      <c r="E438" s="126" t="s">
        <v>638</v>
      </c>
      <c r="F438" s="126"/>
      <c r="G438" s="69"/>
      <c r="H438" s="69"/>
      <c r="I438" s="69"/>
      <c r="J438" s="69"/>
      <c r="K438" s="84"/>
      <c r="L438" s="13"/>
      <c r="M438" s="84"/>
      <c r="N438" s="13"/>
      <c r="O438" s="84"/>
      <c r="P438" s="13"/>
      <c r="Q438" s="84"/>
      <c r="R438" s="13">
        <f>R439</f>
        <v>75</v>
      </c>
      <c r="S438" s="84">
        <f t="shared" si="103"/>
        <v>75</v>
      </c>
      <c r="T438" s="13">
        <f>T439</f>
        <v>0</v>
      </c>
      <c r="U438" s="84">
        <f t="shared" si="101"/>
        <v>75</v>
      </c>
    </row>
    <row r="439" spans="1:21">
      <c r="A439" s="61" t="str">
        <f ca="1">IF(ISERROR(MATCH(F439,Код_КВР,0)),"",INDIRECT(ADDRESS(MATCH(F439,Код_КВР,0)+1,2,,,"КВР")))</f>
        <v>Закупка товаров, работ и услуг для муниципальных нужд</v>
      </c>
      <c r="B439" s="126">
        <v>803</v>
      </c>
      <c r="C439" s="8" t="s">
        <v>214</v>
      </c>
      <c r="D439" s="8" t="s">
        <v>217</v>
      </c>
      <c r="E439" s="126" t="s">
        <v>638</v>
      </c>
      <c r="F439" s="126">
        <v>200</v>
      </c>
      <c r="G439" s="69"/>
      <c r="H439" s="69"/>
      <c r="I439" s="69"/>
      <c r="J439" s="69"/>
      <c r="K439" s="84"/>
      <c r="L439" s="13"/>
      <c r="M439" s="84"/>
      <c r="N439" s="13"/>
      <c r="O439" s="84"/>
      <c r="P439" s="13"/>
      <c r="Q439" s="84"/>
      <c r="R439" s="13">
        <f>R440</f>
        <v>75</v>
      </c>
      <c r="S439" s="84">
        <f t="shared" si="103"/>
        <v>75</v>
      </c>
      <c r="T439" s="13">
        <f>T440</f>
        <v>0</v>
      </c>
      <c r="U439" s="84">
        <f t="shared" si="101"/>
        <v>75</v>
      </c>
    </row>
    <row r="440" spans="1:21" ht="33">
      <c r="A440" s="61" t="str">
        <f ca="1">IF(ISERROR(MATCH(F440,Код_КВР,0)),"",INDIRECT(ADDRESS(MATCH(F440,Код_КВР,0)+1,2,,,"КВР")))</f>
        <v>Иные закупки товаров, работ и услуг для обеспечения муниципальных нужд</v>
      </c>
      <c r="B440" s="126">
        <v>803</v>
      </c>
      <c r="C440" s="8" t="s">
        <v>214</v>
      </c>
      <c r="D440" s="8" t="s">
        <v>217</v>
      </c>
      <c r="E440" s="126" t="s">
        <v>638</v>
      </c>
      <c r="F440" s="126">
        <v>240</v>
      </c>
      <c r="G440" s="69"/>
      <c r="H440" s="69"/>
      <c r="I440" s="69"/>
      <c r="J440" s="69"/>
      <c r="K440" s="84"/>
      <c r="L440" s="13"/>
      <c r="M440" s="84"/>
      <c r="N440" s="13"/>
      <c r="O440" s="84"/>
      <c r="P440" s="13"/>
      <c r="Q440" s="84"/>
      <c r="R440" s="13">
        <f>R441</f>
        <v>75</v>
      </c>
      <c r="S440" s="84">
        <f t="shared" si="103"/>
        <v>75</v>
      </c>
      <c r="T440" s="13">
        <f>T441</f>
        <v>0</v>
      </c>
      <c r="U440" s="84">
        <f t="shared" si="101"/>
        <v>75</v>
      </c>
    </row>
    <row r="441" spans="1:21" ht="33">
      <c r="A441" s="61" t="str">
        <f ca="1">IF(ISERROR(MATCH(F441,Код_КВР,0)),"",INDIRECT(ADDRESS(MATCH(F441,Код_КВР,0)+1,2,,,"КВР")))</f>
        <v xml:space="preserve">Прочая закупка товаров, работ и услуг для обеспечения муниципальных нужд         </v>
      </c>
      <c r="B441" s="126">
        <v>803</v>
      </c>
      <c r="C441" s="8" t="s">
        <v>214</v>
      </c>
      <c r="D441" s="8" t="s">
        <v>217</v>
      </c>
      <c r="E441" s="126" t="s">
        <v>638</v>
      </c>
      <c r="F441" s="126">
        <v>244</v>
      </c>
      <c r="G441" s="69"/>
      <c r="H441" s="69"/>
      <c r="I441" s="69"/>
      <c r="J441" s="69"/>
      <c r="K441" s="84"/>
      <c r="L441" s="13"/>
      <c r="M441" s="84"/>
      <c r="N441" s="13"/>
      <c r="O441" s="84"/>
      <c r="P441" s="13"/>
      <c r="Q441" s="84"/>
      <c r="R441" s="13">
        <v>75</v>
      </c>
      <c r="S441" s="84">
        <f t="shared" si="103"/>
        <v>75</v>
      </c>
      <c r="T441" s="13"/>
      <c r="U441" s="84">
        <f t="shared" si="101"/>
        <v>75</v>
      </c>
    </row>
    <row r="442" spans="1:21" ht="33">
      <c r="A442" s="61" t="str">
        <f ca="1">IF(ISERROR(MATCH(E442,Код_КЦСР,0)),"",INDIRECT(ADDRESS(MATCH(E442,Код_КЦСР,0)+1,2,,,"КЦСР")))</f>
        <v>Муниципальная программа «Развитие жилищно-коммунального хозяйства города Череповца» на 2014-2018 годы</v>
      </c>
      <c r="B442" s="126">
        <v>803</v>
      </c>
      <c r="C442" s="8" t="s">
        <v>214</v>
      </c>
      <c r="D442" s="8" t="s">
        <v>217</v>
      </c>
      <c r="E442" s="126" t="s">
        <v>45</v>
      </c>
      <c r="F442" s="126"/>
      <c r="G442" s="69">
        <f>G443</f>
        <v>580002.69999999995</v>
      </c>
      <c r="H442" s="69">
        <f>H443</f>
        <v>51383.6</v>
      </c>
      <c r="I442" s="69">
        <f t="shared" si="98"/>
        <v>631386.29999999993</v>
      </c>
      <c r="J442" s="69">
        <f>J443</f>
        <v>0</v>
      </c>
      <c r="K442" s="84">
        <f t="shared" si="99"/>
        <v>631386.29999999993</v>
      </c>
      <c r="L442" s="13">
        <f>L443</f>
        <v>-3913.1000000000004</v>
      </c>
      <c r="M442" s="84">
        <f t="shared" si="92"/>
        <v>627473.19999999995</v>
      </c>
      <c r="N442" s="13">
        <f>N443</f>
        <v>-676.69999999999993</v>
      </c>
      <c r="O442" s="84">
        <f t="shared" si="93"/>
        <v>626796.5</v>
      </c>
      <c r="P442" s="13">
        <f>P443</f>
        <v>0</v>
      </c>
      <c r="Q442" s="84">
        <f t="shared" si="104"/>
        <v>626796.5</v>
      </c>
      <c r="R442" s="13">
        <f>R443</f>
        <v>-6029.7999999999993</v>
      </c>
      <c r="S442" s="84">
        <f t="shared" si="103"/>
        <v>620766.69999999995</v>
      </c>
      <c r="T442" s="13">
        <f>T443</f>
        <v>-5813.4</v>
      </c>
      <c r="U442" s="84">
        <f t="shared" si="101"/>
        <v>614953.29999999993</v>
      </c>
    </row>
    <row r="443" spans="1:21">
      <c r="A443" s="61" t="str">
        <f ca="1">IF(ISERROR(MATCH(E443,Код_КЦСР,0)),"",INDIRECT(ADDRESS(MATCH(E443,Код_КЦСР,0)+1,2,,,"КЦСР")))</f>
        <v>Развитие благоустройства города</v>
      </c>
      <c r="B443" s="126">
        <v>803</v>
      </c>
      <c r="C443" s="8" t="s">
        <v>214</v>
      </c>
      <c r="D443" s="8" t="s">
        <v>217</v>
      </c>
      <c r="E443" s="126" t="s">
        <v>46</v>
      </c>
      <c r="F443" s="126"/>
      <c r="G443" s="69">
        <f>G444+G454</f>
        <v>580002.69999999995</v>
      </c>
      <c r="H443" s="69">
        <f>H444+H454</f>
        <v>51383.6</v>
      </c>
      <c r="I443" s="69">
        <f t="shared" si="98"/>
        <v>631386.29999999993</v>
      </c>
      <c r="J443" s="69">
        <f>J444+J454</f>
        <v>0</v>
      </c>
      <c r="K443" s="84">
        <f t="shared" si="99"/>
        <v>631386.29999999993</v>
      </c>
      <c r="L443" s="13">
        <f>L444+L454</f>
        <v>-3913.1000000000004</v>
      </c>
      <c r="M443" s="84">
        <f t="shared" si="92"/>
        <v>627473.19999999995</v>
      </c>
      <c r="N443" s="13">
        <f>N444+N454</f>
        <v>-676.69999999999993</v>
      </c>
      <c r="O443" s="84">
        <f t="shared" si="93"/>
        <v>626796.5</v>
      </c>
      <c r="P443" s="13">
        <f>P444+P454</f>
        <v>0</v>
      </c>
      <c r="Q443" s="84">
        <f t="shared" si="104"/>
        <v>626796.5</v>
      </c>
      <c r="R443" s="13">
        <f>R444+R454</f>
        <v>-6029.7999999999993</v>
      </c>
      <c r="S443" s="84">
        <f t="shared" si="103"/>
        <v>620766.69999999995</v>
      </c>
      <c r="T443" s="13">
        <f>T444+T454</f>
        <v>-5813.4</v>
      </c>
      <c r="U443" s="84">
        <f t="shared" si="101"/>
        <v>614953.29999999993</v>
      </c>
    </row>
    <row r="444" spans="1:21">
      <c r="A444" s="61" t="str">
        <f ca="1">IF(ISERROR(MATCH(E444,Код_КЦСР,0)),"",INDIRECT(ADDRESS(MATCH(E444,Код_КЦСР,0)+1,2,,,"КЦСР")))</f>
        <v>Мероприятия по содержанию и ремонту улично-дорожной  сети города</v>
      </c>
      <c r="B444" s="126">
        <v>803</v>
      </c>
      <c r="C444" s="8" t="s">
        <v>214</v>
      </c>
      <c r="D444" s="8" t="s">
        <v>217</v>
      </c>
      <c r="E444" s="126" t="s">
        <v>50</v>
      </c>
      <c r="F444" s="126"/>
      <c r="G444" s="69">
        <f>G445+G447+G451</f>
        <v>352239.7</v>
      </c>
      <c r="H444" s="69">
        <f>H445+H447+H451</f>
        <v>51383.6</v>
      </c>
      <c r="I444" s="69">
        <f t="shared" si="98"/>
        <v>403623.3</v>
      </c>
      <c r="J444" s="69">
        <f>J445+J447+J451</f>
        <v>0</v>
      </c>
      <c r="K444" s="84">
        <f t="shared" si="99"/>
        <v>403623.3</v>
      </c>
      <c r="L444" s="13">
        <f>L445+L447+L451</f>
        <v>-3913.1000000000004</v>
      </c>
      <c r="M444" s="84">
        <f t="shared" si="92"/>
        <v>399710.2</v>
      </c>
      <c r="N444" s="13">
        <f>N445+N447+N451</f>
        <v>-676.69999999999993</v>
      </c>
      <c r="O444" s="84">
        <f t="shared" si="93"/>
        <v>399033.5</v>
      </c>
      <c r="P444" s="13">
        <f>P445+P447+P451</f>
        <v>0</v>
      </c>
      <c r="Q444" s="84">
        <f t="shared" si="104"/>
        <v>399033.5</v>
      </c>
      <c r="R444" s="13">
        <f>R445+R447+R451</f>
        <v>-6029.7999999999993</v>
      </c>
      <c r="S444" s="84">
        <f t="shared" si="103"/>
        <v>393003.7</v>
      </c>
      <c r="T444" s="13">
        <f>T445+T447+T451</f>
        <v>-5813.4</v>
      </c>
      <c r="U444" s="84">
        <f t="shared" si="101"/>
        <v>387190.3</v>
      </c>
    </row>
    <row r="445" spans="1:21" ht="33">
      <c r="A445" s="61" t="str">
        <f t="shared" ref="A445:A453" ca="1" si="105">IF(ISERROR(MATCH(F445,Код_КВР,0)),"",INDIRECT(ADDRESS(MATCH(F445,Код_КВР,0)+1,2,,,"КВР")))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5" s="126">
        <v>803</v>
      </c>
      <c r="C445" s="8" t="s">
        <v>214</v>
      </c>
      <c r="D445" s="8" t="s">
        <v>217</v>
      </c>
      <c r="E445" s="126" t="s">
        <v>50</v>
      </c>
      <c r="F445" s="126">
        <v>100</v>
      </c>
      <c r="G445" s="69">
        <f>G446</f>
        <v>10425.9</v>
      </c>
      <c r="H445" s="69">
        <f>H446</f>
        <v>0</v>
      </c>
      <c r="I445" s="69">
        <f t="shared" si="98"/>
        <v>10425.9</v>
      </c>
      <c r="J445" s="69">
        <f>J446</f>
        <v>0</v>
      </c>
      <c r="K445" s="84">
        <f t="shared" si="99"/>
        <v>10425.9</v>
      </c>
      <c r="L445" s="13">
        <f>L446</f>
        <v>0</v>
      </c>
      <c r="M445" s="84">
        <f t="shared" ref="M445:M512" si="106">K445+L445</f>
        <v>10425.9</v>
      </c>
      <c r="N445" s="13">
        <f>N446</f>
        <v>0</v>
      </c>
      <c r="O445" s="84">
        <f t="shared" ref="O445:O512" si="107">M445+N445</f>
        <v>10425.9</v>
      </c>
      <c r="P445" s="13">
        <f>P446</f>
        <v>0</v>
      </c>
      <c r="Q445" s="84">
        <f t="shared" si="104"/>
        <v>10425.9</v>
      </c>
      <c r="R445" s="13">
        <f>R446</f>
        <v>0</v>
      </c>
      <c r="S445" s="84">
        <f t="shared" si="103"/>
        <v>10425.9</v>
      </c>
      <c r="T445" s="13">
        <f>T446</f>
        <v>0</v>
      </c>
      <c r="U445" s="84">
        <f t="shared" si="101"/>
        <v>10425.9</v>
      </c>
    </row>
    <row r="446" spans="1:21">
      <c r="A446" s="61" t="str">
        <f t="shared" ca="1" si="105"/>
        <v>Расходы на выплаты персоналу казенных учреждений</v>
      </c>
      <c r="B446" s="126">
        <v>803</v>
      </c>
      <c r="C446" s="8" t="s">
        <v>214</v>
      </c>
      <c r="D446" s="8" t="s">
        <v>217</v>
      </c>
      <c r="E446" s="126" t="s">
        <v>50</v>
      </c>
      <c r="F446" s="126">
        <v>110</v>
      </c>
      <c r="G446" s="69">
        <v>10425.9</v>
      </c>
      <c r="H446" s="64"/>
      <c r="I446" s="69">
        <f t="shared" si="98"/>
        <v>10425.9</v>
      </c>
      <c r="J446" s="64"/>
      <c r="K446" s="84">
        <f t="shared" si="99"/>
        <v>10425.9</v>
      </c>
      <c r="L446" s="84"/>
      <c r="M446" s="84">
        <f t="shared" si="106"/>
        <v>10425.9</v>
      </c>
      <c r="N446" s="84"/>
      <c r="O446" s="84">
        <f t="shared" si="107"/>
        <v>10425.9</v>
      </c>
      <c r="P446" s="84"/>
      <c r="Q446" s="84">
        <f t="shared" si="104"/>
        <v>10425.9</v>
      </c>
      <c r="R446" s="84"/>
      <c r="S446" s="84">
        <f t="shared" si="103"/>
        <v>10425.9</v>
      </c>
      <c r="T446" s="84"/>
      <c r="U446" s="84">
        <f t="shared" si="101"/>
        <v>10425.9</v>
      </c>
    </row>
    <row r="447" spans="1:21">
      <c r="A447" s="61" t="str">
        <f t="shared" ca="1" si="105"/>
        <v>Закупка товаров, работ и услуг для муниципальных нужд</v>
      </c>
      <c r="B447" s="126">
        <v>803</v>
      </c>
      <c r="C447" s="8" t="s">
        <v>214</v>
      </c>
      <c r="D447" s="8" t="s">
        <v>217</v>
      </c>
      <c r="E447" s="126" t="s">
        <v>50</v>
      </c>
      <c r="F447" s="126">
        <v>200</v>
      </c>
      <c r="G447" s="69">
        <f>G448</f>
        <v>341812.2</v>
      </c>
      <c r="H447" s="69">
        <f>H448</f>
        <v>51383.6</v>
      </c>
      <c r="I447" s="69">
        <f t="shared" si="98"/>
        <v>393195.8</v>
      </c>
      <c r="J447" s="69">
        <f>J448</f>
        <v>0</v>
      </c>
      <c r="K447" s="84">
        <f t="shared" si="99"/>
        <v>393195.8</v>
      </c>
      <c r="L447" s="13">
        <f>L448</f>
        <v>-3913.1000000000004</v>
      </c>
      <c r="M447" s="84">
        <f t="shared" si="106"/>
        <v>389282.7</v>
      </c>
      <c r="N447" s="13">
        <f>N448</f>
        <v>-676.69999999999993</v>
      </c>
      <c r="O447" s="84">
        <f t="shared" si="107"/>
        <v>388606</v>
      </c>
      <c r="P447" s="13">
        <f>P448</f>
        <v>0</v>
      </c>
      <c r="Q447" s="84">
        <f t="shared" si="104"/>
        <v>388606</v>
      </c>
      <c r="R447" s="13">
        <f>R448</f>
        <v>-6029.7999999999993</v>
      </c>
      <c r="S447" s="84">
        <f t="shared" si="103"/>
        <v>382576.2</v>
      </c>
      <c r="T447" s="13">
        <f>T448</f>
        <v>-5813.4</v>
      </c>
      <c r="U447" s="84">
        <f t="shared" si="101"/>
        <v>376762.8</v>
      </c>
    </row>
    <row r="448" spans="1:21" ht="33">
      <c r="A448" s="61" t="str">
        <f t="shared" ca="1" si="105"/>
        <v>Иные закупки товаров, работ и услуг для обеспечения муниципальных нужд</v>
      </c>
      <c r="B448" s="126">
        <v>803</v>
      </c>
      <c r="C448" s="8" t="s">
        <v>214</v>
      </c>
      <c r="D448" s="8" t="s">
        <v>217</v>
      </c>
      <c r="E448" s="126" t="s">
        <v>50</v>
      </c>
      <c r="F448" s="126">
        <v>240</v>
      </c>
      <c r="G448" s="69">
        <f>SUM(G449:G450)</f>
        <v>341812.2</v>
      </c>
      <c r="H448" s="69">
        <f>SUM(H449:H450)</f>
        <v>51383.6</v>
      </c>
      <c r="I448" s="69">
        <f t="shared" si="98"/>
        <v>393195.8</v>
      </c>
      <c r="J448" s="69">
        <f>SUM(J449:J450)</f>
        <v>0</v>
      </c>
      <c r="K448" s="84">
        <f t="shared" si="99"/>
        <v>393195.8</v>
      </c>
      <c r="L448" s="13">
        <f>SUM(L449:L450)</f>
        <v>-3913.1000000000004</v>
      </c>
      <c r="M448" s="84">
        <f t="shared" si="106"/>
        <v>389282.7</v>
      </c>
      <c r="N448" s="13">
        <f>SUM(N449:N450)</f>
        <v>-676.69999999999993</v>
      </c>
      <c r="O448" s="84">
        <f t="shared" si="107"/>
        <v>388606</v>
      </c>
      <c r="P448" s="13">
        <f>SUM(P449:P450)</f>
        <v>0</v>
      </c>
      <c r="Q448" s="84">
        <f t="shared" si="104"/>
        <v>388606</v>
      </c>
      <c r="R448" s="13">
        <f>SUM(R449:R450)</f>
        <v>-6029.7999999999993</v>
      </c>
      <c r="S448" s="84">
        <f t="shared" si="103"/>
        <v>382576.2</v>
      </c>
      <c r="T448" s="13">
        <f>SUM(T449:T450)</f>
        <v>-5813.4</v>
      </c>
      <c r="U448" s="84">
        <f t="shared" si="101"/>
        <v>376762.8</v>
      </c>
    </row>
    <row r="449" spans="1:22" ht="33" hidden="1">
      <c r="A449" s="61" t="str">
        <f t="shared" ca="1" si="105"/>
        <v>Закупка товаров, работ, услуг в сфере информационно-коммуникационных технологий</v>
      </c>
      <c r="B449" s="100">
        <v>803</v>
      </c>
      <c r="C449" s="8" t="s">
        <v>214</v>
      </c>
      <c r="D449" s="8" t="s">
        <v>217</v>
      </c>
      <c r="E449" s="100" t="s">
        <v>50</v>
      </c>
      <c r="F449" s="100">
        <v>242</v>
      </c>
      <c r="G449" s="69">
        <v>665.5</v>
      </c>
      <c r="H449" s="64"/>
      <c r="I449" s="69">
        <f t="shared" si="98"/>
        <v>665.5</v>
      </c>
      <c r="J449" s="64">
        <v>-665.5</v>
      </c>
      <c r="K449" s="84">
        <f t="shared" si="99"/>
        <v>0</v>
      </c>
      <c r="L449" s="84"/>
      <c r="M449" s="84">
        <f t="shared" si="106"/>
        <v>0</v>
      </c>
      <c r="N449" s="84"/>
      <c r="O449" s="84">
        <f t="shared" si="107"/>
        <v>0</v>
      </c>
      <c r="P449" s="84"/>
      <c r="Q449" s="84">
        <f t="shared" si="104"/>
        <v>0</v>
      </c>
      <c r="R449" s="84"/>
      <c r="S449" s="84">
        <f t="shared" si="103"/>
        <v>0</v>
      </c>
      <c r="T449" s="84"/>
      <c r="U449" s="84">
        <f t="shared" si="101"/>
        <v>0</v>
      </c>
      <c r="V449" s="142" t="s">
        <v>706</v>
      </c>
    </row>
    <row r="450" spans="1:22" ht="33">
      <c r="A450" s="61" t="str">
        <f t="shared" ca="1" si="105"/>
        <v xml:space="preserve">Прочая закупка товаров, работ и услуг для обеспечения муниципальных нужд         </v>
      </c>
      <c r="B450" s="126">
        <v>803</v>
      </c>
      <c r="C450" s="8" t="s">
        <v>214</v>
      </c>
      <c r="D450" s="8" t="s">
        <v>217</v>
      </c>
      <c r="E450" s="126" t="s">
        <v>50</v>
      </c>
      <c r="F450" s="126">
        <v>244</v>
      </c>
      <c r="G450" s="69">
        <f>315819.7+25327</f>
        <v>341146.7</v>
      </c>
      <c r="H450" s="64">
        <v>51383.6</v>
      </c>
      <c r="I450" s="69">
        <f t="shared" si="98"/>
        <v>392530.3</v>
      </c>
      <c r="J450" s="64">
        <v>665.5</v>
      </c>
      <c r="K450" s="84">
        <f t="shared" si="99"/>
        <v>393195.8</v>
      </c>
      <c r="L450" s="84">
        <f>10000-13913.1</f>
        <v>-3913.1000000000004</v>
      </c>
      <c r="M450" s="84">
        <f t="shared" si="106"/>
        <v>389282.7</v>
      </c>
      <c r="N450" s="84">
        <f>52.6-729.3</f>
        <v>-676.69999999999993</v>
      </c>
      <c r="O450" s="84">
        <f t="shared" si="107"/>
        <v>388606</v>
      </c>
      <c r="P450" s="84"/>
      <c r="Q450" s="84">
        <f t="shared" si="104"/>
        <v>388606</v>
      </c>
      <c r="R450" s="84">
        <f>69.5-5151.9-400-1020-55-272.5-124.9+1000-75</f>
        <v>-6029.7999999999993</v>
      </c>
      <c r="S450" s="84">
        <f t="shared" si="103"/>
        <v>382576.2</v>
      </c>
      <c r="T450" s="84">
        <f>-5813.4</f>
        <v>-5813.4</v>
      </c>
      <c r="U450" s="84">
        <f t="shared" si="101"/>
        <v>376762.8</v>
      </c>
    </row>
    <row r="451" spans="1:22">
      <c r="A451" s="61" t="str">
        <f t="shared" ca="1" si="105"/>
        <v>Иные бюджетные ассигнования</v>
      </c>
      <c r="B451" s="126">
        <v>803</v>
      </c>
      <c r="C451" s="8" t="s">
        <v>214</v>
      </c>
      <c r="D451" s="8" t="s">
        <v>217</v>
      </c>
      <c r="E451" s="126" t="s">
        <v>50</v>
      </c>
      <c r="F451" s="126">
        <v>800</v>
      </c>
      <c r="G451" s="69">
        <f>G452</f>
        <v>1.6</v>
      </c>
      <c r="H451" s="69">
        <f>H452</f>
        <v>0</v>
      </c>
      <c r="I451" s="69">
        <f t="shared" si="98"/>
        <v>1.6</v>
      </c>
      <c r="J451" s="69">
        <f>J452</f>
        <v>0</v>
      </c>
      <c r="K451" s="84">
        <f t="shared" si="99"/>
        <v>1.6</v>
      </c>
      <c r="L451" s="13">
        <f>L452</f>
        <v>0</v>
      </c>
      <c r="M451" s="84">
        <f t="shared" si="106"/>
        <v>1.6</v>
      </c>
      <c r="N451" s="13">
        <f>N452</f>
        <v>0</v>
      </c>
      <c r="O451" s="84">
        <f t="shared" si="107"/>
        <v>1.6</v>
      </c>
      <c r="P451" s="13">
        <f>P452</f>
        <v>0</v>
      </c>
      <c r="Q451" s="84">
        <f t="shared" si="104"/>
        <v>1.6</v>
      </c>
      <c r="R451" s="13">
        <f>R452</f>
        <v>0</v>
      </c>
      <c r="S451" s="84">
        <f t="shared" si="103"/>
        <v>1.6</v>
      </c>
      <c r="T451" s="13">
        <f>T452</f>
        <v>0</v>
      </c>
      <c r="U451" s="84">
        <f t="shared" si="101"/>
        <v>1.6</v>
      </c>
    </row>
    <row r="452" spans="1:22">
      <c r="A452" s="61" t="str">
        <f t="shared" ca="1" si="105"/>
        <v>Уплата налогов, сборов и иных платежей</v>
      </c>
      <c r="B452" s="126">
        <v>803</v>
      </c>
      <c r="C452" s="8" t="s">
        <v>214</v>
      </c>
      <c r="D452" s="8" t="s">
        <v>217</v>
      </c>
      <c r="E452" s="126" t="s">
        <v>50</v>
      </c>
      <c r="F452" s="126">
        <v>850</v>
      </c>
      <c r="G452" s="69">
        <f>G453</f>
        <v>1.6</v>
      </c>
      <c r="H452" s="69">
        <f>H453</f>
        <v>0</v>
      </c>
      <c r="I452" s="69">
        <f t="shared" si="98"/>
        <v>1.6</v>
      </c>
      <c r="J452" s="69">
        <f>J453</f>
        <v>0</v>
      </c>
      <c r="K452" s="84">
        <f t="shared" si="99"/>
        <v>1.6</v>
      </c>
      <c r="L452" s="13">
        <f>L453</f>
        <v>0</v>
      </c>
      <c r="M452" s="84">
        <f t="shared" si="106"/>
        <v>1.6</v>
      </c>
      <c r="N452" s="13">
        <f>N453</f>
        <v>0</v>
      </c>
      <c r="O452" s="84">
        <f t="shared" si="107"/>
        <v>1.6</v>
      </c>
      <c r="P452" s="13">
        <f>P453</f>
        <v>0</v>
      </c>
      <c r="Q452" s="84">
        <f t="shared" si="104"/>
        <v>1.6</v>
      </c>
      <c r="R452" s="13">
        <f>R453</f>
        <v>0</v>
      </c>
      <c r="S452" s="84">
        <f t="shared" si="103"/>
        <v>1.6</v>
      </c>
      <c r="T452" s="13">
        <f>T453</f>
        <v>0</v>
      </c>
      <c r="U452" s="84">
        <f t="shared" si="101"/>
        <v>1.6</v>
      </c>
    </row>
    <row r="453" spans="1:22">
      <c r="A453" s="61" t="str">
        <f t="shared" ca="1" si="105"/>
        <v>Уплата прочих налогов, сборов и иных платежей</v>
      </c>
      <c r="B453" s="126">
        <v>803</v>
      </c>
      <c r="C453" s="8" t="s">
        <v>214</v>
      </c>
      <c r="D453" s="8" t="s">
        <v>217</v>
      </c>
      <c r="E453" s="126" t="s">
        <v>50</v>
      </c>
      <c r="F453" s="126">
        <v>852</v>
      </c>
      <c r="G453" s="69">
        <v>1.6</v>
      </c>
      <c r="H453" s="64"/>
      <c r="I453" s="69">
        <f t="shared" si="98"/>
        <v>1.6</v>
      </c>
      <c r="J453" s="64"/>
      <c r="K453" s="84">
        <f t="shared" si="99"/>
        <v>1.6</v>
      </c>
      <c r="L453" s="84"/>
      <c r="M453" s="84">
        <f t="shared" si="106"/>
        <v>1.6</v>
      </c>
      <c r="N453" s="84"/>
      <c r="O453" s="84">
        <f t="shared" si="107"/>
        <v>1.6</v>
      </c>
      <c r="P453" s="84"/>
      <c r="Q453" s="84">
        <f t="shared" si="104"/>
        <v>1.6</v>
      </c>
      <c r="R453" s="84"/>
      <c r="S453" s="84">
        <f t="shared" si="103"/>
        <v>1.6</v>
      </c>
      <c r="T453" s="84"/>
      <c r="U453" s="84">
        <f t="shared" si="101"/>
        <v>1.6</v>
      </c>
    </row>
    <row r="454" spans="1:22" ht="49.5">
      <c r="A454" s="61" t="str">
        <f ca="1">IF(ISERROR(MATCH(E454,Код_КЦСР,0)),"",INDIRECT(ADDRESS(MATCH(E454,Код_КЦСР,0)+1,2,,,"КЦСР")))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454" s="126">
        <v>803</v>
      </c>
      <c r="C454" s="8" t="s">
        <v>214</v>
      </c>
      <c r="D454" s="8" t="s">
        <v>217</v>
      </c>
      <c r="E454" s="126" t="s">
        <v>427</v>
      </c>
      <c r="F454" s="126"/>
      <c r="G454" s="69">
        <f t="shared" ref="G454:T456" si="108">G455</f>
        <v>227763</v>
      </c>
      <c r="H454" s="69">
        <f t="shared" si="108"/>
        <v>0</v>
      </c>
      <c r="I454" s="69">
        <f t="shared" si="98"/>
        <v>227763</v>
      </c>
      <c r="J454" s="69">
        <f t="shared" si="108"/>
        <v>0</v>
      </c>
      <c r="K454" s="84">
        <f t="shared" si="99"/>
        <v>227763</v>
      </c>
      <c r="L454" s="13">
        <f t="shared" si="108"/>
        <v>0</v>
      </c>
      <c r="M454" s="84">
        <f t="shared" si="106"/>
        <v>227763</v>
      </c>
      <c r="N454" s="13">
        <f t="shared" si="108"/>
        <v>0</v>
      </c>
      <c r="O454" s="84">
        <f t="shared" si="107"/>
        <v>227763</v>
      </c>
      <c r="P454" s="13">
        <f t="shared" si="108"/>
        <v>0</v>
      </c>
      <c r="Q454" s="84">
        <f t="shared" si="104"/>
        <v>227763</v>
      </c>
      <c r="R454" s="13">
        <f t="shared" si="108"/>
        <v>0</v>
      </c>
      <c r="S454" s="84">
        <f t="shared" si="103"/>
        <v>227763</v>
      </c>
      <c r="T454" s="13">
        <f t="shared" si="108"/>
        <v>0</v>
      </c>
      <c r="U454" s="84">
        <f t="shared" si="101"/>
        <v>227763</v>
      </c>
    </row>
    <row r="455" spans="1:22">
      <c r="A455" s="61" t="str">
        <f ca="1">IF(ISERROR(MATCH(F455,Код_КВР,0)),"",INDIRECT(ADDRESS(MATCH(F455,Код_КВР,0)+1,2,,,"КВР")))</f>
        <v>Закупка товаров, работ и услуг для муниципальных нужд</v>
      </c>
      <c r="B455" s="126">
        <v>803</v>
      </c>
      <c r="C455" s="8" t="s">
        <v>214</v>
      </c>
      <c r="D455" s="8" t="s">
        <v>217</v>
      </c>
      <c r="E455" s="126" t="s">
        <v>427</v>
      </c>
      <c r="F455" s="126">
        <v>200</v>
      </c>
      <c r="G455" s="69">
        <f t="shared" si="108"/>
        <v>227763</v>
      </c>
      <c r="H455" s="69">
        <f t="shared" si="108"/>
        <v>0</v>
      </c>
      <c r="I455" s="69">
        <f t="shared" si="98"/>
        <v>227763</v>
      </c>
      <c r="J455" s="69">
        <f t="shared" si="108"/>
        <v>0</v>
      </c>
      <c r="K455" s="84">
        <f t="shared" si="99"/>
        <v>227763</v>
      </c>
      <c r="L455" s="13">
        <f t="shared" si="108"/>
        <v>0</v>
      </c>
      <c r="M455" s="84">
        <f t="shared" si="106"/>
        <v>227763</v>
      </c>
      <c r="N455" s="13">
        <f t="shared" si="108"/>
        <v>0</v>
      </c>
      <c r="O455" s="84">
        <f t="shared" si="107"/>
        <v>227763</v>
      </c>
      <c r="P455" s="13">
        <f t="shared" si="108"/>
        <v>0</v>
      </c>
      <c r="Q455" s="84">
        <f t="shared" si="104"/>
        <v>227763</v>
      </c>
      <c r="R455" s="13">
        <f t="shared" si="108"/>
        <v>0</v>
      </c>
      <c r="S455" s="84">
        <f t="shared" si="103"/>
        <v>227763</v>
      </c>
      <c r="T455" s="13">
        <f t="shared" si="108"/>
        <v>0</v>
      </c>
      <c r="U455" s="84">
        <f t="shared" si="101"/>
        <v>227763</v>
      </c>
    </row>
    <row r="456" spans="1:22" ht="33">
      <c r="A456" s="61" t="str">
        <f ca="1">IF(ISERROR(MATCH(F456,Код_КВР,0)),"",INDIRECT(ADDRESS(MATCH(F456,Код_КВР,0)+1,2,,,"КВР")))</f>
        <v>Иные закупки товаров, работ и услуг для обеспечения муниципальных нужд</v>
      </c>
      <c r="B456" s="126">
        <v>803</v>
      </c>
      <c r="C456" s="8" t="s">
        <v>214</v>
      </c>
      <c r="D456" s="8" t="s">
        <v>217</v>
      </c>
      <c r="E456" s="126" t="s">
        <v>427</v>
      </c>
      <c r="F456" s="126">
        <v>240</v>
      </c>
      <c r="G456" s="69">
        <f t="shared" si="108"/>
        <v>227763</v>
      </c>
      <c r="H456" s="69">
        <f t="shared" si="108"/>
        <v>0</v>
      </c>
      <c r="I456" s="69">
        <f t="shared" si="98"/>
        <v>227763</v>
      </c>
      <c r="J456" s="69">
        <f t="shared" si="108"/>
        <v>0</v>
      </c>
      <c r="K456" s="84">
        <f t="shared" si="99"/>
        <v>227763</v>
      </c>
      <c r="L456" s="13">
        <f t="shared" si="108"/>
        <v>0</v>
      </c>
      <c r="M456" s="84">
        <f t="shared" si="106"/>
        <v>227763</v>
      </c>
      <c r="N456" s="13">
        <f t="shared" si="108"/>
        <v>0</v>
      </c>
      <c r="O456" s="84">
        <f t="shared" si="107"/>
        <v>227763</v>
      </c>
      <c r="P456" s="13">
        <f t="shared" si="108"/>
        <v>0</v>
      </c>
      <c r="Q456" s="84">
        <f t="shared" si="104"/>
        <v>227763</v>
      </c>
      <c r="R456" s="13">
        <f t="shared" si="108"/>
        <v>0</v>
      </c>
      <c r="S456" s="84">
        <f t="shared" si="103"/>
        <v>227763</v>
      </c>
      <c r="T456" s="13">
        <f t="shared" si="108"/>
        <v>0</v>
      </c>
      <c r="U456" s="84">
        <f t="shared" si="101"/>
        <v>227763</v>
      </c>
    </row>
    <row r="457" spans="1:22" ht="33">
      <c r="A457" s="61" t="str">
        <f ca="1">IF(ISERROR(MATCH(F457,Код_КВР,0)),"",INDIRECT(ADDRESS(MATCH(F457,Код_КВР,0)+1,2,,,"КВР")))</f>
        <v xml:space="preserve">Прочая закупка товаров, работ и услуг для обеспечения муниципальных нужд         </v>
      </c>
      <c r="B457" s="126">
        <v>803</v>
      </c>
      <c r="C457" s="8" t="s">
        <v>214</v>
      </c>
      <c r="D457" s="8" t="s">
        <v>217</v>
      </c>
      <c r="E457" s="126" t="s">
        <v>427</v>
      </c>
      <c r="F457" s="126">
        <v>244</v>
      </c>
      <c r="G457" s="69">
        <v>227763</v>
      </c>
      <c r="H457" s="64"/>
      <c r="I457" s="69">
        <f t="shared" si="98"/>
        <v>227763</v>
      </c>
      <c r="J457" s="64"/>
      <c r="K457" s="84">
        <f t="shared" si="99"/>
        <v>227763</v>
      </c>
      <c r="L457" s="84"/>
      <c r="M457" s="84">
        <f t="shared" si="106"/>
        <v>227763</v>
      </c>
      <c r="N457" s="84"/>
      <c r="O457" s="84">
        <f t="shared" si="107"/>
        <v>227763</v>
      </c>
      <c r="P457" s="84"/>
      <c r="Q457" s="84">
        <f t="shared" si="104"/>
        <v>227763</v>
      </c>
      <c r="R457" s="84"/>
      <c r="S457" s="84">
        <f t="shared" si="103"/>
        <v>227763</v>
      </c>
      <c r="T457" s="84"/>
      <c r="U457" s="84">
        <f t="shared" si="101"/>
        <v>227763</v>
      </c>
    </row>
    <row r="458" spans="1:22" ht="33">
      <c r="A458" s="61" t="str">
        <f ca="1">IF(ISERROR(MATCH(E458,Код_КЦСР,0)),"",INDIRECT(ADDRESS(MATCH(E458,Код_КЦСР,0)+1,2,,,"КЦСР")))</f>
        <v>Непрограммные направления деятельности органов местного самоуправления</v>
      </c>
      <c r="B458" s="126">
        <v>803</v>
      </c>
      <c r="C458" s="8" t="s">
        <v>214</v>
      </c>
      <c r="D458" s="8" t="s">
        <v>217</v>
      </c>
      <c r="E458" s="126" t="s">
        <v>295</v>
      </c>
      <c r="F458" s="126"/>
      <c r="G458" s="69">
        <f t="shared" ref="G458:T461" si="109">G459</f>
        <v>35000</v>
      </c>
      <c r="H458" s="69">
        <f t="shared" si="109"/>
        <v>0</v>
      </c>
      <c r="I458" s="69">
        <f t="shared" si="98"/>
        <v>35000</v>
      </c>
      <c r="J458" s="69">
        <f t="shared" si="109"/>
        <v>0</v>
      </c>
      <c r="K458" s="84">
        <f t="shared" si="99"/>
        <v>35000</v>
      </c>
      <c r="L458" s="13">
        <f t="shared" si="109"/>
        <v>0</v>
      </c>
      <c r="M458" s="84">
        <f t="shared" si="106"/>
        <v>35000</v>
      </c>
      <c r="N458" s="13">
        <f t="shared" si="109"/>
        <v>0</v>
      </c>
      <c r="O458" s="84">
        <f t="shared" si="107"/>
        <v>35000</v>
      </c>
      <c r="P458" s="13">
        <f t="shared" si="109"/>
        <v>0</v>
      </c>
      <c r="Q458" s="84">
        <f t="shared" si="104"/>
        <v>35000</v>
      </c>
      <c r="R458" s="13">
        <f t="shared" si="109"/>
        <v>0</v>
      </c>
      <c r="S458" s="84">
        <f t="shared" si="103"/>
        <v>35000</v>
      </c>
      <c r="T458" s="13">
        <f t="shared" si="109"/>
        <v>0</v>
      </c>
      <c r="U458" s="84">
        <f t="shared" si="101"/>
        <v>35000</v>
      </c>
    </row>
    <row r="459" spans="1:22">
      <c r="A459" s="61" t="str">
        <f ca="1">IF(ISERROR(MATCH(E459,Код_КЦСР,0)),"",INDIRECT(ADDRESS(MATCH(E459,Код_КЦСР,0)+1,2,,,"КЦСР")))</f>
        <v>Расходы, не включенные в муниципальные программы города Череповца</v>
      </c>
      <c r="B459" s="126">
        <v>803</v>
      </c>
      <c r="C459" s="8" t="s">
        <v>214</v>
      </c>
      <c r="D459" s="8" t="s">
        <v>217</v>
      </c>
      <c r="E459" s="126" t="s">
        <v>297</v>
      </c>
      <c r="F459" s="126"/>
      <c r="G459" s="69">
        <f t="shared" si="109"/>
        <v>35000</v>
      </c>
      <c r="H459" s="69">
        <f t="shared" si="109"/>
        <v>0</v>
      </c>
      <c r="I459" s="69">
        <f t="shared" si="98"/>
        <v>35000</v>
      </c>
      <c r="J459" s="69">
        <f t="shared" si="109"/>
        <v>0</v>
      </c>
      <c r="K459" s="84">
        <f t="shared" si="99"/>
        <v>35000</v>
      </c>
      <c r="L459" s="13">
        <f t="shared" si="109"/>
        <v>0</v>
      </c>
      <c r="M459" s="84">
        <f t="shared" si="106"/>
        <v>35000</v>
      </c>
      <c r="N459" s="13">
        <f t="shared" si="109"/>
        <v>0</v>
      </c>
      <c r="O459" s="84">
        <f t="shared" si="107"/>
        <v>35000</v>
      </c>
      <c r="P459" s="13">
        <f t="shared" si="109"/>
        <v>0</v>
      </c>
      <c r="Q459" s="84">
        <f t="shared" si="104"/>
        <v>35000</v>
      </c>
      <c r="R459" s="13">
        <f t="shared" si="109"/>
        <v>0</v>
      </c>
      <c r="S459" s="84">
        <f t="shared" si="103"/>
        <v>35000</v>
      </c>
      <c r="T459" s="13">
        <f t="shared" si="109"/>
        <v>0</v>
      </c>
      <c r="U459" s="84">
        <f t="shared" si="101"/>
        <v>35000</v>
      </c>
    </row>
    <row r="460" spans="1:22" ht="33">
      <c r="A460" s="61" t="str">
        <f ca="1">IF(ISERROR(MATCH(E460,Код_КЦСР,0)),"",INDIRECT(ADDRESS(MATCH(E460,Код_КЦСР,0)+1,2,,,"КЦСР")))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460" s="126">
        <v>803</v>
      </c>
      <c r="C460" s="8" t="s">
        <v>214</v>
      </c>
      <c r="D460" s="8" t="s">
        <v>217</v>
      </c>
      <c r="E460" s="126" t="s">
        <v>440</v>
      </c>
      <c r="F460" s="126"/>
      <c r="G460" s="69">
        <f t="shared" si="109"/>
        <v>35000</v>
      </c>
      <c r="H460" s="69">
        <f t="shared" si="109"/>
        <v>0</v>
      </c>
      <c r="I460" s="69">
        <f t="shared" si="98"/>
        <v>35000</v>
      </c>
      <c r="J460" s="69">
        <f t="shared" si="109"/>
        <v>0</v>
      </c>
      <c r="K460" s="84">
        <f t="shared" si="99"/>
        <v>35000</v>
      </c>
      <c r="L460" s="13">
        <f t="shared" si="109"/>
        <v>0</v>
      </c>
      <c r="M460" s="84">
        <f t="shared" si="106"/>
        <v>35000</v>
      </c>
      <c r="N460" s="13">
        <f t="shared" si="109"/>
        <v>0</v>
      </c>
      <c r="O460" s="84">
        <f t="shared" si="107"/>
        <v>35000</v>
      </c>
      <c r="P460" s="13">
        <f t="shared" si="109"/>
        <v>0</v>
      </c>
      <c r="Q460" s="84">
        <f t="shared" si="104"/>
        <v>35000</v>
      </c>
      <c r="R460" s="13">
        <f t="shared" si="109"/>
        <v>0</v>
      </c>
      <c r="S460" s="84">
        <f t="shared" si="103"/>
        <v>35000</v>
      </c>
      <c r="T460" s="13">
        <f t="shared" si="109"/>
        <v>0</v>
      </c>
      <c r="U460" s="84">
        <f t="shared" si="101"/>
        <v>35000</v>
      </c>
    </row>
    <row r="461" spans="1:22">
      <c r="A461" s="61" t="str">
        <f ca="1">IF(ISERROR(MATCH(F461,Код_КВР,0)),"",INDIRECT(ADDRESS(MATCH(F461,Код_КВР,0)+1,2,,,"КВР")))</f>
        <v>Иные бюджетные ассигнования</v>
      </c>
      <c r="B461" s="126">
        <v>803</v>
      </c>
      <c r="C461" s="8" t="s">
        <v>214</v>
      </c>
      <c r="D461" s="8" t="s">
        <v>217</v>
      </c>
      <c r="E461" s="126" t="s">
        <v>440</v>
      </c>
      <c r="F461" s="126">
        <v>800</v>
      </c>
      <c r="G461" s="69">
        <f t="shared" si="109"/>
        <v>35000</v>
      </c>
      <c r="H461" s="69">
        <f t="shared" si="109"/>
        <v>0</v>
      </c>
      <c r="I461" s="69">
        <f t="shared" si="98"/>
        <v>35000</v>
      </c>
      <c r="J461" s="69">
        <f t="shared" si="109"/>
        <v>0</v>
      </c>
      <c r="K461" s="84">
        <f t="shared" si="99"/>
        <v>35000</v>
      </c>
      <c r="L461" s="13">
        <f t="shared" si="109"/>
        <v>0</v>
      </c>
      <c r="M461" s="84">
        <f t="shared" si="106"/>
        <v>35000</v>
      </c>
      <c r="N461" s="13">
        <f t="shared" si="109"/>
        <v>0</v>
      </c>
      <c r="O461" s="84">
        <f t="shared" si="107"/>
        <v>35000</v>
      </c>
      <c r="P461" s="13">
        <f t="shared" si="109"/>
        <v>0</v>
      </c>
      <c r="Q461" s="84">
        <f t="shared" si="104"/>
        <v>35000</v>
      </c>
      <c r="R461" s="13">
        <f t="shared" si="109"/>
        <v>0</v>
      </c>
      <c r="S461" s="84">
        <f t="shared" si="103"/>
        <v>35000</v>
      </c>
      <c r="T461" s="13">
        <f t="shared" si="109"/>
        <v>0</v>
      </c>
      <c r="U461" s="84">
        <f t="shared" si="101"/>
        <v>35000</v>
      </c>
    </row>
    <row r="462" spans="1:22" ht="33">
      <c r="A462" s="61" t="str">
        <f ca="1">IF(ISERROR(MATCH(F462,Код_КВР,0)),"",INDIRECT(ADDRESS(MATCH(F462,Код_КВР,0)+1,2,,,"КВР")))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62" s="126">
        <v>803</v>
      </c>
      <c r="C462" s="8" t="s">
        <v>214</v>
      </c>
      <c r="D462" s="8" t="s">
        <v>217</v>
      </c>
      <c r="E462" s="126" t="s">
        <v>440</v>
      </c>
      <c r="F462" s="126">
        <v>810</v>
      </c>
      <c r="G462" s="69">
        <v>35000</v>
      </c>
      <c r="H462" s="64"/>
      <c r="I462" s="69">
        <f t="shared" si="98"/>
        <v>35000</v>
      </c>
      <c r="J462" s="64"/>
      <c r="K462" s="84">
        <f t="shared" si="99"/>
        <v>35000</v>
      </c>
      <c r="L462" s="84"/>
      <c r="M462" s="84">
        <f t="shared" si="106"/>
        <v>35000</v>
      </c>
      <c r="N462" s="84"/>
      <c r="O462" s="84">
        <f t="shared" si="107"/>
        <v>35000</v>
      </c>
      <c r="P462" s="84"/>
      <c r="Q462" s="84">
        <f t="shared" si="104"/>
        <v>35000</v>
      </c>
      <c r="R462" s="84"/>
      <c r="S462" s="84">
        <f t="shared" si="103"/>
        <v>35000</v>
      </c>
      <c r="T462" s="84"/>
      <c r="U462" s="84">
        <f t="shared" si="101"/>
        <v>35000</v>
      </c>
    </row>
    <row r="463" spans="1:22">
      <c r="A463" s="12" t="s">
        <v>221</v>
      </c>
      <c r="B463" s="126">
        <v>803</v>
      </c>
      <c r="C463" s="8" t="s">
        <v>214</v>
      </c>
      <c r="D463" s="8" t="s">
        <v>194</v>
      </c>
      <c r="E463" s="126"/>
      <c r="F463" s="126"/>
      <c r="G463" s="69">
        <f>G464+G473</f>
        <v>130</v>
      </c>
      <c r="H463" s="69">
        <f>H464+H473</f>
        <v>0</v>
      </c>
      <c r="I463" s="69">
        <f t="shared" si="98"/>
        <v>130</v>
      </c>
      <c r="J463" s="69">
        <f>J464+J473</f>
        <v>0</v>
      </c>
      <c r="K463" s="84">
        <f t="shared" si="99"/>
        <v>130</v>
      </c>
      <c r="L463" s="13">
        <f>L464+L473</f>
        <v>0</v>
      </c>
      <c r="M463" s="84">
        <f t="shared" si="106"/>
        <v>130</v>
      </c>
      <c r="N463" s="13">
        <f>N464+N473</f>
        <v>0</v>
      </c>
      <c r="O463" s="84">
        <f t="shared" si="107"/>
        <v>130</v>
      </c>
      <c r="P463" s="13">
        <f>P464+P473</f>
        <v>0</v>
      </c>
      <c r="Q463" s="84">
        <f t="shared" si="104"/>
        <v>130</v>
      </c>
      <c r="R463" s="13">
        <f>R464+R473</f>
        <v>0</v>
      </c>
      <c r="S463" s="84">
        <f t="shared" si="103"/>
        <v>130</v>
      </c>
      <c r="T463" s="13">
        <f>T464+T473</f>
        <v>0</v>
      </c>
      <c r="U463" s="84">
        <f t="shared" si="101"/>
        <v>130</v>
      </c>
    </row>
    <row r="464" spans="1:22" ht="33">
      <c r="A464" s="61" t="str">
        <f ca="1">IF(ISERROR(MATCH(E464,Код_КЦСР,0)),"",INDIRECT(ADDRESS(MATCH(E464,Код_КЦСР,0)+1,2,,,"КЦСР")))</f>
        <v>Муниципальная программа «Развитие внутреннего и въездного туризма в г. Череповце» на 2014-2022 годы</v>
      </c>
      <c r="B464" s="126">
        <v>803</v>
      </c>
      <c r="C464" s="8" t="s">
        <v>214</v>
      </c>
      <c r="D464" s="8" t="s">
        <v>194</v>
      </c>
      <c r="E464" s="126" t="s">
        <v>1</v>
      </c>
      <c r="F464" s="126"/>
      <c r="G464" s="69">
        <f>G465+G469</f>
        <v>50</v>
      </c>
      <c r="H464" s="69">
        <f>H465+H469</f>
        <v>0</v>
      </c>
      <c r="I464" s="69">
        <f t="shared" si="98"/>
        <v>50</v>
      </c>
      <c r="J464" s="69">
        <f>J465+J469</f>
        <v>0</v>
      </c>
      <c r="K464" s="84">
        <f t="shared" si="99"/>
        <v>50</v>
      </c>
      <c r="L464" s="13">
        <f>L465+L469</f>
        <v>0</v>
      </c>
      <c r="M464" s="84">
        <f t="shared" si="106"/>
        <v>50</v>
      </c>
      <c r="N464" s="13">
        <f>N465+N469</f>
        <v>0</v>
      </c>
      <c r="O464" s="84">
        <f t="shared" si="107"/>
        <v>50</v>
      </c>
      <c r="P464" s="13">
        <f>P465+P469</f>
        <v>0</v>
      </c>
      <c r="Q464" s="84">
        <f t="shared" si="104"/>
        <v>50</v>
      </c>
      <c r="R464" s="13">
        <f>R465+R469</f>
        <v>0</v>
      </c>
      <c r="S464" s="84">
        <f t="shared" si="103"/>
        <v>50</v>
      </c>
      <c r="T464" s="13">
        <f>T465+T469</f>
        <v>0</v>
      </c>
      <c r="U464" s="84">
        <f t="shared" si="101"/>
        <v>50</v>
      </c>
    </row>
    <row r="465" spans="1:21">
      <c r="A465" s="61" t="str">
        <f ca="1">IF(ISERROR(MATCH(E465,Код_КЦСР,0)),"",INDIRECT(ADDRESS(MATCH(E465,Код_КЦСР,0)+1,2,,,"КЦСР")))</f>
        <v>Продвижение городского туристского продукта на российском рынке</v>
      </c>
      <c r="B465" s="126">
        <v>803</v>
      </c>
      <c r="C465" s="8" t="s">
        <v>214</v>
      </c>
      <c r="D465" s="8" t="s">
        <v>194</v>
      </c>
      <c r="E465" s="126" t="s">
        <v>2</v>
      </c>
      <c r="F465" s="126"/>
      <c r="G465" s="69">
        <f t="shared" ref="G465:T467" si="110">G466</f>
        <v>22</v>
      </c>
      <c r="H465" s="69">
        <f t="shared" si="110"/>
        <v>0</v>
      </c>
      <c r="I465" s="69">
        <f t="shared" si="98"/>
        <v>22</v>
      </c>
      <c r="J465" s="69">
        <f t="shared" si="110"/>
        <v>0</v>
      </c>
      <c r="K465" s="84">
        <f t="shared" si="99"/>
        <v>22</v>
      </c>
      <c r="L465" s="13">
        <f t="shared" si="110"/>
        <v>0</v>
      </c>
      <c r="M465" s="84">
        <f t="shared" si="106"/>
        <v>22</v>
      </c>
      <c r="N465" s="13">
        <f t="shared" si="110"/>
        <v>0</v>
      </c>
      <c r="O465" s="84">
        <f t="shared" si="107"/>
        <v>22</v>
      </c>
      <c r="P465" s="13">
        <f t="shared" si="110"/>
        <v>0</v>
      </c>
      <c r="Q465" s="84">
        <f t="shared" si="104"/>
        <v>22</v>
      </c>
      <c r="R465" s="13">
        <f t="shared" si="110"/>
        <v>0</v>
      </c>
      <c r="S465" s="84">
        <f t="shared" si="103"/>
        <v>22</v>
      </c>
      <c r="T465" s="13">
        <f t="shared" si="110"/>
        <v>0</v>
      </c>
      <c r="U465" s="84">
        <f t="shared" si="101"/>
        <v>22</v>
      </c>
    </row>
    <row r="466" spans="1:21">
      <c r="A466" s="61" t="str">
        <f ca="1">IF(ISERROR(MATCH(F466,Код_КВР,0)),"",INDIRECT(ADDRESS(MATCH(F466,Код_КВР,0)+1,2,,,"КВР")))</f>
        <v>Закупка товаров, работ и услуг для муниципальных нужд</v>
      </c>
      <c r="B466" s="126">
        <v>803</v>
      </c>
      <c r="C466" s="8" t="s">
        <v>214</v>
      </c>
      <c r="D466" s="8" t="s">
        <v>194</v>
      </c>
      <c r="E466" s="126" t="s">
        <v>2</v>
      </c>
      <c r="F466" s="126">
        <v>200</v>
      </c>
      <c r="G466" s="69">
        <f t="shared" si="110"/>
        <v>22</v>
      </c>
      <c r="H466" s="69">
        <f t="shared" si="110"/>
        <v>0</v>
      </c>
      <c r="I466" s="69">
        <f t="shared" si="98"/>
        <v>22</v>
      </c>
      <c r="J466" s="69">
        <f t="shared" si="110"/>
        <v>0</v>
      </c>
      <c r="K466" s="84">
        <f t="shared" si="99"/>
        <v>22</v>
      </c>
      <c r="L466" s="13">
        <f t="shared" si="110"/>
        <v>0</v>
      </c>
      <c r="M466" s="84">
        <f t="shared" si="106"/>
        <v>22</v>
      </c>
      <c r="N466" s="13">
        <f t="shared" si="110"/>
        <v>0</v>
      </c>
      <c r="O466" s="84">
        <f t="shared" si="107"/>
        <v>22</v>
      </c>
      <c r="P466" s="13">
        <f t="shared" si="110"/>
        <v>0</v>
      </c>
      <c r="Q466" s="84">
        <f t="shared" si="104"/>
        <v>22</v>
      </c>
      <c r="R466" s="13">
        <f t="shared" si="110"/>
        <v>0</v>
      </c>
      <c r="S466" s="84">
        <f t="shared" si="103"/>
        <v>22</v>
      </c>
      <c r="T466" s="13">
        <f t="shared" si="110"/>
        <v>0</v>
      </c>
      <c r="U466" s="84">
        <f t="shared" si="101"/>
        <v>22</v>
      </c>
    </row>
    <row r="467" spans="1:21" ht="33">
      <c r="A467" s="61" t="str">
        <f ca="1">IF(ISERROR(MATCH(F467,Код_КВР,0)),"",INDIRECT(ADDRESS(MATCH(F467,Код_КВР,0)+1,2,,,"КВР")))</f>
        <v>Иные закупки товаров, работ и услуг для обеспечения муниципальных нужд</v>
      </c>
      <c r="B467" s="126">
        <v>803</v>
      </c>
      <c r="C467" s="8" t="s">
        <v>214</v>
      </c>
      <c r="D467" s="8" t="s">
        <v>194</v>
      </c>
      <c r="E467" s="126" t="s">
        <v>2</v>
      </c>
      <c r="F467" s="126">
        <v>240</v>
      </c>
      <c r="G467" s="69">
        <f t="shared" si="110"/>
        <v>22</v>
      </c>
      <c r="H467" s="69">
        <f t="shared" si="110"/>
        <v>0</v>
      </c>
      <c r="I467" s="69">
        <f t="shared" si="98"/>
        <v>22</v>
      </c>
      <c r="J467" s="69">
        <f t="shared" si="110"/>
        <v>0</v>
      </c>
      <c r="K467" s="84">
        <f t="shared" si="99"/>
        <v>22</v>
      </c>
      <c r="L467" s="13">
        <f t="shared" si="110"/>
        <v>0</v>
      </c>
      <c r="M467" s="84">
        <f t="shared" si="106"/>
        <v>22</v>
      </c>
      <c r="N467" s="13">
        <f t="shared" si="110"/>
        <v>0</v>
      </c>
      <c r="O467" s="84">
        <f t="shared" si="107"/>
        <v>22</v>
      </c>
      <c r="P467" s="13">
        <f t="shared" si="110"/>
        <v>0</v>
      </c>
      <c r="Q467" s="84">
        <f t="shared" si="104"/>
        <v>22</v>
      </c>
      <c r="R467" s="13">
        <f t="shared" si="110"/>
        <v>0</v>
      </c>
      <c r="S467" s="84">
        <f t="shared" si="103"/>
        <v>22</v>
      </c>
      <c r="T467" s="13">
        <f t="shared" si="110"/>
        <v>0</v>
      </c>
      <c r="U467" s="84">
        <f t="shared" si="101"/>
        <v>22</v>
      </c>
    </row>
    <row r="468" spans="1:21" ht="33">
      <c r="A468" s="61" t="str">
        <f ca="1">IF(ISERROR(MATCH(F468,Код_КВР,0)),"",INDIRECT(ADDRESS(MATCH(F468,Код_КВР,0)+1,2,,,"КВР")))</f>
        <v xml:space="preserve">Прочая закупка товаров, работ и услуг для обеспечения муниципальных нужд         </v>
      </c>
      <c r="B468" s="126">
        <v>803</v>
      </c>
      <c r="C468" s="8" t="s">
        <v>214</v>
      </c>
      <c r="D468" s="8" t="s">
        <v>194</v>
      </c>
      <c r="E468" s="126" t="s">
        <v>2</v>
      </c>
      <c r="F468" s="126">
        <v>244</v>
      </c>
      <c r="G468" s="69">
        <v>22</v>
      </c>
      <c r="H468" s="64"/>
      <c r="I468" s="69">
        <f t="shared" si="98"/>
        <v>22</v>
      </c>
      <c r="J468" s="64"/>
      <c r="K468" s="84">
        <f t="shared" si="99"/>
        <v>22</v>
      </c>
      <c r="L468" s="84"/>
      <c r="M468" s="84">
        <f t="shared" si="106"/>
        <v>22</v>
      </c>
      <c r="N468" s="84"/>
      <c r="O468" s="84">
        <f t="shared" si="107"/>
        <v>22</v>
      </c>
      <c r="P468" s="84"/>
      <c r="Q468" s="84">
        <f t="shared" si="104"/>
        <v>22</v>
      </c>
      <c r="R468" s="84"/>
      <c r="S468" s="84">
        <f t="shared" si="103"/>
        <v>22</v>
      </c>
      <c r="T468" s="84"/>
      <c r="U468" s="84">
        <f t="shared" si="101"/>
        <v>22</v>
      </c>
    </row>
    <row r="469" spans="1:21">
      <c r="A469" s="61" t="str">
        <f ca="1">IF(ISERROR(MATCH(E469,Код_КЦСР,0)),"",INDIRECT(ADDRESS(MATCH(E469,Код_КЦСР,0)+1,2,,,"КЦСР")))</f>
        <v>Развитие туристской, инженерной и транспортной инфраструктур</v>
      </c>
      <c r="B469" s="126">
        <v>803</v>
      </c>
      <c r="C469" s="8" t="s">
        <v>214</v>
      </c>
      <c r="D469" s="8" t="s">
        <v>194</v>
      </c>
      <c r="E469" s="126" t="s">
        <v>3</v>
      </c>
      <c r="F469" s="126"/>
      <c r="G469" s="69">
        <f>G470</f>
        <v>28</v>
      </c>
      <c r="H469" s="64"/>
      <c r="I469" s="69">
        <f t="shared" si="98"/>
        <v>28</v>
      </c>
      <c r="J469" s="64"/>
      <c r="K469" s="84">
        <f t="shared" si="99"/>
        <v>28</v>
      </c>
      <c r="L469" s="84"/>
      <c r="M469" s="84">
        <f t="shared" si="106"/>
        <v>28</v>
      </c>
      <c r="N469" s="84"/>
      <c r="O469" s="84">
        <f t="shared" si="107"/>
        <v>28</v>
      </c>
      <c r="P469" s="84"/>
      <c r="Q469" s="84">
        <f t="shared" si="104"/>
        <v>28</v>
      </c>
      <c r="R469" s="84"/>
      <c r="S469" s="84">
        <f t="shared" si="103"/>
        <v>28</v>
      </c>
      <c r="T469" s="84"/>
      <c r="U469" s="84">
        <f t="shared" si="101"/>
        <v>28</v>
      </c>
    </row>
    <row r="470" spans="1:21">
      <c r="A470" s="61" t="str">
        <f ca="1">IF(ISERROR(MATCH(F470,Код_КВР,0)),"",INDIRECT(ADDRESS(MATCH(F470,Код_КВР,0)+1,2,,,"КВР")))</f>
        <v>Закупка товаров, работ и услуг для муниципальных нужд</v>
      </c>
      <c r="B470" s="126">
        <v>803</v>
      </c>
      <c r="C470" s="8" t="s">
        <v>214</v>
      </c>
      <c r="D470" s="8" t="s">
        <v>194</v>
      </c>
      <c r="E470" s="126" t="s">
        <v>3</v>
      </c>
      <c r="F470" s="126">
        <v>200</v>
      </c>
      <c r="G470" s="69">
        <f>G471</f>
        <v>28</v>
      </c>
      <c r="H470" s="69">
        <f>H471</f>
        <v>0</v>
      </c>
      <c r="I470" s="69">
        <f t="shared" si="98"/>
        <v>28</v>
      </c>
      <c r="J470" s="69">
        <f>J471</f>
        <v>0</v>
      </c>
      <c r="K470" s="84">
        <f t="shared" si="99"/>
        <v>28</v>
      </c>
      <c r="L470" s="13">
        <f>L471</f>
        <v>0</v>
      </c>
      <c r="M470" s="84">
        <f t="shared" si="106"/>
        <v>28</v>
      </c>
      <c r="N470" s="13">
        <f>N471</f>
        <v>0</v>
      </c>
      <c r="O470" s="84">
        <f t="shared" si="107"/>
        <v>28</v>
      </c>
      <c r="P470" s="13">
        <f>P471</f>
        <v>0</v>
      </c>
      <c r="Q470" s="84">
        <f t="shared" si="104"/>
        <v>28</v>
      </c>
      <c r="R470" s="13">
        <f>R471</f>
        <v>0</v>
      </c>
      <c r="S470" s="84">
        <f t="shared" si="103"/>
        <v>28</v>
      </c>
      <c r="T470" s="13">
        <f>T471</f>
        <v>0</v>
      </c>
      <c r="U470" s="84">
        <f t="shared" si="101"/>
        <v>28</v>
      </c>
    </row>
    <row r="471" spans="1:21" ht="33">
      <c r="A471" s="61" t="str">
        <f ca="1">IF(ISERROR(MATCH(F471,Код_КВР,0)),"",INDIRECT(ADDRESS(MATCH(F471,Код_КВР,0)+1,2,,,"КВР")))</f>
        <v>Иные закупки товаров, работ и услуг для обеспечения муниципальных нужд</v>
      </c>
      <c r="B471" s="126">
        <v>803</v>
      </c>
      <c r="C471" s="8" t="s">
        <v>214</v>
      </c>
      <c r="D471" s="8" t="s">
        <v>194</v>
      </c>
      <c r="E471" s="126" t="s">
        <v>3</v>
      </c>
      <c r="F471" s="126">
        <v>240</v>
      </c>
      <c r="G471" s="69">
        <f>G472</f>
        <v>28</v>
      </c>
      <c r="H471" s="64"/>
      <c r="I471" s="69">
        <f t="shared" si="98"/>
        <v>28</v>
      </c>
      <c r="J471" s="64"/>
      <c r="K471" s="84">
        <f t="shared" si="99"/>
        <v>28</v>
      </c>
      <c r="L471" s="84"/>
      <c r="M471" s="84">
        <f t="shared" si="106"/>
        <v>28</v>
      </c>
      <c r="N471" s="84"/>
      <c r="O471" s="84">
        <f t="shared" si="107"/>
        <v>28</v>
      </c>
      <c r="P471" s="84"/>
      <c r="Q471" s="84">
        <f t="shared" si="104"/>
        <v>28</v>
      </c>
      <c r="R471" s="84"/>
      <c r="S471" s="84">
        <f t="shared" si="103"/>
        <v>28</v>
      </c>
      <c r="T471" s="84"/>
      <c r="U471" s="84">
        <f t="shared" si="101"/>
        <v>28</v>
      </c>
    </row>
    <row r="472" spans="1:21" ht="33">
      <c r="A472" s="61" t="str">
        <f ca="1">IF(ISERROR(MATCH(F472,Код_КВР,0)),"",INDIRECT(ADDRESS(MATCH(F472,Код_КВР,0)+1,2,,,"КВР")))</f>
        <v xml:space="preserve">Прочая закупка товаров, работ и услуг для обеспечения муниципальных нужд         </v>
      </c>
      <c r="B472" s="126">
        <v>803</v>
      </c>
      <c r="C472" s="8" t="s">
        <v>214</v>
      </c>
      <c r="D472" s="8" t="s">
        <v>194</v>
      </c>
      <c r="E472" s="126" t="s">
        <v>3</v>
      </c>
      <c r="F472" s="126">
        <v>244</v>
      </c>
      <c r="G472" s="69">
        <v>28</v>
      </c>
      <c r="H472" s="64"/>
      <c r="I472" s="69">
        <f t="shared" si="98"/>
        <v>28</v>
      </c>
      <c r="J472" s="64"/>
      <c r="K472" s="84">
        <f t="shared" si="99"/>
        <v>28</v>
      </c>
      <c r="L472" s="84"/>
      <c r="M472" s="84">
        <f t="shared" si="106"/>
        <v>28</v>
      </c>
      <c r="N472" s="84"/>
      <c r="O472" s="84">
        <f t="shared" si="107"/>
        <v>28</v>
      </c>
      <c r="P472" s="84"/>
      <c r="Q472" s="84">
        <f t="shared" si="104"/>
        <v>28</v>
      </c>
      <c r="R472" s="84"/>
      <c r="S472" s="84">
        <f t="shared" si="103"/>
        <v>28</v>
      </c>
      <c r="T472" s="84"/>
      <c r="U472" s="84">
        <f t="shared" si="101"/>
        <v>28</v>
      </c>
    </row>
    <row r="473" spans="1:21" ht="33">
      <c r="A473" s="61" t="str">
        <f ca="1">IF(ISERROR(MATCH(E473,Код_КЦСР,0)),"",INDIRECT(ADDRESS(MATCH(E473,Код_КЦСР,0)+1,2,,,"КЦСР")))</f>
        <v>Муниципальная программа «Развитие жилищно-коммунального хозяйства города Череповца» на 2014-2018 годы</v>
      </c>
      <c r="B473" s="126">
        <v>803</v>
      </c>
      <c r="C473" s="8" t="s">
        <v>214</v>
      </c>
      <c r="D473" s="8" t="s">
        <v>194</v>
      </c>
      <c r="E473" s="126" t="s">
        <v>45</v>
      </c>
      <c r="F473" s="126"/>
      <c r="G473" s="69">
        <f t="shared" ref="G473:T477" si="111">G474</f>
        <v>80</v>
      </c>
      <c r="H473" s="69">
        <f t="shared" si="111"/>
        <v>0</v>
      </c>
      <c r="I473" s="69">
        <f t="shared" si="98"/>
        <v>80</v>
      </c>
      <c r="J473" s="69">
        <f t="shared" si="111"/>
        <v>0</v>
      </c>
      <c r="K473" s="84">
        <f t="shared" ref="K473:K540" si="112">I473+J473</f>
        <v>80</v>
      </c>
      <c r="L473" s="13">
        <f t="shared" si="111"/>
        <v>0</v>
      </c>
      <c r="M473" s="84">
        <f t="shared" si="106"/>
        <v>80</v>
      </c>
      <c r="N473" s="13">
        <f t="shared" si="111"/>
        <v>0</v>
      </c>
      <c r="O473" s="84">
        <f t="shared" si="107"/>
        <v>80</v>
      </c>
      <c r="P473" s="13">
        <f t="shared" si="111"/>
        <v>0</v>
      </c>
      <c r="Q473" s="84">
        <f t="shared" si="104"/>
        <v>80</v>
      </c>
      <c r="R473" s="13">
        <f t="shared" si="111"/>
        <v>0</v>
      </c>
      <c r="S473" s="84">
        <f t="shared" si="103"/>
        <v>80</v>
      </c>
      <c r="T473" s="13">
        <f t="shared" si="111"/>
        <v>0</v>
      </c>
      <c r="U473" s="84">
        <f t="shared" si="101"/>
        <v>80</v>
      </c>
    </row>
    <row r="474" spans="1:21">
      <c r="A474" s="61" t="str">
        <f ca="1">IF(ISERROR(MATCH(E474,Код_КЦСР,0)),"",INDIRECT(ADDRESS(MATCH(E474,Код_КЦСР,0)+1,2,,,"КЦСР")))</f>
        <v>Развитие благоустройства города</v>
      </c>
      <c r="B474" s="126">
        <v>803</v>
      </c>
      <c r="C474" s="8" t="s">
        <v>214</v>
      </c>
      <c r="D474" s="8" t="s">
        <v>194</v>
      </c>
      <c r="E474" s="126" t="s">
        <v>46</v>
      </c>
      <c r="F474" s="126"/>
      <c r="G474" s="69">
        <f t="shared" si="111"/>
        <v>80</v>
      </c>
      <c r="H474" s="69">
        <f t="shared" si="111"/>
        <v>0</v>
      </c>
      <c r="I474" s="69">
        <f t="shared" si="98"/>
        <v>80</v>
      </c>
      <c r="J474" s="69">
        <f t="shared" si="111"/>
        <v>0</v>
      </c>
      <c r="K474" s="84">
        <f t="shared" si="112"/>
        <v>80</v>
      </c>
      <c r="L474" s="13">
        <f t="shared" si="111"/>
        <v>0</v>
      </c>
      <c r="M474" s="84">
        <f t="shared" si="106"/>
        <v>80</v>
      </c>
      <c r="N474" s="13">
        <f t="shared" si="111"/>
        <v>0</v>
      </c>
      <c r="O474" s="84">
        <f t="shared" si="107"/>
        <v>80</v>
      </c>
      <c r="P474" s="13">
        <f t="shared" si="111"/>
        <v>0</v>
      </c>
      <c r="Q474" s="84">
        <f t="shared" si="104"/>
        <v>80</v>
      </c>
      <c r="R474" s="13">
        <f t="shared" si="111"/>
        <v>0</v>
      </c>
      <c r="S474" s="84">
        <f t="shared" si="103"/>
        <v>80</v>
      </c>
      <c r="T474" s="13">
        <f t="shared" si="111"/>
        <v>0</v>
      </c>
      <c r="U474" s="84">
        <f t="shared" si="101"/>
        <v>80</v>
      </c>
    </row>
    <row r="475" spans="1:21" ht="33">
      <c r="A475" s="61" t="str">
        <f ca="1">IF(ISERROR(MATCH(E475,Код_КЦСР,0)),"",INDIRECT(ADDRESS(MATCH(E475,Код_КЦСР,0)+1,2,,,"КЦСР")))</f>
        <v>Мероприятия по решению общегосударственных вопросов и вопросов в области национальной политики</v>
      </c>
      <c r="B475" s="126">
        <v>803</v>
      </c>
      <c r="C475" s="8" t="s">
        <v>214</v>
      </c>
      <c r="D475" s="8" t="s">
        <v>194</v>
      </c>
      <c r="E475" s="126" t="s">
        <v>52</v>
      </c>
      <c r="F475" s="126"/>
      <c r="G475" s="69">
        <f t="shared" si="111"/>
        <v>80</v>
      </c>
      <c r="H475" s="69">
        <f t="shared" si="111"/>
        <v>0</v>
      </c>
      <c r="I475" s="69">
        <f t="shared" si="98"/>
        <v>80</v>
      </c>
      <c r="J475" s="69">
        <f t="shared" si="111"/>
        <v>0</v>
      </c>
      <c r="K475" s="84">
        <f t="shared" si="112"/>
        <v>80</v>
      </c>
      <c r="L475" s="13">
        <f t="shared" si="111"/>
        <v>0</v>
      </c>
      <c r="M475" s="84">
        <f t="shared" si="106"/>
        <v>80</v>
      </c>
      <c r="N475" s="13">
        <f t="shared" si="111"/>
        <v>0</v>
      </c>
      <c r="O475" s="84">
        <f t="shared" si="107"/>
        <v>80</v>
      </c>
      <c r="P475" s="13">
        <f t="shared" si="111"/>
        <v>0</v>
      </c>
      <c r="Q475" s="84">
        <f t="shared" si="104"/>
        <v>80</v>
      </c>
      <c r="R475" s="13">
        <f t="shared" si="111"/>
        <v>0</v>
      </c>
      <c r="S475" s="84">
        <f t="shared" si="103"/>
        <v>80</v>
      </c>
      <c r="T475" s="13">
        <f t="shared" si="111"/>
        <v>0</v>
      </c>
      <c r="U475" s="84">
        <f t="shared" si="101"/>
        <v>80</v>
      </c>
    </row>
    <row r="476" spans="1:21">
      <c r="A476" s="61" t="str">
        <f ca="1">IF(ISERROR(MATCH(F476,Код_КВР,0)),"",INDIRECT(ADDRESS(MATCH(F476,Код_КВР,0)+1,2,,,"КВР")))</f>
        <v>Закупка товаров, работ и услуг для муниципальных нужд</v>
      </c>
      <c r="B476" s="126">
        <v>803</v>
      </c>
      <c r="C476" s="8" t="s">
        <v>214</v>
      </c>
      <c r="D476" s="8" t="s">
        <v>194</v>
      </c>
      <c r="E476" s="126" t="s">
        <v>52</v>
      </c>
      <c r="F476" s="126">
        <v>200</v>
      </c>
      <c r="G476" s="69">
        <f t="shared" si="111"/>
        <v>80</v>
      </c>
      <c r="H476" s="69">
        <f t="shared" si="111"/>
        <v>0</v>
      </c>
      <c r="I476" s="69">
        <f t="shared" si="98"/>
        <v>80</v>
      </c>
      <c r="J476" s="69">
        <f t="shared" si="111"/>
        <v>0</v>
      </c>
      <c r="K476" s="84">
        <f t="shared" si="112"/>
        <v>80</v>
      </c>
      <c r="L476" s="13">
        <f t="shared" si="111"/>
        <v>0</v>
      </c>
      <c r="M476" s="84">
        <f t="shared" si="106"/>
        <v>80</v>
      </c>
      <c r="N476" s="13">
        <f t="shared" si="111"/>
        <v>0</v>
      </c>
      <c r="O476" s="84">
        <f t="shared" si="107"/>
        <v>80</v>
      </c>
      <c r="P476" s="13">
        <f t="shared" si="111"/>
        <v>0</v>
      </c>
      <c r="Q476" s="84">
        <f t="shared" si="104"/>
        <v>80</v>
      </c>
      <c r="R476" s="13">
        <f t="shared" si="111"/>
        <v>0</v>
      </c>
      <c r="S476" s="84">
        <f t="shared" si="103"/>
        <v>80</v>
      </c>
      <c r="T476" s="13">
        <f t="shared" si="111"/>
        <v>0</v>
      </c>
      <c r="U476" s="84">
        <f t="shared" ref="U476:U539" si="113">S476+T476</f>
        <v>80</v>
      </c>
    </row>
    <row r="477" spans="1:21" ht="33">
      <c r="A477" s="61" t="str">
        <f ca="1">IF(ISERROR(MATCH(F477,Код_КВР,0)),"",INDIRECT(ADDRESS(MATCH(F477,Код_КВР,0)+1,2,,,"КВР")))</f>
        <v>Иные закупки товаров, работ и услуг для обеспечения муниципальных нужд</v>
      </c>
      <c r="B477" s="126">
        <v>803</v>
      </c>
      <c r="C477" s="8" t="s">
        <v>214</v>
      </c>
      <c r="D477" s="8" t="s">
        <v>194</v>
      </c>
      <c r="E477" s="126" t="s">
        <v>52</v>
      </c>
      <c r="F477" s="126">
        <v>240</v>
      </c>
      <c r="G477" s="69">
        <f t="shared" si="111"/>
        <v>80</v>
      </c>
      <c r="H477" s="69">
        <f t="shared" si="111"/>
        <v>0</v>
      </c>
      <c r="I477" s="69">
        <f t="shared" si="98"/>
        <v>80</v>
      </c>
      <c r="J477" s="69">
        <f t="shared" si="111"/>
        <v>0</v>
      </c>
      <c r="K477" s="84">
        <f t="shared" si="112"/>
        <v>80</v>
      </c>
      <c r="L477" s="13">
        <f t="shared" si="111"/>
        <v>0</v>
      </c>
      <c r="M477" s="84">
        <f t="shared" si="106"/>
        <v>80</v>
      </c>
      <c r="N477" s="13">
        <f t="shared" si="111"/>
        <v>0</v>
      </c>
      <c r="O477" s="84">
        <f t="shared" si="107"/>
        <v>80</v>
      </c>
      <c r="P477" s="13">
        <f t="shared" si="111"/>
        <v>0</v>
      </c>
      <c r="Q477" s="84">
        <f t="shared" si="104"/>
        <v>80</v>
      </c>
      <c r="R477" s="13">
        <f t="shared" si="111"/>
        <v>0</v>
      </c>
      <c r="S477" s="84">
        <f t="shared" si="103"/>
        <v>80</v>
      </c>
      <c r="T477" s="13">
        <f t="shared" si="111"/>
        <v>0</v>
      </c>
      <c r="U477" s="84">
        <f t="shared" si="113"/>
        <v>80</v>
      </c>
    </row>
    <row r="478" spans="1:21" ht="33">
      <c r="A478" s="61" t="str">
        <f ca="1">IF(ISERROR(MATCH(F478,Код_КВР,0)),"",INDIRECT(ADDRESS(MATCH(F478,Код_КВР,0)+1,2,,,"КВР")))</f>
        <v xml:space="preserve">Прочая закупка товаров, работ и услуг для обеспечения муниципальных нужд         </v>
      </c>
      <c r="B478" s="126">
        <v>803</v>
      </c>
      <c r="C478" s="8" t="s">
        <v>214</v>
      </c>
      <c r="D478" s="8" t="s">
        <v>194</v>
      </c>
      <c r="E478" s="126" t="s">
        <v>52</v>
      </c>
      <c r="F478" s="126">
        <v>244</v>
      </c>
      <c r="G478" s="69">
        <v>80</v>
      </c>
      <c r="H478" s="64"/>
      <c r="I478" s="69">
        <f t="shared" si="98"/>
        <v>80</v>
      </c>
      <c r="J478" s="64"/>
      <c r="K478" s="84">
        <f t="shared" si="112"/>
        <v>80</v>
      </c>
      <c r="L478" s="84"/>
      <c r="M478" s="84">
        <f t="shared" si="106"/>
        <v>80</v>
      </c>
      <c r="N478" s="84"/>
      <c r="O478" s="84">
        <f t="shared" si="107"/>
        <v>80</v>
      </c>
      <c r="P478" s="84"/>
      <c r="Q478" s="84">
        <f t="shared" si="104"/>
        <v>80</v>
      </c>
      <c r="R478" s="84"/>
      <c r="S478" s="84">
        <f t="shared" si="103"/>
        <v>80</v>
      </c>
      <c r="T478" s="84"/>
      <c r="U478" s="84">
        <f t="shared" si="113"/>
        <v>80</v>
      </c>
    </row>
    <row r="479" spans="1:21">
      <c r="A479" s="61" t="str">
        <f ca="1">IF(ISERROR(MATCH(C479,Код_Раздел,0)),"",INDIRECT(ADDRESS(MATCH(C479,Код_Раздел,0)+1,2,,,"Раздел")))</f>
        <v>Жилищно-коммунальное хозяйство</v>
      </c>
      <c r="B479" s="126">
        <v>803</v>
      </c>
      <c r="C479" s="8" t="s">
        <v>219</v>
      </c>
      <c r="D479" s="8"/>
      <c r="E479" s="126"/>
      <c r="F479" s="126"/>
      <c r="G479" s="69">
        <f>G480+G501+G515</f>
        <v>167820.5</v>
      </c>
      <c r="H479" s="69">
        <f>H480+H501+H515</f>
        <v>0</v>
      </c>
      <c r="I479" s="69">
        <f t="shared" ref="I479:I546" si="114">G479+H479</f>
        <v>167820.5</v>
      </c>
      <c r="J479" s="69">
        <f>J480+J501+J515</f>
        <v>-898.90000000000009</v>
      </c>
      <c r="K479" s="84">
        <f t="shared" si="112"/>
        <v>166921.60000000001</v>
      </c>
      <c r="L479" s="13">
        <f>L480+L501+L515</f>
        <v>-2681.7</v>
      </c>
      <c r="M479" s="84">
        <f t="shared" si="106"/>
        <v>164239.9</v>
      </c>
      <c r="N479" s="13">
        <f>N480+N501+N515</f>
        <v>0</v>
      </c>
      <c r="O479" s="84">
        <f t="shared" si="107"/>
        <v>164239.9</v>
      </c>
      <c r="P479" s="13">
        <f>P480+P501+P515</f>
        <v>-140.19999999999999</v>
      </c>
      <c r="Q479" s="84">
        <f t="shared" si="104"/>
        <v>164099.69999999998</v>
      </c>
      <c r="R479" s="13">
        <f>R480+R501+R515</f>
        <v>6242.2000000000007</v>
      </c>
      <c r="S479" s="84">
        <f t="shared" si="103"/>
        <v>170341.9</v>
      </c>
      <c r="T479" s="13">
        <f>T480+T501+T515</f>
        <v>5813.4</v>
      </c>
      <c r="U479" s="84">
        <f t="shared" si="113"/>
        <v>176155.3</v>
      </c>
    </row>
    <row r="480" spans="1:21">
      <c r="A480" s="12" t="s">
        <v>224</v>
      </c>
      <c r="B480" s="126">
        <v>803</v>
      </c>
      <c r="C480" s="8" t="s">
        <v>219</v>
      </c>
      <c r="D480" s="8" t="s">
        <v>211</v>
      </c>
      <c r="E480" s="126"/>
      <c r="F480" s="126"/>
      <c r="G480" s="69">
        <f>G481+G487</f>
        <v>9180.7999999999993</v>
      </c>
      <c r="H480" s="69">
        <f>H481+H487</f>
        <v>0</v>
      </c>
      <c r="I480" s="69">
        <f t="shared" si="114"/>
        <v>9180.7999999999993</v>
      </c>
      <c r="J480" s="69">
        <f>J481+J487</f>
        <v>0</v>
      </c>
      <c r="K480" s="84">
        <f t="shared" si="112"/>
        <v>9180.7999999999993</v>
      </c>
      <c r="L480" s="13">
        <f>L481+L487</f>
        <v>-508.5</v>
      </c>
      <c r="M480" s="84">
        <f t="shared" si="106"/>
        <v>8672.2999999999993</v>
      </c>
      <c r="N480" s="13">
        <f>N481+N487</f>
        <v>0</v>
      </c>
      <c r="O480" s="84">
        <f t="shared" si="107"/>
        <v>8672.2999999999993</v>
      </c>
      <c r="P480" s="13">
        <f>P481+P487</f>
        <v>0</v>
      </c>
      <c r="Q480" s="84">
        <f t="shared" si="104"/>
        <v>8672.2999999999993</v>
      </c>
      <c r="R480" s="13">
        <f>R481+R487</f>
        <v>8002.1</v>
      </c>
      <c r="S480" s="84">
        <f t="shared" si="103"/>
        <v>16674.400000000001</v>
      </c>
      <c r="T480" s="13">
        <f>T481+T487</f>
        <v>0</v>
      </c>
      <c r="U480" s="84">
        <f t="shared" si="113"/>
        <v>16674.400000000001</v>
      </c>
    </row>
    <row r="481" spans="1:21" ht="49.5">
      <c r="A481" s="61" t="str">
        <f ca="1">IF(ISERROR(MATCH(E481,Код_КЦСР,0)),"",INDIRECT(ADDRESS(MATCH(E481,Код_КЦСР,0)+1,2,,,"КЦСР")))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481" s="126">
        <v>803</v>
      </c>
      <c r="C481" s="8" t="s">
        <v>219</v>
      </c>
      <c r="D481" s="8" t="s">
        <v>211</v>
      </c>
      <c r="E481" s="126" t="s">
        <v>33</v>
      </c>
      <c r="F481" s="126"/>
      <c r="G481" s="69">
        <f t="shared" ref="G481:T485" si="115">G482</f>
        <v>1500</v>
      </c>
      <c r="H481" s="69">
        <f t="shared" si="115"/>
        <v>0</v>
      </c>
      <c r="I481" s="69">
        <f t="shared" si="114"/>
        <v>1500</v>
      </c>
      <c r="J481" s="69">
        <f t="shared" si="115"/>
        <v>0</v>
      </c>
      <c r="K481" s="84">
        <f t="shared" si="112"/>
        <v>1500</v>
      </c>
      <c r="L481" s="13">
        <f t="shared" si="115"/>
        <v>-270.39999999999998</v>
      </c>
      <c r="M481" s="84">
        <f t="shared" si="106"/>
        <v>1229.5999999999999</v>
      </c>
      <c r="N481" s="13">
        <f t="shared" si="115"/>
        <v>0</v>
      </c>
      <c r="O481" s="84">
        <f t="shared" si="107"/>
        <v>1229.5999999999999</v>
      </c>
      <c r="P481" s="13">
        <f t="shared" si="115"/>
        <v>0</v>
      </c>
      <c r="Q481" s="84">
        <f t="shared" si="104"/>
        <v>1229.5999999999999</v>
      </c>
      <c r="R481" s="13">
        <f t="shared" si="115"/>
        <v>-336.9</v>
      </c>
      <c r="S481" s="84">
        <f t="shared" si="103"/>
        <v>892.69999999999993</v>
      </c>
      <c r="T481" s="13">
        <f t="shared" si="115"/>
        <v>0</v>
      </c>
      <c r="U481" s="84">
        <f t="shared" si="113"/>
        <v>892.69999999999993</v>
      </c>
    </row>
    <row r="482" spans="1:21" ht="33">
      <c r="A482" s="61" t="str">
        <f ca="1">IF(ISERROR(MATCH(E482,Код_КЦСР,0)),"",INDIRECT(ADDRESS(MATCH(E482,Код_КЦСР,0)+1,2,,,"КЦСР")))</f>
        <v>Энергосбережение и повышение энергетической эффективности в жилищном фонде</v>
      </c>
      <c r="B482" s="126">
        <v>803</v>
      </c>
      <c r="C482" s="8" t="s">
        <v>219</v>
      </c>
      <c r="D482" s="8" t="s">
        <v>211</v>
      </c>
      <c r="E482" s="126" t="s">
        <v>34</v>
      </c>
      <c r="F482" s="126"/>
      <c r="G482" s="69">
        <f t="shared" si="115"/>
        <v>1500</v>
      </c>
      <c r="H482" s="69">
        <f t="shared" si="115"/>
        <v>0</v>
      </c>
      <c r="I482" s="69">
        <f t="shared" si="114"/>
        <v>1500</v>
      </c>
      <c r="J482" s="69">
        <f t="shared" si="115"/>
        <v>0</v>
      </c>
      <c r="K482" s="84">
        <f t="shared" si="112"/>
        <v>1500</v>
      </c>
      <c r="L482" s="13">
        <f t="shared" si="115"/>
        <v>-270.39999999999998</v>
      </c>
      <c r="M482" s="84">
        <f t="shared" si="106"/>
        <v>1229.5999999999999</v>
      </c>
      <c r="N482" s="13">
        <f t="shared" si="115"/>
        <v>0</v>
      </c>
      <c r="O482" s="84">
        <f t="shared" si="107"/>
        <v>1229.5999999999999</v>
      </c>
      <c r="P482" s="13">
        <f t="shared" si="115"/>
        <v>0</v>
      </c>
      <c r="Q482" s="84">
        <f t="shared" si="104"/>
        <v>1229.5999999999999</v>
      </c>
      <c r="R482" s="13">
        <f t="shared" si="115"/>
        <v>-336.9</v>
      </c>
      <c r="S482" s="84">
        <f t="shared" si="103"/>
        <v>892.69999999999993</v>
      </c>
      <c r="T482" s="13">
        <f t="shared" si="115"/>
        <v>0</v>
      </c>
      <c r="U482" s="84">
        <f t="shared" si="113"/>
        <v>892.69999999999993</v>
      </c>
    </row>
    <row r="483" spans="1:21" ht="33">
      <c r="A483" s="61" t="str">
        <f ca="1">IF(ISERROR(MATCH(E483,Код_КЦСР,0)),"",INDIRECT(ADDRESS(MATCH(E483,Код_КЦСР,0)+1,2,,,"КЦСР")))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83" s="126">
        <v>803</v>
      </c>
      <c r="C483" s="8" t="s">
        <v>219</v>
      </c>
      <c r="D483" s="8" t="s">
        <v>211</v>
      </c>
      <c r="E483" s="126" t="s">
        <v>36</v>
      </c>
      <c r="F483" s="126"/>
      <c r="G483" s="69">
        <f t="shared" si="115"/>
        <v>1500</v>
      </c>
      <c r="H483" s="69">
        <f t="shared" si="115"/>
        <v>0</v>
      </c>
      <c r="I483" s="69">
        <f t="shared" si="114"/>
        <v>1500</v>
      </c>
      <c r="J483" s="69">
        <f t="shared" si="115"/>
        <v>0</v>
      </c>
      <c r="K483" s="84">
        <f t="shared" si="112"/>
        <v>1500</v>
      </c>
      <c r="L483" s="13">
        <f t="shared" si="115"/>
        <v>-270.39999999999998</v>
      </c>
      <c r="M483" s="84">
        <f t="shared" si="106"/>
        <v>1229.5999999999999</v>
      </c>
      <c r="N483" s="13">
        <f t="shared" si="115"/>
        <v>0</v>
      </c>
      <c r="O483" s="84">
        <f t="shared" si="107"/>
        <v>1229.5999999999999</v>
      </c>
      <c r="P483" s="13">
        <f t="shared" si="115"/>
        <v>0</v>
      </c>
      <c r="Q483" s="84">
        <f t="shared" si="104"/>
        <v>1229.5999999999999</v>
      </c>
      <c r="R483" s="13">
        <f t="shared" si="115"/>
        <v>-336.9</v>
      </c>
      <c r="S483" s="84">
        <f t="shared" si="103"/>
        <v>892.69999999999993</v>
      </c>
      <c r="T483" s="13">
        <f t="shared" si="115"/>
        <v>0</v>
      </c>
      <c r="U483" s="84">
        <f t="shared" si="113"/>
        <v>892.69999999999993</v>
      </c>
    </row>
    <row r="484" spans="1:21">
      <c r="A484" s="61" t="str">
        <f ca="1">IF(ISERROR(MATCH(F484,Код_КВР,0)),"",INDIRECT(ADDRESS(MATCH(F484,Код_КВР,0)+1,2,,,"КВР")))</f>
        <v>Закупка товаров, работ и услуг для муниципальных нужд</v>
      </c>
      <c r="B484" s="126">
        <v>803</v>
      </c>
      <c r="C484" s="8" t="s">
        <v>219</v>
      </c>
      <c r="D484" s="8" t="s">
        <v>211</v>
      </c>
      <c r="E484" s="126" t="s">
        <v>36</v>
      </c>
      <c r="F484" s="126">
        <v>200</v>
      </c>
      <c r="G484" s="69">
        <f t="shared" si="115"/>
        <v>1500</v>
      </c>
      <c r="H484" s="69">
        <f t="shared" si="115"/>
        <v>0</v>
      </c>
      <c r="I484" s="69">
        <f t="shared" si="114"/>
        <v>1500</v>
      </c>
      <c r="J484" s="69">
        <f t="shared" si="115"/>
        <v>0</v>
      </c>
      <c r="K484" s="84">
        <f t="shared" si="112"/>
        <v>1500</v>
      </c>
      <c r="L484" s="13">
        <f t="shared" si="115"/>
        <v>-270.39999999999998</v>
      </c>
      <c r="M484" s="84">
        <f t="shared" si="106"/>
        <v>1229.5999999999999</v>
      </c>
      <c r="N484" s="13">
        <f t="shared" si="115"/>
        <v>0</v>
      </c>
      <c r="O484" s="84">
        <f t="shared" si="107"/>
        <v>1229.5999999999999</v>
      </c>
      <c r="P484" s="13">
        <f t="shared" si="115"/>
        <v>0</v>
      </c>
      <c r="Q484" s="84">
        <f t="shared" si="104"/>
        <v>1229.5999999999999</v>
      </c>
      <c r="R484" s="13">
        <f t="shared" si="115"/>
        <v>-336.9</v>
      </c>
      <c r="S484" s="84">
        <f t="shared" si="103"/>
        <v>892.69999999999993</v>
      </c>
      <c r="T484" s="13">
        <f t="shared" si="115"/>
        <v>0</v>
      </c>
      <c r="U484" s="84">
        <f t="shared" si="113"/>
        <v>892.69999999999993</v>
      </c>
    </row>
    <row r="485" spans="1:21" ht="33">
      <c r="A485" s="61" t="str">
        <f ca="1">IF(ISERROR(MATCH(F485,Код_КВР,0)),"",INDIRECT(ADDRESS(MATCH(F485,Код_КВР,0)+1,2,,,"КВР")))</f>
        <v>Иные закупки товаров, работ и услуг для обеспечения муниципальных нужд</v>
      </c>
      <c r="B485" s="126">
        <v>803</v>
      </c>
      <c r="C485" s="8" t="s">
        <v>219</v>
      </c>
      <c r="D485" s="8" t="s">
        <v>211</v>
      </c>
      <c r="E485" s="126" t="s">
        <v>36</v>
      </c>
      <c r="F485" s="126">
        <v>240</v>
      </c>
      <c r="G485" s="69">
        <f t="shared" si="115"/>
        <v>1500</v>
      </c>
      <c r="H485" s="69">
        <f t="shared" si="115"/>
        <v>0</v>
      </c>
      <c r="I485" s="69">
        <f t="shared" si="114"/>
        <v>1500</v>
      </c>
      <c r="J485" s="69">
        <f t="shared" si="115"/>
        <v>0</v>
      </c>
      <c r="K485" s="84">
        <f t="shared" si="112"/>
        <v>1500</v>
      </c>
      <c r="L485" s="13">
        <f t="shared" si="115"/>
        <v>-270.39999999999998</v>
      </c>
      <c r="M485" s="84">
        <f t="shared" si="106"/>
        <v>1229.5999999999999</v>
      </c>
      <c r="N485" s="13">
        <f t="shared" si="115"/>
        <v>0</v>
      </c>
      <c r="O485" s="84">
        <f t="shared" si="107"/>
        <v>1229.5999999999999</v>
      </c>
      <c r="P485" s="13">
        <f t="shared" si="115"/>
        <v>0</v>
      </c>
      <c r="Q485" s="84">
        <f t="shared" si="104"/>
        <v>1229.5999999999999</v>
      </c>
      <c r="R485" s="13">
        <f t="shared" si="115"/>
        <v>-336.9</v>
      </c>
      <c r="S485" s="84">
        <f t="shared" si="103"/>
        <v>892.69999999999993</v>
      </c>
      <c r="T485" s="13">
        <f t="shared" si="115"/>
        <v>0</v>
      </c>
      <c r="U485" s="84">
        <f t="shared" si="113"/>
        <v>892.69999999999993</v>
      </c>
    </row>
    <row r="486" spans="1:21" ht="33">
      <c r="A486" s="61" t="str">
        <f ca="1">IF(ISERROR(MATCH(F486,Код_КВР,0)),"",INDIRECT(ADDRESS(MATCH(F486,Код_КВР,0)+1,2,,,"КВР")))</f>
        <v xml:space="preserve">Прочая закупка товаров, работ и услуг для обеспечения муниципальных нужд         </v>
      </c>
      <c r="B486" s="126">
        <v>803</v>
      </c>
      <c r="C486" s="8" t="s">
        <v>219</v>
      </c>
      <c r="D486" s="8" t="s">
        <v>211</v>
      </c>
      <c r="E486" s="126" t="s">
        <v>36</v>
      </c>
      <c r="F486" s="126">
        <v>244</v>
      </c>
      <c r="G486" s="69">
        <v>1500</v>
      </c>
      <c r="H486" s="64"/>
      <c r="I486" s="69">
        <f t="shared" si="114"/>
        <v>1500</v>
      </c>
      <c r="J486" s="64"/>
      <c r="K486" s="84">
        <f t="shared" si="112"/>
        <v>1500</v>
      </c>
      <c r="L486" s="84">
        <v>-270.39999999999998</v>
      </c>
      <c r="M486" s="84">
        <f t="shared" si="106"/>
        <v>1229.5999999999999</v>
      </c>
      <c r="N486" s="84"/>
      <c r="O486" s="84">
        <f t="shared" si="107"/>
        <v>1229.5999999999999</v>
      </c>
      <c r="P486" s="84"/>
      <c r="Q486" s="84">
        <f t="shared" si="104"/>
        <v>1229.5999999999999</v>
      </c>
      <c r="R486" s="84">
        <f>-336.9</f>
        <v>-336.9</v>
      </c>
      <c r="S486" s="84">
        <f t="shared" si="103"/>
        <v>892.69999999999993</v>
      </c>
      <c r="T486" s="84"/>
      <c r="U486" s="84">
        <f t="shared" si="113"/>
        <v>892.69999999999993</v>
      </c>
    </row>
    <row r="487" spans="1:21" ht="33">
      <c r="A487" s="61" t="str">
        <f ca="1">IF(ISERROR(MATCH(E487,Код_КЦСР,0)),"",INDIRECT(ADDRESS(MATCH(E487,Код_КЦСР,0)+1,2,,,"КЦСР")))</f>
        <v>Муниципальная программа «Развитие жилищно-коммунального хозяйства города Череповца» на 2014-2018 годы</v>
      </c>
      <c r="B487" s="126">
        <v>803</v>
      </c>
      <c r="C487" s="8" t="s">
        <v>219</v>
      </c>
      <c r="D487" s="8" t="s">
        <v>211</v>
      </c>
      <c r="E487" s="126" t="s">
        <v>45</v>
      </c>
      <c r="F487" s="126"/>
      <c r="G487" s="69">
        <f>G488</f>
        <v>7680.8</v>
      </c>
      <c r="H487" s="69">
        <f>H488</f>
        <v>0</v>
      </c>
      <c r="I487" s="69">
        <f t="shared" si="114"/>
        <v>7680.8</v>
      </c>
      <c r="J487" s="69">
        <f>J488</f>
        <v>0</v>
      </c>
      <c r="K487" s="84">
        <f t="shared" si="112"/>
        <v>7680.8</v>
      </c>
      <c r="L487" s="13">
        <f>L488</f>
        <v>-238.1</v>
      </c>
      <c r="M487" s="84">
        <f t="shared" si="106"/>
        <v>7442.7</v>
      </c>
      <c r="N487" s="13">
        <f>N488</f>
        <v>0</v>
      </c>
      <c r="O487" s="84">
        <f t="shared" si="107"/>
        <v>7442.7</v>
      </c>
      <c r="P487" s="13">
        <f>P488</f>
        <v>0</v>
      </c>
      <c r="Q487" s="84">
        <f t="shared" si="104"/>
        <v>7442.7</v>
      </c>
      <c r="R487" s="13">
        <f>R488</f>
        <v>8339</v>
      </c>
      <c r="S487" s="84">
        <f t="shared" si="103"/>
        <v>15781.7</v>
      </c>
      <c r="T487" s="13">
        <f>T488</f>
        <v>0</v>
      </c>
      <c r="U487" s="84">
        <f t="shared" si="113"/>
        <v>15781.7</v>
      </c>
    </row>
    <row r="488" spans="1:21">
      <c r="A488" s="61" t="str">
        <f ca="1">IF(ISERROR(MATCH(E488,Код_КЦСР,0)),"",INDIRECT(ADDRESS(MATCH(E488,Код_КЦСР,0)+1,2,,,"КЦСР")))</f>
        <v>Содержание и ремонт жилищного фонда</v>
      </c>
      <c r="B488" s="126">
        <v>803</v>
      </c>
      <c r="C488" s="8" t="s">
        <v>219</v>
      </c>
      <c r="D488" s="8" t="s">
        <v>211</v>
      </c>
      <c r="E488" s="126" t="s">
        <v>54</v>
      </c>
      <c r="F488" s="126"/>
      <c r="G488" s="69">
        <f>G489+G493</f>
        <v>7680.8</v>
      </c>
      <c r="H488" s="69">
        <f>H489+H493</f>
        <v>0</v>
      </c>
      <c r="I488" s="69">
        <f t="shared" si="114"/>
        <v>7680.8</v>
      </c>
      <c r="J488" s="69">
        <f>J489+J493</f>
        <v>0</v>
      </c>
      <c r="K488" s="84">
        <f t="shared" si="112"/>
        <v>7680.8</v>
      </c>
      <c r="L488" s="13">
        <f>L489+L493</f>
        <v>-238.1</v>
      </c>
      <c r="M488" s="84">
        <f t="shared" si="106"/>
        <v>7442.7</v>
      </c>
      <c r="N488" s="13">
        <f>N489+N493</f>
        <v>0</v>
      </c>
      <c r="O488" s="84">
        <f t="shared" si="107"/>
        <v>7442.7</v>
      </c>
      <c r="P488" s="13">
        <f>P489+P493</f>
        <v>0</v>
      </c>
      <c r="Q488" s="84">
        <f t="shared" si="104"/>
        <v>7442.7</v>
      </c>
      <c r="R488" s="13">
        <f>R489+R493+R497</f>
        <v>8339</v>
      </c>
      <c r="S488" s="84">
        <f t="shared" si="103"/>
        <v>15781.7</v>
      </c>
      <c r="T488" s="13">
        <f>T489+T493+T497</f>
        <v>0</v>
      </c>
      <c r="U488" s="84">
        <f t="shared" si="113"/>
        <v>15781.7</v>
      </c>
    </row>
    <row r="489" spans="1:21">
      <c r="A489" s="61" t="str">
        <f ca="1">IF(ISERROR(MATCH(E489,Код_КЦСР,0)),"",INDIRECT(ADDRESS(MATCH(E489,Код_КЦСР,0)+1,2,,,"КЦСР")))</f>
        <v>Капитальный ремонт жилищного фонда</v>
      </c>
      <c r="B489" s="126">
        <v>803</v>
      </c>
      <c r="C489" s="8" t="s">
        <v>219</v>
      </c>
      <c r="D489" s="8" t="s">
        <v>211</v>
      </c>
      <c r="E489" s="126" t="s">
        <v>56</v>
      </c>
      <c r="F489" s="126"/>
      <c r="G489" s="69">
        <f t="shared" ref="G489:T491" si="116">G490</f>
        <v>2288.3000000000002</v>
      </c>
      <c r="H489" s="69">
        <f t="shared" si="116"/>
        <v>0</v>
      </c>
      <c r="I489" s="69">
        <f t="shared" si="114"/>
        <v>2288.3000000000002</v>
      </c>
      <c r="J489" s="69">
        <f t="shared" si="116"/>
        <v>0</v>
      </c>
      <c r="K489" s="84">
        <f t="shared" si="112"/>
        <v>2288.3000000000002</v>
      </c>
      <c r="L489" s="13">
        <f t="shared" si="116"/>
        <v>0</v>
      </c>
      <c r="M489" s="84">
        <f t="shared" si="106"/>
        <v>2288.3000000000002</v>
      </c>
      <c r="N489" s="13">
        <f t="shared" si="116"/>
        <v>0</v>
      </c>
      <c r="O489" s="84">
        <f t="shared" si="107"/>
        <v>2288.3000000000002</v>
      </c>
      <c r="P489" s="13">
        <f t="shared" si="116"/>
        <v>0</v>
      </c>
      <c r="Q489" s="84">
        <f t="shared" si="104"/>
        <v>2288.3000000000002</v>
      </c>
      <c r="R489" s="13">
        <f>R490</f>
        <v>0</v>
      </c>
      <c r="S489" s="84">
        <f t="shared" si="103"/>
        <v>2288.3000000000002</v>
      </c>
      <c r="T489" s="13">
        <f>T490</f>
        <v>0</v>
      </c>
      <c r="U489" s="84">
        <f t="shared" si="113"/>
        <v>2288.3000000000002</v>
      </c>
    </row>
    <row r="490" spans="1:21">
      <c r="A490" s="61" t="str">
        <f ca="1">IF(ISERROR(MATCH(F490,Код_КВР,0)),"",INDIRECT(ADDRESS(MATCH(F490,Код_КВР,0)+1,2,,,"КВР")))</f>
        <v>Закупка товаров, работ и услуг для муниципальных нужд</v>
      </c>
      <c r="B490" s="126">
        <v>803</v>
      </c>
      <c r="C490" s="8" t="s">
        <v>219</v>
      </c>
      <c r="D490" s="8" t="s">
        <v>211</v>
      </c>
      <c r="E490" s="126" t="s">
        <v>56</v>
      </c>
      <c r="F490" s="126">
        <v>200</v>
      </c>
      <c r="G490" s="69">
        <f t="shared" si="116"/>
        <v>2288.3000000000002</v>
      </c>
      <c r="H490" s="69">
        <f t="shared" si="116"/>
        <v>0</v>
      </c>
      <c r="I490" s="69">
        <f t="shared" si="114"/>
        <v>2288.3000000000002</v>
      </c>
      <c r="J490" s="69">
        <f t="shared" si="116"/>
        <v>0</v>
      </c>
      <c r="K490" s="84">
        <f t="shared" si="112"/>
        <v>2288.3000000000002</v>
      </c>
      <c r="L490" s="13">
        <f t="shared" si="116"/>
        <v>0</v>
      </c>
      <c r="M490" s="84">
        <f t="shared" si="106"/>
        <v>2288.3000000000002</v>
      </c>
      <c r="N490" s="13">
        <f t="shared" si="116"/>
        <v>0</v>
      </c>
      <c r="O490" s="84">
        <f t="shared" si="107"/>
        <v>2288.3000000000002</v>
      </c>
      <c r="P490" s="13">
        <f t="shared" si="116"/>
        <v>0</v>
      </c>
      <c r="Q490" s="84">
        <f t="shared" si="104"/>
        <v>2288.3000000000002</v>
      </c>
      <c r="R490" s="13">
        <f t="shared" si="116"/>
        <v>0</v>
      </c>
      <c r="S490" s="84">
        <f t="shared" si="103"/>
        <v>2288.3000000000002</v>
      </c>
      <c r="T490" s="13">
        <f t="shared" si="116"/>
        <v>0</v>
      </c>
      <c r="U490" s="84">
        <f t="shared" si="113"/>
        <v>2288.3000000000002</v>
      </c>
    </row>
    <row r="491" spans="1:21" ht="33">
      <c r="A491" s="61" t="str">
        <f ca="1">IF(ISERROR(MATCH(F491,Код_КВР,0)),"",INDIRECT(ADDRESS(MATCH(F491,Код_КВР,0)+1,2,,,"КВР")))</f>
        <v>Иные закупки товаров, работ и услуг для обеспечения муниципальных нужд</v>
      </c>
      <c r="B491" s="126">
        <v>803</v>
      </c>
      <c r="C491" s="8" t="s">
        <v>219</v>
      </c>
      <c r="D491" s="8" t="s">
        <v>211</v>
      </c>
      <c r="E491" s="126" t="s">
        <v>56</v>
      </c>
      <c r="F491" s="126">
        <v>240</v>
      </c>
      <c r="G491" s="69">
        <f t="shared" si="116"/>
        <v>2288.3000000000002</v>
      </c>
      <c r="H491" s="69">
        <f t="shared" si="116"/>
        <v>0</v>
      </c>
      <c r="I491" s="69">
        <f t="shared" si="114"/>
        <v>2288.3000000000002</v>
      </c>
      <c r="J491" s="69">
        <f t="shared" si="116"/>
        <v>0</v>
      </c>
      <c r="K491" s="84">
        <f t="shared" si="112"/>
        <v>2288.3000000000002</v>
      </c>
      <c r="L491" s="13">
        <f t="shared" si="116"/>
        <v>0</v>
      </c>
      <c r="M491" s="84">
        <f t="shared" si="106"/>
        <v>2288.3000000000002</v>
      </c>
      <c r="N491" s="13">
        <f t="shared" si="116"/>
        <v>0</v>
      </c>
      <c r="O491" s="84">
        <f t="shared" si="107"/>
        <v>2288.3000000000002</v>
      </c>
      <c r="P491" s="13">
        <f t="shared" si="116"/>
        <v>0</v>
      </c>
      <c r="Q491" s="84">
        <f t="shared" si="104"/>
        <v>2288.3000000000002</v>
      </c>
      <c r="R491" s="13">
        <f t="shared" si="116"/>
        <v>0</v>
      </c>
      <c r="S491" s="84">
        <f t="shared" si="103"/>
        <v>2288.3000000000002</v>
      </c>
      <c r="T491" s="13">
        <f t="shared" si="116"/>
        <v>0</v>
      </c>
      <c r="U491" s="84">
        <f t="shared" si="113"/>
        <v>2288.3000000000002</v>
      </c>
    </row>
    <row r="492" spans="1:21" ht="33">
      <c r="A492" s="61" t="str">
        <f ca="1">IF(ISERROR(MATCH(F492,Код_КВР,0)),"",INDIRECT(ADDRESS(MATCH(F492,Код_КВР,0)+1,2,,,"КВР")))</f>
        <v xml:space="preserve">Прочая закупка товаров, работ и услуг для обеспечения муниципальных нужд         </v>
      </c>
      <c r="B492" s="126">
        <v>803</v>
      </c>
      <c r="C492" s="8" t="s">
        <v>219</v>
      </c>
      <c r="D492" s="8" t="s">
        <v>211</v>
      </c>
      <c r="E492" s="126" t="s">
        <v>56</v>
      </c>
      <c r="F492" s="126">
        <v>244</v>
      </c>
      <c r="G492" s="69">
        <v>2288.3000000000002</v>
      </c>
      <c r="H492" s="64"/>
      <c r="I492" s="69">
        <f t="shared" si="114"/>
        <v>2288.3000000000002</v>
      </c>
      <c r="J492" s="64"/>
      <c r="K492" s="84">
        <f t="shared" si="112"/>
        <v>2288.3000000000002</v>
      </c>
      <c r="L492" s="84"/>
      <c r="M492" s="84">
        <f t="shared" si="106"/>
        <v>2288.3000000000002</v>
      </c>
      <c r="N492" s="84"/>
      <c r="O492" s="84">
        <f t="shared" si="107"/>
        <v>2288.3000000000002</v>
      </c>
      <c r="P492" s="84"/>
      <c r="Q492" s="84">
        <f t="shared" si="104"/>
        <v>2288.3000000000002</v>
      </c>
      <c r="R492" s="84"/>
      <c r="S492" s="84">
        <f t="shared" si="103"/>
        <v>2288.3000000000002</v>
      </c>
      <c r="T492" s="84"/>
      <c r="U492" s="84">
        <f t="shared" si="113"/>
        <v>2288.3000000000002</v>
      </c>
    </row>
    <row r="493" spans="1:21" ht="33">
      <c r="A493" s="61" t="str">
        <f ca="1">IF(ISERROR(MATCH(E493,Код_КЦСР,0)),"",INDIRECT(ADDRESS(MATCH(E493,Код_КЦСР,0)+1,2,,,"КЦСР")))</f>
        <v>Содержание и ремонт временно незаселенных жилых помещений муниципального жилищного фонда</v>
      </c>
      <c r="B493" s="126">
        <v>803</v>
      </c>
      <c r="C493" s="8" t="s">
        <v>219</v>
      </c>
      <c r="D493" s="8" t="s">
        <v>211</v>
      </c>
      <c r="E493" s="126" t="s">
        <v>58</v>
      </c>
      <c r="F493" s="126"/>
      <c r="G493" s="69">
        <f t="shared" ref="G493:T495" si="117">G494</f>
        <v>5392.5</v>
      </c>
      <c r="H493" s="69">
        <f t="shared" si="117"/>
        <v>0</v>
      </c>
      <c r="I493" s="69">
        <f t="shared" si="114"/>
        <v>5392.5</v>
      </c>
      <c r="J493" s="69">
        <f t="shared" si="117"/>
        <v>0</v>
      </c>
      <c r="K493" s="84">
        <f t="shared" si="112"/>
        <v>5392.5</v>
      </c>
      <c r="L493" s="13">
        <f t="shared" si="117"/>
        <v>-238.1</v>
      </c>
      <c r="M493" s="84">
        <f t="shared" si="106"/>
        <v>5154.3999999999996</v>
      </c>
      <c r="N493" s="13">
        <f t="shared" si="117"/>
        <v>0</v>
      </c>
      <c r="O493" s="84">
        <f t="shared" si="107"/>
        <v>5154.3999999999996</v>
      </c>
      <c r="P493" s="13">
        <f t="shared" si="117"/>
        <v>0</v>
      </c>
      <c r="Q493" s="84">
        <f t="shared" si="104"/>
        <v>5154.3999999999996</v>
      </c>
      <c r="R493" s="13">
        <f t="shared" si="117"/>
        <v>-180.39999999999998</v>
      </c>
      <c r="S493" s="84">
        <f t="shared" si="103"/>
        <v>4974</v>
      </c>
      <c r="T493" s="13">
        <f t="shared" si="117"/>
        <v>0</v>
      </c>
      <c r="U493" s="84">
        <f t="shared" si="113"/>
        <v>4974</v>
      </c>
    </row>
    <row r="494" spans="1:21">
      <c r="A494" s="61" t="str">
        <f ca="1">IF(ISERROR(MATCH(F494,Код_КВР,0)),"",INDIRECT(ADDRESS(MATCH(F494,Код_КВР,0)+1,2,,,"КВР")))</f>
        <v>Закупка товаров, работ и услуг для муниципальных нужд</v>
      </c>
      <c r="B494" s="126">
        <v>803</v>
      </c>
      <c r="C494" s="8" t="s">
        <v>219</v>
      </c>
      <c r="D494" s="8" t="s">
        <v>211</v>
      </c>
      <c r="E494" s="126" t="s">
        <v>58</v>
      </c>
      <c r="F494" s="126">
        <v>200</v>
      </c>
      <c r="G494" s="69">
        <f t="shared" si="117"/>
        <v>5392.5</v>
      </c>
      <c r="H494" s="69">
        <f t="shared" si="117"/>
        <v>0</v>
      </c>
      <c r="I494" s="69">
        <f t="shared" si="114"/>
        <v>5392.5</v>
      </c>
      <c r="J494" s="69">
        <f t="shared" si="117"/>
        <v>0</v>
      </c>
      <c r="K494" s="84">
        <f t="shared" si="112"/>
        <v>5392.5</v>
      </c>
      <c r="L494" s="13">
        <f t="shared" si="117"/>
        <v>-238.1</v>
      </c>
      <c r="M494" s="84">
        <f t="shared" si="106"/>
        <v>5154.3999999999996</v>
      </c>
      <c r="N494" s="13">
        <f t="shared" si="117"/>
        <v>0</v>
      </c>
      <c r="O494" s="84">
        <f t="shared" si="107"/>
        <v>5154.3999999999996</v>
      </c>
      <c r="P494" s="13">
        <f t="shared" si="117"/>
        <v>0</v>
      </c>
      <c r="Q494" s="84">
        <f t="shared" si="104"/>
        <v>5154.3999999999996</v>
      </c>
      <c r="R494" s="13">
        <f t="shared" si="117"/>
        <v>-180.39999999999998</v>
      </c>
      <c r="S494" s="84">
        <f t="shared" si="103"/>
        <v>4974</v>
      </c>
      <c r="T494" s="13">
        <f t="shared" si="117"/>
        <v>0</v>
      </c>
      <c r="U494" s="84">
        <f t="shared" si="113"/>
        <v>4974</v>
      </c>
    </row>
    <row r="495" spans="1:21" ht="33">
      <c r="A495" s="61" t="str">
        <f ca="1">IF(ISERROR(MATCH(F495,Код_КВР,0)),"",INDIRECT(ADDRESS(MATCH(F495,Код_КВР,0)+1,2,,,"КВР")))</f>
        <v>Иные закупки товаров, работ и услуг для обеспечения муниципальных нужд</v>
      </c>
      <c r="B495" s="126">
        <v>803</v>
      </c>
      <c r="C495" s="8" t="s">
        <v>219</v>
      </c>
      <c r="D495" s="8" t="s">
        <v>211</v>
      </c>
      <c r="E495" s="126" t="s">
        <v>58</v>
      </c>
      <c r="F495" s="126">
        <v>240</v>
      </c>
      <c r="G495" s="69">
        <f t="shared" si="117"/>
        <v>5392.5</v>
      </c>
      <c r="H495" s="69">
        <f t="shared" si="117"/>
        <v>0</v>
      </c>
      <c r="I495" s="69">
        <f t="shared" si="114"/>
        <v>5392.5</v>
      </c>
      <c r="J495" s="69">
        <f t="shared" si="117"/>
        <v>0</v>
      </c>
      <c r="K495" s="84">
        <f t="shared" si="112"/>
        <v>5392.5</v>
      </c>
      <c r="L495" s="13">
        <f t="shared" si="117"/>
        <v>-238.1</v>
      </c>
      <c r="M495" s="84">
        <f t="shared" si="106"/>
        <v>5154.3999999999996</v>
      </c>
      <c r="N495" s="13">
        <f t="shared" si="117"/>
        <v>0</v>
      </c>
      <c r="O495" s="84">
        <f t="shared" si="107"/>
        <v>5154.3999999999996</v>
      </c>
      <c r="P495" s="13">
        <f t="shared" si="117"/>
        <v>0</v>
      </c>
      <c r="Q495" s="84">
        <f t="shared" si="104"/>
        <v>5154.3999999999996</v>
      </c>
      <c r="R495" s="13">
        <f t="shared" si="117"/>
        <v>-180.39999999999998</v>
      </c>
      <c r="S495" s="84">
        <f t="shared" si="103"/>
        <v>4974</v>
      </c>
      <c r="T495" s="13">
        <f t="shared" si="117"/>
        <v>0</v>
      </c>
      <c r="U495" s="84">
        <f t="shared" si="113"/>
        <v>4974</v>
      </c>
    </row>
    <row r="496" spans="1:21" ht="33">
      <c r="A496" s="61" t="str">
        <f ca="1">IF(ISERROR(MATCH(F496,Код_КВР,0)),"",INDIRECT(ADDRESS(MATCH(F496,Код_КВР,0)+1,2,,,"КВР")))</f>
        <v xml:space="preserve">Прочая закупка товаров, работ и услуг для обеспечения муниципальных нужд         </v>
      </c>
      <c r="B496" s="126">
        <v>803</v>
      </c>
      <c r="C496" s="8" t="s">
        <v>219</v>
      </c>
      <c r="D496" s="8" t="s">
        <v>211</v>
      </c>
      <c r="E496" s="126" t="s">
        <v>58</v>
      </c>
      <c r="F496" s="126">
        <v>244</v>
      </c>
      <c r="G496" s="69">
        <v>5392.5</v>
      </c>
      <c r="H496" s="64"/>
      <c r="I496" s="69">
        <f t="shared" si="114"/>
        <v>5392.5</v>
      </c>
      <c r="J496" s="64"/>
      <c r="K496" s="84">
        <f t="shared" si="112"/>
        <v>5392.5</v>
      </c>
      <c r="L496" s="84">
        <v>-238.1</v>
      </c>
      <c r="M496" s="84">
        <f t="shared" si="106"/>
        <v>5154.3999999999996</v>
      </c>
      <c r="N496" s="84"/>
      <c r="O496" s="84">
        <f t="shared" si="107"/>
        <v>5154.3999999999996</v>
      </c>
      <c r="P496" s="84"/>
      <c r="Q496" s="84">
        <f t="shared" si="104"/>
        <v>5154.3999999999996</v>
      </c>
      <c r="R496" s="84">
        <f>-36.9-58.3-85.2</f>
        <v>-180.39999999999998</v>
      </c>
      <c r="S496" s="84">
        <f t="shared" si="103"/>
        <v>4974</v>
      </c>
      <c r="T496" s="84"/>
      <c r="U496" s="84">
        <f t="shared" si="113"/>
        <v>4974</v>
      </c>
    </row>
    <row r="497" spans="1:21" ht="49.5">
      <c r="A497" s="61" t="str">
        <f ca="1">IF(ISERROR(MATCH(E497,Код_КЦСР,0)),"",INDIRECT(ADDRESS(MATCH(E497,Код_КЦСР,0)+1,2,,,"КЦСР")))</f>
        <v>Осуществление полномочий собственника муниципального жилищного фонда городского округа в части внесения взносов в фонд капитального ремонта</v>
      </c>
      <c r="B497" s="126">
        <v>803</v>
      </c>
      <c r="C497" s="8" t="s">
        <v>219</v>
      </c>
      <c r="D497" s="8" t="s">
        <v>211</v>
      </c>
      <c r="E497" s="126" t="s">
        <v>654</v>
      </c>
      <c r="F497" s="126"/>
      <c r="G497" s="69"/>
      <c r="H497" s="64"/>
      <c r="I497" s="69"/>
      <c r="J497" s="64"/>
      <c r="K497" s="84"/>
      <c r="L497" s="84"/>
      <c r="M497" s="84"/>
      <c r="N497" s="84"/>
      <c r="O497" s="84"/>
      <c r="P497" s="84"/>
      <c r="Q497" s="84"/>
      <c r="R497" s="84">
        <f>R498</f>
        <v>8519.4</v>
      </c>
      <c r="S497" s="84">
        <f t="shared" si="103"/>
        <v>8519.4</v>
      </c>
      <c r="T497" s="84">
        <f>T498</f>
        <v>0</v>
      </c>
      <c r="U497" s="84">
        <f t="shared" si="113"/>
        <v>8519.4</v>
      </c>
    </row>
    <row r="498" spans="1:21">
      <c r="A498" s="61" t="str">
        <f ca="1">IF(ISERROR(MATCH(F498,Код_КВР,0)),"",INDIRECT(ADDRESS(MATCH(F498,Код_КВР,0)+1,2,,,"КВР")))</f>
        <v>Закупка товаров, работ и услуг для муниципальных нужд</v>
      </c>
      <c r="B498" s="126">
        <v>803</v>
      </c>
      <c r="C498" s="8" t="s">
        <v>219</v>
      </c>
      <c r="D498" s="8" t="s">
        <v>211</v>
      </c>
      <c r="E498" s="126" t="s">
        <v>654</v>
      </c>
      <c r="F498" s="126">
        <v>200</v>
      </c>
      <c r="G498" s="69"/>
      <c r="H498" s="64"/>
      <c r="I498" s="69"/>
      <c r="J498" s="64"/>
      <c r="K498" s="84"/>
      <c r="L498" s="84"/>
      <c r="M498" s="84"/>
      <c r="N498" s="84"/>
      <c r="O498" s="84"/>
      <c r="P498" s="84"/>
      <c r="Q498" s="84"/>
      <c r="R498" s="84">
        <f>R499</f>
        <v>8519.4</v>
      </c>
      <c r="S498" s="84">
        <f t="shared" si="103"/>
        <v>8519.4</v>
      </c>
      <c r="T498" s="84">
        <f>T499</f>
        <v>0</v>
      </c>
      <c r="U498" s="84">
        <f t="shared" si="113"/>
        <v>8519.4</v>
      </c>
    </row>
    <row r="499" spans="1:21" ht="33">
      <c r="A499" s="61" t="str">
        <f ca="1">IF(ISERROR(MATCH(F499,Код_КВР,0)),"",INDIRECT(ADDRESS(MATCH(F499,Код_КВР,0)+1,2,,,"КВР")))</f>
        <v>Иные закупки товаров, работ и услуг для обеспечения муниципальных нужд</v>
      </c>
      <c r="B499" s="126">
        <v>803</v>
      </c>
      <c r="C499" s="8" t="s">
        <v>219</v>
      </c>
      <c r="D499" s="8" t="s">
        <v>211</v>
      </c>
      <c r="E499" s="126" t="s">
        <v>654</v>
      </c>
      <c r="F499" s="126">
        <v>240</v>
      </c>
      <c r="G499" s="69"/>
      <c r="H499" s="64"/>
      <c r="I499" s="69"/>
      <c r="J499" s="64"/>
      <c r="K499" s="84"/>
      <c r="L499" s="84"/>
      <c r="M499" s="84"/>
      <c r="N499" s="84"/>
      <c r="O499" s="84"/>
      <c r="P499" s="84"/>
      <c r="Q499" s="84"/>
      <c r="R499" s="84">
        <f>R500</f>
        <v>8519.4</v>
      </c>
      <c r="S499" s="84">
        <f t="shared" si="103"/>
        <v>8519.4</v>
      </c>
      <c r="T499" s="84">
        <f>T500</f>
        <v>0</v>
      </c>
      <c r="U499" s="84">
        <f t="shared" si="113"/>
        <v>8519.4</v>
      </c>
    </row>
    <row r="500" spans="1:21" ht="33">
      <c r="A500" s="61" t="str">
        <f ca="1">IF(ISERROR(MATCH(F500,Код_КВР,0)),"",INDIRECT(ADDRESS(MATCH(F500,Код_КВР,0)+1,2,,,"КВР")))</f>
        <v xml:space="preserve">Прочая закупка товаров, работ и услуг для обеспечения муниципальных нужд         </v>
      </c>
      <c r="B500" s="126">
        <v>803</v>
      </c>
      <c r="C500" s="8" t="s">
        <v>219</v>
      </c>
      <c r="D500" s="8" t="s">
        <v>211</v>
      </c>
      <c r="E500" s="126" t="s">
        <v>654</v>
      </c>
      <c r="F500" s="126">
        <v>244</v>
      </c>
      <c r="G500" s="69"/>
      <c r="H500" s="64"/>
      <c r="I500" s="69"/>
      <c r="J500" s="64"/>
      <c r="K500" s="84"/>
      <c r="L500" s="84"/>
      <c r="M500" s="84"/>
      <c r="N500" s="84"/>
      <c r="O500" s="84"/>
      <c r="P500" s="84"/>
      <c r="Q500" s="84"/>
      <c r="R500" s="84">
        <v>8519.4</v>
      </c>
      <c r="S500" s="84">
        <f t="shared" si="103"/>
        <v>8519.4</v>
      </c>
      <c r="T500" s="84"/>
      <c r="U500" s="84">
        <f t="shared" si="113"/>
        <v>8519.4</v>
      </c>
    </row>
    <row r="501" spans="1:21">
      <c r="A501" s="61" t="s">
        <v>250</v>
      </c>
      <c r="B501" s="126">
        <v>803</v>
      </c>
      <c r="C501" s="8" t="s">
        <v>219</v>
      </c>
      <c r="D501" s="8" t="s">
        <v>213</v>
      </c>
      <c r="E501" s="126"/>
      <c r="F501" s="126"/>
      <c r="G501" s="69">
        <f>G502+G510</f>
        <v>136710.40000000002</v>
      </c>
      <c r="H501" s="69">
        <f>H502+H510</f>
        <v>0</v>
      </c>
      <c r="I501" s="69">
        <f t="shared" si="114"/>
        <v>136710.40000000002</v>
      </c>
      <c r="J501" s="69">
        <f>J502+J510</f>
        <v>-898.90000000000009</v>
      </c>
      <c r="K501" s="84">
        <f t="shared" si="112"/>
        <v>135811.50000000003</v>
      </c>
      <c r="L501" s="13">
        <f>L502+L510</f>
        <v>-2173.1999999999998</v>
      </c>
      <c r="M501" s="84">
        <f t="shared" si="106"/>
        <v>133638.30000000002</v>
      </c>
      <c r="N501" s="13">
        <f>N502+N510</f>
        <v>0</v>
      </c>
      <c r="O501" s="84">
        <f t="shared" si="107"/>
        <v>133638.30000000002</v>
      </c>
      <c r="P501" s="13">
        <f>P502+P510</f>
        <v>-140.19999999999999</v>
      </c>
      <c r="Q501" s="84">
        <f t="shared" si="104"/>
        <v>133498.1</v>
      </c>
      <c r="R501" s="13">
        <f>R502+R510</f>
        <v>-1759.9</v>
      </c>
      <c r="S501" s="84">
        <f t="shared" si="103"/>
        <v>131738.20000000001</v>
      </c>
      <c r="T501" s="13">
        <f>T502+T510</f>
        <v>5813.4</v>
      </c>
      <c r="U501" s="84">
        <f t="shared" si="113"/>
        <v>137551.6</v>
      </c>
    </row>
    <row r="502" spans="1:21" ht="33">
      <c r="A502" s="61" t="str">
        <f ca="1">IF(ISERROR(MATCH(E502,Код_КЦСР,0)),"",INDIRECT(ADDRESS(MATCH(E502,Код_КЦСР,0)+1,2,,,"КЦСР")))</f>
        <v>Муниципальная программа «Развитие жилищно-коммунального хозяйства города Череповца» на 2014-2018 годы</v>
      </c>
      <c r="B502" s="126">
        <v>803</v>
      </c>
      <c r="C502" s="8" t="s">
        <v>219</v>
      </c>
      <c r="D502" s="8" t="s">
        <v>213</v>
      </c>
      <c r="E502" s="126" t="s">
        <v>45</v>
      </c>
      <c r="F502" s="126"/>
      <c r="G502" s="69">
        <f>G503</f>
        <v>136626.20000000001</v>
      </c>
      <c r="H502" s="69">
        <f>H503</f>
        <v>0</v>
      </c>
      <c r="I502" s="69">
        <f t="shared" si="114"/>
        <v>136626.20000000001</v>
      </c>
      <c r="J502" s="69">
        <f>J503</f>
        <v>-898.90000000000009</v>
      </c>
      <c r="K502" s="84">
        <f t="shared" si="112"/>
        <v>135727.30000000002</v>
      </c>
      <c r="L502" s="13">
        <f>L503</f>
        <v>-2173.1999999999998</v>
      </c>
      <c r="M502" s="84">
        <f t="shared" si="106"/>
        <v>133554.1</v>
      </c>
      <c r="N502" s="13">
        <f>N503</f>
        <v>0</v>
      </c>
      <c r="O502" s="84">
        <f t="shared" si="107"/>
        <v>133554.1</v>
      </c>
      <c r="P502" s="13">
        <f>P503</f>
        <v>-140.19999999999999</v>
      </c>
      <c r="Q502" s="84">
        <f t="shared" si="104"/>
        <v>133413.9</v>
      </c>
      <c r="R502" s="13">
        <f>R503</f>
        <v>-1759.9</v>
      </c>
      <c r="S502" s="84">
        <f t="shared" ref="S502:S565" si="118">Q502+R502</f>
        <v>131654</v>
      </c>
      <c r="T502" s="13">
        <f>T503</f>
        <v>5813.4</v>
      </c>
      <c r="U502" s="84">
        <f t="shared" si="113"/>
        <v>137467.4</v>
      </c>
    </row>
    <row r="503" spans="1:21">
      <c r="A503" s="61" t="str">
        <f ca="1">IF(ISERROR(MATCH(E503,Код_КЦСР,0)),"",INDIRECT(ADDRESS(MATCH(E503,Код_КЦСР,0)+1,2,,,"КЦСР")))</f>
        <v>Развитие благоустройства города</v>
      </c>
      <c r="B503" s="126">
        <v>803</v>
      </c>
      <c r="C503" s="8" t="s">
        <v>219</v>
      </c>
      <c r="D503" s="8" t="s">
        <v>213</v>
      </c>
      <c r="E503" s="126" t="s">
        <v>46</v>
      </c>
      <c r="F503" s="126"/>
      <c r="G503" s="69">
        <f>G504</f>
        <v>136626.20000000001</v>
      </c>
      <c r="H503" s="69">
        <f>H504</f>
        <v>0</v>
      </c>
      <c r="I503" s="69">
        <f t="shared" si="114"/>
        <v>136626.20000000001</v>
      </c>
      <c r="J503" s="69">
        <f>J504</f>
        <v>-898.90000000000009</v>
      </c>
      <c r="K503" s="84">
        <f t="shared" si="112"/>
        <v>135727.30000000002</v>
      </c>
      <c r="L503" s="13">
        <f>L504</f>
        <v>-2173.1999999999998</v>
      </c>
      <c r="M503" s="84">
        <f t="shared" si="106"/>
        <v>133554.1</v>
      </c>
      <c r="N503" s="13">
        <f>N504</f>
        <v>0</v>
      </c>
      <c r="O503" s="84">
        <f t="shared" si="107"/>
        <v>133554.1</v>
      </c>
      <c r="P503" s="13">
        <f>P504</f>
        <v>-140.19999999999999</v>
      </c>
      <c r="Q503" s="84">
        <f t="shared" si="104"/>
        <v>133413.9</v>
      </c>
      <c r="R503" s="13">
        <f>R504</f>
        <v>-1759.9</v>
      </c>
      <c r="S503" s="84">
        <f t="shared" si="118"/>
        <v>131654</v>
      </c>
      <c r="T503" s="13">
        <f>T504</f>
        <v>5813.4</v>
      </c>
      <c r="U503" s="84">
        <f t="shared" si="113"/>
        <v>137467.4</v>
      </c>
    </row>
    <row r="504" spans="1:21" ht="33">
      <c r="A504" s="61" t="str">
        <f ca="1">IF(ISERROR(MATCH(E504,Код_КЦСР,0)),"",INDIRECT(ADDRESS(MATCH(E504,Код_КЦСР,0)+1,2,,,"КЦСР")))</f>
        <v>Мероприятия по благоустройству и повышению внешней привлекательности города</v>
      </c>
      <c r="B504" s="126">
        <v>803</v>
      </c>
      <c r="C504" s="8" t="s">
        <v>219</v>
      </c>
      <c r="D504" s="8" t="s">
        <v>213</v>
      </c>
      <c r="E504" s="126" t="s">
        <v>48</v>
      </c>
      <c r="F504" s="126"/>
      <c r="G504" s="69">
        <f>G505+G508</f>
        <v>136626.20000000001</v>
      </c>
      <c r="H504" s="69">
        <f>H505+H508</f>
        <v>0</v>
      </c>
      <c r="I504" s="69">
        <f t="shared" si="114"/>
        <v>136626.20000000001</v>
      </c>
      <c r="J504" s="69">
        <f>J505+J508</f>
        <v>-898.90000000000009</v>
      </c>
      <c r="K504" s="84">
        <f t="shared" si="112"/>
        <v>135727.30000000002</v>
      </c>
      <c r="L504" s="13">
        <f>L505+L508</f>
        <v>-2173.1999999999998</v>
      </c>
      <c r="M504" s="84">
        <f t="shared" si="106"/>
        <v>133554.1</v>
      </c>
      <c r="N504" s="13">
        <f>N505+N508</f>
        <v>0</v>
      </c>
      <c r="O504" s="84">
        <f t="shared" si="107"/>
        <v>133554.1</v>
      </c>
      <c r="P504" s="13">
        <f>P505+P508</f>
        <v>-140.19999999999999</v>
      </c>
      <c r="Q504" s="84">
        <f t="shared" si="104"/>
        <v>133413.9</v>
      </c>
      <c r="R504" s="13">
        <f>R505+R508</f>
        <v>-1759.9</v>
      </c>
      <c r="S504" s="84">
        <f t="shared" si="118"/>
        <v>131654</v>
      </c>
      <c r="T504" s="13">
        <f>T505+T508</f>
        <v>5813.4</v>
      </c>
      <c r="U504" s="84">
        <f t="shared" si="113"/>
        <v>137467.4</v>
      </c>
    </row>
    <row r="505" spans="1:21">
      <c r="A505" s="61" t="str">
        <f ca="1">IF(ISERROR(MATCH(F505,Код_КВР,0)),"",INDIRECT(ADDRESS(MATCH(F505,Код_КВР,0)+1,2,,,"КВР")))</f>
        <v>Закупка товаров, работ и услуг для муниципальных нужд</v>
      </c>
      <c r="B505" s="126">
        <v>803</v>
      </c>
      <c r="C505" s="8" t="s">
        <v>219</v>
      </c>
      <c r="D505" s="8" t="s">
        <v>213</v>
      </c>
      <c r="E505" s="126" t="s">
        <v>48</v>
      </c>
      <c r="F505" s="126">
        <v>200</v>
      </c>
      <c r="G505" s="69">
        <f>G506</f>
        <v>104444.7</v>
      </c>
      <c r="H505" s="69">
        <f>H506</f>
        <v>0</v>
      </c>
      <c r="I505" s="69">
        <f t="shared" si="114"/>
        <v>104444.7</v>
      </c>
      <c r="J505" s="69">
        <f>J506</f>
        <v>286.2</v>
      </c>
      <c r="K505" s="84">
        <f t="shared" si="112"/>
        <v>104730.9</v>
      </c>
      <c r="L505" s="13">
        <f>L506</f>
        <v>-2173.1999999999998</v>
      </c>
      <c r="M505" s="84">
        <f t="shared" si="106"/>
        <v>102557.7</v>
      </c>
      <c r="N505" s="13">
        <f>N506</f>
        <v>0</v>
      </c>
      <c r="O505" s="84">
        <f t="shared" si="107"/>
        <v>102557.7</v>
      </c>
      <c r="P505" s="13">
        <f>P506</f>
        <v>-140.19999999999999</v>
      </c>
      <c r="Q505" s="84">
        <f t="shared" si="104"/>
        <v>102417.5</v>
      </c>
      <c r="R505" s="13">
        <f>R506</f>
        <v>-1759.9</v>
      </c>
      <c r="S505" s="84">
        <f t="shared" si="118"/>
        <v>100657.60000000001</v>
      </c>
      <c r="T505" s="13">
        <f>T506</f>
        <v>5813.4</v>
      </c>
      <c r="U505" s="84">
        <f t="shared" si="113"/>
        <v>106471</v>
      </c>
    </row>
    <row r="506" spans="1:21" ht="33">
      <c r="A506" s="61" t="str">
        <f ca="1">IF(ISERROR(MATCH(F506,Код_КВР,0)),"",INDIRECT(ADDRESS(MATCH(F506,Код_КВР,0)+1,2,,,"КВР")))</f>
        <v>Иные закупки товаров, работ и услуг для обеспечения муниципальных нужд</v>
      </c>
      <c r="B506" s="126">
        <v>803</v>
      </c>
      <c r="C506" s="8" t="s">
        <v>219</v>
      </c>
      <c r="D506" s="8" t="s">
        <v>213</v>
      </c>
      <c r="E506" s="126" t="s">
        <v>48</v>
      </c>
      <c r="F506" s="126">
        <v>240</v>
      </c>
      <c r="G506" s="69">
        <f>G507</f>
        <v>104444.7</v>
      </c>
      <c r="H506" s="69">
        <f>H507</f>
        <v>0</v>
      </c>
      <c r="I506" s="69">
        <f t="shared" si="114"/>
        <v>104444.7</v>
      </c>
      <c r="J506" s="69">
        <f>J507</f>
        <v>286.2</v>
      </c>
      <c r="K506" s="84">
        <f t="shared" si="112"/>
        <v>104730.9</v>
      </c>
      <c r="L506" s="13">
        <f>L507</f>
        <v>-2173.1999999999998</v>
      </c>
      <c r="M506" s="84">
        <f t="shared" si="106"/>
        <v>102557.7</v>
      </c>
      <c r="N506" s="13">
        <f>N507</f>
        <v>0</v>
      </c>
      <c r="O506" s="84">
        <f t="shared" si="107"/>
        <v>102557.7</v>
      </c>
      <c r="P506" s="13">
        <f>P507</f>
        <v>-140.19999999999999</v>
      </c>
      <c r="Q506" s="84">
        <f t="shared" si="104"/>
        <v>102417.5</v>
      </c>
      <c r="R506" s="13">
        <f>R507</f>
        <v>-1759.9</v>
      </c>
      <c r="S506" s="84">
        <f t="shared" si="118"/>
        <v>100657.60000000001</v>
      </c>
      <c r="T506" s="13">
        <f>T507</f>
        <v>5813.4</v>
      </c>
      <c r="U506" s="84">
        <f t="shared" si="113"/>
        <v>106471</v>
      </c>
    </row>
    <row r="507" spans="1:21" ht="33">
      <c r="A507" s="61" t="str">
        <f ca="1">IF(ISERROR(MATCH(F507,Код_КВР,0)),"",INDIRECT(ADDRESS(MATCH(F507,Код_КВР,0)+1,2,,,"КВР")))</f>
        <v xml:space="preserve">Прочая закупка товаров, работ и услуг для обеспечения муниципальных нужд         </v>
      </c>
      <c r="B507" s="126">
        <v>803</v>
      </c>
      <c r="C507" s="8" t="s">
        <v>219</v>
      </c>
      <c r="D507" s="8" t="s">
        <v>213</v>
      </c>
      <c r="E507" s="126" t="s">
        <v>48</v>
      </c>
      <c r="F507" s="126">
        <v>244</v>
      </c>
      <c r="G507" s="69">
        <v>104444.7</v>
      </c>
      <c r="H507" s="64"/>
      <c r="I507" s="69">
        <f t="shared" si="114"/>
        <v>104444.7</v>
      </c>
      <c r="J507" s="64">
        <v>286.2</v>
      </c>
      <c r="K507" s="84">
        <f t="shared" si="112"/>
        <v>104730.9</v>
      </c>
      <c r="L507" s="84">
        <f>1005-29.9-97.4-2592.7-458.2</f>
        <v>-2173.1999999999998</v>
      </c>
      <c r="M507" s="84">
        <f t="shared" si="106"/>
        <v>102557.7</v>
      </c>
      <c r="N507" s="84"/>
      <c r="O507" s="84">
        <f t="shared" si="107"/>
        <v>102557.7</v>
      </c>
      <c r="P507" s="84">
        <v>-140.19999999999999</v>
      </c>
      <c r="Q507" s="84">
        <f t="shared" ref="Q507:Q570" si="119">O507+P507</f>
        <v>102417.5</v>
      </c>
      <c r="R507" s="84">
        <f>-219.8-20.9-34.5-497-152-490.2-34.8-310.7</f>
        <v>-1759.9</v>
      </c>
      <c r="S507" s="84">
        <f t="shared" si="118"/>
        <v>100657.60000000001</v>
      </c>
      <c r="T507" s="84">
        <f>360+5453.4</f>
        <v>5813.4</v>
      </c>
      <c r="U507" s="84">
        <f t="shared" si="113"/>
        <v>106471</v>
      </c>
    </row>
    <row r="508" spans="1:21">
      <c r="A508" s="61" t="str">
        <f ca="1">IF(ISERROR(MATCH(F508,Код_КВР,0)),"",INDIRECT(ADDRESS(MATCH(F508,Код_КВР,0)+1,2,,,"КВР")))</f>
        <v>Иные бюджетные ассигнования</v>
      </c>
      <c r="B508" s="126">
        <v>803</v>
      </c>
      <c r="C508" s="8" t="s">
        <v>219</v>
      </c>
      <c r="D508" s="8" t="s">
        <v>213</v>
      </c>
      <c r="E508" s="126" t="s">
        <v>48</v>
      </c>
      <c r="F508" s="126">
        <v>800</v>
      </c>
      <c r="G508" s="69">
        <f>G509</f>
        <v>32181.5</v>
      </c>
      <c r="H508" s="69">
        <f>H509</f>
        <v>0</v>
      </c>
      <c r="I508" s="69">
        <f t="shared" si="114"/>
        <v>32181.5</v>
      </c>
      <c r="J508" s="69">
        <f>J509</f>
        <v>-1185.1000000000001</v>
      </c>
      <c r="K508" s="84">
        <f t="shared" si="112"/>
        <v>30996.400000000001</v>
      </c>
      <c r="L508" s="13">
        <f>L509</f>
        <v>0</v>
      </c>
      <c r="M508" s="84">
        <f t="shared" si="106"/>
        <v>30996.400000000001</v>
      </c>
      <c r="N508" s="13">
        <f>N509</f>
        <v>0</v>
      </c>
      <c r="O508" s="84">
        <f t="shared" si="107"/>
        <v>30996.400000000001</v>
      </c>
      <c r="P508" s="13">
        <f>P509</f>
        <v>0</v>
      </c>
      <c r="Q508" s="84">
        <f t="shared" si="119"/>
        <v>30996.400000000001</v>
      </c>
      <c r="R508" s="13">
        <f>R509</f>
        <v>0</v>
      </c>
      <c r="S508" s="84">
        <f t="shared" si="118"/>
        <v>30996.400000000001</v>
      </c>
      <c r="T508" s="13">
        <f>T509</f>
        <v>0</v>
      </c>
      <c r="U508" s="84">
        <f t="shared" si="113"/>
        <v>30996.400000000001</v>
      </c>
    </row>
    <row r="509" spans="1:21" ht="33">
      <c r="A509" s="61" t="str">
        <f ca="1">IF(ISERROR(MATCH(F509,Код_КВР,0)),"",INDIRECT(ADDRESS(MATCH(F509,Код_КВР,0)+1,2,,,"КВР")))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09" s="126">
        <v>803</v>
      </c>
      <c r="C509" s="8" t="s">
        <v>219</v>
      </c>
      <c r="D509" s="8" t="s">
        <v>213</v>
      </c>
      <c r="E509" s="126" t="s">
        <v>48</v>
      </c>
      <c r="F509" s="126">
        <v>810</v>
      </c>
      <c r="G509" s="69">
        <v>32181.5</v>
      </c>
      <c r="H509" s="64"/>
      <c r="I509" s="69">
        <f t="shared" si="114"/>
        <v>32181.5</v>
      </c>
      <c r="J509" s="64">
        <f>-1411.7+226.6</f>
        <v>-1185.1000000000001</v>
      </c>
      <c r="K509" s="84">
        <f t="shared" si="112"/>
        <v>30996.400000000001</v>
      </c>
      <c r="L509" s="84"/>
      <c r="M509" s="84">
        <f t="shared" si="106"/>
        <v>30996.400000000001</v>
      </c>
      <c r="N509" s="84"/>
      <c r="O509" s="84">
        <f t="shared" si="107"/>
        <v>30996.400000000001</v>
      </c>
      <c r="P509" s="84"/>
      <c r="Q509" s="84">
        <f t="shared" si="119"/>
        <v>30996.400000000001</v>
      </c>
      <c r="R509" s="84"/>
      <c r="S509" s="84">
        <f t="shared" si="118"/>
        <v>30996.400000000001</v>
      </c>
      <c r="T509" s="84"/>
      <c r="U509" s="84">
        <f t="shared" si="113"/>
        <v>30996.400000000001</v>
      </c>
    </row>
    <row r="510" spans="1:21" ht="49.5">
      <c r="A510" s="61" t="str">
        <f ca="1">IF(ISERROR(MATCH(E510,Код_КЦСР,0)),"",INDIRECT(ADDRESS(MATCH(E510,Код_КЦСР,0)+1,2,,,"КЦСР")))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510" s="126">
        <v>803</v>
      </c>
      <c r="C510" s="8" t="s">
        <v>219</v>
      </c>
      <c r="D510" s="8" t="s">
        <v>213</v>
      </c>
      <c r="E510" s="126" t="s">
        <v>139</v>
      </c>
      <c r="F510" s="126"/>
      <c r="G510" s="69">
        <f t="shared" ref="G510:T513" si="120">G511</f>
        <v>84.2</v>
      </c>
      <c r="H510" s="69">
        <f t="shared" si="120"/>
        <v>0</v>
      </c>
      <c r="I510" s="69">
        <f t="shared" si="114"/>
        <v>84.2</v>
      </c>
      <c r="J510" s="69">
        <f t="shared" si="120"/>
        <v>0</v>
      </c>
      <c r="K510" s="84">
        <f t="shared" si="112"/>
        <v>84.2</v>
      </c>
      <c r="L510" s="13">
        <f t="shared" si="120"/>
        <v>0</v>
      </c>
      <c r="M510" s="84">
        <f t="shared" si="106"/>
        <v>84.2</v>
      </c>
      <c r="N510" s="13">
        <f t="shared" si="120"/>
        <v>0</v>
      </c>
      <c r="O510" s="84">
        <f t="shared" si="107"/>
        <v>84.2</v>
      </c>
      <c r="P510" s="13">
        <f t="shared" si="120"/>
        <v>0</v>
      </c>
      <c r="Q510" s="84">
        <f t="shared" si="119"/>
        <v>84.2</v>
      </c>
      <c r="R510" s="13">
        <f t="shared" si="120"/>
        <v>0</v>
      </c>
      <c r="S510" s="84">
        <f t="shared" si="118"/>
        <v>84.2</v>
      </c>
      <c r="T510" s="13">
        <f t="shared" si="120"/>
        <v>0</v>
      </c>
      <c r="U510" s="84">
        <f t="shared" si="113"/>
        <v>84.2</v>
      </c>
    </row>
    <row r="511" spans="1:21" ht="66">
      <c r="A511" s="61" t="str">
        <f ca="1">IF(ISERROR(MATCH(E511,Код_КЦСР,0)),"",INDIRECT(ADDRESS(MATCH(E511,Код_КЦСР,0)+1,2,,,"КЦСР")))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511" s="126">
        <v>803</v>
      </c>
      <c r="C511" s="8" t="s">
        <v>219</v>
      </c>
      <c r="D511" s="8" t="s">
        <v>213</v>
      </c>
      <c r="E511" s="126" t="s">
        <v>141</v>
      </c>
      <c r="F511" s="126"/>
      <c r="G511" s="69">
        <f t="shared" si="120"/>
        <v>84.2</v>
      </c>
      <c r="H511" s="69">
        <f t="shared" si="120"/>
        <v>0</v>
      </c>
      <c r="I511" s="69">
        <f t="shared" si="114"/>
        <v>84.2</v>
      </c>
      <c r="J511" s="69">
        <f t="shared" si="120"/>
        <v>0</v>
      </c>
      <c r="K511" s="84">
        <f t="shared" si="112"/>
        <v>84.2</v>
      </c>
      <c r="L511" s="13">
        <f t="shared" si="120"/>
        <v>0</v>
      </c>
      <c r="M511" s="84">
        <f t="shared" si="106"/>
        <v>84.2</v>
      </c>
      <c r="N511" s="13">
        <f t="shared" si="120"/>
        <v>0</v>
      </c>
      <c r="O511" s="84">
        <f t="shared" si="107"/>
        <v>84.2</v>
      </c>
      <c r="P511" s="13">
        <f t="shared" si="120"/>
        <v>0</v>
      </c>
      <c r="Q511" s="84">
        <f t="shared" si="119"/>
        <v>84.2</v>
      </c>
      <c r="R511" s="13">
        <f t="shared" si="120"/>
        <v>0</v>
      </c>
      <c r="S511" s="84">
        <f t="shared" si="118"/>
        <v>84.2</v>
      </c>
      <c r="T511" s="13">
        <f t="shared" si="120"/>
        <v>0</v>
      </c>
      <c r="U511" s="84">
        <f t="shared" si="113"/>
        <v>84.2</v>
      </c>
    </row>
    <row r="512" spans="1:21">
      <c r="A512" s="61" t="str">
        <f ca="1">IF(ISERROR(MATCH(F512,Код_КВР,0)),"",INDIRECT(ADDRESS(MATCH(F512,Код_КВР,0)+1,2,,,"КВР")))</f>
        <v>Закупка товаров, работ и услуг для муниципальных нужд</v>
      </c>
      <c r="B512" s="126">
        <v>803</v>
      </c>
      <c r="C512" s="8" t="s">
        <v>219</v>
      </c>
      <c r="D512" s="8" t="s">
        <v>213</v>
      </c>
      <c r="E512" s="126" t="s">
        <v>141</v>
      </c>
      <c r="F512" s="126">
        <v>200</v>
      </c>
      <c r="G512" s="69">
        <f t="shared" si="120"/>
        <v>84.2</v>
      </c>
      <c r="H512" s="69">
        <f t="shared" si="120"/>
        <v>0</v>
      </c>
      <c r="I512" s="69">
        <f t="shared" si="114"/>
        <v>84.2</v>
      </c>
      <c r="J512" s="69">
        <f t="shared" si="120"/>
        <v>0</v>
      </c>
      <c r="K512" s="84">
        <f t="shared" si="112"/>
        <v>84.2</v>
      </c>
      <c r="L512" s="13">
        <f t="shared" si="120"/>
        <v>0</v>
      </c>
      <c r="M512" s="84">
        <f t="shared" si="106"/>
        <v>84.2</v>
      </c>
      <c r="N512" s="13">
        <f t="shared" si="120"/>
        <v>0</v>
      </c>
      <c r="O512" s="84">
        <f t="shared" si="107"/>
        <v>84.2</v>
      </c>
      <c r="P512" s="13">
        <f t="shared" si="120"/>
        <v>0</v>
      </c>
      <c r="Q512" s="84">
        <f t="shared" si="119"/>
        <v>84.2</v>
      </c>
      <c r="R512" s="13">
        <f t="shared" si="120"/>
        <v>0</v>
      </c>
      <c r="S512" s="84">
        <f t="shared" si="118"/>
        <v>84.2</v>
      </c>
      <c r="T512" s="13">
        <f t="shared" si="120"/>
        <v>0</v>
      </c>
      <c r="U512" s="84">
        <f t="shared" si="113"/>
        <v>84.2</v>
      </c>
    </row>
    <row r="513" spans="1:21" ht="33">
      <c r="A513" s="61" t="str">
        <f ca="1">IF(ISERROR(MATCH(F513,Код_КВР,0)),"",INDIRECT(ADDRESS(MATCH(F513,Код_КВР,0)+1,2,,,"КВР")))</f>
        <v>Иные закупки товаров, работ и услуг для обеспечения муниципальных нужд</v>
      </c>
      <c r="B513" s="126">
        <v>803</v>
      </c>
      <c r="C513" s="8" t="s">
        <v>219</v>
      </c>
      <c r="D513" s="8" t="s">
        <v>213</v>
      </c>
      <c r="E513" s="126" t="s">
        <v>141</v>
      </c>
      <c r="F513" s="126">
        <v>240</v>
      </c>
      <c r="G513" s="69">
        <f t="shared" si="120"/>
        <v>84.2</v>
      </c>
      <c r="H513" s="69">
        <f t="shared" si="120"/>
        <v>0</v>
      </c>
      <c r="I513" s="69">
        <f t="shared" si="114"/>
        <v>84.2</v>
      </c>
      <c r="J513" s="69">
        <f t="shared" si="120"/>
        <v>0</v>
      </c>
      <c r="K513" s="84">
        <f t="shared" si="112"/>
        <v>84.2</v>
      </c>
      <c r="L513" s="13">
        <f t="shared" si="120"/>
        <v>0</v>
      </c>
      <c r="M513" s="84">
        <f t="shared" ref="M513:M589" si="121">K513+L513</f>
        <v>84.2</v>
      </c>
      <c r="N513" s="13">
        <f t="shared" si="120"/>
        <v>0</v>
      </c>
      <c r="O513" s="84">
        <f t="shared" ref="O513:O589" si="122">M513+N513</f>
        <v>84.2</v>
      </c>
      <c r="P513" s="13">
        <f t="shared" si="120"/>
        <v>0</v>
      </c>
      <c r="Q513" s="84">
        <f t="shared" si="119"/>
        <v>84.2</v>
      </c>
      <c r="R513" s="13">
        <f t="shared" si="120"/>
        <v>0</v>
      </c>
      <c r="S513" s="84">
        <f t="shared" si="118"/>
        <v>84.2</v>
      </c>
      <c r="T513" s="13">
        <f t="shared" si="120"/>
        <v>0</v>
      </c>
      <c r="U513" s="84">
        <f t="shared" si="113"/>
        <v>84.2</v>
      </c>
    </row>
    <row r="514" spans="1:21" ht="33">
      <c r="A514" s="61" t="str">
        <f ca="1">IF(ISERROR(MATCH(F514,Код_КВР,0)),"",INDIRECT(ADDRESS(MATCH(F514,Код_КВР,0)+1,2,,,"КВР")))</f>
        <v xml:space="preserve">Прочая закупка товаров, работ и услуг для обеспечения муниципальных нужд         </v>
      </c>
      <c r="B514" s="126">
        <v>803</v>
      </c>
      <c r="C514" s="8" t="s">
        <v>219</v>
      </c>
      <c r="D514" s="8" t="s">
        <v>213</v>
      </c>
      <c r="E514" s="126" t="s">
        <v>141</v>
      </c>
      <c r="F514" s="126">
        <v>244</v>
      </c>
      <c r="G514" s="69">
        <v>84.2</v>
      </c>
      <c r="H514" s="64"/>
      <c r="I514" s="69">
        <f t="shared" si="114"/>
        <v>84.2</v>
      </c>
      <c r="J514" s="64"/>
      <c r="K514" s="84">
        <f t="shared" si="112"/>
        <v>84.2</v>
      </c>
      <c r="L514" s="84"/>
      <c r="M514" s="84">
        <f t="shared" si="121"/>
        <v>84.2</v>
      </c>
      <c r="N514" s="84"/>
      <c r="O514" s="84">
        <f t="shared" si="122"/>
        <v>84.2</v>
      </c>
      <c r="P514" s="84"/>
      <c r="Q514" s="84">
        <f t="shared" si="119"/>
        <v>84.2</v>
      </c>
      <c r="R514" s="84"/>
      <c r="S514" s="84">
        <f t="shared" si="118"/>
        <v>84.2</v>
      </c>
      <c r="T514" s="84"/>
      <c r="U514" s="84">
        <f t="shared" si="113"/>
        <v>84.2</v>
      </c>
    </row>
    <row r="515" spans="1:21">
      <c r="A515" s="12" t="s">
        <v>162</v>
      </c>
      <c r="B515" s="126">
        <v>803</v>
      </c>
      <c r="C515" s="8" t="s">
        <v>219</v>
      </c>
      <c r="D515" s="8" t="s">
        <v>219</v>
      </c>
      <c r="E515" s="126"/>
      <c r="F515" s="126"/>
      <c r="G515" s="69">
        <f t="shared" ref="G515:T517" si="123">G516</f>
        <v>21929.300000000003</v>
      </c>
      <c r="H515" s="69">
        <f t="shared" si="123"/>
        <v>0</v>
      </c>
      <c r="I515" s="69">
        <f t="shared" si="114"/>
        <v>21929.300000000003</v>
      </c>
      <c r="J515" s="69">
        <f t="shared" si="123"/>
        <v>0</v>
      </c>
      <c r="K515" s="84">
        <f t="shared" si="112"/>
        <v>21929.300000000003</v>
      </c>
      <c r="L515" s="13">
        <f t="shared" si="123"/>
        <v>0</v>
      </c>
      <c r="M515" s="84">
        <f t="shared" si="121"/>
        <v>21929.300000000003</v>
      </c>
      <c r="N515" s="13">
        <f t="shared" si="123"/>
        <v>0</v>
      </c>
      <c r="O515" s="84">
        <f t="shared" si="122"/>
        <v>21929.300000000003</v>
      </c>
      <c r="P515" s="13">
        <f t="shared" si="123"/>
        <v>0</v>
      </c>
      <c r="Q515" s="84">
        <f t="shared" si="119"/>
        <v>21929.300000000003</v>
      </c>
      <c r="R515" s="13">
        <f t="shared" si="123"/>
        <v>0</v>
      </c>
      <c r="S515" s="84">
        <f t="shared" si="118"/>
        <v>21929.300000000003</v>
      </c>
      <c r="T515" s="13">
        <f t="shared" si="123"/>
        <v>0</v>
      </c>
      <c r="U515" s="84">
        <f t="shared" si="113"/>
        <v>21929.300000000003</v>
      </c>
    </row>
    <row r="516" spans="1:21" ht="33">
      <c r="A516" s="61" t="str">
        <f ca="1">IF(ISERROR(MATCH(E516,Код_КЦСР,0)),"",INDIRECT(ADDRESS(MATCH(E516,Код_КЦСР,0)+1,2,,,"КЦСР")))</f>
        <v>Непрограммные направления деятельности органов местного самоуправления</v>
      </c>
      <c r="B516" s="126">
        <v>803</v>
      </c>
      <c r="C516" s="8" t="s">
        <v>219</v>
      </c>
      <c r="D516" s="8" t="s">
        <v>219</v>
      </c>
      <c r="E516" s="126" t="s">
        <v>295</v>
      </c>
      <c r="F516" s="126"/>
      <c r="G516" s="69">
        <f t="shared" si="123"/>
        <v>21929.300000000003</v>
      </c>
      <c r="H516" s="69">
        <f t="shared" si="123"/>
        <v>0</v>
      </c>
      <c r="I516" s="69">
        <f t="shared" si="114"/>
        <v>21929.300000000003</v>
      </c>
      <c r="J516" s="69">
        <f t="shared" si="123"/>
        <v>0</v>
      </c>
      <c r="K516" s="84">
        <f t="shared" si="112"/>
        <v>21929.300000000003</v>
      </c>
      <c r="L516" s="13">
        <f t="shared" si="123"/>
        <v>0</v>
      </c>
      <c r="M516" s="84">
        <f t="shared" si="121"/>
        <v>21929.300000000003</v>
      </c>
      <c r="N516" s="13">
        <f t="shared" si="123"/>
        <v>0</v>
      </c>
      <c r="O516" s="84">
        <f t="shared" si="122"/>
        <v>21929.300000000003</v>
      </c>
      <c r="P516" s="13">
        <f t="shared" si="123"/>
        <v>0</v>
      </c>
      <c r="Q516" s="84">
        <f t="shared" si="119"/>
        <v>21929.300000000003</v>
      </c>
      <c r="R516" s="13">
        <f t="shared" si="123"/>
        <v>0</v>
      </c>
      <c r="S516" s="84">
        <f t="shared" si="118"/>
        <v>21929.300000000003</v>
      </c>
      <c r="T516" s="13">
        <f t="shared" si="123"/>
        <v>0</v>
      </c>
      <c r="U516" s="84">
        <f t="shared" si="113"/>
        <v>21929.300000000003</v>
      </c>
    </row>
    <row r="517" spans="1:21">
      <c r="A517" s="61" t="str">
        <f ca="1">IF(ISERROR(MATCH(E517,Код_КЦСР,0)),"",INDIRECT(ADDRESS(MATCH(E517,Код_КЦСР,0)+1,2,,,"КЦСР")))</f>
        <v>Расходы, не включенные в муниципальные программы города Череповца</v>
      </c>
      <c r="B517" s="126">
        <v>803</v>
      </c>
      <c r="C517" s="8" t="s">
        <v>219</v>
      </c>
      <c r="D517" s="8" t="s">
        <v>219</v>
      </c>
      <c r="E517" s="126" t="s">
        <v>297</v>
      </c>
      <c r="F517" s="126"/>
      <c r="G517" s="69">
        <f t="shared" si="123"/>
        <v>21929.300000000003</v>
      </c>
      <c r="H517" s="69">
        <f t="shared" si="123"/>
        <v>0</v>
      </c>
      <c r="I517" s="69">
        <f t="shared" si="114"/>
        <v>21929.300000000003</v>
      </c>
      <c r="J517" s="69">
        <f t="shared" si="123"/>
        <v>0</v>
      </c>
      <c r="K517" s="84">
        <f t="shared" si="112"/>
        <v>21929.300000000003</v>
      </c>
      <c r="L517" s="13">
        <f t="shared" si="123"/>
        <v>0</v>
      </c>
      <c r="M517" s="84">
        <f t="shared" si="121"/>
        <v>21929.300000000003</v>
      </c>
      <c r="N517" s="13">
        <f t="shared" si="123"/>
        <v>0</v>
      </c>
      <c r="O517" s="84">
        <f t="shared" si="122"/>
        <v>21929.300000000003</v>
      </c>
      <c r="P517" s="13">
        <f t="shared" si="123"/>
        <v>0</v>
      </c>
      <c r="Q517" s="84">
        <f t="shared" si="119"/>
        <v>21929.300000000003</v>
      </c>
      <c r="R517" s="13">
        <f t="shared" si="123"/>
        <v>0</v>
      </c>
      <c r="S517" s="84">
        <f t="shared" si="118"/>
        <v>21929.300000000003</v>
      </c>
      <c r="T517" s="13">
        <f t="shared" si="123"/>
        <v>0</v>
      </c>
      <c r="U517" s="84">
        <f t="shared" si="113"/>
        <v>21929.300000000003</v>
      </c>
    </row>
    <row r="518" spans="1:21" ht="33">
      <c r="A518" s="61" t="str">
        <f ca="1">IF(ISERROR(MATCH(E518,Код_КЦСР,0)),"",INDIRECT(ADDRESS(MATCH(E518,Код_КЦСР,0)+1,2,,,"КЦСР")))</f>
        <v>Руководство и управление в сфере установленных функций органов местного самоуправления</v>
      </c>
      <c r="B518" s="126">
        <v>803</v>
      </c>
      <c r="C518" s="8" t="s">
        <v>219</v>
      </c>
      <c r="D518" s="8" t="s">
        <v>219</v>
      </c>
      <c r="E518" s="126" t="s">
        <v>299</v>
      </c>
      <c r="F518" s="126"/>
      <c r="G518" s="69">
        <f>G520+G522+G525</f>
        <v>21929.300000000003</v>
      </c>
      <c r="H518" s="69">
        <f>H520+H522+H525</f>
        <v>0</v>
      </c>
      <c r="I518" s="69">
        <f t="shared" si="114"/>
        <v>21929.300000000003</v>
      </c>
      <c r="J518" s="69">
        <f>J520+J522+J525</f>
        <v>0</v>
      </c>
      <c r="K518" s="84">
        <f t="shared" si="112"/>
        <v>21929.300000000003</v>
      </c>
      <c r="L518" s="13">
        <f>L520+L522+L525</f>
        <v>0</v>
      </c>
      <c r="M518" s="84">
        <f t="shared" si="121"/>
        <v>21929.300000000003</v>
      </c>
      <c r="N518" s="13">
        <f>N520+N522+N525</f>
        <v>0</v>
      </c>
      <c r="O518" s="84">
        <f t="shared" si="122"/>
        <v>21929.300000000003</v>
      </c>
      <c r="P518" s="13">
        <f>P520+P522+P525</f>
        <v>0</v>
      </c>
      <c r="Q518" s="84">
        <f t="shared" si="119"/>
        <v>21929.300000000003</v>
      </c>
      <c r="R518" s="13">
        <f>R520+R522+R525</f>
        <v>0</v>
      </c>
      <c r="S518" s="84">
        <f t="shared" si="118"/>
        <v>21929.300000000003</v>
      </c>
      <c r="T518" s="13">
        <f>T520+T522+T525</f>
        <v>0</v>
      </c>
      <c r="U518" s="84">
        <f t="shared" si="113"/>
        <v>21929.300000000003</v>
      </c>
    </row>
    <row r="519" spans="1:21">
      <c r="A519" s="61" t="str">
        <f ca="1">IF(ISERROR(MATCH(E519,Код_КЦСР,0)),"",INDIRECT(ADDRESS(MATCH(E519,Код_КЦСР,0)+1,2,,,"КЦСР")))</f>
        <v>Центральный аппарат</v>
      </c>
      <c r="B519" s="126">
        <v>803</v>
      </c>
      <c r="C519" s="8" t="s">
        <v>219</v>
      </c>
      <c r="D519" s="8" t="s">
        <v>219</v>
      </c>
      <c r="E519" s="126" t="s">
        <v>302</v>
      </c>
      <c r="F519" s="126"/>
      <c r="G519" s="69">
        <f>G520+G522+G525</f>
        <v>21929.300000000003</v>
      </c>
      <c r="H519" s="69">
        <f>H520+H522+H525</f>
        <v>0</v>
      </c>
      <c r="I519" s="69">
        <f t="shared" si="114"/>
        <v>21929.300000000003</v>
      </c>
      <c r="J519" s="69">
        <f>J520+J522+J525</f>
        <v>0</v>
      </c>
      <c r="K519" s="84">
        <f t="shared" si="112"/>
        <v>21929.300000000003</v>
      </c>
      <c r="L519" s="13">
        <f>L520+L522+L525</f>
        <v>0</v>
      </c>
      <c r="M519" s="84">
        <f t="shared" si="121"/>
        <v>21929.300000000003</v>
      </c>
      <c r="N519" s="13">
        <f>N520+N522+N525</f>
        <v>0</v>
      </c>
      <c r="O519" s="84">
        <f t="shared" si="122"/>
        <v>21929.300000000003</v>
      </c>
      <c r="P519" s="13">
        <f>P520+P522+P525</f>
        <v>0</v>
      </c>
      <c r="Q519" s="84">
        <f t="shared" si="119"/>
        <v>21929.300000000003</v>
      </c>
      <c r="R519" s="13">
        <f>R520+R522+R525</f>
        <v>0</v>
      </c>
      <c r="S519" s="84">
        <f t="shared" si="118"/>
        <v>21929.300000000003</v>
      </c>
      <c r="T519" s="13">
        <f>T520+T522+T525</f>
        <v>0</v>
      </c>
      <c r="U519" s="84">
        <f t="shared" si="113"/>
        <v>21929.300000000003</v>
      </c>
    </row>
    <row r="520" spans="1:21" ht="33">
      <c r="A520" s="61" t="str">
        <f t="shared" ref="A520:A526" ca="1" si="124">IF(ISERROR(MATCH(F520,Код_КВР,0)),"",INDIRECT(ADDRESS(MATCH(F520,Код_КВР,0)+1,2,,,"КВР")))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20" s="126">
        <v>803</v>
      </c>
      <c r="C520" s="8" t="s">
        <v>219</v>
      </c>
      <c r="D520" s="8" t="s">
        <v>219</v>
      </c>
      <c r="E520" s="126" t="s">
        <v>302</v>
      </c>
      <c r="F520" s="126">
        <v>100</v>
      </c>
      <c r="G520" s="69">
        <f>G521</f>
        <v>21894.9</v>
      </c>
      <c r="H520" s="69">
        <f>H521</f>
        <v>0</v>
      </c>
      <c r="I520" s="69">
        <f t="shared" si="114"/>
        <v>21894.9</v>
      </c>
      <c r="J520" s="69">
        <f>J521</f>
        <v>0</v>
      </c>
      <c r="K520" s="84">
        <f t="shared" si="112"/>
        <v>21894.9</v>
      </c>
      <c r="L520" s="13">
        <f>L521</f>
        <v>0</v>
      </c>
      <c r="M520" s="84">
        <f t="shared" si="121"/>
        <v>21894.9</v>
      </c>
      <c r="N520" s="13">
        <f>N521</f>
        <v>0</v>
      </c>
      <c r="O520" s="84">
        <f t="shared" si="122"/>
        <v>21894.9</v>
      </c>
      <c r="P520" s="13">
        <f>P521</f>
        <v>0</v>
      </c>
      <c r="Q520" s="84">
        <f t="shared" si="119"/>
        <v>21894.9</v>
      </c>
      <c r="R520" s="13">
        <f>R521</f>
        <v>0</v>
      </c>
      <c r="S520" s="84">
        <f t="shared" si="118"/>
        <v>21894.9</v>
      </c>
      <c r="T520" s="13">
        <f>T521</f>
        <v>-40</v>
      </c>
      <c r="U520" s="84">
        <f t="shared" si="113"/>
        <v>21854.9</v>
      </c>
    </row>
    <row r="521" spans="1:21">
      <c r="A521" s="61" t="str">
        <f t="shared" ca="1" si="124"/>
        <v>Расходы на выплаты персоналу муниципальных органов</v>
      </c>
      <c r="B521" s="126">
        <v>803</v>
      </c>
      <c r="C521" s="8" t="s">
        <v>219</v>
      </c>
      <c r="D521" s="8" t="s">
        <v>219</v>
      </c>
      <c r="E521" s="126" t="s">
        <v>302</v>
      </c>
      <c r="F521" s="126">
        <v>120</v>
      </c>
      <c r="G521" s="69">
        <v>21894.9</v>
      </c>
      <c r="H521" s="69"/>
      <c r="I521" s="69">
        <f t="shared" si="114"/>
        <v>21894.9</v>
      </c>
      <c r="J521" s="69"/>
      <c r="K521" s="84">
        <f t="shared" si="112"/>
        <v>21894.9</v>
      </c>
      <c r="L521" s="13"/>
      <c r="M521" s="84">
        <f t="shared" si="121"/>
        <v>21894.9</v>
      </c>
      <c r="N521" s="13"/>
      <c r="O521" s="84">
        <f t="shared" si="122"/>
        <v>21894.9</v>
      </c>
      <c r="P521" s="13"/>
      <c r="Q521" s="84">
        <f t="shared" si="119"/>
        <v>21894.9</v>
      </c>
      <c r="R521" s="13"/>
      <c r="S521" s="84">
        <f t="shared" si="118"/>
        <v>21894.9</v>
      </c>
      <c r="T521" s="13">
        <f>-40</f>
        <v>-40</v>
      </c>
      <c r="U521" s="84">
        <f t="shared" si="113"/>
        <v>21854.9</v>
      </c>
    </row>
    <row r="522" spans="1:21">
      <c r="A522" s="61" t="str">
        <f t="shared" ca="1" si="124"/>
        <v>Закупка товаров, работ и услуг для муниципальных нужд</v>
      </c>
      <c r="B522" s="126">
        <v>803</v>
      </c>
      <c r="C522" s="8" t="s">
        <v>219</v>
      </c>
      <c r="D522" s="8" t="s">
        <v>219</v>
      </c>
      <c r="E522" s="126" t="s">
        <v>302</v>
      </c>
      <c r="F522" s="126">
        <v>200</v>
      </c>
      <c r="G522" s="69">
        <f>G523</f>
        <v>31.4</v>
      </c>
      <c r="H522" s="69">
        <f>H523</f>
        <v>0</v>
      </c>
      <c r="I522" s="69">
        <f t="shared" si="114"/>
        <v>31.4</v>
      </c>
      <c r="J522" s="69">
        <f>J523</f>
        <v>0</v>
      </c>
      <c r="K522" s="84">
        <f t="shared" si="112"/>
        <v>31.4</v>
      </c>
      <c r="L522" s="13">
        <f>L523</f>
        <v>0</v>
      </c>
      <c r="M522" s="84">
        <f t="shared" si="121"/>
        <v>31.4</v>
      </c>
      <c r="N522" s="13">
        <f>N523</f>
        <v>0</v>
      </c>
      <c r="O522" s="84">
        <f t="shared" si="122"/>
        <v>31.4</v>
      </c>
      <c r="P522" s="13">
        <f>P523</f>
        <v>0</v>
      </c>
      <c r="Q522" s="84">
        <f t="shared" si="119"/>
        <v>31.4</v>
      </c>
      <c r="R522" s="13">
        <f>R523</f>
        <v>0</v>
      </c>
      <c r="S522" s="84">
        <f t="shared" si="118"/>
        <v>31.4</v>
      </c>
      <c r="T522" s="13">
        <f>T523</f>
        <v>40</v>
      </c>
      <c r="U522" s="84">
        <f t="shared" si="113"/>
        <v>71.400000000000006</v>
      </c>
    </row>
    <row r="523" spans="1:21" ht="33">
      <c r="A523" s="61" t="str">
        <f t="shared" ca="1" si="124"/>
        <v>Иные закупки товаров, работ и услуг для обеспечения муниципальных нужд</v>
      </c>
      <c r="B523" s="126">
        <v>803</v>
      </c>
      <c r="C523" s="8" t="s">
        <v>219</v>
      </c>
      <c r="D523" s="8" t="s">
        <v>219</v>
      </c>
      <c r="E523" s="126" t="s">
        <v>302</v>
      </c>
      <c r="F523" s="126">
        <v>240</v>
      </c>
      <c r="G523" s="69">
        <f>G524</f>
        <v>31.4</v>
      </c>
      <c r="H523" s="69">
        <f>H524</f>
        <v>0</v>
      </c>
      <c r="I523" s="69">
        <f t="shared" si="114"/>
        <v>31.4</v>
      </c>
      <c r="J523" s="69">
        <f>J524</f>
        <v>0</v>
      </c>
      <c r="K523" s="84">
        <f t="shared" si="112"/>
        <v>31.4</v>
      </c>
      <c r="L523" s="13">
        <f>L524</f>
        <v>0</v>
      </c>
      <c r="M523" s="84">
        <f t="shared" si="121"/>
        <v>31.4</v>
      </c>
      <c r="N523" s="13">
        <f>N524</f>
        <v>0</v>
      </c>
      <c r="O523" s="84">
        <f t="shared" si="122"/>
        <v>31.4</v>
      </c>
      <c r="P523" s="13">
        <f>P524</f>
        <v>0</v>
      </c>
      <c r="Q523" s="84">
        <f t="shared" si="119"/>
        <v>31.4</v>
      </c>
      <c r="R523" s="13">
        <f>R524</f>
        <v>0</v>
      </c>
      <c r="S523" s="84">
        <f t="shared" si="118"/>
        <v>31.4</v>
      </c>
      <c r="T523" s="13">
        <f>T524</f>
        <v>40</v>
      </c>
      <c r="U523" s="84">
        <f t="shared" si="113"/>
        <v>71.400000000000006</v>
      </c>
    </row>
    <row r="524" spans="1:21" ht="33">
      <c r="A524" s="61" t="str">
        <f t="shared" ca="1" si="124"/>
        <v xml:space="preserve">Прочая закупка товаров, работ и услуг для обеспечения муниципальных нужд         </v>
      </c>
      <c r="B524" s="126">
        <v>803</v>
      </c>
      <c r="C524" s="8" t="s">
        <v>219</v>
      </c>
      <c r="D524" s="8" t="s">
        <v>219</v>
      </c>
      <c r="E524" s="126" t="s">
        <v>302</v>
      </c>
      <c r="F524" s="126">
        <v>244</v>
      </c>
      <c r="G524" s="69">
        <v>31.4</v>
      </c>
      <c r="H524" s="64"/>
      <c r="I524" s="69">
        <f t="shared" si="114"/>
        <v>31.4</v>
      </c>
      <c r="J524" s="64"/>
      <c r="K524" s="84">
        <f t="shared" si="112"/>
        <v>31.4</v>
      </c>
      <c r="L524" s="84"/>
      <c r="M524" s="84">
        <f t="shared" si="121"/>
        <v>31.4</v>
      </c>
      <c r="N524" s="84"/>
      <c r="O524" s="84">
        <f t="shared" si="122"/>
        <v>31.4</v>
      </c>
      <c r="P524" s="84"/>
      <c r="Q524" s="84">
        <f t="shared" si="119"/>
        <v>31.4</v>
      </c>
      <c r="R524" s="84"/>
      <c r="S524" s="84">
        <f t="shared" si="118"/>
        <v>31.4</v>
      </c>
      <c r="T524" s="84">
        <v>40</v>
      </c>
      <c r="U524" s="84">
        <f t="shared" si="113"/>
        <v>71.400000000000006</v>
      </c>
    </row>
    <row r="525" spans="1:21">
      <c r="A525" s="61" t="str">
        <f t="shared" ca="1" si="124"/>
        <v>Иные бюджетные ассигнования</v>
      </c>
      <c r="B525" s="126">
        <v>803</v>
      </c>
      <c r="C525" s="8" t="s">
        <v>219</v>
      </c>
      <c r="D525" s="8" t="s">
        <v>219</v>
      </c>
      <c r="E525" s="126" t="s">
        <v>302</v>
      </c>
      <c r="F525" s="126">
        <v>800</v>
      </c>
      <c r="G525" s="69">
        <f>G526</f>
        <v>3</v>
      </c>
      <c r="H525" s="69">
        <f>H526</f>
        <v>0</v>
      </c>
      <c r="I525" s="69">
        <f t="shared" si="114"/>
        <v>3</v>
      </c>
      <c r="J525" s="69">
        <f>J526</f>
        <v>0</v>
      </c>
      <c r="K525" s="84">
        <f t="shared" si="112"/>
        <v>3</v>
      </c>
      <c r="L525" s="13">
        <f>L526</f>
        <v>0</v>
      </c>
      <c r="M525" s="84">
        <f t="shared" si="121"/>
        <v>3</v>
      </c>
      <c r="N525" s="13">
        <f>N526</f>
        <v>0</v>
      </c>
      <c r="O525" s="84">
        <f t="shared" si="122"/>
        <v>3</v>
      </c>
      <c r="P525" s="13">
        <f>P526</f>
        <v>0</v>
      </c>
      <c r="Q525" s="84">
        <f t="shared" si="119"/>
        <v>3</v>
      </c>
      <c r="R525" s="13">
        <f>R526</f>
        <v>0</v>
      </c>
      <c r="S525" s="84">
        <f t="shared" si="118"/>
        <v>3</v>
      </c>
      <c r="T525" s="13">
        <f>T526</f>
        <v>0</v>
      </c>
      <c r="U525" s="84">
        <f t="shared" si="113"/>
        <v>3</v>
      </c>
    </row>
    <row r="526" spans="1:21">
      <c r="A526" s="61" t="str">
        <f t="shared" ca="1" si="124"/>
        <v>Уплата налогов, сборов и иных платежей</v>
      </c>
      <c r="B526" s="126">
        <v>803</v>
      </c>
      <c r="C526" s="8" t="s">
        <v>219</v>
      </c>
      <c r="D526" s="8" t="s">
        <v>219</v>
      </c>
      <c r="E526" s="126" t="s">
        <v>302</v>
      </c>
      <c r="F526" s="126">
        <v>850</v>
      </c>
      <c r="G526" s="69">
        <f>G527</f>
        <v>3</v>
      </c>
      <c r="H526" s="69">
        <f>H527</f>
        <v>0</v>
      </c>
      <c r="I526" s="69">
        <f t="shared" si="114"/>
        <v>3</v>
      </c>
      <c r="J526" s="69">
        <f>J527</f>
        <v>0</v>
      </c>
      <c r="K526" s="84">
        <f t="shared" si="112"/>
        <v>3</v>
      </c>
      <c r="L526" s="13">
        <f>L527</f>
        <v>0</v>
      </c>
      <c r="M526" s="84">
        <f t="shared" si="121"/>
        <v>3</v>
      </c>
      <c r="N526" s="13">
        <f>N527</f>
        <v>0</v>
      </c>
      <c r="O526" s="84">
        <f t="shared" si="122"/>
        <v>3</v>
      </c>
      <c r="P526" s="13">
        <f>P527</f>
        <v>0</v>
      </c>
      <c r="Q526" s="84">
        <f t="shared" si="119"/>
        <v>3</v>
      </c>
      <c r="R526" s="13">
        <f>R527</f>
        <v>0</v>
      </c>
      <c r="S526" s="84">
        <f t="shared" si="118"/>
        <v>3</v>
      </c>
      <c r="T526" s="13">
        <f>T527</f>
        <v>0</v>
      </c>
      <c r="U526" s="84">
        <f t="shared" si="113"/>
        <v>3</v>
      </c>
    </row>
    <row r="527" spans="1:21">
      <c r="A527" s="61" t="str">
        <f ca="1">IF(ISERROR(MATCH(F527,Код_КВР,0)),"",INDIRECT(ADDRESS(MATCH(F527,Код_КВР,0)+1,2,,,"КВР")))</f>
        <v>Уплата прочих налогов, сборов и иных платежей</v>
      </c>
      <c r="B527" s="126">
        <v>803</v>
      </c>
      <c r="C527" s="8" t="s">
        <v>219</v>
      </c>
      <c r="D527" s="8" t="s">
        <v>219</v>
      </c>
      <c r="E527" s="126" t="s">
        <v>302</v>
      </c>
      <c r="F527" s="126">
        <v>852</v>
      </c>
      <c r="G527" s="69">
        <v>3</v>
      </c>
      <c r="H527" s="64"/>
      <c r="I527" s="69">
        <f t="shared" si="114"/>
        <v>3</v>
      </c>
      <c r="J527" s="64"/>
      <c r="K527" s="84">
        <f t="shared" si="112"/>
        <v>3</v>
      </c>
      <c r="L527" s="84"/>
      <c r="M527" s="84">
        <f t="shared" si="121"/>
        <v>3</v>
      </c>
      <c r="N527" s="84"/>
      <c r="O527" s="84">
        <f t="shared" si="122"/>
        <v>3</v>
      </c>
      <c r="P527" s="84"/>
      <c r="Q527" s="84">
        <f t="shared" si="119"/>
        <v>3</v>
      </c>
      <c r="R527" s="84"/>
      <c r="S527" s="84">
        <f t="shared" si="118"/>
        <v>3</v>
      </c>
      <c r="T527" s="84"/>
      <c r="U527" s="84">
        <f t="shared" si="113"/>
        <v>3</v>
      </c>
    </row>
    <row r="528" spans="1:21">
      <c r="A528" s="61" t="str">
        <f ca="1">IF(ISERROR(MATCH(C528,Код_Раздел,0)),"",INDIRECT(ADDRESS(MATCH(C528,Код_Раздел,0)+1,2,,,"Раздел")))</f>
        <v>Охрана окружающей среды</v>
      </c>
      <c r="B528" s="126">
        <v>803</v>
      </c>
      <c r="C528" s="8" t="s">
        <v>215</v>
      </c>
      <c r="D528" s="8"/>
      <c r="E528" s="126"/>
      <c r="F528" s="126"/>
      <c r="G528" s="69">
        <f t="shared" ref="G528:T532" si="125">G529</f>
        <v>200</v>
      </c>
      <c r="H528" s="69">
        <f t="shared" si="125"/>
        <v>0</v>
      </c>
      <c r="I528" s="69">
        <f t="shared" si="114"/>
        <v>200</v>
      </c>
      <c r="J528" s="69">
        <f t="shared" si="125"/>
        <v>0</v>
      </c>
      <c r="K528" s="84">
        <f t="shared" si="112"/>
        <v>200</v>
      </c>
      <c r="L528" s="13">
        <f t="shared" si="125"/>
        <v>0</v>
      </c>
      <c r="M528" s="84">
        <f t="shared" si="121"/>
        <v>200</v>
      </c>
      <c r="N528" s="13">
        <f t="shared" si="125"/>
        <v>-164.3</v>
      </c>
      <c r="O528" s="84">
        <f t="shared" si="122"/>
        <v>35.699999999999989</v>
      </c>
      <c r="P528" s="13">
        <f t="shared" si="125"/>
        <v>0</v>
      </c>
      <c r="Q528" s="84">
        <f t="shared" si="119"/>
        <v>35.699999999999989</v>
      </c>
      <c r="R528" s="13">
        <f t="shared" si="125"/>
        <v>0</v>
      </c>
      <c r="S528" s="84">
        <f t="shared" si="118"/>
        <v>35.699999999999989</v>
      </c>
      <c r="T528" s="13">
        <f t="shared" si="125"/>
        <v>0</v>
      </c>
      <c r="U528" s="84">
        <f t="shared" si="113"/>
        <v>35.699999999999989</v>
      </c>
    </row>
    <row r="529" spans="1:21">
      <c r="A529" s="12" t="s">
        <v>253</v>
      </c>
      <c r="B529" s="126">
        <v>803</v>
      </c>
      <c r="C529" s="8" t="s">
        <v>215</v>
      </c>
      <c r="D529" s="8" t="s">
        <v>219</v>
      </c>
      <c r="E529" s="126"/>
      <c r="F529" s="126"/>
      <c r="G529" s="69">
        <f t="shared" si="125"/>
        <v>200</v>
      </c>
      <c r="H529" s="69">
        <f t="shared" si="125"/>
        <v>0</v>
      </c>
      <c r="I529" s="69">
        <f t="shared" si="114"/>
        <v>200</v>
      </c>
      <c r="J529" s="69">
        <f t="shared" si="125"/>
        <v>0</v>
      </c>
      <c r="K529" s="84">
        <f t="shared" si="112"/>
        <v>200</v>
      </c>
      <c r="L529" s="13">
        <f t="shared" si="125"/>
        <v>0</v>
      </c>
      <c r="M529" s="84">
        <f t="shared" si="121"/>
        <v>200</v>
      </c>
      <c r="N529" s="13">
        <f t="shared" si="125"/>
        <v>-164.3</v>
      </c>
      <c r="O529" s="84">
        <f t="shared" si="122"/>
        <v>35.699999999999989</v>
      </c>
      <c r="P529" s="13">
        <f t="shared" si="125"/>
        <v>0</v>
      </c>
      <c r="Q529" s="84">
        <f t="shared" si="119"/>
        <v>35.699999999999989</v>
      </c>
      <c r="R529" s="13">
        <f t="shared" si="125"/>
        <v>0</v>
      </c>
      <c r="S529" s="84">
        <f t="shared" si="118"/>
        <v>35.699999999999989</v>
      </c>
      <c r="T529" s="13">
        <f t="shared" si="125"/>
        <v>0</v>
      </c>
      <c r="U529" s="84">
        <f t="shared" si="113"/>
        <v>35.699999999999989</v>
      </c>
    </row>
    <row r="530" spans="1:21" ht="33">
      <c r="A530" s="61" t="str">
        <f ca="1">IF(ISERROR(MATCH(E530,Код_КЦСР,0)),"",INDIRECT(ADDRESS(MATCH(E530,Код_КЦСР,0)+1,2,,,"КЦСР")))</f>
        <v>Муниципальная программа «Охрана окружающей среды» на 2013-2022 годы</v>
      </c>
      <c r="B530" s="126">
        <v>803</v>
      </c>
      <c r="C530" s="8" t="s">
        <v>215</v>
      </c>
      <c r="D530" s="8" t="s">
        <v>219</v>
      </c>
      <c r="E530" s="126" t="s">
        <v>535</v>
      </c>
      <c r="F530" s="126"/>
      <c r="G530" s="69">
        <f t="shared" si="125"/>
        <v>200</v>
      </c>
      <c r="H530" s="69">
        <f t="shared" si="125"/>
        <v>0</v>
      </c>
      <c r="I530" s="69">
        <f t="shared" si="114"/>
        <v>200</v>
      </c>
      <c r="J530" s="69">
        <f t="shared" si="125"/>
        <v>0</v>
      </c>
      <c r="K530" s="84">
        <f t="shared" si="112"/>
        <v>200</v>
      </c>
      <c r="L530" s="13">
        <f t="shared" si="125"/>
        <v>0</v>
      </c>
      <c r="M530" s="84">
        <f t="shared" si="121"/>
        <v>200</v>
      </c>
      <c r="N530" s="13">
        <f t="shared" si="125"/>
        <v>-164.3</v>
      </c>
      <c r="O530" s="84">
        <f t="shared" si="122"/>
        <v>35.699999999999989</v>
      </c>
      <c r="P530" s="13">
        <f t="shared" si="125"/>
        <v>0</v>
      </c>
      <c r="Q530" s="84">
        <f t="shared" si="119"/>
        <v>35.699999999999989</v>
      </c>
      <c r="R530" s="13">
        <f t="shared" si="125"/>
        <v>0</v>
      </c>
      <c r="S530" s="84">
        <f t="shared" si="118"/>
        <v>35.699999999999989</v>
      </c>
      <c r="T530" s="13">
        <f t="shared" si="125"/>
        <v>0</v>
      </c>
      <c r="U530" s="84">
        <f t="shared" si="113"/>
        <v>35.699999999999989</v>
      </c>
    </row>
    <row r="531" spans="1:21" ht="137.25" customHeight="1">
      <c r="A531" s="61" t="str">
        <f ca="1">IF(ISERROR(MATCH(E531,Код_КЦСР,0)),"",INDIRECT(ADDRESS(MATCH(E531,Код_КЦСР,0)+1,2,,,"КЦСР")))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v>
      </c>
      <c r="B531" s="126">
        <v>803</v>
      </c>
      <c r="C531" s="8" t="s">
        <v>215</v>
      </c>
      <c r="D531" s="8" t="s">
        <v>219</v>
      </c>
      <c r="E531" s="126" t="s">
        <v>542</v>
      </c>
      <c r="F531" s="126"/>
      <c r="G531" s="69">
        <f t="shared" si="125"/>
        <v>200</v>
      </c>
      <c r="H531" s="69">
        <f t="shared" si="125"/>
        <v>0</v>
      </c>
      <c r="I531" s="69">
        <f t="shared" si="114"/>
        <v>200</v>
      </c>
      <c r="J531" s="69">
        <f t="shared" si="125"/>
        <v>0</v>
      </c>
      <c r="K531" s="84">
        <f t="shared" si="112"/>
        <v>200</v>
      </c>
      <c r="L531" s="13">
        <f t="shared" si="125"/>
        <v>0</v>
      </c>
      <c r="M531" s="84">
        <f t="shared" si="121"/>
        <v>200</v>
      </c>
      <c r="N531" s="13">
        <f t="shared" si="125"/>
        <v>-164.3</v>
      </c>
      <c r="O531" s="84">
        <f t="shared" si="122"/>
        <v>35.699999999999989</v>
      </c>
      <c r="P531" s="13">
        <f t="shared" si="125"/>
        <v>0</v>
      </c>
      <c r="Q531" s="84">
        <f t="shared" si="119"/>
        <v>35.699999999999989</v>
      </c>
      <c r="R531" s="13">
        <f t="shared" si="125"/>
        <v>0</v>
      </c>
      <c r="S531" s="84">
        <f t="shared" si="118"/>
        <v>35.699999999999989</v>
      </c>
      <c r="T531" s="13">
        <f t="shared" si="125"/>
        <v>0</v>
      </c>
      <c r="U531" s="84">
        <f t="shared" si="113"/>
        <v>35.699999999999989</v>
      </c>
    </row>
    <row r="532" spans="1:21">
      <c r="A532" s="61" t="str">
        <f ca="1">IF(ISERROR(MATCH(F532,Код_КВР,0)),"",INDIRECT(ADDRESS(MATCH(F532,Код_КВР,0)+1,2,,,"КВР")))</f>
        <v>Иные бюджетные ассигнования</v>
      </c>
      <c r="B532" s="126">
        <v>803</v>
      </c>
      <c r="C532" s="8" t="s">
        <v>215</v>
      </c>
      <c r="D532" s="8" t="s">
        <v>219</v>
      </c>
      <c r="E532" s="126" t="s">
        <v>542</v>
      </c>
      <c r="F532" s="126">
        <v>800</v>
      </c>
      <c r="G532" s="69">
        <f t="shared" si="125"/>
        <v>200</v>
      </c>
      <c r="H532" s="69">
        <f t="shared" si="125"/>
        <v>0</v>
      </c>
      <c r="I532" s="69">
        <f t="shared" si="114"/>
        <v>200</v>
      </c>
      <c r="J532" s="69">
        <f t="shared" si="125"/>
        <v>0</v>
      </c>
      <c r="K532" s="84">
        <f t="shared" si="112"/>
        <v>200</v>
      </c>
      <c r="L532" s="13">
        <f t="shared" si="125"/>
        <v>0</v>
      </c>
      <c r="M532" s="84">
        <f t="shared" si="121"/>
        <v>200</v>
      </c>
      <c r="N532" s="13">
        <f t="shared" si="125"/>
        <v>-164.3</v>
      </c>
      <c r="O532" s="84">
        <f t="shared" si="122"/>
        <v>35.699999999999989</v>
      </c>
      <c r="P532" s="13">
        <f t="shared" si="125"/>
        <v>0</v>
      </c>
      <c r="Q532" s="84">
        <f t="shared" si="119"/>
        <v>35.699999999999989</v>
      </c>
      <c r="R532" s="13">
        <f t="shared" si="125"/>
        <v>0</v>
      </c>
      <c r="S532" s="84">
        <f t="shared" si="118"/>
        <v>35.699999999999989</v>
      </c>
      <c r="T532" s="13">
        <f t="shared" si="125"/>
        <v>0</v>
      </c>
      <c r="U532" s="84">
        <f t="shared" si="113"/>
        <v>35.699999999999989</v>
      </c>
    </row>
    <row r="533" spans="1:21" ht="33">
      <c r="A533" s="61" t="str">
        <f ca="1">IF(ISERROR(MATCH(F533,Код_КВР,0)),"",INDIRECT(ADDRESS(MATCH(F533,Код_КВР,0)+1,2,,,"КВР")))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33" s="126">
        <v>803</v>
      </c>
      <c r="C533" s="8" t="s">
        <v>215</v>
      </c>
      <c r="D533" s="8" t="s">
        <v>219</v>
      </c>
      <c r="E533" s="126" t="s">
        <v>542</v>
      </c>
      <c r="F533" s="126">
        <v>810</v>
      </c>
      <c r="G533" s="69">
        <v>200</v>
      </c>
      <c r="H533" s="64"/>
      <c r="I533" s="69">
        <f t="shared" si="114"/>
        <v>200</v>
      </c>
      <c r="J533" s="64"/>
      <c r="K533" s="84">
        <f t="shared" si="112"/>
        <v>200</v>
      </c>
      <c r="L533" s="84"/>
      <c r="M533" s="84">
        <f t="shared" si="121"/>
        <v>200</v>
      </c>
      <c r="N533" s="84">
        <v>-164.3</v>
      </c>
      <c r="O533" s="84">
        <f t="shared" si="122"/>
        <v>35.699999999999989</v>
      </c>
      <c r="P533" s="84"/>
      <c r="Q533" s="84">
        <f t="shared" si="119"/>
        <v>35.699999999999989</v>
      </c>
      <c r="R533" s="84"/>
      <c r="S533" s="84">
        <f t="shared" si="118"/>
        <v>35.699999999999989</v>
      </c>
      <c r="T533" s="84"/>
      <c r="U533" s="84">
        <f t="shared" si="113"/>
        <v>35.699999999999989</v>
      </c>
    </row>
    <row r="534" spans="1:21">
      <c r="A534" s="61" t="str">
        <f ca="1">IF(ISERROR(MATCH(C534,Код_Раздел,0)),"",INDIRECT(ADDRESS(MATCH(C534,Код_Раздел,0)+1,2,,,"Раздел")))</f>
        <v>Здравоохранение</v>
      </c>
      <c r="B534" s="126">
        <v>803</v>
      </c>
      <c r="C534" s="8" t="s">
        <v>217</v>
      </c>
      <c r="D534" s="8"/>
      <c r="E534" s="126"/>
      <c r="F534" s="126"/>
      <c r="G534" s="69">
        <f t="shared" ref="G534:T540" si="126">G535</f>
        <v>1957.5</v>
      </c>
      <c r="H534" s="69">
        <f t="shared" si="126"/>
        <v>0</v>
      </c>
      <c r="I534" s="69">
        <f t="shared" si="114"/>
        <v>1957.5</v>
      </c>
      <c r="J534" s="69">
        <f t="shared" si="126"/>
        <v>0</v>
      </c>
      <c r="K534" s="84">
        <f t="shared" si="112"/>
        <v>1957.5</v>
      </c>
      <c r="L534" s="13">
        <f t="shared" si="126"/>
        <v>0</v>
      </c>
      <c r="M534" s="84">
        <f t="shared" si="121"/>
        <v>1957.5</v>
      </c>
      <c r="N534" s="13">
        <f t="shared" si="126"/>
        <v>0</v>
      </c>
      <c r="O534" s="84">
        <f t="shared" si="122"/>
        <v>1957.5</v>
      </c>
      <c r="P534" s="13">
        <f t="shared" si="126"/>
        <v>0</v>
      </c>
      <c r="Q534" s="84">
        <f t="shared" si="119"/>
        <v>1957.5</v>
      </c>
      <c r="R534" s="13">
        <f t="shared" si="126"/>
        <v>0</v>
      </c>
      <c r="S534" s="84">
        <f t="shared" si="118"/>
        <v>1957.5</v>
      </c>
      <c r="T534" s="13">
        <f t="shared" si="126"/>
        <v>0</v>
      </c>
      <c r="U534" s="84">
        <f t="shared" si="113"/>
        <v>1957.5</v>
      </c>
    </row>
    <row r="535" spans="1:21">
      <c r="A535" s="76" t="s">
        <v>262</v>
      </c>
      <c r="B535" s="126">
        <v>803</v>
      </c>
      <c r="C535" s="8" t="s">
        <v>217</v>
      </c>
      <c r="D535" s="8" t="s">
        <v>193</v>
      </c>
      <c r="E535" s="126"/>
      <c r="F535" s="126"/>
      <c r="G535" s="69">
        <f t="shared" si="126"/>
        <v>1957.5</v>
      </c>
      <c r="H535" s="69">
        <f t="shared" si="126"/>
        <v>0</v>
      </c>
      <c r="I535" s="69">
        <f t="shared" si="114"/>
        <v>1957.5</v>
      </c>
      <c r="J535" s="69">
        <f t="shared" si="126"/>
        <v>0</v>
      </c>
      <c r="K535" s="84">
        <f t="shared" si="112"/>
        <v>1957.5</v>
      </c>
      <c r="L535" s="13">
        <f t="shared" si="126"/>
        <v>0</v>
      </c>
      <c r="M535" s="84">
        <f t="shared" si="121"/>
        <v>1957.5</v>
      </c>
      <c r="N535" s="13">
        <f t="shared" si="126"/>
        <v>0</v>
      </c>
      <c r="O535" s="84">
        <f t="shared" si="122"/>
        <v>1957.5</v>
      </c>
      <c r="P535" s="13">
        <f t="shared" si="126"/>
        <v>0</v>
      </c>
      <c r="Q535" s="84">
        <f t="shared" si="119"/>
        <v>1957.5</v>
      </c>
      <c r="R535" s="13">
        <f t="shared" si="126"/>
        <v>0</v>
      </c>
      <c r="S535" s="84">
        <f t="shared" si="118"/>
        <v>1957.5</v>
      </c>
      <c r="T535" s="13">
        <f t="shared" si="126"/>
        <v>0</v>
      </c>
      <c r="U535" s="84">
        <f t="shared" si="113"/>
        <v>1957.5</v>
      </c>
    </row>
    <row r="536" spans="1:21" ht="33">
      <c r="A536" s="61" t="str">
        <f ca="1">IF(ISERROR(MATCH(E536,Код_КЦСР,0)),"",INDIRECT(ADDRESS(MATCH(E536,Код_КЦСР,0)+1,2,,,"КЦСР")))</f>
        <v>Муниципальная программа «Развитие жилищно-коммунального хозяйства города Череповца» на 2014-2018 годы</v>
      </c>
      <c r="B536" s="126">
        <v>803</v>
      </c>
      <c r="C536" s="8" t="s">
        <v>217</v>
      </c>
      <c r="D536" s="8" t="s">
        <v>193</v>
      </c>
      <c r="E536" s="126" t="s">
        <v>45</v>
      </c>
      <c r="F536" s="126"/>
      <c r="G536" s="69">
        <f t="shared" si="126"/>
        <v>1957.5</v>
      </c>
      <c r="H536" s="69">
        <f t="shared" si="126"/>
        <v>0</v>
      </c>
      <c r="I536" s="69">
        <f t="shared" si="114"/>
        <v>1957.5</v>
      </c>
      <c r="J536" s="69">
        <f t="shared" si="126"/>
        <v>0</v>
      </c>
      <c r="K536" s="84">
        <f t="shared" si="112"/>
        <v>1957.5</v>
      </c>
      <c r="L536" s="13">
        <f t="shared" si="126"/>
        <v>0</v>
      </c>
      <c r="M536" s="84">
        <f t="shared" si="121"/>
        <v>1957.5</v>
      </c>
      <c r="N536" s="13">
        <f t="shared" si="126"/>
        <v>0</v>
      </c>
      <c r="O536" s="84">
        <f t="shared" si="122"/>
        <v>1957.5</v>
      </c>
      <c r="P536" s="13">
        <f t="shared" si="126"/>
        <v>0</v>
      </c>
      <c r="Q536" s="84">
        <f t="shared" si="119"/>
        <v>1957.5</v>
      </c>
      <c r="R536" s="13">
        <f t="shared" si="126"/>
        <v>0</v>
      </c>
      <c r="S536" s="84">
        <f t="shared" si="118"/>
        <v>1957.5</v>
      </c>
      <c r="T536" s="13">
        <f t="shared" si="126"/>
        <v>0</v>
      </c>
      <c r="U536" s="84">
        <f t="shared" si="113"/>
        <v>1957.5</v>
      </c>
    </row>
    <row r="537" spans="1:21">
      <c r="A537" s="61" t="str">
        <f ca="1">IF(ISERROR(MATCH(E537,Код_КЦСР,0)),"",INDIRECT(ADDRESS(MATCH(E537,Код_КЦСР,0)+1,2,,,"КЦСР")))</f>
        <v>Развитие благоустройства города</v>
      </c>
      <c r="B537" s="126">
        <v>803</v>
      </c>
      <c r="C537" s="8" t="s">
        <v>217</v>
      </c>
      <c r="D537" s="8" t="s">
        <v>193</v>
      </c>
      <c r="E537" s="126" t="s">
        <v>46</v>
      </c>
      <c r="F537" s="126"/>
      <c r="G537" s="69">
        <f t="shared" si="126"/>
        <v>1957.5</v>
      </c>
      <c r="H537" s="69">
        <f t="shared" si="126"/>
        <v>0</v>
      </c>
      <c r="I537" s="69">
        <f t="shared" si="114"/>
        <v>1957.5</v>
      </c>
      <c r="J537" s="69">
        <f t="shared" si="126"/>
        <v>0</v>
      </c>
      <c r="K537" s="84">
        <f t="shared" si="112"/>
        <v>1957.5</v>
      </c>
      <c r="L537" s="13">
        <f t="shared" si="126"/>
        <v>0</v>
      </c>
      <c r="M537" s="84">
        <f t="shared" si="121"/>
        <v>1957.5</v>
      </c>
      <c r="N537" s="13">
        <f t="shared" si="126"/>
        <v>0</v>
      </c>
      <c r="O537" s="84">
        <f t="shared" si="122"/>
        <v>1957.5</v>
      </c>
      <c r="P537" s="13">
        <f t="shared" si="126"/>
        <v>0</v>
      </c>
      <c r="Q537" s="84">
        <f t="shared" si="119"/>
        <v>1957.5</v>
      </c>
      <c r="R537" s="13">
        <f t="shared" si="126"/>
        <v>0</v>
      </c>
      <c r="S537" s="84">
        <f t="shared" si="118"/>
        <v>1957.5</v>
      </c>
      <c r="T537" s="13">
        <f t="shared" si="126"/>
        <v>0</v>
      </c>
      <c r="U537" s="84">
        <f t="shared" si="113"/>
        <v>1957.5</v>
      </c>
    </row>
    <row r="538" spans="1:21" ht="99">
      <c r="A538" s="61" t="str">
        <f ca="1">IF(ISERROR(MATCH(E538,Код_КЦСР,0)),"",INDIRECT(ADDRESS(MATCH(E538,Код_КЦСР,0)+1,2,,,"КЦСР")))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538" s="126">
        <v>803</v>
      </c>
      <c r="C538" s="8" t="s">
        <v>217</v>
      </c>
      <c r="D538" s="8" t="s">
        <v>193</v>
      </c>
      <c r="E538" s="126" t="s">
        <v>412</v>
      </c>
      <c r="F538" s="126"/>
      <c r="G538" s="69">
        <f t="shared" si="126"/>
        <v>1957.5</v>
      </c>
      <c r="H538" s="69">
        <f t="shared" si="126"/>
        <v>0</v>
      </c>
      <c r="I538" s="69">
        <f t="shared" si="114"/>
        <v>1957.5</v>
      </c>
      <c r="J538" s="69">
        <f t="shared" si="126"/>
        <v>0</v>
      </c>
      <c r="K538" s="84">
        <f t="shared" si="112"/>
        <v>1957.5</v>
      </c>
      <c r="L538" s="13">
        <f t="shared" si="126"/>
        <v>0</v>
      </c>
      <c r="M538" s="84">
        <f t="shared" si="121"/>
        <v>1957.5</v>
      </c>
      <c r="N538" s="13">
        <f t="shared" si="126"/>
        <v>0</v>
      </c>
      <c r="O538" s="84">
        <f t="shared" si="122"/>
        <v>1957.5</v>
      </c>
      <c r="P538" s="13">
        <f t="shared" si="126"/>
        <v>0</v>
      </c>
      <c r="Q538" s="84">
        <f t="shared" si="119"/>
        <v>1957.5</v>
      </c>
      <c r="R538" s="13">
        <f t="shared" si="126"/>
        <v>0</v>
      </c>
      <c r="S538" s="84">
        <f t="shared" si="118"/>
        <v>1957.5</v>
      </c>
      <c r="T538" s="13">
        <f t="shared" si="126"/>
        <v>0</v>
      </c>
      <c r="U538" s="84">
        <f t="shared" si="113"/>
        <v>1957.5</v>
      </c>
    </row>
    <row r="539" spans="1:21">
      <c r="A539" s="61" t="str">
        <f ca="1">IF(ISERROR(MATCH(F539,Код_КВР,0)),"",INDIRECT(ADDRESS(MATCH(F539,Код_КВР,0)+1,2,,,"КВР")))</f>
        <v>Закупка товаров, работ и услуг для муниципальных нужд</v>
      </c>
      <c r="B539" s="126">
        <v>803</v>
      </c>
      <c r="C539" s="8" t="s">
        <v>217</v>
      </c>
      <c r="D539" s="8" t="s">
        <v>193</v>
      </c>
      <c r="E539" s="126" t="s">
        <v>412</v>
      </c>
      <c r="F539" s="126">
        <v>200</v>
      </c>
      <c r="G539" s="69">
        <f t="shared" si="126"/>
        <v>1957.5</v>
      </c>
      <c r="H539" s="69">
        <f t="shared" si="126"/>
        <v>0</v>
      </c>
      <c r="I539" s="69">
        <f t="shared" si="114"/>
        <v>1957.5</v>
      </c>
      <c r="J539" s="69">
        <f t="shared" si="126"/>
        <v>0</v>
      </c>
      <c r="K539" s="84">
        <f t="shared" si="112"/>
        <v>1957.5</v>
      </c>
      <c r="L539" s="13">
        <f t="shared" si="126"/>
        <v>0</v>
      </c>
      <c r="M539" s="84">
        <f t="shared" si="121"/>
        <v>1957.5</v>
      </c>
      <c r="N539" s="13">
        <f t="shared" si="126"/>
        <v>0</v>
      </c>
      <c r="O539" s="84">
        <f t="shared" si="122"/>
        <v>1957.5</v>
      </c>
      <c r="P539" s="13">
        <f t="shared" si="126"/>
        <v>0</v>
      </c>
      <c r="Q539" s="84">
        <f t="shared" si="119"/>
        <v>1957.5</v>
      </c>
      <c r="R539" s="13">
        <f t="shared" si="126"/>
        <v>0</v>
      </c>
      <c r="S539" s="84">
        <f t="shared" si="118"/>
        <v>1957.5</v>
      </c>
      <c r="T539" s="13">
        <f t="shared" si="126"/>
        <v>0</v>
      </c>
      <c r="U539" s="84">
        <f t="shared" si="113"/>
        <v>1957.5</v>
      </c>
    </row>
    <row r="540" spans="1:21" ht="33">
      <c r="A540" s="61" t="str">
        <f ca="1">IF(ISERROR(MATCH(F540,Код_КВР,0)),"",INDIRECT(ADDRESS(MATCH(F540,Код_КВР,0)+1,2,,,"КВР")))</f>
        <v>Иные закупки товаров, работ и услуг для обеспечения муниципальных нужд</v>
      </c>
      <c r="B540" s="126">
        <v>803</v>
      </c>
      <c r="C540" s="8" t="s">
        <v>217</v>
      </c>
      <c r="D540" s="8" t="s">
        <v>193</v>
      </c>
      <c r="E540" s="126" t="s">
        <v>412</v>
      </c>
      <c r="F540" s="126">
        <v>240</v>
      </c>
      <c r="G540" s="69">
        <f t="shared" si="126"/>
        <v>1957.5</v>
      </c>
      <c r="H540" s="69">
        <f t="shared" si="126"/>
        <v>0</v>
      </c>
      <c r="I540" s="69">
        <f t="shared" si="114"/>
        <v>1957.5</v>
      </c>
      <c r="J540" s="69">
        <f t="shared" si="126"/>
        <v>0</v>
      </c>
      <c r="K540" s="84">
        <f t="shared" si="112"/>
        <v>1957.5</v>
      </c>
      <c r="L540" s="13">
        <f t="shared" si="126"/>
        <v>0</v>
      </c>
      <c r="M540" s="84">
        <f t="shared" si="121"/>
        <v>1957.5</v>
      </c>
      <c r="N540" s="13">
        <f t="shared" si="126"/>
        <v>0</v>
      </c>
      <c r="O540" s="84">
        <f t="shared" si="122"/>
        <v>1957.5</v>
      </c>
      <c r="P540" s="13">
        <f t="shared" si="126"/>
        <v>0</v>
      </c>
      <c r="Q540" s="84">
        <f t="shared" si="119"/>
        <v>1957.5</v>
      </c>
      <c r="R540" s="13">
        <f t="shared" si="126"/>
        <v>0</v>
      </c>
      <c r="S540" s="84">
        <f t="shared" si="118"/>
        <v>1957.5</v>
      </c>
      <c r="T540" s="13">
        <f t="shared" si="126"/>
        <v>0</v>
      </c>
      <c r="U540" s="84">
        <f t="shared" ref="U540:U604" si="127">S540+T540</f>
        <v>1957.5</v>
      </c>
    </row>
    <row r="541" spans="1:21" ht="33">
      <c r="A541" s="61" t="str">
        <f ca="1">IF(ISERROR(MATCH(F541,Код_КВР,0)),"",INDIRECT(ADDRESS(MATCH(F541,Код_КВР,0)+1,2,,,"КВР")))</f>
        <v xml:space="preserve">Прочая закупка товаров, работ и услуг для обеспечения муниципальных нужд         </v>
      </c>
      <c r="B541" s="126">
        <v>803</v>
      </c>
      <c r="C541" s="8" t="s">
        <v>217</v>
      </c>
      <c r="D541" s="8" t="s">
        <v>193</v>
      </c>
      <c r="E541" s="126" t="s">
        <v>412</v>
      </c>
      <c r="F541" s="126">
        <v>244</v>
      </c>
      <c r="G541" s="69">
        <v>1957.5</v>
      </c>
      <c r="H541" s="64"/>
      <c r="I541" s="69">
        <f t="shared" si="114"/>
        <v>1957.5</v>
      </c>
      <c r="J541" s="64"/>
      <c r="K541" s="84">
        <f t="shared" ref="K541:K633" si="128">I541+J541</f>
        <v>1957.5</v>
      </c>
      <c r="L541" s="84"/>
      <c r="M541" s="84">
        <f t="shared" si="121"/>
        <v>1957.5</v>
      </c>
      <c r="N541" s="84"/>
      <c r="O541" s="84">
        <f t="shared" si="122"/>
        <v>1957.5</v>
      </c>
      <c r="P541" s="84"/>
      <c r="Q541" s="84">
        <f t="shared" si="119"/>
        <v>1957.5</v>
      </c>
      <c r="R541" s="84"/>
      <c r="S541" s="84">
        <f t="shared" si="118"/>
        <v>1957.5</v>
      </c>
      <c r="T541" s="84"/>
      <c r="U541" s="84">
        <f t="shared" si="127"/>
        <v>1957.5</v>
      </c>
    </row>
    <row r="542" spans="1:21">
      <c r="A542" s="61" t="str">
        <f ca="1">IF(ISERROR(MATCH(C542,Код_Раздел,0)),"",INDIRECT(ADDRESS(MATCH(C542,Код_Раздел,0)+1,2,,,"Раздел")))</f>
        <v>Социальная политика</v>
      </c>
      <c r="B542" s="126">
        <v>803</v>
      </c>
      <c r="C542" s="8" t="s">
        <v>186</v>
      </c>
      <c r="D542" s="8"/>
      <c r="E542" s="126"/>
      <c r="F542" s="126"/>
      <c r="G542" s="69">
        <f t="shared" ref="G542:T547" si="129">G543</f>
        <v>71</v>
      </c>
      <c r="H542" s="69">
        <f t="shared" si="129"/>
        <v>0</v>
      </c>
      <c r="I542" s="69">
        <f t="shared" si="114"/>
        <v>71</v>
      </c>
      <c r="J542" s="69">
        <f t="shared" si="129"/>
        <v>0</v>
      </c>
      <c r="K542" s="84">
        <f t="shared" si="128"/>
        <v>71</v>
      </c>
      <c r="L542" s="13">
        <f t="shared" si="129"/>
        <v>0</v>
      </c>
      <c r="M542" s="84">
        <f t="shared" si="121"/>
        <v>71</v>
      </c>
      <c r="N542" s="13">
        <f t="shared" si="129"/>
        <v>0</v>
      </c>
      <c r="O542" s="84">
        <f t="shared" si="122"/>
        <v>71</v>
      </c>
      <c r="P542" s="13">
        <f t="shared" si="129"/>
        <v>0</v>
      </c>
      <c r="Q542" s="84">
        <f t="shared" si="119"/>
        <v>71</v>
      </c>
      <c r="R542" s="13">
        <f t="shared" si="129"/>
        <v>0</v>
      </c>
      <c r="S542" s="84">
        <f t="shared" si="118"/>
        <v>71</v>
      </c>
      <c r="T542" s="13">
        <f t="shared" si="129"/>
        <v>0</v>
      </c>
      <c r="U542" s="84">
        <f t="shared" si="127"/>
        <v>71</v>
      </c>
    </row>
    <row r="543" spans="1:21">
      <c r="A543" s="12" t="s">
        <v>177</v>
      </c>
      <c r="B543" s="126">
        <v>803</v>
      </c>
      <c r="C543" s="8" t="s">
        <v>186</v>
      </c>
      <c r="D543" s="8" t="s">
        <v>213</v>
      </c>
      <c r="E543" s="126"/>
      <c r="F543" s="126"/>
      <c r="G543" s="69">
        <f t="shared" si="129"/>
        <v>71</v>
      </c>
      <c r="H543" s="69">
        <f t="shared" si="129"/>
        <v>0</v>
      </c>
      <c r="I543" s="69">
        <f t="shared" si="114"/>
        <v>71</v>
      </c>
      <c r="J543" s="69">
        <f t="shared" si="129"/>
        <v>0</v>
      </c>
      <c r="K543" s="84">
        <f t="shared" si="128"/>
        <v>71</v>
      </c>
      <c r="L543" s="13">
        <f t="shared" si="129"/>
        <v>0</v>
      </c>
      <c r="M543" s="84">
        <f t="shared" si="121"/>
        <v>71</v>
      </c>
      <c r="N543" s="13">
        <f t="shared" si="129"/>
        <v>0</v>
      </c>
      <c r="O543" s="84">
        <f t="shared" si="122"/>
        <v>71</v>
      </c>
      <c r="P543" s="13">
        <f t="shared" si="129"/>
        <v>0</v>
      </c>
      <c r="Q543" s="84">
        <f t="shared" si="119"/>
        <v>71</v>
      </c>
      <c r="R543" s="13">
        <f t="shared" si="129"/>
        <v>0</v>
      </c>
      <c r="S543" s="84">
        <f t="shared" si="118"/>
        <v>71</v>
      </c>
      <c r="T543" s="13">
        <f t="shared" si="129"/>
        <v>0</v>
      </c>
      <c r="U543" s="84">
        <f t="shared" si="127"/>
        <v>71</v>
      </c>
    </row>
    <row r="544" spans="1:21" ht="33">
      <c r="A544" s="61" t="str">
        <f ca="1">IF(ISERROR(MATCH(E544,Код_КЦСР,0)),"",INDIRECT(ADDRESS(MATCH(E544,Код_КЦСР,0)+1,2,,,"КЦСР")))</f>
        <v>Муниципальная программа «Социальная поддержка граждан» на 2014-2018 годы</v>
      </c>
      <c r="B544" s="126">
        <v>803</v>
      </c>
      <c r="C544" s="8" t="s">
        <v>186</v>
      </c>
      <c r="D544" s="8" t="s">
        <v>213</v>
      </c>
      <c r="E544" s="126" t="s">
        <v>5</v>
      </c>
      <c r="F544" s="126"/>
      <c r="G544" s="69">
        <f t="shared" si="129"/>
        <v>71</v>
      </c>
      <c r="H544" s="69">
        <f t="shared" si="129"/>
        <v>0</v>
      </c>
      <c r="I544" s="69">
        <f t="shared" si="114"/>
        <v>71</v>
      </c>
      <c r="J544" s="69">
        <f t="shared" si="129"/>
        <v>0</v>
      </c>
      <c r="K544" s="84">
        <f t="shared" si="128"/>
        <v>71</v>
      </c>
      <c r="L544" s="13">
        <f t="shared" si="129"/>
        <v>0</v>
      </c>
      <c r="M544" s="84">
        <f t="shared" si="121"/>
        <v>71</v>
      </c>
      <c r="N544" s="13">
        <f t="shared" si="129"/>
        <v>0</v>
      </c>
      <c r="O544" s="84">
        <f t="shared" si="122"/>
        <v>71</v>
      </c>
      <c r="P544" s="13">
        <f t="shared" si="129"/>
        <v>0</v>
      </c>
      <c r="Q544" s="84">
        <f t="shared" si="119"/>
        <v>71</v>
      </c>
      <c r="R544" s="13">
        <f t="shared" si="129"/>
        <v>0</v>
      </c>
      <c r="S544" s="84">
        <f t="shared" si="118"/>
        <v>71</v>
      </c>
      <c r="T544" s="13">
        <f t="shared" si="129"/>
        <v>0</v>
      </c>
      <c r="U544" s="84">
        <f t="shared" si="127"/>
        <v>71</v>
      </c>
    </row>
    <row r="545" spans="1:21">
      <c r="A545" s="61" t="str">
        <f ca="1">IF(ISERROR(MATCH(E545,Код_КЦСР,0)),"",INDIRECT(ADDRESS(MATCH(E545,Код_КЦСР,0)+1,2,,,"КЦСР")))</f>
        <v>Оплата услуг бани по льготным помывкам</v>
      </c>
      <c r="B545" s="126">
        <v>803</v>
      </c>
      <c r="C545" s="8" t="s">
        <v>186</v>
      </c>
      <c r="D545" s="8" t="s">
        <v>213</v>
      </c>
      <c r="E545" s="126" t="s">
        <v>21</v>
      </c>
      <c r="F545" s="126"/>
      <c r="G545" s="69">
        <f t="shared" si="129"/>
        <v>71</v>
      </c>
      <c r="H545" s="69">
        <f t="shared" si="129"/>
        <v>0</v>
      </c>
      <c r="I545" s="69">
        <f t="shared" si="114"/>
        <v>71</v>
      </c>
      <c r="J545" s="69">
        <f t="shared" si="129"/>
        <v>0</v>
      </c>
      <c r="K545" s="84">
        <f t="shared" si="128"/>
        <v>71</v>
      </c>
      <c r="L545" s="13">
        <f t="shared" si="129"/>
        <v>0</v>
      </c>
      <c r="M545" s="84">
        <f t="shared" si="121"/>
        <v>71</v>
      </c>
      <c r="N545" s="13">
        <f t="shared" si="129"/>
        <v>0</v>
      </c>
      <c r="O545" s="84">
        <f t="shared" si="122"/>
        <v>71</v>
      </c>
      <c r="P545" s="13">
        <f t="shared" si="129"/>
        <v>0</v>
      </c>
      <c r="Q545" s="84">
        <f t="shared" si="119"/>
        <v>71</v>
      </c>
      <c r="R545" s="13">
        <f t="shared" si="129"/>
        <v>0</v>
      </c>
      <c r="S545" s="84">
        <f t="shared" si="118"/>
        <v>71</v>
      </c>
      <c r="T545" s="13">
        <f t="shared" si="129"/>
        <v>0</v>
      </c>
      <c r="U545" s="84">
        <f t="shared" si="127"/>
        <v>71</v>
      </c>
    </row>
    <row r="546" spans="1:21">
      <c r="A546" s="61" t="str">
        <f ca="1">IF(ISERROR(MATCH(F546,Код_КВР,0)),"",INDIRECT(ADDRESS(MATCH(F546,Код_КВР,0)+1,2,,,"КВР")))</f>
        <v>Социальное обеспечение и иные выплаты населению</v>
      </c>
      <c r="B546" s="126">
        <v>803</v>
      </c>
      <c r="C546" s="8" t="s">
        <v>186</v>
      </c>
      <c r="D546" s="8" t="s">
        <v>213</v>
      </c>
      <c r="E546" s="126" t="s">
        <v>21</v>
      </c>
      <c r="F546" s="126">
        <v>300</v>
      </c>
      <c r="G546" s="69">
        <f t="shared" si="129"/>
        <v>71</v>
      </c>
      <c r="H546" s="69">
        <f t="shared" si="129"/>
        <v>0</v>
      </c>
      <c r="I546" s="69">
        <f t="shared" si="114"/>
        <v>71</v>
      </c>
      <c r="J546" s="69">
        <f t="shared" si="129"/>
        <v>0</v>
      </c>
      <c r="K546" s="84">
        <f t="shared" si="128"/>
        <v>71</v>
      </c>
      <c r="L546" s="13">
        <f t="shared" si="129"/>
        <v>0</v>
      </c>
      <c r="M546" s="84">
        <f t="shared" si="121"/>
        <v>71</v>
      </c>
      <c r="N546" s="13">
        <f t="shared" si="129"/>
        <v>0</v>
      </c>
      <c r="O546" s="84">
        <f t="shared" si="122"/>
        <v>71</v>
      </c>
      <c r="P546" s="13">
        <f t="shared" si="129"/>
        <v>0</v>
      </c>
      <c r="Q546" s="84">
        <f t="shared" si="119"/>
        <v>71</v>
      </c>
      <c r="R546" s="13">
        <f t="shared" si="129"/>
        <v>0</v>
      </c>
      <c r="S546" s="84">
        <f t="shared" si="118"/>
        <v>71</v>
      </c>
      <c r="T546" s="13">
        <f t="shared" si="129"/>
        <v>0</v>
      </c>
      <c r="U546" s="84">
        <f t="shared" si="127"/>
        <v>71</v>
      </c>
    </row>
    <row r="547" spans="1:21" ht="33">
      <c r="A547" s="61" t="str">
        <f ca="1">IF(ISERROR(MATCH(F547,Код_КВР,0)),"",INDIRECT(ADDRESS(MATCH(F547,Код_КВР,0)+1,2,,,"КВР")))</f>
        <v>Социальные выплаты гражданам, кроме публичных нормативных социальных выплат</v>
      </c>
      <c r="B547" s="126">
        <v>803</v>
      </c>
      <c r="C547" s="8" t="s">
        <v>186</v>
      </c>
      <c r="D547" s="8" t="s">
        <v>213</v>
      </c>
      <c r="E547" s="126" t="s">
        <v>21</v>
      </c>
      <c r="F547" s="126">
        <v>320</v>
      </c>
      <c r="G547" s="69">
        <f t="shared" si="129"/>
        <v>71</v>
      </c>
      <c r="H547" s="69">
        <f t="shared" si="129"/>
        <v>0</v>
      </c>
      <c r="I547" s="69">
        <f t="shared" ref="I547:I639" si="130">G547+H547</f>
        <v>71</v>
      </c>
      <c r="J547" s="69">
        <f t="shared" si="129"/>
        <v>0</v>
      </c>
      <c r="K547" s="84">
        <f t="shared" si="128"/>
        <v>71</v>
      </c>
      <c r="L547" s="13">
        <f t="shared" si="129"/>
        <v>0</v>
      </c>
      <c r="M547" s="84">
        <f t="shared" si="121"/>
        <v>71</v>
      </c>
      <c r="N547" s="13">
        <f t="shared" si="129"/>
        <v>0</v>
      </c>
      <c r="O547" s="84">
        <f t="shared" si="122"/>
        <v>71</v>
      </c>
      <c r="P547" s="13">
        <f t="shared" si="129"/>
        <v>0</v>
      </c>
      <c r="Q547" s="84">
        <f t="shared" si="119"/>
        <v>71</v>
      </c>
      <c r="R547" s="13">
        <f t="shared" si="129"/>
        <v>0</v>
      </c>
      <c r="S547" s="84">
        <f t="shared" si="118"/>
        <v>71</v>
      </c>
      <c r="T547" s="13">
        <f t="shared" si="129"/>
        <v>0</v>
      </c>
      <c r="U547" s="84">
        <f t="shared" si="127"/>
        <v>71</v>
      </c>
    </row>
    <row r="548" spans="1:21" ht="33">
      <c r="A548" s="61" t="str">
        <f ca="1">IF(ISERROR(MATCH(F548,Код_КВР,0)),"",INDIRECT(ADDRESS(MATCH(F548,Код_КВР,0)+1,2,,,"КВР")))</f>
        <v>Приобретение товаров, работ, услуг в пользу граждан в целях их социального обеспечения</v>
      </c>
      <c r="B548" s="126">
        <v>803</v>
      </c>
      <c r="C548" s="8" t="s">
        <v>186</v>
      </c>
      <c r="D548" s="8" t="s">
        <v>213</v>
      </c>
      <c r="E548" s="126" t="s">
        <v>21</v>
      </c>
      <c r="F548" s="126">
        <v>323</v>
      </c>
      <c r="G548" s="69">
        <v>71</v>
      </c>
      <c r="H548" s="64"/>
      <c r="I548" s="69">
        <f t="shared" si="130"/>
        <v>71</v>
      </c>
      <c r="J548" s="64"/>
      <c r="K548" s="84">
        <f t="shared" si="128"/>
        <v>71</v>
      </c>
      <c r="L548" s="84"/>
      <c r="M548" s="84">
        <f t="shared" si="121"/>
        <v>71</v>
      </c>
      <c r="N548" s="84"/>
      <c r="O548" s="84">
        <f t="shared" si="122"/>
        <v>71</v>
      </c>
      <c r="P548" s="84"/>
      <c r="Q548" s="84">
        <f t="shared" si="119"/>
        <v>71</v>
      </c>
      <c r="R548" s="84"/>
      <c r="S548" s="84">
        <f t="shared" si="118"/>
        <v>71</v>
      </c>
      <c r="T548" s="84"/>
      <c r="U548" s="84">
        <f t="shared" si="127"/>
        <v>71</v>
      </c>
    </row>
    <row r="549" spans="1:21" ht="33">
      <c r="A549" s="61" t="str">
        <f ca="1">IF(ISERROR(MATCH(B549,Код_ППП,0)),"",INDIRECT(ADDRESS(MATCH(B549,Код_ППП,0)+1,2,,,"ППП")))</f>
        <v>УПРАВЛЕНИЕ АРХИТЕКТУРЫ И ГРАДОСТРОИТЕЛЬСТВА МЭРИИ ГОРОДА</v>
      </c>
      <c r="B549" s="126">
        <v>804</v>
      </c>
      <c r="C549" s="8"/>
      <c r="D549" s="8"/>
      <c r="E549" s="126"/>
      <c r="F549" s="126"/>
      <c r="G549" s="69">
        <f>G550</f>
        <v>39887.800000000003</v>
      </c>
      <c r="H549" s="69">
        <f>H550</f>
        <v>0</v>
      </c>
      <c r="I549" s="69">
        <f t="shared" si="130"/>
        <v>39887.800000000003</v>
      </c>
      <c r="J549" s="69">
        <f>J550</f>
        <v>0</v>
      </c>
      <c r="K549" s="84">
        <f t="shared" si="128"/>
        <v>39887.800000000003</v>
      </c>
      <c r="L549" s="13">
        <f>L550</f>
        <v>-4085.5</v>
      </c>
      <c r="M549" s="84">
        <f t="shared" si="121"/>
        <v>35802.300000000003</v>
      </c>
      <c r="N549" s="13">
        <f>N550</f>
        <v>0</v>
      </c>
      <c r="O549" s="84">
        <f t="shared" si="122"/>
        <v>35802.300000000003</v>
      </c>
      <c r="P549" s="13">
        <f>P550</f>
        <v>0</v>
      </c>
      <c r="Q549" s="84">
        <f t="shared" si="119"/>
        <v>35802.300000000003</v>
      </c>
      <c r="R549" s="13">
        <f>R550</f>
        <v>-537.5</v>
      </c>
      <c r="S549" s="84">
        <f t="shared" si="118"/>
        <v>35264.800000000003</v>
      </c>
      <c r="T549" s="13">
        <f>T550</f>
        <v>-1507.6</v>
      </c>
      <c r="U549" s="84">
        <f t="shared" si="127"/>
        <v>33757.200000000004</v>
      </c>
    </row>
    <row r="550" spans="1:21">
      <c r="A550" s="61" t="str">
        <f ca="1">IF(ISERROR(MATCH(C550,Код_Раздел,0)),"",INDIRECT(ADDRESS(MATCH(C550,Код_Раздел,0)+1,2,,,"Раздел")))</f>
        <v>Национальная экономика</v>
      </c>
      <c r="B550" s="126">
        <v>804</v>
      </c>
      <c r="C550" s="8" t="s">
        <v>214</v>
      </c>
      <c r="D550" s="8"/>
      <c r="E550" s="126"/>
      <c r="F550" s="126"/>
      <c r="G550" s="69">
        <f>G551</f>
        <v>39887.800000000003</v>
      </c>
      <c r="H550" s="69">
        <f>H551</f>
        <v>0</v>
      </c>
      <c r="I550" s="69">
        <f t="shared" si="130"/>
        <v>39887.800000000003</v>
      </c>
      <c r="J550" s="69">
        <f>J551</f>
        <v>0</v>
      </c>
      <c r="K550" s="84">
        <f t="shared" si="128"/>
        <v>39887.800000000003</v>
      </c>
      <c r="L550" s="13">
        <f>L551</f>
        <v>-4085.5</v>
      </c>
      <c r="M550" s="84">
        <f t="shared" si="121"/>
        <v>35802.300000000003</v>
      </c>
      <c r="N550" s="13">
        <f>N551</f>
        <v>0</v>
      </c>
      <c r="O550" s="84">
        <f t="shared" si="122"/>
        <v>35802.300000000003</v>
      </c>
      <c r="P550" s="13">
        <f>P551</f>
        <v>0</v>
      </c>
      <c r="Q550" s="84">
        <f t="shared" si="119"/>
        <v>35802.300000000003</v>
      </c>
      <c r="R550" s="13">
        <f>R551</f>
        <v>-537.5</v>
      </c>
      <c r="S550" s="84">
        <f t="shared" si="118"/>
        <v>35264.800000000003</v>
      </c>
      <c r="T550" s="13">
        <f>T551</f>
        <v>-1507.6</v>
      </c>
      <c r="U550" s="84">
        <f t="shared" si="127"/>
        <v>33757.200000000004</v>
      </c>
    </row>
    <row r="551" spans="1:21">
      <c r="A551" s="12" t="s">
        <v>221</v>
      </c>
      <c r="B551" s="126">
        <v>804</v>
      </c>
      <c r="C551" s="8" t="s">
        <v>214</v>
      </c>
      <c r="D551" s="8" t="s">
        <v>194</v>
      </c>
      <c r="E551" s="126"/>
      <c r="F551" s="126"/>
      <c r="G551" s="69">
        <f>G552+G561</f>
        <v>39887.800000000003</v>
      </c>
      <c r="H551" s="69">
        <f>H552+H561</f>
        <v>0</v>
      </c>
      <c r="I551" s="69">
        <f t="shared" si="130"/>
        <v>39887.800000000003</v>
      </c>
      <c r="J551" s="69">
        <f>J552+J561</f>
        <v>0</v>
      </c>
      <c r="K551" s="84">
        <f t="shared" si="128"/>
        <v>39887.800000000003</v>
      </c>
      <c r="L551" s="13">
        <f>L552+L561</f>
        <v>-4085.5</v>
      </c>
      <c r="M551" s="84">
        <f t="shared" si="121"/>
        <v>35802.300000000003</v>
      </c>
      <c r="N551" s="13">
        <f>N552+N561</f>
        <v>0</v>
      </c>
      <c r="O551" s="84">
        <f t="shared" si="122"/>
        <v>35802.300000000003</v>
      </c>
      <c r="P551" s="13">
        <f>P552+P561</f>
        <v>0</v>
      </c>
      <c r="Q551" s="84">
        <f t="shared" si="119"/>
        <v>35802.300000000003</v>
      </c>
      <c r="R551" s="13">
        <f>R552+R561</f>
        <v>-537.5</v>
      </c>
      <c r="S551" s="84">
        <f t="shared" si="118"/>
        <v>35264.800000000003</v>
      </c>
      <c r="T551" s="13">
        <f>T552+T561</f>
        <v>-1507.6</v>
      </c>
      <c r="U551" s="84">
        <f t="shared" si="127"/>
        <v>33757.200000000004</v>
      </c>
    </row>
    <row r="552" spans="1:21" ht="33">
      <c r="A552" s="61" t="str">
        <f ca="1">IF(ISERROR(MATCH(E552,Код_КЦСР,0)),"",INDIRECT(ADDRESS(MATCH(E552,Код_КЦСР,0)+1,2,,,"КЦСР")))</f>
        <v>Муниципальная программа «Реализация градостроительной политики города Череповца» на 2014-2022 годы</v>
      </c>
      <c r="B552" s="126">
        <v>804</v>
      </c>
      <c r="C552" s="8" t="s">
        <v>214</v>
      </c>
      <c r="D552" s="8" t="s">
        <v>194</v>
      </c>
      <c r="E552" s="126" t="s">
        <v>41</v>
      </c>
      <c r="F552" s="126"/>
      <c r="G552" s="69">
        <f>G553+G557</f>
        <v>8645.7999999999993</v>
      </c>
      <c r="H552" s="69">
        <f>H553+H557</f>
        <v>0</v>
      </c>
      <c r="I552" s="69">
        <f t="shared" si="130"/>
        <v>8645.7999999999993</v>
      </c>
      <c r="J552" s="69">
        <f>J553+J557</f>
        <v>0</v>
      </c>
      <c r="K552" s="84">
        <f t="shared" si="128"/>
        <v>8645.7999999999993</v>
      </c>
      <c r="L552" s="13">
        <f>L553+L557</f>
        <v>-4085.5</v>
      </c>
      <c r="M552" s="84">
        <f t="shared" si="121"/>
        <v>4560.2999999999993</v>
      </c>
      <c r="N552" s="13">
        <f>N553+N557</f>
        <v>0</v>
      </c>
      <c r="O552" s="84">
        <f t="shared" si="122"/>
        <v>4560.2999999999993</v>
      </c>
      <c r="P552" s="13">
        <f>P553+P557</f>
        <v>0</v>
      </c>
      <c r="Q552" s="84">
        <f t="shared" si="119"/>
        <v>4560.2999999999993</v>
      </c>
      <c r="R552" s="13">
        <f>R553+R557</f>
        <v>-537.5</v>
      </c>
      <c r="S552" s="84">
        <f t="shared" si="118"/>
        <v>4022.7999999999993</v>
      </c>
      <c r="T552" s="13">
        <f>T553+T557</f>
        <v>-1245.8</v>
      </c>
      <c r="U552" s="84">
        <f t="shared" si="127"/>
        <v>2776.9999999999991</v>
      </c>
    </row>
    <row r="553" spans="1:21" ht="33">
      <c r="A553" s="61" t="str">
        <f ca="1">IF(ISERROR(MATCH(E553,Код_КЦСР,0)),"",INDIRECT(ADDRESS(MATCH(E553,Код_КЦСР,0)+1,2,,,"КЦСР")))</f>
        <v>Обеспечение подготовки градостроительной документации и нормативно-правовых актов</v>
      </c>
      <c r="B553" s="126">
        <v>804</v>
      </c>
      <c r="C553" s="8" t="s">
        <v>214</v>
      </c>
      <c r="D553" s="8" t="s">
        <v>194</v>
      </c>
      <c r="E553" s="126" t="s">
        <v>42</v>
      </c>
      <c r="F553" s="126"/>
      <c r="G553" s="69">
        <f t="shared" ref="G553:T555" si="131">G554</f>
        <v>7401</v>
      </c>
      <c r="H553" s="69">
        <f t="shared" si="131"/>
        <v>0</v>
      </c>
      <c r="I553" s="69">
        <f t="shared" si="130"/>
        <v>7401</v>
      </c>
      <c r="J553" s="69">
        <f t="shared" si="131"/>
        <v>0</v>
      </c>
      <c r="K553" s="84">
        <f t="shared" si="128"/>
        <v>7401</v>
      </c>
      <c r="L553" s="13">
        <f t="shared" si="131"/>
        <v>-4085.5</v>
      </c>
      <c r="M553" s="84">
        <f t="shared" si="121"/>
        <v>3315.5</v>
      </c>
      <c r="N553" s="13">
        <f t="shared" si="131"/>
        <v>0</v>
      </c>
      <c r="O553" s="84">
        <f t="shared" si="122"/>
        <v>3315.5</v>
      </c>
      <c r="P553" s="13">
        <f t="shared" si="131"/>
        <v>0</v>
      </c>
      <c r="Q553" s="84">
        <f t="shared" si="119"/>
        <v>3315.5</v>
      </c>
      <c r="R553" s="13">
        <f t="shared" si="131"/>
        <v>-447.5</v>
      </c>
      <c r="S553" s="84">
        <f t="shared" si="118"/>
        <v>2868</v>
      </c>
      <c r="T553" s="13">
        <f t="shared" si="131"/>
        <v>-1101</v>
      </c>
      <c r="U553" s="84">
        <f t="shared" si="127"/>
        <v>1767</v>
      </c>
    </row>
    <row r="554" spans="1:21">
      <c r="A554" s="61" t="str">
        <f ca="1">IF(ISERROR(MATCH(F554,Код_КВР,0)),"",INDIRECT(ADDRESS(MATCH(F554,Код_КВР,0)+1,2,,,"КВР")))</f>
        <v>Закупка товаров, работ и услуг для муниципальных нужд</v>
      </c>
      <c r="B554" s="126">
        <v>804</v>
      </c>
      <c r="C554" s="8" t="s">
        <v>214</v>
      </c>
      <c r="D554" s="8" t="s">
        <v>194</v>
      </c>
      <c r="E554" s="126" t="s">
        <v>42</v>
      </c>
      <c r="F554" s="126">
        <v>200</v>
      </c>
      <c r="G554" s="69">
        <f t="shared" si="131"/>
        <v>7401</v>
      </c>
      <c r="H554" s="69">
        <f t="shared" si="131"/>
        <v>0</v>
      </c>
      <c r="I554" s="69">
        <f t="shared" si="130"/>
        <v>7401</v>
      </c>
      <c r="J554" s="69">
        <f t="shared" si="131"/>
        <v>0</v>
      </c>
      <c r="K554" s="84">
        <f t="shared" si="128"/>
        <v>7401</v>
      </c>
      <c r="L554" s="13">
        <f t="shared" si="131"/>
        <v>-4085.5</v>
      </c>
      <c r="M554" s="84">
        <f t="shared" si="121"/>
        <v>3315.5</v>
      </c>
      <c r="N554" s="13">
        <f t="shared" si="131"/>
        <v>0</v>
      </c>
      <c r="O554" s="84">
        <f t="shared" si="122"/>
        <v>3315.5</v>
      </c>
      <c r="P554" s="13">
        <f t="shared" si="131"/>
        <v>0</v>
      </c>
      <c r="Q554" s="84">
        <f t="shared" si="119"/>
        <v>3315.5</v>
      </c>
      <c r="R554" s="13">
        <f t="shared" si="131"/>
        <v>-447.5</v>
      </c>
      <c r="S554" s="84">
        <f t="shared" si="118"/>
        <v>2868</v>
      </c>
      <c r="T554" s="13">
        <f t="shared" si="131"/>
        <v>-1101</v>
      </c>
      <c r="U554" s="84">
        <f t="shared" si="127"/>
        <v>1767</v>
      </c>
    </row>
    <row r="555" spans="1:21" ht="33">
      <c r="A555" s="61" t="str">
        <f ca="1">IF(ISERROR(MATCH(F555,Код_КВР,0)),"",INDIRECT(ADDRESS(MATCH(F555,Код_КВР,0)+1,2,,,"КВР")))</f>
        <v>Иные закупки товаров, работ и услуг для обеспечения муниципальных нужд</v>
      </c>
      <c r="B555" s="126">
        <v>804</v>
      </c>
      <c r="C555" s="8" t="s">
        <v>214</v>
      </c>
      <c r="D555" s="8" t="s">
        <v>194</v>
      </c>
      <c r="E555" s="126" t="s">
        <v>42</v>
      </c>
      <c r="F555" s="126">
        <v>240</v>
      </c>
      <c r="G555" s="69">
        <f t="shared" si="131"/>
        <v>7401</v>
      </c>
      <c r="H555" s="69">
        <f t="shared" si="131"/>
        <v>0</v>
      </c>
      <c r="I555" s="69">
        <f t="shared" si="130"/>
        <v>7401</v>
      </c>
      <c r="J555" s="69">
        <f t="shared" si="131"/>
        <v>0</v>
      </c>
      <c r="K555" s="84">
        <f t="shared" si="128"/>
        <v>7401</v>
      </c>
      <c r="L555" s="13">
        <f t="shared" si="131"/>
        <v>-4085.5</v>
      </c>
      <c r="M555" s="84">
        <f t="shared" si="121"/>
        <v>3315.5</v>
      </c>
      <c r="N555" s="13">
        <f t="shared" si="131"/>
        <v>0</v>
      </c>
      <c r="O555" s="84">
        <f t="shared" si="122"/>
        <v>3315.5</v>
      </c>
      <c r="P555" s="13">
        <f t="shared" si="131"/>
        <v>0</v>
      </c>
      <c r="Q555" s="84">
        <f t="shared" si="119"/>
        <v>3315.5</v>
      </c>
      <c r="R555" s="13">
        <f t="shared" si="131"/>
        <v>-447.5</v>
      </c>
      <c r="S555" s="84">
        <f t="shared" si="118"/>
        <v>2868</v>
      </c>
      <c r="T555" s="13">
        <f t="shared" si="131"/>
        <v>-1101</v>
      </c>
      <c r="U555" s="84">
        <f t="shared" si="127"/>
        <v>1767</v>
      </c>
    </row>
    <row r="556" spans="1:21" ht="33">
      <c r="A556" s="61" t="str">
        <f ca="1">IF(ISERROR(MATCH(F556,Код_КВР,0)),"",INDIRECT(ADDRESS(MATCH(F556,Код_КВР,0)+1,2,,,"КВР")))</f>
        <v xml:space="preserve">Прочая закупка товаров, работ и услуг для обеспечения муниципальных нужд         </v>
      </c>
      <c r="B556" s="126">
        <v>804</v>
      </c>
      <c r="C556" s="8" t="s">
        <v>214</v>
      </c>
      <c r="D556" s="8" t="s">
        <v>194</v>
      </c>
      <c r="E556" s="126" t="s">
        <v>42</v>
      </c>
      <c r="F556" s="126">
        <v>244</v>
      </c>
      <c r="G556" s="69">
        <v>7401</v>
      </c>
      <c r="H556" s="64"/>
      <c r="I556" s="69">
        <f t="shared" si="130"/>
        <v>7401</v>
      </c>
      <c r="J556" s="64"/>
      <c r="K556" s="84">
        <f t="shared" si="128"/>
        <v>7401</v>
      </c>
      <c r="L556" s="84">
        <f>-4000-85.5</f>
        <v>-4085.5</v>
      </c>
      <c r="M556" s="84">
        <f t="shared" si="121"/>
        <v>3315.5</v>
      </c>
      <c r="N556" s="84"/>
      <c r="O556" s="84">
        <f t="shared" si="122"/>
        <v>3315.5</v>
      </c>
      <c r="P556" s="84"/>
      <c r="Q556" s="84">
        <f t="shared" si="119"/>
        <v>3315.5</v>
      </c>
      <c r="R556" s="84">
        <v>-447.5</v>
      </c>
      <c r="S556" s="84">
        <f t="shared" si="118"/>
        <v>2868</v>
      </c>
      <c r="T556" s="84">
        <v>-1101</v>
      </c>
      <c r="U556" s="84">
        <f t="shared" si="127"/>
        <v>1767</v>
      </c>
    </row>
    <row r="557" spans="1:21">
      <c r="A557" s="61" t="str">
        <f ca="1">IF(ISERROR(MATCH(E557,Код_КЦСР,0)),"",INDIRECT(ADDRESS(MATCH(E557,Код_КЦСР,0)+1,2,,,"КЦСР")))</f>
        <v>Создание условий для формирования комфортной городской среды</v>
      </c>
      <c r="B557" s="126">
        <v>804</v>
      </c>
      <c r="C557" s="8" t="s">
        <v>214</v>
      </c>
      <c r="D557" s="8" t="s">
        <v>194</v>
      </c>
      <c r="E557" s="126" t="s">
        <v>44</v>
      </c>
      <c r="F557" s="126"/>
      <c r="G557" s="69">
        <f t="shared" ref="G557:T559" si="132">G558</f>
        <v>1244.8</v>
      </c>
      <c r="H557" s="69">
        <f t="shared" si="132"/>
        <v>0</v>
      </c>
      <c r="I557" s="69">
        <f t="shared" si="130"/>
        <v>1244.8</v>
      </c>
      <c r="J557" s="69">
        <f t="shared" si="132"/>
        <v>0</v>
      </c>
      <c r="K557" s="84">
        <f t="shared" si="128"/>
        <v>1244.8</v>
      </c>
      <c r="L557" s="13">
        <f t="shared" si="132"/>
        <v>0</v>
      </c>
      <c r="M557" s="84">
        <f t="shared" si="121"/>
        <v>1244.8</v>
      </c>
      <c r="N557" s="13">
        <f t="shared" si="132"/>
        <v>0</v>
      </c>
      <c r="O557" s="84">
        <f t="shared" si="122"/>
        <v>1244.8</v>
      </c>
      <c r="P557" s="13">
        <f t="shared" si="132"/>
        <v>0</v>
      </c>
      <c r="Q557" s="84">
        <f t="shared" si="119"/>
        <v>1244.8</v>
      </c>
      <c r="R557" s="13">
        <f t="shared" si="132"/>
        <v>-90</v>
      </c>
      <c r="S557" s="84">
        <f t="shared" si="118"/>
        <v>1154.8</v>
      </c>
      <c r="T557" s="13">
        <f t="shared" si="132"/>
        <v>-144.80000000000001</v>
      </c>
      <c r="U557" s="84">
        <f t="shared" si="127"/>
        <v>1010</v>
      </c>
    </row>
    <row r="558" spans="1:21">
      <c r="A558" s="61" t="str">
        <f ca="1">IF(ISERROR(MATCH(F558,Код_КВР,0)),"",INDIRECT(ADDRESS(MATCH(F558,Код_КВР,0)+1,2,,,"КВР")))</f>
        <v>Закупка товаров, работ и услуг для муниципальных нужд</v>
      </c>
      <c r="B558" s="126">
        <v>804</v>
      </c>
      <c r="C558" s="8" t="s">
        <v>214</v>
      </c>
      <c r="D558" s="8" t="s">
        <v>194</v>
      </c>
      <c r="E558" s="126" t="s">
        <v>44</v>
      </c>
      <c r="F558" s="126">
        <v>200</v>
      </c>
      <c r="G558" s="69">
        <f t="shared" si="132"/>
        <v>1244.8</v>
      </c>
      <c r="H558" s="69">
        <f t="shared" si="132"/>
        <v>0</v>
      </c>
      <c r="I558" s="69">
        <f t="shared" si="130"/>
        <v>1244.8</v>
      </c>
      <c r="J558" s="69">
        <f t="shared" si="132"/>
        <v>0</v>
      </c>
      <c r="K558" s="84">
        <f t="shared" si="128"/>
        <v>1244.8</v>
      </c>
      <c r="L558" s="13">
        <f t="shared" si="132"/>
        <v>0</v>
      </c>
      <c r="M558" s="84">
        <f t="shared" si="121"/>
        <v>1244.8</v>
      </c>
      <c r="N558" s="13">
        <f t="shared" si="132"/>
        <v>0</v>
      </c>
      <c r="O558" s="84">
        <f t="shared" si="122"/>
        <v>1244.8</v>
      </c>
      <c r="P558" s="13">
        <f t="shared" si="132"/>
        <v>0</v>
      </c>
      <c r="Q558" s="84">
        <f t="shared" si="119"/>
        <v>1244.8</v>
      </c>
      <c r="R558" s="13">
        <f t="shared" si="132"/>
        <v>-90</v>
      </c>
      <c r="S558" s="84">
        <f t="shared" si="118"/>
        <v>1154.8</v>
      </c>
      <c r="T558" s="13">
        <f t="shared" si="132"/>
        <v>-144.80000000000001</v>
      </c>
      <c r="U558" s="84">
        <f t="shared" si="127"/>
        <v>1010</v>
      </c>
    </row>
    <row r="559" spans="1:21" ht="33">
      <c r="A559" s="61" t="str">
        <f ca="1">IF(ISERROR(MATCH(F559,Код_КВР,0)),"",INDIRECT(ADDRESS(MATCH(F559,Код_КВР,0)+1,2,,,"КВР")))</f>
        <v>Иные закупки товаров, работ и услуг для обеспечения муниципальных нужд</v>
      </c>
      <c r="B559" s="126">
        <v>804</v>
      </c>
      <c r="C559" s="8" t="s">
        <v>214</v>
      </c>
      <c r="D559" s="8" t="s">
        <v>194</v>
      </c>
      <c r="E559" s="126" t="s">
        <v>44</v>
      </c>
      <c r="F559" s="126">
        <v>240</v>
      </c>
      <c r="G559" s="69">
        <f t="shared" si="132"/>
        <v>1244.8</v>
      </c>
      <c r="H559" s="69">
        <f t="shared" si="132"/>
        <v>0</v>
      </c>
      <c r="I559" s="69">
        <f t="shared" si="130"/>
        <v>1244.8</v>
      </c>
      <c r="J559" s="69">
        <f t="shared" si="132"/>
        <v>0</v>
      </c>
      <c r="K559" s="84">
        <f t="shared" si="128"/>
        <v>1244.8</v>
      </c>
      <c r="L559" s="13">
        <f t="shared" si="132"/>
        <v>0</v>
      </c>
      <c r="M559" s="84">
        <f t="shared" si="121"/>
        <v>1244.8</v>
      </c>
      <c r="N559" s="13">
        <f t="shared" si="132"/>
        <v>0</v>
      </c>
      <c r="O559" s="84">
        <f t="shared" si="122"/>
        <v>1244.8</v>
      </c>
      <c r="P559" s="13">
        <f t="shared" si="132"/>
        <v>0</v>
      </c>
      <c r="Q559" s="84">
        <f t="shared" si="119"/>
        <v>1244.8</v>
      </c>
      <c r="R559" s="13">
        <f t="shared" si="132"/>
        <v>-90</v>
      </c>
      <c r="S559" s="84">
        <f t="shared" si="118"/>
        <v>1154.8</v>
      </c>
      <c r="T559" s="13">
        <f t="shared" si="132"/>
        <v>-144.80000000000001</v>
      </c>
      <c r="U559" s="84">
        <f t="shared" si="127"/>
        <v>1010</v>
      </c>
    </row>
    <row r="560" spans="1:21" ht="33">
      <c r="A560" s="61" t="str">
        <f ca="1">IF(ISERROR(MATCH(F560,Код_КВР,0)),"",INDIRECT(ADDRESS(MATCH(F560,Код_КВР,0)+1,2,,,"КВР")))</f>
        <v xml:space="preserve">Прочая закупка товаров, работ и услуг для обеспечения муниципальных нужд         </v>
      </c>
      <c r="B560" s="126">
        <v>804</v>
      </c>
      <c r="C560" s="8" t="s">
        <v>214</v>
      </c>
      <c r="D560" s="8" t="s">
        <v>194</v>
      </c>
      <c r="E560" s="126" t="s">
        <v>44</v>
      </c>
      <c r="F560" s="126">
        <v>244</v>
      </c>
      <c r="G560" s="69">
        <v>1244.8</v>
      </c>
      <c r="H560" s="64"/>
      <c r="I560" s="69">
        <f t="shared" si="130"/>
        <v>1244.8</v>
      </c>
      <c r="J560" s="64"/>
      <c r="K560" s="84">
        <f t="shared" si="128"/>
        <v>1244.8</v>
      </c>
      <c r="L560" s="84"/>
      <c r="M560" s="84">
        <f t="shared" si="121"/>
        <v>1244.8</v>
      </c>
      <c r="N560" s="84"/>
      <c r="O560" s="84">
        <f t="shared" si="122"/>
        <v>1244.8</v>
      </c>
      <c r="P560" s="84"/>
      <c r="Q560" s="84">
        <f t="shared" si="119"/>
        <v>1244.8</v>
      </c>
      <c r="R560" s="84">
        <f>-25-15-50</f>
        <v>-90</v>
      </c>
      <c r="S560" s="84">
        <f t="shared" si="118"/>
        <v>1154.8</v>
      </c>
      <c r="T560" s="84">
        <v>-144.80000000000001</v>
      </c>
      <c r="U560" s="84">
        <f t="shared" si="127"/>
        <v>1010</v>
      </c>
    </row>
    <row r="561" spans="1:21" ht="33">
      <c r="A561" s="61" t="str">
        <f ca="1">IF(ISERROR(MATCH(E561,Код_КЦСР,0)),"",INDIRECT(ADDRESS(MATCH(E561,Код_КЦСР,0)+1,2,,,"КЦСР")))</f>
        <v>Непрограммные направления деятельности органов местного самоуправления</v>
      </c>
      <c r="B561" s="126">
        <v>804</v>
      </c>
      <c r="C561" s="8" t="s">
        <v>214</v>
      </c>
      <c r="D561" s="8" t="s">
        <v>194</v>
      </c>
      <c r="E561" s="126" t="s">
        <v>295</v>
      </c>
      <c r="F561" s="126"/>
      <c r="G561" s="69">
        <f t="shared" ref="G561:T563" si="133">G562</f>
        <v>31242</v>
      </c>
      <c r="H561" s="69">
        <f t="shared" si="133"/>
        <v>0</v>
      </c>
      <c r="I561" s="69">
        <f t="shared" si="130"/>
        <v>31242</v>
      </c>
      <c r="J561" s="69">
        <f t="shared" si="133"/>
        <v>0</v>
      </c>
      <c r="K561" s="84">
        <f t="shared" si="128"/>
        <v>31242</v>
      </c>
      <c r="L561" s="13">
        <f t="shared" si="133"/>
        <v>0</v>
      </c>
      <c r="M561" s="84">
        <f t="shared" si="121"/>
        <v>31242</v>
      </c>
      <c r="N561" s="13">
        <f t="shared" si="133"/>
        <v>0</v>
      </c>
      <c r="O561" s="84">
        <f t="shared" si="122"/>
        <v>31242</v>
      </c>
      <c r="P561" s="13">
        <f t="shared" si="133"/>
        <v>0</v>
      </c>
      <c r="Q561" s="84">
        <f t="shared" si="119"/>
        <v>31242</v>
      </c>
      <c r="R561" s="13">
        <f t="shared" si="133"/>
        <v>0</v>
      </c>
      <c r="S561" s="84">
        <f t="shared" si="118"/>
        <v>31242</v>
      </c>
      <c r="T561" s="13">
        <f t="shared" si="133"/>
        <v>-261.8</v>
      </c>
      <c r="U561" s="84">
        <f t="shared" si="127"/>
        <v>30980.2</v>
      </c>
    </row>
    <row r="562" spans="1:21">
      <c r="A562" s="61" t="str">
        <f ca="1">IF(ISERROR(MATCH(E562,Код_КЦСР,0)),"",INDIRECT(ADDRESS(MATCH(E562,Код_КЦСР,0)+1,2,,,"КЦСР")))</f>
        <v>Расходы, не включенные в муниципальные программы города Череповца</v>
      </c>
      <c r="B562" s="126">
        <v>804</v>
      </c>
      <c r="C562" s="8" t="s">
        <v>214</v>
      </c>
      <c r="D562" s="8" t="s">
        <v>194</v>
      </c>
      <c r="E562" s="126" t="s">
        <v>297</v>
      </c>
      <c r="F562" s="126"/>
      <c r="G562" s="69">
        <f t="shared" si="133"/>
        <v>31242</v>
      </c>
      <c r="H562" s="69">
        <f t="shared" si="133"/>
        <v>0</v>
      </c>
      <c r="I562" s="69">
        <f t="shared" si="130"/>
        <v>31242</v>
      </c>
      <c r="J562" s="69">
        <f t="shared" si="133"/>
        <v>0</v>
      </c>
      <c r="K562" s="84">
        <f t="shared" si="128"/>
        <v>31242</v>
      </c>
      <c r="L562" s="13">
        <f t="shared" si="133"/>
        <v>0</v>
      </c>
      <c r="M562" s="84">
        <f t="shared" si="121"/>
        <v>31242</v>
      </c>
      <c r="N562" s="13">
        <f t="shared" si="133"/>
        <v>0</v>
      </c>
      <c r="O562" s="84">
        <f t="shared" si="122"/>
        <v>31242</v>
      </c>
      <c r="P562" s="13">
        <f t="shared" si="133"/>
        <v>0</v>
      </c>
      <c r="Q562" s="84">
        <f t="shared" si="119"/>
        <v>31242</v>
      </c>
      <c r="R562" s="13">
        <f t="shared" si="133"/>
        <v>0</v>
      </c>
      <c r="S562" s="84">
        <f t="shared" si="118"/>
        <v>31242</v>
      </c>
      <c r="T562" s="13">
        <f t="shared" si="133"/>
        <v>-261.8</v>
      </c>
      <c r="U562" s="84">
        <f t="shared" si="127"/>
        <v>30980.2</v>
      </c>
    </row>
    <row r="563" spans="1:21" ht="33">
      <c r="A563" s="61" t="str">
        <f ca="1">IF(ISERROR(MATCH(E563,Код_КЦСР,0)),"",INDIRECT(ADDRESS(MATCH(E563,Код_КЦСР,0)+1,2,,,"КЦСР")))</f>
        <v>Руководство и управление в сфере установленных функций органов местного самоуправления</v>
      </c>
      <c r="B563" s="126">
        <v>804</v>
      </c>
      <c r="C563" s="8" t="s">
        <v>214</v>
      </c>
      <c r="D563" s="8" t="s">
        <v>194</v>
      </c>
      <c r="E563" s="126" t="s">
        <v>299</v>
      </c>
      <c r="F563" s="126"/>
      <c r="G563" s="69">
        <f t="shared" si="133"/>
        <v>31242</v>
      </c>
      <c r="H563" s="69">
        <f t="shared" si="133"/>
        <v>0</v>
      </c>
      <c r="I563" s="69">
        <f t="shared" si="130"/>
        <v>31242</v>
      </c>
      <c r="J563" s="69">
        <f t="shared" si="133"/>
        <v>0</v>
      </c>
      <c r="K563" s="84">
        <f t="shared" si="128"/>
        <v>31242</v>
      </c>
      <c r="L563" s="13">
        <f t="shared" si="133"/>
        <v>0</v>
      </c>
      <c r="M563" s="84">
        <f t="shared" si="121"/>
        <v>31242</v>
      </c>
      <c r="N563" s="13">
        <f t="shared" si="133"/>
        <v>0</v>
      </c>
      <c r="O563" s="84">
        <f t="shared" si="122"/>
        <v>31242</v>
      </c>
      <c r="P563" s="13">
        <f t="shared" si="133"/>
        <v>0</v>
      </c>
      <c r="Q563" s="84">
        <f t="shared" si="119"/>
        <v>31242</v>
      </c>
      <c r="R563" s="13">
        <f t="shared" si="133"/>
        <v>0</v>
      </c>
      <c r="S563" s="84">
        <f t="shared" si="118"/>
        <v>31242</v>
      </c>
      <c r="T563" s="13">
        <f t="shared" si="133"/>
        <v>-261.8</v>
      </c>
      <c r="U563" s="84">
        <f t="shared" si="127"/>
        <v>30980.2</v>
      </c>
    </row>
    <row r="564" spans="1:21">
      <c r="A564" s="61" t="str">
        <f ca="1">IF(ISERROR(MATCH(E564,Код_КЦСР,0)),"",INDIRECT(ADDRESS(MATCH(E564,Код_КЦСР,0)+1,2,,,"КЦСР")))</f>
        <v>Центральный аппарат</v>
      </c>
      <c r="B564" s="126">
        <v>804</v>
      </c>
      <c r="C564" s="8" t="s">
        <v>214</v>
      </c>
      <c r="D564" s="8" t="s">
        <v>194</v>
      </c>
      <c r="E564" s="126" t="s">
        <v>302</v>
      </c>
      <c r="F564" s="126"/>
      <c r="G564" s="69">
        <f>G565+G567+G570</f>
        <v>31242</v>
      </c>
      <c r="H564" s="69">
        <f>H565+H567+H570</f>
        <v>0</v>
      </c>
      <c r="I564" s="69">
        <f t="shared" si="130"/>
        <v>31242</v>
      </c>
      <c r="J564" s="69">
        <f>J565+J567+J570</f>
        <v>0</v>
      </c>
      <c r="K564" s="84">
        <f t="shared" si="128"/>
        <v>31242</v>
      </c>
      <c r="L564" s="13">
        <f>L565+L567+L570</f>
        <v>0</v>
      </c>
      <c r="M564" s="84">
        <f t="shared" si="121"/>
        <v>31242</v>
      </c>
      <c r="N564" s="13">
        <f>N565+N567+N570</f>
        <v>0</v>
      </c>
      <c r="O564" s="84">
        <f t="shared" si="122"/>
        <v>31242</v>
      </c>
      <c r="P564" s="13">
        <f>P565+P567+P570</f>
        <v>0</v>
      </c>
      <c r="Q564" s="84">
        <f t="shared" si="119"/>
        <v>31242</v>
      </c>
      <c r="R564" s="13">
        <f>R565+R567+R570</f>
        <v>0</v>
      </c>
      <c r="S564" s="84">
        <f t="shared" si="118"/>
        <v>31242</v>
      </c>
      <c r="T564" s="13">
        <f>T565+T567+T570</f>
        <v>-261.8</v>
      </c>
      <c r="U564" s="84">
        <f t="shared" si="127"/>
        <v>30980.2</v>
      </c>
    </row>
    <row r="565" spans="1:21" ht="33">
      <c r="A565" s="61" t="str">
        <f t="shared" ref="A565:A571" ca="1" si="134">IF(ISERROR(MATCH(F565,Код_КВР,0)),"",INDIRECT(ADDRESS(MATCH(F565,Код_КВР,0)+1,2,,,"КВР")))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65" s="126">
        <v>804</v>
      </c>
      <c r="C565" s="8" t="s">
        <v>214</v>
      </c>
      <c r="D565" s="8" t="s">
        <v>194</v>
      </c>
      <c r="E565" s="126" t="s">
        <v>302</v>
      </c>
      <c r="F565" s="126">
        <v>100</v>
      </c>
      <c r="G565" s="69">
        <f>G566</f>
        <v>31220</v>
      </c>
      <c r="H565" s="69">
        <f>H566</f>
        <v>0</v>
      </c>
      <c r="I565" s="69">
        <f t="shared" si="130"/>
        <v>31220</v>
      </c>
      <c r="J565" s="69">
        <f>J566</f>
        <v>0</v>
      </c>
      <c r="K565" s="84">
        <f t="shared" si="128"/>
        <v>31220</v>
      </c>
      <c r="L565" s="13">
        <f>L566</f>
        <v>0</v>
      </c>
      <c r="M565" s="84">
        <f t="shared" si="121"/>
        <v>31220</v>
      </c>
      <c r="N565" s="13">
        <f>N566</f>
        <v>0</v>
      </c>
      <c r="O565" s="84">
        <f t="shared" si="122"/>
        <v>31220</v>
      </c>
      <c r="P565" s="13">
        <f>P566</f>
        <v>-0.1</v>
      </c>
      <c r="Q565" s="84">
        <f t="shared" si="119"/>
        <v>31219.9</v>
      </c>
      <c r="R565" s="13">
        <f>R566</f>
        <v>0</v>
      </c>
      <c r="S565" s="84">
        <f t="shared" si="118"/>
        <v>31219.9</v>
      </c>
      <c r="T565" s="13">
        <f>T566</f>
        <v>-261.8</v>
      </c>
      <c r="U565" s="84">
        <f t="shared" si="127"/>
        <v>30958.100000000002</v>
      </c>
    </row>
    <row r="566" spans="1:21">
      <c r="A566" s="61" t="str">
        <f t="shared" ca="1" si="134"/>
        <v>Расходы на выплаты персоналу муниципальных органов</v>
      </c>
      <c r="B566" s="126">
        <v>804</v>
      </c>
      <c r="C566" s="8" t="s">
        <v>214</v>
      </c>
      <c r="D566" s="8" t="s">
        <v>194</v>
      </c>
      <c r="E566" s="126" t="s">
        <v>302</v>
      </c>
      <c r="F566" s="126">
        <v>120</v>
      </c>
      <c r="G566" s="69">
        <v>31220</v>
      </c>
      <c r="H566" s="64"/>
      <c r="I566" s="69">
        <f t="shared" si="130"/>
        <v>31220</v>
      </c>
      <c r="J566" s="64"/>
      <c r="K566" s="84">
        <f t="shared" si="128"/>
        <v>31220</v>
      </c>
      <c r="L566" s="84"/>
      <c r="M566" s="84">
        <f t="shared" si="121"/>
        <v>31220</v>
      </c>
      <c r="N566" s="84"/>
      <c r="O566" s="84">
        <f t="shared" si="122"/>
        <v>31220</v>
      </c>
      <c r="P566" s="84">
        <v>-0.1</v>
      </c>
      <c r="Q566" s="84">
        <f t="shared" si="119"/>
        <v>31219.9</v>
      </c>
      <c r="R566" s="84"/>
      <c r="S566" s="84">
        <f t="shared" ref="S566:S637" si="135">Q566+R566</f>
        <v>31219.9</v>
      </c>
      <c r="T566" s="84">
        <v>-261.8</v>
      </c>
      <c r="U566" s="84">
        <f t="shared" si="127"/>
        <v>30958.100000000002</v>
      </c>
    </row>
    <row r="567" spans="1:21">
      <c r="A567" s="61" t="str">
        <f t="shared" ca="1" si="134"/>
        <v>Закупка товаров, работ и услуг для муниципальных нужд</v>
      </c>
      <c r="B567" s="126">
        <v>804</v>
      </c>
      <c r="C567" s="8" t="s">
        <v>214</v>
      </c>
      <c r="D567" s="8" t="s">
        <v>194</v>
      </c>
      <c r="E567" s="126" t="s">
        <v>302</v>
      </c>
      <c r="F567" s="126">
        <v>200</v>
      </c>
      <c r="G567" s="69">
        <f>G568</f>
        <v>20</v>
      </c>
      <c r="H567" s="69">
        <f>H568</f>
        <v>0</v>
      </c>
      <c r="I567" s="69">
        <f t="shared" si="130"/>
        <v>20</v>
      </c>
      <c r="J567" s="69">
        <f>J568</f>
        <v>0</v>
      </c>
      <c r="K567" s="84">
        <f t="shared" si="128"/>
        <v>20</v>
      </c>
      <c r="L567" s="13">
        <f>L568</f>
        <v>0</v>
      </c>
      <c r="M567" s="84">
        <f t="shared" si="121"/>
        <v>20</v>
      </c>
      <c r="N567" s="13">
        <f>N568</f>
        <v>0</v>
      </c>
      <c r="O567" s="84">
        <f t="shared" si="122"/>
        <v>20</v>
      </c>
      <c r="P567" s="13">
        <f>P568</f>
        <v>0</v>
      </c>
      <c r="Q567" s="84">
        <f t="shared" si="119"/>
        <v>20</v>
      </c>
      <c r="R567" s="13">
        <f>R568</f>
        <v>0</v>
      </c>
      <c r="S567" s="84">
        <f t="shared" si="135"/>
        <v>20</v>
      </c>
      <c r="T567" s="13">
        <f>T568</f>
        <v>0</v>
      </c>
      <c r="U567" s="84">
        <f t="shared" si="127"/>
        <v>20</v>
      </c>
    </row>
    <row r="568" spans="1:21" ht="33">
      <c r="A568" s="61" t="str">
        <f t="shared" ca="1" si="134"/>
        <v>Иные закупки товаров, работ и услуг для обеспечения муниципальных нужд</v>
      </c>
      <c r="B568" s="126">
        <v>804</v>
      </c>
      <c r="C568" s="8" t="s">
        <v>214</v>
      </c>
      <c r="D568" s="8" t="s">
        <v>194</v>
      </c>
      <c r="E568" s="126" t="s">
        <v>302</v>
      </c>
      <c r="F568" s="126">
        <v>240</v>
      </c>
      <c r="G568" s="69">
        <f>G569</f>
        <v>20</v>
      </c>
      <c r="H568" s="69">
        <f>H569</f>
        <v>0</v>
      </c>
      <c r="I568" s="69">
        <f t="shared" si="130"/>
        <v>20</v>
      </c>
      <c r="J568" s="69">
        <f>J569</f>
        <v>0</v>
      </c>
      <c r="K568" s="84">
        <f t="shared" si="128"/>
        <v>20</v>
      </c>
      <c r="L568" s="13">
        <f>L569</f>
        <v>0</v>
      </c>
      <c r="M568" s="84">
        <f t="shared" si="121"/>
        <v>20</v>
      </c>
      <c r="N568" s="13">
        <f>N569</f>
        <v>0</v>
      </c>
      <c r="O568" s="84">
        <f t="shared" si="122"/>
        <v>20</v>
      </c>
      <c r="P568" s="13">
        <f>P569</f>
        <v>0</v>
      </c>
      <c r="Q568" s="84">
        <f t="shared" si="119"/>
        <v>20</v>
      </c>
      <c r="R568" s="13">
        <f>R569</f>
        <v>0</v>
      </c>
      <c r="S568" s="84">
        <f t="shared" si="135"/>
        <v>20</v>
      </c>
      <c r="T568" s="13">
        <f>T569</f>
        <v>0</v>
      </c>
      <c r="U568" s="84">
        <f t="shared" si="127"/>
        <v>20</v>
      </c>
    </row>
    <row r="569" spans="1:21" ht="33">
      <c r="A569" s="61" t="str">
        <f t="shared" ca="1" si="134"/>
        <v xml:space="preserve">Прочая закупка товаров, работ и услуг для обеспечения муниципальных нужд         </v>
      </c>
      <c r="B569" s="126">
        <v>804</v>
      </c>
      <c r="C569" s="8" t="s">
        <v>214</v>
      </c>
      <c r="D569" s="8" t="s">
        <v>194</v>
      </c>
      <c r="E569" s="126" t="s">
        <v>302</v>
      </c>
      <c r="F569" s="126">
        <v>244</v>
      </c>
      <c r="G569" s="69">
        <v>20</v>
      </c>
      <c r="H569" s="64"/>
      <c r="I569" s="69">
        <f t="shared" si="130"/>
        <v>20</v>
      </c>
      <c r="J569" s="64"/>
      <c r="K569" s="84">
        <f t="shared" si="128"/>
        <v>20</v>
      </c>
      <c r="L569" s="84"/>
      <c r="M569" s="84">
        <f t="shared" si="121"/>
        <v>20</v>
      </c>
      <c r="N569" s="84"/>
      <c r="O569" s="84">
        <f t="shared" si="122"/>
        <v>20</v>
      </c>
      <c r="P569" s="84"/>
      <c r="Q569" s="84">
        <f t="shared" si="119"/>
        <v>20</v>
      </c>
      <c r="R569" s="84"/>
      <c r="S569" s="84">
        <f t="shared" si="135"/>
        <v>20</v>
      </c>
      <c r="T569" s="84"/>
      <c r="U569" s="84">
        <f t="shared" si="127"/>
        <v>20</v>
      </c>
    </row>
    <row r="570" spans="1:21">
      <c r="A570" s="61" t="str">
        <f t="shared" ca="1" si="134"/>
        <v>Иные бюджетные ассигнования</v>
      </c>
      <c r="B570" s="126">
        <v>804</v>
      </c>
      <c r="C570" s="8" t="s">
        <v>214</v>
      </c>
      <c r="D570" s="8" t="s">
        <v>194</v>
      </c>
      <c r="E570" s="126" t="s">
        <v>302</v>
      </c>
      <c r="F570" s="126">
        <v>800</v>
      </c>
      <c r="G570" s="69">
        <f>G571</f>
        <v>2</v>
      </c>
      <c r="H570" s="69">
        <f>H571</f>
        <v>0</v>
      </c>
      <c r="I570" s="69">
        <f t="shared" si="130"/>
        <v>2</v>
      </c>
      <c r="J570" s="69">
        <f>J571</f>
        <v>0</v>
      </c>
      <c r="K570" s="84">
        <f t="shared" si="128"/>
        <v>2</v>
      </c>
      <c r="L570" s="13">
        <f>L571</f>
        <v>0</v>
      </c>
      <c r="M570" s="84">
        <f t="shared" si="121"/>
        <v>2</v>
      </c>
      <c r="N570" s="13">
        <f>N571</f>
        <v>0</v>
      </c>
      <c r="O570" s="84">
        <f t="shared" si="122"/>
        <v>2</v>
      </c>
      <c r="P570" s="13">
        <f>P571</f>
        <v>0.1</v>
      </c>
      <c r="Q570" s="84">
        <f t="shared" si="119"/>
        <v>2.1</v>
      </c>
      <c r="R570" s="13">
        <f>R571</f>
        <v>0</v>
      </c>
      <c r="S570" s="84">
        <f t="shared" si="135"/>
        <v>2.1</v>
      </c>
      <c r="T570" s="13">
        <f>T571</f>
        <v>0</v>
      </c>
      <c r="U570" s="84">
        <f t="shared" si="127"/>
        <v>2.1</v>
      </c>
    </row>
    <row r="571" spans="1:21">
      <c r="A571" s="61" t="str">
        <f t="shared" ca="1" si="134"/>
        <v>Уплата налогов, сборов и иных платежей</v>
      </c>
      <c r="B571" s="126">
        <v>804</v>
      </c>
      <c r="C571" s="8" t="s">
        <v>214</v>
      </c>
      <c r="D571" s="8" t="s">
        <v>194</v>
      </c>
      <c r="E571" s="126" t="s">
        <v>302</v>
      </c>
      <c r="F571" s="126">
        <v>850</v>
      </c>
      <c r="G571" s="69">
        <f>G573</f>
        <v>2</v>
      </c>
      <c r="H571" s="69">
        <f>H573</f>
        <v>0</v>
      </c>
      <c r="I571" s="69">
        <f t="shared" si="130"/>
        <v>2</v>
      </c>
      <c r="J571" s="69">
        <f>J573</f>
        <v>0</v>
      </c>
      <c r="K571" s="84">
        <f t="shared" si="128"/>
        <v>2</v>
      </c>
      <c r="L571" s="13">
        <f>L573</f>
        <v>0</v>
      </c>
      <c r="M571" s="84">
        <f t="shared" si="121"/>
        <v>2</v>
      </c>
      <c r="N571" s="13">
        <f>N573</f>
        <v>0</v>
      </c>
      <c r="O571" s="84">
        <f t="shared" si="122"/>
        <v>2</v>
      </c>
      <c r="P571" s="13">
        <f>P573+P572</f>
        <v>0.1</v>
      </c>
      <c r="Q571" s="84">
        <f t="shared" ref="Q571:Q643" si="136">O571+P571</f>
        <v>2.1</v>
      </c>
      <c r="R571" s="13">
        <f>R573+R572</f>
        <v>0</v>
      </c>
      <c r="S571" s="84">
        <f t="shared" si="135"/>
        <v>2.1</v>
      </c>
      <c r="T571" s="13">
        <f>T573+T572</f>
        <v>0</v>
      </c>
      <c r="U571" s="84">
        <f t="shared" si="127"/>
        <v>2.1</v>
      </c>
    </row>
    <row r="572" spans="1:21">
      <c r="A572" s="61" t="str">
        <f ca="1">IF(ISERROR(MATCH(F572,Код_КВР,0)),"",INDIRECT(ADDRESS(MATCH(F572,Код_КВР,0)+1,2,,,"КВР")))</f>
        <v>Уплата налога на имущество организаций и земельного налога</v>
      </c>
      <c r="B572" s="126">
        <v>804</v>
      </c>
      <c r="C572" s="8" t="s">
        <v>214</v>
      </c>
      <c r="D572" s="8" t="s">
        <v>194</v>
      </c>
      <c r="E572" s="126" t="s">
        <v>302</v>
      </c>
      <c r="F572" s="126">
        <v>851</v>
      </c>
      <c r="G572" s="69"/>
      <c r="H572" s="69"/>
      <c r="I572" s="69"/>
      <c r="J572" s="69"/>
      <c r="K572" s="84"/>
      <c r="L572" s="13"/>
      <c r="M572" s="84"/>
      <c r="N572" s="13"/>
      <c r="O572" s="84"/>
      <c r="P572" s="13">
        <v>0.1</v>
      </c>
      <c r="Q572" s="84">
        <f t="shared" si="136"/>
        <v>0.1</v>
      </c>
      <c r="R572" s="13"/>
      <c r="S572" s="84">
        <f t="shared" si="135"/>
        <v>0.1</v>
      </c>
      <c r="T572" s="13"/>
      <c r="U572" s="84">
        <f t="shared" si="127"/>
        <v>0.1</v>
      </c>
    </row>
    <row r="573" spans="1:21">
      <c r="A573" s="61" t="str">
        <f ca="1">IF(ISERROR(MATCH(F573,Код_КВР,0)),"",INDIRECT(ADDRESS(MATCH(F573,Код_КВР,0)+1,2,,,"КВР")))</f>
        <v>Уплата прочих налогов, сборов и иных платежей</v>
      </c>
      <c r="B573" s="126">
        <v>804</v>
      </c>
      <c r="C573" s="8" t="s">
        <v>214</v>
      </c>
      <c r="D573" s="8" t="s">
        <v>194</v>
      </c>
      <c r="E573" s="126" t="s">
        <v>302</v>
      </c>
      <c r="F573" s="126">
        <v>852</v>
      </c>
      <c r="G573" s="69">
        <v>2</v>
      </c>
      <c r="H573" s="64"/>
      <c r="I573" s="69">
        <f t="shared" si="130"/>
        <v>2</v>
      </c>
      <c r="J573" s="64"/>
      <c r="K573" s="84">
        <f t="shared" si="128"/>
        <v>2</v>
      </c>
      <c r="L573" s="84"/>
      <c r="M573" s="84">
        <f t="shared" si="121"/>
        <v>2</v>
      </c>
      <c r="N573" s="84"/>
      <c r="O573" s="84">
        <f t="shared" si="122"/>
        <v>2</v>
      </c>
      <c r="P573" s="84"/>
      <c r="Q573" s="84">
        <f t="shared" si="136"/>
        <v>2</v>
      </c>
      <c r="R573" s="84"/>
      <c r="S573" s="84">
        <f t="shared" si="135"/>
        <v>2</v>
      </c>
      <c r="T573" s="84"/>
      <c r="U573" s="84">
        <f t="shared" si="127"/>
        <v>2</v>
      </c>
    </row>
    <row r="574" spans="1:21">
      <c r="A574" s="61" t="str">
        <f ca="1">IF(ISERROR(MATCH(B574,Код_ППП,0)),"",INDIRECT(ADDRESS(MATCH(B574,Код_ППП,0)+1,2,,,"ППП")))</f>
        <v>УПРАВЛЕНИЕ ОБРАЗОВАНИЯ МЭРИИ ГОРОДА</v>
      </c>
      <c r="B574" s="126">
        <v>805</v>
      </c>
      <c r="C574" s="8"/>
      <c r="D574" s="8"/>
      <c r="E574" s="126"/>
      <c r="F574" s="126"/>
      <c r="G574" s="69">
        <f>G587+G824</f>
        <v>3169541.4</v>
      </c>
      <c r="H574" s="69">
        <f>H587+H824</f>
        <v>0</v>
      </c>
      <c r="I574" s="69">
        <f t="shared" si="130"/>
        <v>3169541.4</v>
      </c>
      <c r="J574" s="69">
        <f>J587+J824</f>
        <v>37566</v>
      </c>
      <c r="K574" s="84">
        <f t="shared" si="128"/>
        <v>3207107.4</v>
      </c>
      <c r="L574" s="13">
        <f>L587+L824</f>
        <v>-505</v>
      </c>
      <c r="M574" s="84">
        <f>K574+L574</f>
        <v>3206602.4</v>
      </c>
      <c r="N574" s="13">
        <f>N575+N587+N824</f>
        <v>1986.4</v>
      </c>
      <c r="O574" s="84">
        <f>M574+N574</f>
        <v>3208588.8</v>
      </c>
      <c r="P574" s="13">
        <f>P575+P587+P824</f>
        <v>0</v>
      </c>
      <c r="Q574" s="84">
        <f t="shared" si="136"/>
        <v>3208588.8</v>
      </c>
      <c r="R574" s="13">
        <f>R575+R587+R824</f>
        <v>28126.900000000009</v>
      </c>
      <c r="S574" s="84">
        <f t="shared" si="135"/>
        <v>3236715.6999999997</v>
      </c>
      <c r="T574" s="13">
        <f>T575+T587+T824</f>
        <v>32204.000000000004</v>
      </c>
      <c r="U574" s="84">
        <f t="shared" si="127"/>
        <v>3268919.6999999997</v>
      </c>
    </row>
    <row r="575" spans="1:21">
      <c r="A575" s="61" t="str">
        <f ca="1">IF(ISERROR(MATCH(C575,Код_Раздел,0)),"",INDIRECT(ADDRESS(MATCH(C575,Код_Раздел,0)+1,2,,,"Раздел")))</f>
        <v>Национальная экономика</v>
      </c>
      <c r="B575" s="126">
        <v>805</v>
      </c>
      <c r="C575" s="8" t="s">
        <v>214</v>
      </c>
      <c r="D575" s="8"/>
      <c r="E575" s="126"/>
      <c r="F575" s="126"/>
      <c r="G575" s="69"/>
      <c r="H575" s="69"/>
      <c r="I575" s="69"/>
      <c r="J575" s="69"/>
      <c r="K575" s="84"/>
      <c r="L575" s="13"/>
      <c r="M575" s="84"/>
      <c r="N575" s="13">
        <f>N576</f>
        <v>68.900000000000006</v>
      </c>
      <c r="O575" s="84">
        <f t="shared" si="122"/>
        <v>68.900000000000006</v>
      </c>
      <c r="P575" s="13">
        <f>P576</f>
        <v>0</v>
      </c>
      <c r="Q575" s="84">
        <f t="shared" si="136"/>
        <v>68.900000000000006</v>
      </c>
      <c r="R575" s="13">
        <f>R576</f>
        <v>0</v>
      </c>
      <c r="S575" s="84">
        <f t="shared" si="135"/>
        <v>68.900000000000006</v>
      </c>
      <c r="T575" s="13">
        <f>T576</f>
        <v>0</v>
      </c>
      <c r="U575" s="84">
        <f t="shared" si="127"/>
        <v>68.900000000000006</v>
      </c>
    </row>
    <row r="576" spans="1:21">
      <c r="A576" s="75" t="s">
        <v>201</v>
      </c>
      <c r="B576" s="126">
        <v>805</v>
      </c>
      <c r="C576" s="8" t="s">
        <v>214</v>
      </c>
      <c r="D576" s="8" t="s">
        <v>211</v>
      </c>
      <c r="E576" s="126"/>
      <c r="F576" s="126"/>
      <c r="G576" s="69"/>
      <c r="H576" s="69"/>
      <c r="I576" s="69"/>
      <c r="J576" s="69"/>
      <c r="K576" s="84"/>
      <c r="L576" s="13"/>
      <c r="M576" s="84"/>
      <c r="N576" s="13">
        <f>N577</f>
        <v>68.900000000000006</v>
      </c>
      <c r="O576" s="84">
        <f t="shared" si="122"/>
        <v>68.900000000000006</v>
      </c>
      <c r="P576" s="13">
        <f>P577</f>
        <v>0</v>
      </c>
      <c r="Q576" s="84">
        <f t="shared" si="136"/>
        <v>68.900000000000006</v>
      </c>
      <c r="R576" s="13">
        <f>R577</f>
        <v>0</v>
      </c>
      <c r="S576" s="84">
        <f t="shared" si="135"/>
        <v>68.900000000000006</v>
      </c>
      <c r="T576" s="13">
        <f>T577</f>
        <v>0</v>
      </c>
      <c r="U576" s="84">
        <f t="shared" si="127"/>
        <v>68.900000000000006</v>
      </c>
    </row>
    <row r="577" spans="1:21" ht="33">
      <c r="A577" s="61" t="str">
        <f ca="1">IF(ISERROR(MATCH(E577,Код_КЦСР,0)),"",INDIRECT(ADDRESS(MATCH(E577,Код_КЦСР,0)+1,2,,,"КЦСР")))</f>
        <v>Непрограммные направления деятельности органов местного самоуправления</v>
      </c>
      <c r="B577" s="126">
        <v>805</v>
      </c>
      <c r="C577" s="8" t="s">
        <v>214</v>
      </c>
      <c r="D577" s="8" t="s">
        <v>211</v>
      </c>
      <c r="E577" s="126" t="s">
        <v>295</v>
      </c>
      <c r="F577" s="126"/>
      <c r="G577" s="69"/>
      <c r="H577" s="69"/>
      <c r="I577" s="69"/>
      <c r="J577" s="69"/>
      <c r="K577" s="84"/>
      <c r="L577" s="13"/>
      <c r="M577" s="84"/>
      <c r="N577" s="13">
        <f>N578</f>
        <v>68.900000000000006</v>
      </c>
      <c r="O577" s="84">
        <f t="shared" si="122"/>
        <v>68.900000000000006</v>
      </c>
      <c r="P577" s="13">
        <f>P578</f>
        <v>0</v>
      </c>
      <c r="Q577" s="84">
        <f t="shared" si="136"/>
        <v>68.900000000000006</v>
      </c>
      <c r="R577" s="13">
        <f>R578</f>
        <v>0</v>
      </c>
      <c r="S577" s="84">
        <f t="shared" si="135"/>
        <v>68.900000000000006</v>
      </c>
      <c r="T577" s="13">
        <f>T578</f>
        <v>0</v>
      </c>
      <c r="U577" s="84">
        <f t="shared" si="127"/>
        <v>68.900000000000006</v>
      </c>
    </row>
    <row r="578" spans="1:21">
      <c r="A578" s="61" t="str">
        <f ca="1">IF(ISERROR(MATCH(E578,Код_КЦСР,0)),"",INDIRECT(ADDRESS(MATCH(E578,Код_КЦСР,0)+1,2,,,"КЦСР")))</f>
        <v>Расходы, не включенные в муниципальные программы города Череповца</v>
      </c>
      <c r="B578" s="126">
        <v>805</v>
      </c>
      <c r="C578" s="8" t="s">
        <v>214</v>
      </c>
      <c r="D578" s="8" t="s">
        <v>211</v>
      </c>
      <c r="E578" s="126" t="s">
        <v>297</v>
      </c>
      <c r="F578" s="126"/>
      <c r="G578" s="69"/>
      <c r="H578" s="69"/>
      <c r="I578" s="69"/>
      <c r="J578" s="69"/>
      <c r="K578" s="84"/>
      <c r="L578" s="13"/>
      <c r="M578" s="84"/>
      <c r="N578" s="13">
        <f>N579+N583</f>
        <v>68.900000000000006</v>
      </c>
      <c r="O578" s="84">
        <f t="shared" si="122"/>
        <v>68.900000000000006</v>
      </c>
      <c r="P578" s="13">
        <f>P579+P583</f>
        <v>0</v>
      </c>
      <c r="Q578" s="84">
        <f t="shared" si="136"/>
        <v>68.900000000000006</v>
      </c>
      <c r="R578" s="13">
        <f>R579+R583</f>
        <v>0</v>
      </c>
      <c r="S578" s="84">
        <f t="shared" si="135"/>
        <v>68.900000000000006</v>
      </c>
      <c r="T578" s="13"/>
      <c r="U578" s="84">
        <f t="shared" si="127"/>
        <v>68.900000000000006</v>
      </c>
    </row>
    <row r="579" spans="1:21" ht="49.5">
      <c r="A579" s="61" t="str">
        <f ca="1">IF(ISERROR(MATCH(E579,Код_КЦСР,0)),"",INDIRECT(ADDRESS(MATCH(E579,Код_КЦСР,0)+1,2,,,"КЦСР")))</f>
        <v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v>
      </c>
      <c r="B579" s="126">
        <v>805</v>
      </c>
      <c r="C579" s="8" t="s">
        <v>214</v>
      </c>
      <c r="D579" s="8" t="s">
        <v>211</v>
      </c>
      <c r="E579" s="126" t="s">
        <v>624</v>
      </c>
      <c r="F579" s="126"/>
      <c r="G579" s="69"/>
      <c r="H579" s="69"/>
      <c r="I579" s="69"/>
      <c r="J579" s="69"/>
      <c r="K579" s="84"/>
      <c r="L579" s="13"/>
      <c r="M579" s="84"/>
      <c r="N579" s="13">
        <f>N580</f>
        <v>3.4</v>
      </c>
      <c r="O579" s="84">
        <f t="shared" si="122"/>
        <v>3.4</v>
      </c>
      <c r="P579" s="13">
        <f>P580</f>
        <v>0</v>
      </c>
      <c r="Q579" s="84">
        <f t="shared" si="136"/>
        <v>3.4</v>
      </c>
      <c r="R579" s="13">
        <f>R580</f>
        <v>0</v>
      </c>
      <c r="S579" s="84">
        <f t="shared" si="135"/>
        <v>3.4</v>
      </c>
      <c r="T579" s="13">
        <f>T580</f>
        <v>0</v>
      </c>
      <c r="U579" s="84">
        <f t="shared" si="127"/>
        <v>3.4</v>
      </c>
    </row>
    <row r="580" spans="1:21" ht="33">
      <c r="A580" s="61" t="str">
        <f ca="1">IF(ISERROR(MATCH(F580,Код_КВР,0)),"",INDIRECT(ADDRESS(MATCH(F580,Код_КВР,0)+1,2,,,"КВР")))</f>
        <v>Предоставление субсидий бюджетным, автономным учреждениям и иным некоммерческим организациям</v>
      </c>
      <c r="B580" s="126">
        <v>805</v>
      </c>
      <c r="C580" s="8" t="s">
        <v>214</v>
      </c>
      <c r="D580" s="8" t="s">
        <v>211</v>
      </c>
      <c r="E580" s="126" t="s">
        <v>624</v>
      </c>
      <c r="F580" s="126">
        <v>600</v>
      </c>
      <c r="G580" s="69"/>
      <c r="H580" s="69"/>
      <c r="I580" s="69"/>
      <c r="J580" s="69"/>
      <c r="K580" s="84"/>
      <c r="L580" s="13"/>
      <c r="M580" s="84"/>
      <c r="N580" s="13">
        <f>N581</f>
        <v>3.4</v>
      </c>
      <c r="O580" s="84">
        <f t="shared" si="122"/>
        <v>3.4</v>
      </c>
      <c r="P580" s="13">
        <f>P581</f>
        <v>0</v>
      </c>
      <c r="Q580" s="84">
        <f t="shared" si="136"/>
        <v>3.4</v>
      </c>
      <c r="R580" s="13">
        <f>R581</f>
        <v>0</v>
      </c>
      <c r="S580" s="84">
        <f t="shared" si="135"/>
        <v>3.4</v>
      </c>
      <c r="T580" s="13">
        <f>T581</f>
        <v>0</v>
      </c>
      <c r="U580" s="84">
        <f t="shared" si="127"/>
        <v>3.4</v>
      </c>
    </row>
    <row r="581" spans="1:21">
      <c r="A581" s="61" t="str">
        <f ca="1">IF(ISERROR(MATCH(F581,Код_КВР,0)),"",INDIRECT(ADDRESS(MATCH(F581,Код_КВР,0)+1,2,,,"КВР")))</f>
        <v>Субсидии бюджетным учреждениям</v>
      </c>
      <c r="B581" s="126">
        <v>805</v>
      </c>
      <c r="C581" s="8" t="s">
        <v>214</v>
      </c>
      <c r="D581" s="8" t="s">
        <v>211</v>
      </c>
      <c r="E581" s="126" t="s">
        <v>624</v>
      </c>
      <c r="F581" s="126">
        <v>610</v>
      </c>
      <c r="G581" s="69"/>
      <c r="H581" s="69"/>
      <c r="I581" s="69"/>
      <c r="J581" s="69"/>
      <c r="K581" s="84"/>
      <c r="L581" s="13"/>
      <c r="M581" s="84"/>
      <c r="N581" s="13">
        <f>N582</f>
        <v>3.4</v>
      </c>
      <c r="O581" s="84">
        <f t="shared" si="122"/>
        <v>3.4</v>
      </c>
      <c r="P581" s="13">
        <f>P582</f>
        <v>0</v>
      </c>
      <c r="Q581" s="84">
        <f t="shared" si="136"/>
        <v>3.4</v>
      </c>
      <c r="R581" s="13">
        <f>R582</f>
        <v>0</v>
      </c>
      <c r="S581" s="84">
        <f t="shared" si="135"/>
        <v>3.4</v>
      </c>
      <c r="T581" s="13">
        <f>T582</f>
        <v>0</v>
      </c>
      <c r="U581" s="84">
        <f t="shared" si="127"/>
        <v>3.4</v>
      </c>
    </row>
    <row r="582" spans="1:21">
      <c r="A582" s="61" t="str">
        <f ca="1">IF(ISERROR(MATCH(F582,Код_КВР,0)),"",INDIRECT(ADDRESS(MATCH(F582,Код_КВР,0)+1,2,,,"КВР")))</f>
        <v>Субсидии бюджетным учреждениям на иные цели</v>
      </c>
      <c r="B582" s="126">
        <v>805</v>
      </c>
      <c r="C582" s="8" t="s">
        <v>214</v>
      </c>
      <c r="D582" s="8" t="s">
        <v>211</v>
      </c>
      <c r="E582" s="126" t="s">
        <v>624</v>
      </c>
      <c r="F582" s="126">
        <v>612</v>
      </c>
      <c r="G582" s="69"/>
      <c r="H582" s="69"/>
      <c r="I582" s="69"/>
      <c r="J582" s="69"/>
      <c r="K582" s="84"/>
      <c r="L582" s="13"/>
      <c r="M582" s="84"/>
      <c r="N582" s="13">
        <v>3.4</v>
      </c>
      <c r="O582" s="84">
        <f t="shared" si="122"/>
        <v>3.4</v>
      </c>
      <c r="P582" s="13"/>
      <c r="Q582" s="84">
        <f t="shared" si="136"/>
        <v>3.4</v>
      </c>
      <c r="R582" s="13"/>
      <c r="S582" s="84">
        <f t="shared" si="135"/>
        <v>3.4</v>
      </c>
      <c r="T582" s="13"/>
      <c r="U582" s="84">
        <f t="shared" si="127"/>
        <v>3.4</v>
      </c>
    </row>
    <row r="583" spans="1:21" ht="33">
      <c r="A583" s="61" t="str">
        <f ca="1">IF(ISERROR(MATCH(E583,Код_КЦСР,0)),"",INDIRECT(ADDRESS(MATCH(E583,Код_КЦСР,0)+1,2,,,"КЦСР")))</f>
        <v>Реализация дополнительных мероприятий в сфере занятости населения за счет иных межбюджетных трансфертов из федерального бюджета</v>
      </c>
      <c r="B583" s="126">
        <v>805</v>
      </c>
      <c r="C583" s="8" t="s">
        <v>214</v>
      </c>
      <c r="D583" s="8" t="s">
        <v>211</v>
      </c>
      <c r="E583" s="126" t="s">
        <v>622</v>
      </c>
      <c r="F583" s="126"/>
      <c r="G583" s="69"/>
      <c r="H583" s="69"/>
      <c r="I583" s="69"/>
      <c r="J583" s="69"/>
      <c r="K583" s="84"/>
      <c r="L583" s="13"/>
      <c r="M583" s="84"/>
      <c r="N583" s="13">
        <f>N584</f>
        <v>65.5</v>
      </c>
      <c r="O583" s="84">
        <f t="shared" si="122"/>
        <v>65.5</v>
      </c>
      <c r="P583" s="13">
        <f>P584</f>
        <v>0</v>
      </c>
      <c r="Q583" s="84">
        <f t="shared" si="136"/>
        <v>65.5</v>
      </c>
      <c r="R583" s="13">
        <f>R584</f>
        <v>0</v>
      </c>
      <c r="S583" s="84">
        <f t="shared" si="135"/>
        <v>65.5</v>
      </c>
      <c r="T583" s="13">
        <f>T584</f>
        <v>0</v>
      </c>
      <c r="U583" s="84">
        <f t="shared" si="127"/>
        <v>65.5</v>
      </c>
    </row>
    <row r="584" spans="1:21" ht="33">
      <c r="A584" s="61" t="str">
        <f ca="1">IF(ISERROR(MATCH(F584,Код_КВР,0)),"",INDIRECT(ADDRESS(MATCH(F584,Код_КВР,0)+1,2,,,"КВР")))</f>
        <v>Предоставление субсидий бюджетным, автономным учреждениям и иным некоммерческим организациям</v>
      </c>
      <c r="B584" s="126">
        <v>805</v>
      </c>
      <c r="C584" s="8" t="s">
        <v>214</v>
      </c>
      <c r="D584" s="8" t="s">
        <v>211</v>
      </c>
      <c r="E584" s="126" t="s">
        <v>622</v>
      </c>
      <c r="F584" s="126">
        <v>600</v>
      </c>
      <c r="G584" s="69"/>
      <c r="H584" s="69"/>
      <c r="I584" s="69"/>
      <c r="J584" s="69"/>
      <c r="K584" s="84"/>
      <c r="L584" s="13"/>
      <c r="M584" s="84"/>
      <c r="N584" s="13">
        <f>N585</f>
        <v>65.5</v>
      </c>
      <c r="O584" s="84">
        <f t="shared" si="122"/>
        <v>65.5</v>
      </c>
      <c r="P584" s="13">
        <f>P585</f>
        <v>0</v>
      </c>
      <c r="Q584" s="84">
        <f t="shared" si="136"/>
        <v>65.5</v>
      </c>
      <c r="R584" s="13">
        <f>R585</f>
        <v>0</v>
      </c>
      <c r="S584" s="84">
        <f t="shared" si="135"/>
        <v>65.5</v>
      </c>
      <c r="T584" s="13">
        <f>T585</f>
        <v>0</v>
      </c>
      <c r="U584" s="84">
        <f t="shared" si="127"/>
        <v>65.5</v>
      </c>
    </row>
    <row r="585" spans="1:21">
      <c r="A585" s="61" t="str">
        <f ca="1">IF(ISERROR(MATCH(F585,Код_КВР,0)),"",INDIRECT(ADDRESS(MATCH(F585,Код_КВР,0)+1,2,,,"КВР")))</f>
        <v>Субсидии бюджетным учреждениям</v>
      </c>
      <c r="B585" s="126">
        <v>805</v>
      </c>
      <c r="C585" s="8" t="s">
        <v>214</v>
      </c>
      <c r="D585" s="8" t="s">
        <v>211</v>
      </c>
      <c r="E585" s="126" t="s">
        <v>622</v>
      </c>
      <c r="F585" s="126">
        <v>610</v>
      </c>
      <c r="G585" s="69"/>
      <c r="H585" s="69"/>
      <c r="I585" s="69"/>
      <c r="J585" s="69"/>
      <c r="K585" s="84"/>
      <c r="L585" s="13"/>
      <c r="M585" s="84"/>
      <c r="N585" s="13">
        <f>N586</f>
        <v>65.5</v>
      </c>
      <c r="O585" s="84">
        <f t="shared" si="122"/>
        <v>65.5</v>
      </c>
      <c r="P585" s="13">
        <f>P586</f>
        <v>0</v>
      </c>
      <c r="Q585" s="84">
        <f t="shared" si="136"/>
        <v>65.5</v>
      </c>
      <c r="R585" s="13">
        <f>R586</f>
        <v>0</v>
      </c>
      <c r="S585" s="84">
        <f t="shared" si="135"/>
        <v>65.5</v>
      </c>
      <c r="T585" s="13">
        <f>T586</f>
        <v>0</v>
      </c>
      <c r="U585" s="84">
        <f t="shared" si="127"/>
        <v>65.5</v>
      </c>
    </row>
    <row r="586" spans="1:21">
      <c r="A586" s="61" t="str">
        <f ca="1">IF(ISERROR(MATCH(F586,Код_КВР,0)),"",INDIRECT(ADDRESS(MATCH(F586,Код_КВР,0)+1,2,,,"КВР")))</f>
        <v>Субсидии бюджетным учреждениям на иные цели</v>
      </c>
      <c r="B586" s="126">
        <v>805</v>
      </c>
      <c r="C586" s="8" t="s">
        <v>214</v>
      </c>
      <c r="D586" s="8" t="s">
        <v>211</v>
      </c>
      <c r="E586" s="126" t="s">
        <v>622</v>
      </c>
      <c r="F586" s="126">
        <v>612</v>
      </c>
      <c r="G586" s="69"/>
      <c r="H586" s="69"/>
      <c r="I586" s="69"/>
      <c r="J586" s="69"/>
      <c r="K586" s="84"/>
      <c r="L586" s="13"/>
      <c r="M586" s="84"/>
      <c r="N586" s="13">
        <v>65.5</v>
      </c>
      <c r="O586" s="84">
        <f t="shared" si="122"/>
        <v>65.5</v>
      </c>
      <c r="P586" s="13"/>
      <c r="Q586" s="84">
        <f t="shared" si="136"/>
        <v>65.5</v>
      </c>
      <c r="R586" s="13"/>
      <c r="S586" s="84">
        <f t="shared" si="135"/>
        <v>65.5</v>
      </c>
      <c r="T586" s="13"/>
      <c r="U586" s="84">
        <f t="shared" si="127"/>
        <v>65.5</v>
      </c>
    </row>
    <row r="587" spans="1:21">
      <c r="A587" s="61" t="str">
        <f ca="1">IF(ISERROR(MATCH(C587,Код_Раздел,0)),"",INDIRECT(ADDRESS(MATCH(C587,Код_Раздел,0)+1,2,,,"Раздел")))</f>
        <v>Образование</v>
      </c>
      <c r="B587" s="126">
        <v>805</v>
      </c>
      <c r="C587" s="8" t="s">
        <v>193</v>
      </c>
      <c r="D587" s="8"/>
      <c r="E587" s="126"/>
      <c r="F587" s="126"/>
      <c r="G587" s="69">
        <f>G588+G630+G697+G713</f>
        <v>3015136.3</v>
      </c>
      <c r="H587" s="69">
        <f>H588+H630+H697+H713</f>
        <v>0</v>
      </c>
      <c r="I587" s="69">
        <f t="shared" si="130"/>
        <v>3015136.3</v>
      </c>
      <c r="J587" s="69">
        <f>J588+J630+J697+J713</f>
        <v>37566</v>
      </c>
      <c r="K587" s="84">
        <f t="shared" si="128"/>
        <v>3052702.3</v>
      </c>
      <c r="L587" s="13">
        <f>L588+L630+L697+L713</f>
        <v>-505</v>
      </c>
      <c r="M587" s="84">
        <f t="shared" si="121"/>
        <v>3052197.3</v>
      </c>
      <c r="N587" s="13">
        <f>N588+N630+N697+N713</f>
        <v>1917.5</v>
      </c>
      <c r="O587" s="84">
        <f t="shared" si="122"/>
        <v>3054114.8</v>
      </c>
      <c r="P587" s="13">
        <f>P588+P630+P697+P713</f>
        <v>10</v>
      </c>
      <c r="Q587" s="84">
        <f t="shared" si="136"/>
        <v>3054124.8</v>
      </c>
      <c r="R587" s="13">
        <f>R588+R630+R697+R713</f>
        <v>37185.000000000007</v>
      </c>
      <c r="S587" s="84">
        <f t="shared" si="135"/>
        <v>3091309.8</v>
      </c>
      <c r="T587" s="13">
        <f>T588+T630+T697+T713</f>
        <v>28145.500000000004</v>
      </c>
      <c r="U587" s="84">
        <f t="shared" si="127"/>
        <v>3119455.3</v>
      </c>
    </row>
    <row r="588" spans="1:21">
      <c r="A588" s="12" t="s">
        <v>255</v>
      </c>
      <c r="B588" s="126">
        <v>805</v>
      </c>
      <c r="C588" s="8" t="s">
        <v>193</v>
      </c>
      <c r="D588" s="8" t="s">
        <v>211</v>
      </c>
      <c r="E588" s="126"/>
      <c r="F588" s="126"/>
      <c r="G588" s="69">
        <f>G589</f>
        <v>1310375.8</v>
      </c>
      <c r="H588" s="69">
        <f>H589</f>
        <v>0</v>
      </c>
      <c r="I588" s="69">
        <f t="shared" si="130"/>
        <v>1310375.8</v>
      </c>
      <c r="J588" s="69">
        <f>J589+J622</f>
        <v>44229.299999999996</v>
      </c>
      <c r="K588" s="84">
        <f>I588+J588</f>
        <v>1354605.1</v>
      </c>
      <c r="L588" s="13">
        <f>L589+L622</f>
        <v>-167.8</v>
      </c>
      <c r="M588" s="84">
        <f t="shared" si="121"/>
        <v>1354437.3</v>
      </c>
      <c r="N588" s="13">
        <f>N589+N622</f>
        <v>-2500</v>
      </c>
      <c r="O588" s="84">
        <f t="shared" si="122"/>
        <v>1351937.3</v>
      </c>
      <c r="P588" s="13">
        <f>P589+P622</f>
        <v>0</v>
      </c>
      <c r="Q588" s="84">
        <f t="shared" si="136"/>
        <v>1351937.3</v>
      </c>
      <c r="R588" s="13">
        <f>R589+R622</f>
        <v>35857.700000000004</v>
      </c>
      <c r="S588" s="84">
        <f t="shared" si="135"/>
        <v>1387795</v>
      </c>
      <c r="T588" s="13">
        <f>T589+T622</f>
        <v>12194.600000000004</v>
      </c>
      <c r="U588" s="84">
        <f t="shared" si="127"/>
        <v>1399989.6</v>
      </c>
    </row>
    <row r="589" spans="1:21">
      <c r="A589" s="61" t="str">
        <f ca="1">IF(ISERROR(MATCH(E589,Код_КЦСР,0)),"",INDIRECT(ADDRESS(MATCH(E589,Код_КЦСР,0)+1,2,,,"КЦСР")))</f>
        <v>Муниципальная программа «Развитие образования» на 2013-2022 годы</v>
      </c>
      <c r="B589" s="126">
        <v>805</v>
      </c>
      <c r="C589" s="8" t="s">
        <v>193</v>
      </c>
      <c r="D589" s="8" t="s">
        <v>211</v>
      </c>
      <c r="E589" s="126" t="s">
        <v>267</v>
      </c>
      <c r="F589" s="126"/>
      <c r="G589" s="69">
        <f>G590+G610</f>
        <v>1310375.8</v>
      </c>
      <c r="H589" s="69">
        <f>H590+H610</f>
        <v>0</v>
      </c>
      <c r="I589" s="69">
        <f t="shared" si="130"/>
        <v>1310375.8</v>
      </c>
      <c r="J589" s="69">
        <f>J590+J610</f>
        <v>0</v>
      </c>
      <c r="K589" s="84">
        <f t="shared" si="128"/>
        <v>1310375.8</v>
      </c>
      <c r="L589" s="13">
        <f>L590+L610</f>
        <v>-167.8</v>
      </c>
      <c r="M589" s="84">
        <f t="shared" si="121"/>
        <v>1310208</v>
      </c>
      <c r="N589" s="13">
        <f>N590+N610</f>
        <v>-2500</v>
      </c>
      <c r="O589" s="84">
        <f t="shared" si="122"/>
        <v>1307708</v>
      </c>
      <c r="P589" s="13">
        <f>P590+P610</f>
        <v>0</v>
      </c>
      <c r="Q589" s="84">
        <f t="shared" si="136"/>
        <v>1307708</v>
      </c>
      <c r="R589" s="13">
        <f>R590+R604+R610</f>
        <v>35857.700000000004</v>
      </c>
      <c r="S589" s="84">
        <f t="shared" si="135"/>
        <v>1343565.7</v>
      </c>
      <c r="T589" s="13">
        <f>T590+T604+T610</f>
        <v>12194.600000000004</v>
      </c>
      <c r="U589" s="84">
        <f t="shared" si="127"/>
        <v>1355760.3</v>
      </c>
    </row>
    <row r="590" spans="1:21">
      <c r="A590" s="61" t="str">
        <f ca="1">IF(ISERROR(MATCH(E590,Код_КЦСР,0)),"",INDIRECT(ADDRESS(MATCH(E590,Код_КЦСР,0)+1,2,,,"КЦСР")))</f>
        <v>Дошкольное образование</v>
      </c>
      <c r="B590" s="126">
        <v>805</v>
      </c>
      <c r="C590" s="8" t="s">
        <v>193</v>
      </c>
      <c r="D590" s="8" t="s">
        <v>211</v>
      </c>
      <c r="E590" s="126" t="s">
        <v>274</v>
      </c>
      <c r="F590" s="126"/>
      <c r="G590" s="69">
        <f>G591+G597</f>
        <v>1304089.6000000001</v>
      </c>
      <c r="H590" s="69">
        <f>H591+H597</f>
        <v>0</v>
      </c>
      <c r="I590" s="69">
        <f t="shared" si="130"/>
        <v>1304089.6000000001</v>
      </c>
      <c r="J590" s="69">
        <f>J591+J597</f>
        <v>0</v>
      </c>
      <c r="K590" s="84">
        <f t="shared" si="128"/>
        <v>1304089.6000000001</v>
      </c>
      <c r="L590" s="13">
        <f>L591+L597</f>
        <v>-167.8</v>
      </c>
      <c r="M590" s="84">
        <f t="shared" ref="M590:M665" si="137">K590+L590</f>
        <v>1303921.8</v>
      </c>
      <c r="N590" s="13">
        <f>N591+N597</f>
        <v>-2500</v>
      </c>
      <c r="O590" s="84">
        <f t="shared" ref="O590:O665" si="138">M590+N590</f>
        <v>1301421.8</v>
      </c>
      <c r="P590" s="13">
        <f>P591+P597</f>
        <v>0</v>
      </c>
      <c r="Q590" s="84">
        <f t="shared" si="136"/>
        <v>1301421.8</v>
      </c>
      <c r="R590" s="13">
        <f>R591+R597</f>
        <v>30649.800000000003</v>
      </c>
      <c r="S590" s="84">
        <f t="shared" si="135"/>
        <v>1332071.6000000001</v>
      </c>
      <c r="T590" s="13">
        <f>T591+T597</f>
        <v>13306.000000000004</v>
      </c>
      <c r="U590" s="84">
        <f t="shared" si="127"/>
        <v>1345377.6</v>
      </c>
    </row>
    <row r="591" spans="1:21" ht="71.25" customHeight="1">
      <c r="A591" s="61" t="str">
        <f ca="1">IF(ISERROR(MATCH(E591,Код_КЦСР,0)),"",INDIRECT(ADDRESS(MATCH(E591,Код_КЦСР,0)+1,2,,,"КЦСР")))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91" s="126">
        <v>805</v>
      </c>
      <c r="C591" s="8" t="s">
        <v>193</v>
      </c>
      <c r="D591" s="8" t="s">
        <v>211</v>
      </c>
      <c r="E591" s="126" t="s">
        <v>275</v>
      </c>
      <c r="F591" s="126"/>
      <c r="G591" s="69">
        <f>G592</f>
        <v>242839.90000000002</v>
      </c>
      <c r="H591" s="69">
        <f>H592</f>
        <v>0</v>
      </c>
      <c r="I591" s="69">
        <f t="shared" si="130"/>
        <v>242839.90000000002</v>
      </c>
      <c r="J591" s="69">
        <f>J592</f>
        <v>0</v>
      </c>
      <c r="K591" s="84">
        <f t="shared" si="128"/>
        <v>242839.90000000002</v>
      </c>
      <c r="L591" s="13">
        <f>L592</f>
        <v>-167.8</v>
      </c>
      <c r="M591" s="84">
        <f t="shared" si="137"/>
        <v>242672.10000000003</v>
      </c>
      <c r="N591" s="13">
        <f>N592</f>
        <v>-2500</v>
      </c>
      <c r="O591" s="84">
        <f t="shared" si="138"/>
        <v>240172.10000000003</v>
      </c>
      <c r="P591" s="13">
        <f>P592</f>
        <v>0</v>
      </c>
      <c r="Q591" s="84">
        <f t="shared" si="136"/>
        <v>240172.10000000003</v>
      </c>
      <c r="R591" s="13">
        <f>R592</f>
        <v>0</v>
      </c>
      <c r="S591" s="84">
        <f t="shared" si="135"/>
        <v>240172.10000000003</v>
      </c>
      <c r="T591" s="13">
        <f>T592</f>
        <v>0</v>
      </c>
      <c r="U591" s="84">
        <f t="shared" si="127"/>
        <v>240172.10000000003</v>
      </c>
    </row>
    <row r="592" spans="1:21" ht="33">
      <c r="A592" s="61" t="str">
        <f ca="1">IF(ISERROR(MATCH(F592,Код_КВР,0)),"",INDIRECT(ADDRESS(MATCH(F592,Код_КВР,0)+1,2,,,"КВР")))</f>
        <v>Предоставление субсидий бюджетным, автономным учреждениям и иным некоммерческим организациям</v>
      </c>
      <c r="B592" s="126">
        <v>805</v>
      </c>
      <c r="C592" s="8" t="s">
        <v>193</v>
      </c>
      <c r="D592" s="8" t="s">
        <v>211</v>
      </c>
      <c r="E592" s="126" t="s">
        <v>275</v>
      </c>
      <c r="F592" s="126">
        <v>600</v>
      </c>
      <c r="G592" s="69">
        <f>G593+G595</f>
        <v>242839.90000000002</v>
      </c>
      <c r="H592" s="69">
        <f>H593+H595</f>
        <v>0</v>
      </c>
      <c r="I592" s="69">
        <f t="shared" si="130"/>
        <v>242839.90000000002</v>
      </c>
      <c r="J592" s="69">
        <f>J593+J595</f>
        <v>0</v>
      </c>
      <c r="K592" s="84">
        <f t="shared" si="128"/>
        <v>242839.90000000002</v>
      </c>
      <c r="L592" s="13">
        <f>L593+L595</f>
        <v>-167.8</v>
      </c>
      <c r="M592" s="84">
        <f t="shared" si="137"/>
        <v>242672.10000000003</v>
      </c>
      <c r="N592" s="13">
        <f>N593+N595</f>
        <v>-2500</v>
      </c>
      <c r="O592" s="84">
        <f t="shared" si="138"/>
        <v>240172.10000000003</v>
      </c>
      <c r="P592" s="13">
        <f>P593+P595</f>
        <v>0</v>
      </c>
      <c r="Q592" s="84">
        <f t="shared" si="136"/>
        <v>240172.10000000003</v>
      </c>
      <c r="R592" s="13">
        <f>R593+R595</f>
        <v>0</v>
      </c>
      <c r="S592" s="84">
        <f t="shared" si="135"/>
        <v>240172.10000000003</v>
      </c>
      <c r="T592" s="13">
        <f>T593+T595</f>
        <v>0</v>
      </c>
      <c r="U592" s="84">
        <f t="shared" si="127"/>
        <v>240172.10000000003</v>
      </c>
    </row>
    <row r="593" spans="1:23">
      <c r="A593" s="61" t="str">
        <f ca="1">IF(ISERROR(MATCH(F593,Код_КВР,0)),"",INDIRECT(ADDRESS(MATCH(F593,Код_КВР,0)+1,2,,,"КВР")))</f>
        <v>Субсидии бюджетным учреждениям</v>
      </c>
      <c r="B593" s="126">
        <v>805</v>
      </c>
      <c r="C593" s="8" t="s">
        <v>193</v>
      </c>
      <c r="D593" s="8" t="s">
        <v>211</v>
      </c>
      <c r="E593" s="126" t="s">
        <v>275</v>
      </c>
      <c r="F593" s="126">
        <v>610</v>
      </c>
      <c r="G593" s="69">
        <f>G594</f>
        <v>221390.7</v>
      </c>
      <c r="H593" s="69">
        <f>H594</f>
        <v>0</v>
      </c>
      <c r="I593" s="69">
        <f t="shared" si="130"/>
        <v>221390.7</v>
      </c>
      <c r="J593" s="69">
        <f>J594</f>
        <v>0</v>
      </c>
      <c r="K593" s="84">
        <f t="shared" si="128"/>
        <v>221390.7</v>
      </c>
      <c r="L593" s="13">
        <f>L594</f>
        <v>0</v>
      </c>
      <c r="M593" s="84">
        <f t="shared" si="137"/>
        <v>221390.7</v>
      </c>
      <c r="N593" s="13">
        <f>N594</f>
        <v>-2500</v>
      </c>
      <c r="O593" s="84">
        <f t="shared" si="138"/>
        <v>218890.7</v>
      </c>
      <c r="P593" s="13">
        <f>P594</f>
        <v>0</v>
      </c>
      <c r="Q593" s="84">
        <f t="shared" si="136"/>
        <v>218890.7</v>
      </c>
      <c r="R593" s="13">
        <f>R594</f>
        <v>0</v>
      </c>
      <c r="S593" s="84">
        <f t="shared" si="135"/>
        <v>218890.7</v>
      </c>
      <c r="T593" s="13">
        <f>T594</f>
        <v>0</v>
      </c>
      <c r="U593" s="84">
        <f t="shared" si="127"/>
        <v>218890.7</v>
      </c>
    </row>
    <row r="594" spans="1:23" ht="49.5">
      <c r="A594" s="61" t="str">
        <f ca="1">IF(ISERROR(MATCH(F594,Код_КВР,0)),"",INDIRECT(ADDRESS(MATCH(F594,Код_КВР,0)+1,2,,,"КВР")))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4" s="126">
        <v>805</v>
      </c>
      <c r="C594" s="8" t="s">
        <v>193</v>
      </c>
      <c r="D594" s="8" t="s">
        <v>211</v>
      </c>
      <c r="E594" s="126" t="s">
        <v>275</v>
      </c>
      <c r="F594" s="126">
        <v>611</v>
      </c>
      <c r="G594" s="69">
        <v>221390.7</v>
      </c>
      <c r="H594" s="64"/>
      <c r="I594" s="69">
        <f t="shared" si="130"/>
        <v>221390.7</v>
      </c>
      <c r="J594" s="64"/>
      <c r="K594" s="84">
        <f t="shared" si="128"/>
        <v>221390.7</v>
      </c>
      <c r="L594" s="84"/>
      <c r="M594" s="84">
        <f t="shared" si="137"/>
        <v>221390.7</v>
      </c>
      <c r="N594" s="84">
        <v>-2500</v>
      </c>
      <c r="O594" s="84">
        <f t="shared" si="138"/>
        <v>218890.7</v>
      </c>
      <c r="P594" s="84"/>
      <c r="Q594" s="84">
        <f t="shared" si="136"/>
        <v>218890.7</v>
      </c>
      <c r="R594" s="84"/>
      <c r="S594" s="84">
        <f t="shared" si="135"/>
        <v>218890.7</v>
      </c>
      <c r="T594" s="84"/>
      <c r="U594" s="84">
        <f t="shared" si="127"/>
        <v>218890.7</v>
      </c>
    </row>
    <row r="595" spans="1:23">
      <c r="A595" s="61" t="str">
        <f ca="1">IF(ISERROR(MATCH(F595,Код_КВР,0)),"",INDIRECT(ADDRESS(MATCH(F595,Код_КВР,0)+1,2,,,"КВР")))</f>
        <v>Субсидии автономным учреждениям</v>
      </c>
      <c r="B595" s="126">
        <v>805</v>
      </c>
      <c r="C595" s="8" t="s">
        <v>193</v>
      </c>
      <c r="D595" s="8" t="s">
        <v>211</v>
      </c>
      <c r="E595" s="126" t="s">
        <v>275</v>
      </c>
      <c r="F595" s="126">
        <v>620</v>
      </c>
      <c r="G595" s="69">
        <f>G596</f>
        <v>21449.200000000001</v>
      </c>
      <c r="H595" s="69">
        <f>H596</f>
        <v>0</v>
      </c>
      <c r="I595" s="69">
        <f t="shared" si="130"/>
        <v>21449.200000000001</v>
      </c>
      <c r="J595" s="69">
        <f>J596</f>
        <v>0</v>
      </c>
      <c r="K595" s="84">
        <f t="shared" si="128"/>
        <v>21449.200000000001</v>
      </c>
      <c r="L595" s="13">
        <f>L596</f>
        <v>-167.8</v>
      </c>
      <c r="M595" s="84">
        <f t="shared" si="137"/>
        <v>21281.4</v>
      </c>
      <c r="N595" s="13">
        <f>N596</f>
        <v>0</v>
      </c>
      <c r="O595" s="84">
        <f t="shared" si="138"/>
        <v>21281.4</v>
      </c>
      <c r="P595" s="13">
        <f>P596</f>
        <v>0</v>
      </c>
      <c r="Q595" s="84">
        <f t="shared" si="136"/>
        <v>21281.4</v>
      </c>
      <c r="R595" s="13">
        <f>R596</f>
        <v>0</v>
      </c>
      <c r="S595" s="84">
        <f t="shared" si="135"/>
        <v>21281.4</v>
      </c>
      <c r="T595" s="13">
        <f>T596</f>
        <v>0</v>
      </c>
      <c r="U595" s="84">
        <f t="shared" si="127"/>
        <v>21281.4</v>
      </c>
    </row>
    <row r="596" spans="1:23" ht="49.5">
      <c r="A596" s="61" t="str">
        <f ca="1">IF(ISERROR(MATCH(F596,Код_КВР,0)),"",INDIRECT(ADDRESS(MATCH(F596,Код_КВР,0)+1,2,,,"КВР")))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96" s="126">
        <v>805</v>
      </c>
      <c r="C596" s="8" t="s">
        <v>193</v>
      </c>
      <c r="D596" s="8" t="s">
        <v>211</v>
      </c>
      <c r="E596" s="126" t="s">
        <v>275</v>
      </c>
      <c r="F596" s="126">
        <v>621</v>
      </c>
      <c r="G596" s="69">
        <v>21449.200000000001</v>
      </c>
      <c r="H596" s="64"/>
      <c r="I596" s="69">
        <f t="shared" si="130"/>
        <v>21449.200000000001</v>
      </c>
      <c r="J596" s="64"/>
      <c r="K596" s="84">
        <f t="shared" si="128"/>
        <v>21449.200000000001</v>
      </c>
      <c r="L596" s="84">
        <v>-167.8</v>
      </c>
      <c r="M596" s="84">
        <f t="shared" si="137"/>
        <v>21281.4</v>
      </c>
      <c r="N596" s="84"/>
      <c r="O596" s="84">
        <f t="shared" si="138"/>
        <v>21281.4</v>
      </c>
      <c r="P596" s="84"/>
      <c r="Q596" s="84">
        <f t="shared" si="136"/>
        <v>21281.4</v>
      </c>
      <c r="R596" s="84"/>
      <c r="S596" s="84">
        <f t="shared" si="135"/>
        <v>21281.4</v>
      </c>
      <c r="T596" s="84"/>
      <c r="U596" s="84">
        <f t="shared" si="127"/>
        <v>21281.4</v>
      </c>
    </row>
    <row r="597" spans="1:23" ht="53.25" customHeight="1">
      <c r="A597" s="61" t="str">
        <f ca="1">IF(ISERROR(MATCH(E597,Код_КЦСР,0)),"",INDIRECT(ADDRESS(MATCH(E597,Код_КЦСР,0)+1,2,,,"КЦСР")))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97" s="126">
        <v>805</v>
      </c>
      <c r="C597" s="8" t="s">
        <v>193</v>
      </c>
      <c r="D597" s="8" t="s">
        <v>211</v>
      </c>
      <c r="E597" s="126" t="s">
        <v>423</v>
      </c>
      <c r="F597" s="126"/>
      <c r="G597" s="69">
        <f>G598</f>
        <v>1061249.7</v>
      </c>
      <c r="H597" s="69">
        <f>H598</f>
        <v>0</v>
      </c>
      <c r="I597" s="69">
        <f t="shared" si="130"/>
        <v>1061249.7</v>
      </c>
      <c r="J597" s="69">
        <f>J598</f>
        <v>0</v>
      </c>
      <c r="K597" s="84">
        <f t="shared" si="128"/>
        <v>1061249.7</v>
      </c>
      <c r="L597" s="13">
        <f>L598</f>
        <v>0</v>
      </c>
      <c r="M597" s="84">
        <f t="shared" si="137"/>
        <v>1061249.7</v>
      </c>
      <c r="N597" s="13">
        <f>N598</f>
        <v>0</v>
      </c>
      <c r="O597" s="84">
        <f t="shared" si="138"/>
        <v>1061249.7</v>
      </c>
      <c r="P597" s="13">
        <f>P598</f>
        <v>0</v>
      </c>
      <c r="Q597" s="84">
        <f t="shared" si="136"/>
        <v>1061249.7</v>
      </c>
      <c r="R597" s="13">
        <f>R598</f>
        <v>30649.800000000003</v>
      </c>
      <c r="S597" s="84">
        <f t="shared" si="135"/>
        <v>1091899.5</v>
      </c>
      <c r="T597" s="13">
        <f>T598</f>
        <v>13306.000000000004</v>
      </c>
      <c r="U597" s="84">
        <f t="shared" si="127"/>
        <v>1105205.5</v>
      </c>
    </row>
    <row r="598" spans="1:23" ht="33">
      <c r="A598" s="61" t="str">
        <f ca="1">IF(ISERROR(MATCH(F598,Код_КВР,0)),"",INDIRECT(ADDRESS(MATCH(F598,Код_КВР,0)+1,2,,,"КВР")))</f>
        <v>Предоставление субсидий бюджетным, автономным учреждениям и иным некоммерческим организациям</v>
      </c>
      <c r="B598" s="126">
        <v>805</v>
      </c>
      <c r="C598" s="8" t="s">
        <v>193</v>
      </c>
      <c r="D598" s="8" t="s">
        <v>211</v>
      </c>
      <c r="E598" s="126" t="s">
        <v>423</v>
      </c>
      <c r="F598" s="126">
        <v>600</v>
      </c>
      <c r="G598" s="69">
        <f>G599+G601</f>
        <v>1061249.7</v>
      </c>
      <c r="H598" s="69">
        <f>H599+H601</f>
        <v>0</v>
      </c>
      <c r="I598" s="69">
        <f t="shared" si="130"/>
        <v>1061249.7</v>
      </c>
      <c r="J598" s="69">
        <f>J599+J601</f>
        <v>0</v>
      </c>
      <c r="K598" s="84">
        <f t="shared" si="128"/>
        <v>1061249.7</v>
      </c>
      <c r="L598" s="13">
        <f>L599+L601</f>
        <v>0</v>
      </c>
      <c r="M598" s="84">
        <f t="shared" si="137"/>
        <v>1061249.7</v>
      </c>
      <c r="N598" s="13">
        <f>N599+N601</f>
        <v>0</v>
      </c>
      <c r="O598" s="84">
        <f t="shared" si="138"/>
        <v>1061249.7</v>
      </c>
      <c r="P598" s="13">
        <f>P599+P601</f>
        <v>0</v>
      </c>
      <c r="Q598" s="84">
        <f t="shared" si="136"/>
        <v>1061249.7</v>
      </c>
      <c r="R598" s="13">
        <f>R599+R601</f>
        <v>30649.800000000003</v>
      </c>
      <c r="S598" s="84">
        <f t="shared" si="135"/>
        <v>1091899.5</v>
      </c>
      <c r="T598" s="13">
        <f>T599+T601</f>
        <v>13306.000000000004</v>
      </c>
      <c r="U598" s="84">
        <f t="shared" si="127"/>
        <v>1105205.5</v>
      </c>
    </row>
    <row r="599" spans="1:23">
      <c r="A599" s="61" t="str">
        <f ca="1">IF(ISERROR(MATCH(F599,Код_КВР,0)),"",INDIRECT(ADDRESS(MATCH(F599,Код_КВР,0)+1,2,,,"КВР")))</f>
        <v>Субсидии бюджетным учреждениям</v>
      </c>
      <c r="B599" s="126">
        <v>805</v>
      </c>
      <c r="C599" s="8" t="s">
        <v>193</v>
      </c>
      <c r="D599" s="8" t="s">
        <v>211</v>
      </c>
      <c r="E599" s="126" t="s">
        <v>423</v>
      </c>
      <c r="F599" s="126">
        <v>610</v>
      </c>
      <c r="G599" s="69">
        <f>G600</f>
        <v>997794.8</v>
      </c>
      <c r="H599" s="69">
        <f>H600</f>
        <v>0</v>
      </c>
      <c r="I599" s="69">
        <f t="shared" si="130"/>
        <v>997794.8</v>
      </c>
      <c r="J599" s="69">
        <f>J600</f>
        <v>0</v>
      </c>
      <c r="K599" s="84">
        <f t="shared" si="128"/>
        <v>997794.8</v>
      </c>
      <c r="L599" s="13">
        <f>L600</f>
        <v>0</v>
      </c>
      <c r="M599" s="84">
        <f t="shared" si="137"/>
        <v>997794.8</v>
      </c>
      <c r="N599" s="13">
        <f>N600</f>
        <v>0</v>
      </c>
      <c r="O599" s="84">
        <f t="shared" si="138"/>
        <v>997794.8</v>
      </c>
      <c r="P599" s="13">
        <f>P600</f>
        <v>0</v>
      </c>
      <c r="Q599" s="84">
        <f t="shared" si="136"/>
        <v>997794.8</v>
      </c>
      <c r="R599" s="13">
        <f>R600</f>
        <v>28969.300000000003</v>
      </c>
      <c r="S599" s="84">
        <f t="shared" si="135"/>
        <v>1026764.1000000001</v>
      </c>
      <c r="T599" s="13">
        <f>T600</f>
        <v>16536.800000000003</v>
      </c>
      <c r="U599" s="84">
        <f t="shared" si="127"/>
        <v>1043300.9000000001</v>
      </c>
    </row>
    <row r="600" spans="1:23" ht="49.5">
      <c r="A600" s="61" t="str">
        <f ca="1">IF(ISERROR(MATCH(F600,Код_КВР,0)),"",INDIRECT(ADDRESS(MATCH(F600,Код_КВР,0)+1,2,,,"КВР")))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0" s="126">
        <v>805</v>
      </c>
      <c r="C600" s="8" t="s">
        <v>193</v>
      </c>
      <c r="D600" s="8" t="s">
        <v>211</v>
      </c>
      <c r="E600" s="126" t="s">
        <v>423</v>
      </c>
      <c r="F600" s="126">
        <v>611</v>
      </c>
      <c r="G600" s="69">
        <v>997794.8</v>
      </c>
      <c r="H600" s="64"/>
      <c r="I600" s="69">
        <f t="shared" si="130"/>
        <v>997794.8</v>
      </c>
      <c r="J600" s="64"/>
      <c r="K600" s="84">
        <f t="shared" si="128"/>
        <v>997794.8</v>
      </c>
      <c r="L600" s="84"/>
      <c r="M600" s="84">
        <f t="shared" si="137"/>
        <v>997794.8</v>
      </c>
      <c r="N600" s="84"/>
      <c r="O600" s="84">
        <f t="shared" si="138"/>
        <v>997794.8</v>
      </c>
      <c r="P600" s="84"/>
      <c r="Q600" s="84">
        <f t="shared" si="136"/>
        <v>997794.8</v>
      </c>
      <c r="R600" s="84">
        <f>28410.9+558.4</f>
        <v>28969.300000000003</v>
      </c>
      <c r="S600" s="84">
        <f t="shared" si="135"/>
        <v>1026764.1000000001</v>
      </c>
      <c r="T600" s="84">
        <f>1076.2-4459.5+16828.4-53.3+3145</f>
        <v>16536.800000000003</v>
      </c>
      <c r="U600" s="84">
        <f t="shared" si="127"/>
        <v>1043300.9000000001</v>
      </c>
      <c r="W600" s="67"/>
    </row>
    <row r="601" spans="1:23">
      <c r="A601" s="61" t="str">
        <f ca="1">IF(ISERROR(MATCH(F601,Код_КВР,0)),"",INDIRECT(ADDRESS(MATCH(F601,Код_КВР,0)+1,2,,,"КВР")))</f>
        <v>Субсидии автономным учреждениям</v>
      </c>
      <c r="B601" s="126">
        <v>805</v>
      </c>
      <c r="C601" s="8" t="s">
        <v>193</v>
      </c>
      <c r="D601" s="8" t="s">
        <v>211</v>
      </c>
      <c r="E601" s="126" t="s">
        <v>423</v>
      </c>
      <c r="F601" s="126">
        <v>620</v>
      </c>
      <c r="G601" s="69">
        <f>G602</f>
        <v>63454.9</v>
      </c>
      <c r="H601" s="69">
        <f>H602</f>
        <v>0</v>
      </c>
      <c r="I601" s="69">
        <f t="shared" si="130"/>
        <v>63454.9</v>
      </c>
      <c r="J601" s="69">
        <f>J602</f>
        <v>0</v>
      </c>
      <c r="K601" s="84">
        <f t="shared" si="128"/>
        <v>63454.9</v>
      </c>
      <c r="L601" s="13">
        <f>L602</f>
        <v>0</v>
      </c>
      <c r="M601" s="84">
        <f t="shared" si="137"/>
        <v>63454.9</v>
      </c>
      <c r="N601" s="13">
        <f>N602</f>
        <v>0</v>
      </c>
      <c r="O601" s="84">
        <f t="shared" si="138"/>
        <v>63454.9</v>
      </c>
      <c r="P601" s="13">
        <f>P602</f>
        <v>0</v>
      </c>
      <c r="Q601" s="84">
        <f t="shared" si="136"/>
        <v>63454.9</v>
      </c>
      <c r="R601" s="13">
        <f>R602</f>
        <v>1680.5</v>
      </c>
      <c r="S601" s="84">
        <f t="shared" si="135"/>
        <v>65135.4</v>
      </c>
      <c r="T601" s="13">
        <f>T602</f>
        <v>-3230.8</v>
      </c>
      <c r="U601" s="84">
        <f t="shared" si="127"/>
        <v>61904.6</v>
      </c>
    </row>
    <row r="602" spans="1:23" ht="49.5">
      <c r="A602" s="61" t="str">
        <f ca="1">IF(ISERROR(MATCH(F602,Код_КВР,0)),"",INDIRECT(ADDRESS(MATCH(F602,Код_КВР,0)+1,2,,,"КВР")))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02" s="126">
        <v>805</v>
      </c>
      <c r="C602" s="8" t="s">
        <v>193</v>
      </c>
      <c r="D602" s="8" t="s">
        <v>211</v>
      </c>
      <c r="E602" s="126" t="s">
        <v>423</v>
      </c>
      <c r="F602" s="126">
        <v>621</v>
      </c>
      <c r="G602" s="69">
        <v>63454.9</v>
      </c>
      <c r="H602" s="64"/>
      <c r="I602" s="69">
        <f t="shared" si="130"/>
        <v>63454.9</v>
      </c>
      <c r="J602" s="64"/>
      <c r="K602" s="84">
        <f t="shared" si="128"/>
        <v>63454.9</v>
      </c>
      <c r="L602" s="84"/>
      <c r="M602" s="84">
        <f t="shared" si="137"/>
        <v>63454.9</v>
      </c>
      <c r="N602" s="84"/>
      <c r="O602" s="84">
        <f t="shared" si="138"/>
        <v>63454.9</v>
      </c>
      <c r="P602" s="84"/>
      <c r="Q602" s="84">
        <f t="shared" si="136"/>
        <v>63454.9</v>
      </c>
      <c r="R602" s="84">
        <v>1680.5</v>
      </c>
      <c r="S602" s="84">
        <f t="shared" si="135"/>
        <v>65135.4</v>
      </c>
      <c r="T602" s="84">
        <f>-1076.2+990.4-3145</f>
        <v>-3230.8</v>
      </c>
      <c r="U602" s="84">
        <f t="shared" si="127"/>
        <v>61904.6</v>
      </c>
      <c r="W602" s="67"/>
    </row>
    <row r="603" spans="1:23">
      <c r="A603" s="61" t="str">
        <f ca="1">IF(ISERROR(MATCH(E603,Код_КЦСР,0)),"",INDIRECT(ADDRESS(MATCH(E603,Код_КЦСР,0)+1,2,,,"КЦСР")))</f>
        <v>Общее образование</v>
      </c>
      <c r="B603" s="126">
        <v>805</v>
      </c>
      <c r="C603" s="8" t="s">
        <v>193</v>
      </c>
      <c r="D603" s="8" t="s">
        <v>211</v>
      </c>
      <c r="E603" s="126" t="s">
        <v>276</v>
      </c>
      <c r="F603" s="126"/>
      <c r="G603" s="69"/>
      <c r="H603" s="64"/>
      <c r="I603" s="69"/>
      <c r="J603" s="64"/>
      <c r="K603" s="84"/>
      <c r="L603" s="84"/>
      <c r="M603" s="84"/>
      <c r="N603" s="84"/>
      <c r="O603" s="84"/>
      <c r="P603" s="84"/>
      <c r="Q603" s="84"/>
      <c r="R603" s="84">
        <f>R604</f>
        <v>2943.8999999999996</v>
      </c>
      <c r="S603" s="84">
        <f>S604</f>
        <v>2943.8999999999996</v>
      </c>
      <c r="T603" s="84">
        <f>T604</f>
        <v>-1111.4000000000001</v>
      </c>
      <c r="U603" s="84">
        <f t="shared" si="127"/>
        <v>1832.4999999999995</v>
      </c>
      <c r="W603" s="67"/>
    </row>
    <row r="604" spans="1:23" ht="99">
      <c r="A604" s="61" t="str">
        <f ca="1">IF(ISERROR(MATCH(E604,Код_КЦСР,0)),"",INDIRECT(ADDRESS(MATCH(E604,Код_КЦСР,0)+1,2,,,"КЦСР")))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604" s="126">
        <v>805</v>
      </c>
      <c r="C604" s="8" t="s">
        <v>193</v>
      </c>
      <c r="D604" s="8" t="s">
        <v>211</v>
      </c>
      <c r="E604" s="126" t="s">
        <v>433</v>
      </c>
      <c r="F604" s="126"/>
      <c r="G604" s="69"/>
      <c r="H604" s="64"/>
      <c r="I604" s="69"/>
      <c r="J604" s="64"/>
      <c r="K604" s="84"/>
      <c r="L604" s="84"/>
      <c r="M604" s="84"/>
      <c r="N604" s="84"/>
      <c r="O604" s="84"/>
      <c r="P604" s="84"/>
      <c r="Q604" s="84"/>
      <c r="R604" s="84">
        <f>R605</f>
        <v>2943.8999999999996</v>
      </c>
      <c r="S604" s="84">
        <f t="shared" ref="S604:S609" si="139">Q604+R604</f>
        <v>2943.8999999999996</v>
      </c>
      <c r="T604" s="84">
        <f>T605</f>
        <v>-1111.4000000000001</v>
      </c>
      <c r="U604" s="84">
        <f t="shared" si="127"/>
        <v>1832.4999999999995</v>
      </c>
    </row>
    <row r="605" spans="1:23" ht="33">
      <c r="A605" s="61" t="str">
        <f t="shared" ref="A605:A609" ca="1" si="140">IF(ISERROR(MATCH(F605,Код_КВР,0)),"",INDIRECT(ADDRESS(MATCH(F605,Код_КВР,0)+1,2,,,"КВР")))</f>
        <v>Предоставление субсидий бюджетным, автономным учреждениям и иным некоммерческим организациям</v>
      </c>
      <c r="B605" s="126">
        <v>805</v>
      </c>
      <c r="C605" s="8" t="s">
        <v>193</v>
      </c>
      <c r="D605" s="8" t="s">
        <v>211</v>
      </c>
      <c r="E605" s="126" t="s">
        <v>433</v>
      </c>
      <c r="F605" s="126">
        <v>600</v>
      </c>
      <c r="G605" s="69"/>
      <c r="H605" s="64"/>
      <c r="I605" s="69"/>
      <c r="J605" s="64"/>
      <c r="K605" s="84"/>
      <c r="L605" s="84"/>
      <c r="M605" s="84"/>
      <c r="N605" s="84"/>
      <c r="O605" s="84"/>
      <c r="P605" s="84"/>
      <c r="Q605" s="84"/>
      <c r="R605" s="84">
        <f>R606+R608</f>
        <v>2943.8999999999996</v>
      </c>
      <c r="S605" s="84">
        <f t="shared" si="139"/>
        <v>2943.8999999999996</v>
      </c>
      <c r="T605" s="84">
        <f>T606+T608</f>
        <v>-1111.4000000000001</v>
      </c>
      <c r="U605" s="84">
        <f t="shared" ref="U605:U669" si="141">S605+T605</f>
        <v>1832.4999999999995</v>
      </c>
    </row>
    <row r="606" spans="1:23">
      <c r="A606" s="61" t="str">
        <f t="shared" ca="1" si="140"/>
        <v>Субсидии бюджетным учреждениям</v>
      </c>
      <c r="B606" s="126">
        <v>805</v>
      </c>
      <c r="C606" s="8" t="s">
        <v>193</v>
      </c>
      <c r="D606" s="8" t="s">
        <v>211</v>
      </c>
      <c r="E606" s="126" t="s">
        <v>433</v>
      </c>
      <c r="F606" s="126">
        <v>610</v>
      </c>
      <c r="G606" s="69"/>
      <c r="H606" s="64"/>
      <c r="I606" s="69"/>
      <c r="J606" s="64"/>
      <c r="K606" s="84"/>
      <c r="L606" s="84"/>
      <c r="M606" s="84"/>
      <c r="N606" s="84"/>
      <c r="O606" s="84"/>
      <c r="P606" s="84"/>
      <c r="Q606" s="84"/>
      <c r="R606" s="84">
        <f>R607</f>
        <v>2843.8999999999996</v>
      </c>
      <c r="S606" s="84">
        <f t="shared" si="139"/>
        <v>2843.8999999999996</v>
      </c>
      <c r="T606" s="84">
        <f>T607</f>
        <v>-1016</v>
      </c>
      <c r="U606" s="84">
        <f t="shared" si="141"/>
        <v>1827.8999999999996</v>
      </c>
    </row>
    <row r="607" spans="1:23" ht="49.5">
      <c r="A607" s="61" t="str">
        <f t="shared" ca="1" si="140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7" s="126">
        <v>805</v>
      </c>
      <c r="C607" s="8" t="s">
        <v>193</v>
      </c>
      <c r="D607" s="8" t="s">
        <v>211</v>
      </c>
      <c r="E607" s="126" t="s">
        <v>433</v>
      </c>
      <c r="F607" s="126">
        <v>611</v>
      </c>
      <c r="G607" s="69"/>
      <c r="H607" s="64"/>
      <c r="I607" s="69"/>
      <c r="J607" s="64"/>
      <c r="K607" s="84"/>
      <c r="L607" s="84"/>
      <c r="M607" s="84"/>
      <c r="N607" s="84"/>
      <c r="O607" s="84"/>
      <c r="P607" s="84"/>
      <c r="Q607" s="84"/>
      <c r="R607" s="84">
        <f>2315.1+528.8</f>
        <v>2843.8999999999996</v>
      </c>
      <c r="S607" s="84">
        <f t="shared" si="139"/>
        <v>2843.8999999999996</v>
      </c>
      <c r="T607" s="84">
        <v>-1016</v>
      </c>
      <c r="U607" s="84">
        <f t="shared" si="141"/>
        <v>1827.8999999999996</v>
      </c>
    </row>
    <row r="608" spans="1:23">
      <c r="A608" s="61" t="str">
        <f t="shared" ca="1" si="140"/>
        <v>Субсидии автономным учреждениям</v>
      </c>
      <c r="B608" s="126">
        <v>805</v>
      </c>
      <c r="C608" s="8" t="s">
        <v>193</v>
      </c>
      <c r="D608" s="8" t="s">
        <v>211</v>
      </c>
      <c r="E608" s="126" t="s">
        <v>433</v>
      </c>
      <c r="F608" s="126">
        <v>620</v>
      </c>
      <c r="G608" s="69"/>
      <c r="H608" s="64"/>
      <c r="I608" s="69"/>
      <c r="J608" s="64"/>
      <c r="K608" s="84"/>
      <c r="L608" s="84"/>
      <c r="M608" s="84"/>
      <c r="N608" s="84"/>
      <c r="O608" s="84"/>
      <c r="P608" s="84"/>
      <c r="Q608" s="84"/>
      <c r="R608" s="84">
        <f>R609</f>
        <v>100</v>
      </c>
      <c r="S608" s="84">
        <f t="shared" si="139"/>
        <v>100</v>
      </c>
      <c r="T608" s="84">
        <f>T609</f>
        <v>-95.4</v>
      </c>
      <c r="U608" s="84">
        <f t="shared" si="141"/>
        <v>4.5999999999999943</v>
      </c>
    </row>
    <row r="609" spans="1:22" ht="49.5">
      <c r="A609" s="61" t="str">
        <f t="shared" ca="1" si="140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09" s="126">
        <v>805</v>
      </c>
      <c r="C609" s="8" t="s">
        <v>193</v>
      </c>
      <c r="D609" s="8" t="s">
        <v>211</v>
      </c>
      <c r="E609" s="126" t="s">
        <v>433</v>
      </c>
      <c r="F609" s="126">
        <v>621</v>
      </c>
      <c r="G609" s="69"/>
      <c r="H609" s="64"/>
      <c r="I609" s="69"/>
      <c r="J609" s="64"/>
      <c r="K609" s="84"/>
      <c r="L609" s="84"/>
      <c r="M609" s="84"/>
      <c r="N609" s="84"/>
      <c r="O609" s="84"/>
      <c r="P609" s="84"/>
      <c r="Q609" s="84"/>
      <c r="R609" s="84">
        <f>100</f>
        <v>100</v>
      </c>
      <c r="S609" s="84">
        <f t="shared" si="139"/>
        <v>100</v>
      </c>
      <c r="T609" s="84">
        <f>-95.4</f>
        <v>-95.4</v>
      </c>
      <c r="U609" s="84">
        <f t="shared" si="141"/>
        <v>4.5999999999999943</v>
      </c>
    </row>
    <row r="610" spans="1:22">
      <c r="A610" s="61" t="str">
        <f ca="1">IF(ISERROR(MATCH(E610,Код_КЦСР,0)),"",INDIRECT(ADDRESS(MATCH(E610,Код_КЦСР,0)+1,2,,,"КЦСР")))</f>
        <v>Кадровое обеспечение муниципальной системы образования</v>
      </c>
      <c r="B610" s="126">
        <v>805</v>
      </c>
      <c r="C610" s="8" t="s">
        <v>193</v>
      </c>
      <c r="D610" s="8" t="s">
        <v>211</v>
      </c>
      <c r="E610" s="126" t="s">
        <v>287</v>
      </c>
      <c r="F610" s="126"/>
      <c r="G610" s="69">
        <f>G611+G617</f>
        <v>6286.2</v>
      </c>
      <c r="H610" s="69">
        <f>H611+H617</f>
        <v>0</v>
      </c>
      <c r="I610" s="69">
        <f t="shared" si="130"/>
        <v>6286.2</v>
      </c>
      <c r="J610" s="69">
        <f>J611+J617</f>
        <v>0</v>
      </c>
      <c r="K610" s="84">
        <f t="shared" si="128"/>
        <v>6286.2</v>
      </c>
      <c r="L610" s="13">
        <f>L611+L617</f>
        <v>0</v>
      </c>
      <c r="M610" s="84">
        <f t="shared" si="137"/>
        <v>6286.2</v>
      </c>
      <c r="N610" s="13">
        <f>N611+N617</f>
        <v>0</v>
      </c>
      <c r="O610" s="84">
        <f t="shared" si="138"/>
        <v>6286.2</v>
      </c>
      <c r="P610" s="13">
        <f>P611+P617</f>
        <v>0</v>
      </c>
      <c r="Q610" s="84">
        <f t="shared" si="136"/>
        <v>6286.2</v>
      </c>
      <c r="R610" s="13">
        <f>R611+R617</f>
        <v>2264</v>
      </c>
      <c r="S610" s="84">
        <f t="shared" si="135"/>
        <v>8550.2000000000007</v>
      </c>
      <c r="T610" s="13">
        <f>T611+T617</f>
        <v>0</v>
      </c>
      <c r="U610" s="84">
        <f t="shared" si="141"/>
        <v>8550.2000000000007</v>
      </c>
    </row>
    <row r="611" spans="1:22" ht="33">
      <c r="A611" s="61" t="str">
        <f ca="1">IF(ISERROR(MATCH(E611,Код_КЦСР,0)),"",INDIRECT(ADDRESS(MATCH(E611,Код_КЦСР,0)+1,2,,,"КЦСР")))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611" s="126">
        <v>805</v>
      </c>
      <c r="C611" s="8" t="s">
        <v>193</v>
      </c>
      <c r="D611" s="8" t="s">
        <v>211</v>
      </c>
      <c r="E611" s="126" t="s">
        <v>289</v>
      </c>
      <c r="F611" s="126"/>
      <c r="G611" s="69">
        <f t="shared" ref="G611:T614" si="142">G612</f>
        <v>130.19999999999999</v>
      </c>
      <c r="H611" s="69">
        <f t="shared" si="142"/>
        <v>0</v>
      </c>
      <c r="I611" s="69">
        <f t="shared" si="130"/>
        <v>130.19999999999999</v>
      </c>
      <c r="J611" s="69">
        <f t="shared" si="142"/>
        <v>0</v>
      </c>
      <c r="K611" s="84">
        <f t="shared" si="128"/>
        <v>130.19999999999999</v>
      </c>
      <c r="L611" s="13">
        <f t="shared" si="142"/>
        <v>0</v>
      </c>
      <c r="M611" s="84">
        <f t="shared" si="137"/>
        <v>130.19999999999999</v>
      </c>
      <c r="N611" s="13">
        <f t="shared" si="142"/>
        <v>0</v>
      </c>
      <c r="O611" s="84">
        <f t="shared" si="138"/>
        <v>130.19999999999999</v>
      </c>
      <c r="P611" s="13">
        <f t="shared" si="142"/>
        <v>0</v>
      </c>
      <c r="Q611" s="84">
        <f t="shared" si="136"/>
        <v>130.19999999999999</v>
      </c>
      <c r="R611" s="13">
        <f t="shared" si="142"/>
        <v>0</v>
      </c>
      <c r="S611" s="84">
        <f t="shared" si="135"/>
        <v>130.19999999999999</v>
      </c>
      <c r="T611" s="13">
        <f t="shared" si="142"/>
        <v>0</v>
      </c>
      <c r="U611" s="84">
        <f t="shared" si="141"/>
        <v>130.19999999999999</v>
      </c>
    </row>
    <row r="612" spans="1:22" ht="49.5">
      <c r="A612" s="61" t="str">
        <f ca="1">IF(ISERROR(MATCH(E612,Код_КЦСР,0)),"",INDIRECT(ADDRESS(MATCH(E612,Код_КЦСР,0)+1,2,,,"КЦСР")))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612" s="126">
        <v>805</v>
      </c>
      <c r="C612" s="8" t="s">
        <v>193</v>
      </c>
      <c r="D612" s="8" t="s">
        <v>211</v>
      </c>
      <c r="E612" s="126" t="s">
        <v>291</v>
      </c>
      <c r="F612" s="126"/>
      <c r="G612" s="69">
        <f t="shared" si="142"/>
        <v>130.19999999999999</v>
      </c>
      <c r="H612" s="69">
        <f t="shared" si="142"/>
        <v>0</v>
      </c>
      <c r="I612" s="69">
        <f t="shared" si="130"/>
        <v>130.19999999999999</v>
      </c>
      <c r="J612" s="69">
        <f t="shared" si="142"/>
        <v>0</v>
      </c>
      <c r="K612" s="84">
        <f t="shared" si="128"/>
        <v>130.19999999999999</v>
      </c>
      <c r="L612" s="13">
        <f t="shared" si="142"/>
        <v>0</v>
      </c>
      <c r="M612" s="84">
        <f t="shared" si="137"/>
        <v>130.19999999999999</v>
      </c>
      <c r="N612" s="13">
        <f t="shared" si="142"/>
        <v>0</v>
      </c>
      <c r="O612" s="84">
        <f t="shared" si="138"/>
        <v>130.19999999999999</v>
      </c>
      <c r="P612" s="13">
        <f t="shared" si="142"/>
        <v>0</v>
      </c>
      <c r="Q612" s="84">
        <f t="shared" si="136"/>
        <v>130.19999999999999</v>
      </c>
      <c r="R612" s="13">
        <f t="shared" si="142"/>
        <v>0</v>
      </c>
      <c r="S612" s="84">
        <f t="shared" si="135"/>
        <v>130.19999999999999</v>
      </c>
      <c r="T612" s="13">
        <f t="shared" si="142"/>
        <v>0</v>
      </c>
      <c r="U612" s="84">
        <f t="shared" si="141"/>
        <v>130.19999999999999</v>
      </c>
    </row>
    <row r="613" spans="1:22">
      <c r="A613" s="61" t="str">
        <f ca="1">IF(ISERROR(MATCH(F613,Код_КВР,0)),"",INDIRECT(ADDRESS(MATCH(F613,Код_КВР,0)+1,2,,,"КВР")))</f>
        <v>Социальное обеспечение и иные выплаты населению</v>
      </c>
      <c r="B613" s="126">
        <v>805</v>
      </c>
      <c r="C613" s="8" t="s">
        <v>193</v>
      </c>
      <c r="D613" s="8" t="s">
        <v>211</v>
      </c>
      <c r="E613" s="126" t="s">
        <v>291</v>
      </c>
      <c r="F613" s="126">
        <v>300</v>
      </c>
      <c r="G613" s="69">
        <f t="shared" si="142"/>
        <v>130.19999999999999</v>
      </c>
      <c r="H613" s="69">
        <f t="shared" si="142"/>
        <v>0</v>
      </c>
      <c r="I613" s="69">
        <f t="shared" si="130"/>
        <v>130.19999999999999</v>
      </c>
      <c r="J613" s="69">
        <f t="shared" si="142"/>
        <v>0</v>
      </c>
      <c r="K613" s="84">
        <f t="shared" si="128"/>
        <v>130.19999999999999</v>
      </c>
      <c r="L613" s="13">
        <f t="shared" si="142"/>
        <v>0</v>
      </c>
      <c r="M613" s="84">
        <f t="shared" si="137"/>
        <v>130.19999999999999</v>
      </c>
      <c r="N613" s="13">
        <f t="shared" si="142"/>
        <v>0</v>
      </c>
      <c r="O613" s="84">
        <f t="shared" si="138"/>
        <v>130.19999999999999</v>
      </c>
      <c r="P613" s="13">
        <f t="shared" si="142"/>
        <v>0</v>
      </c>
      <c r="Q613" s="84">
        <f t="shared" si="136"/>
        <v>130.19999999999999</v>
      </c>
      <c r="R613" s="13">
        <f t="shared" si="142"/>
        <v>0</v>
      </c>
      <c r="S613" s="84">
        <f t="shared" si="135"/>
        <v>130.19999999999999</v>
      </c>
      <c r="T613" s="13">
        <f>T614+T616</f>
        <v>0</v>
      </c>
      <c r="U613" s="84">
        <f t="shared" si="141"/>
        <v>130.19999999999999</v>
      </c>
    </row>
    <row r="614" spans="1:22" hidden="1">
      <c r="A614" s="61" t="str">
        <f ca="1">IF(ISERROR(MATCH(F614,Код_КВР,0)),"",INDIRECT(ADDRESS(MATCH(F614,Код_КВР,0)+1,2,,,"КВР")))</f>
        <v>Публичные нормативные социальные выплаты гражданам</v>
      </c>
      <c r="B614" s="126">
        <v>805</v>
      </c>
      <c r="C614" s="8" t="s">
        <v>193</v>
      </c>
      <c r="D614" s="8" t="s">
        <v>211</v>
      </c>
      <c r="E614" s="126" t="s">
        <v>291</v>
      </c>
      <c r="F614" s="126">
        <v>310</v>
      </c>
      <c r="G614" s="69">
        <f t="shared" si="142"/>
        <v>130.19999999999999</v>
      </c>
      <c r="H614" s="69">
        <f t="shared" si="142"/>
        <v>0</v>
      </c>
      <c r="I614" s="69">
        <f t="shared" si="130"/>
        <v>130.19999999999999</v>
      </c>
      <c r="J614" s="69">
        <f t="shared" si="142"/>
        <v>0</v>
      </c>
      <c r="K614" s="84">
        <f t="shared" si="128"/>
        <v>130.19999999999999</v>
      </c>
      <c r="L614" s="13">
        <f t="shared" si="142"/>
        <v>0</v>
      </c>
      <c r="M614" s="84">
        <f t="shared" si="137"/>
        <v>130.19999999999999</v>
      </c>
      <c r="N614" s="13">
        <f t="shared" si="142"/>
        <v>0</v>
      </c>
      <c r="O614" s="84">
        <f t="shared" si="138"/>
        <v>130.19999999999999</v>
      </c>
      <c r="P614" s="13">
        <f t="shared" si="142"/>
        <v>0</v>
      </c>
      <c r="Q614" s="84">
        <f t="shared" si="136"/>
        <v>130.19999999999999</v>
      </c>
      <c r="R614" s="13">
        <f t="shared" si="142"/>
        <v>0</v>
      </c>
      <c r="S614" s="84">
        <f t="shared" si="135"/>
        <v>130.19999999999999</v>
      </c>
      <c r="T614" s="13">
        <f t="shared" si="142"/>
        <v>-130.19999999999999</v>
      </c>
      <c r="U614" s="84">
        <f t="shared" si="141"/>
        <v>0</v>
      </c>
      <c r="V614" s="142" t="s">
        <v>706</v>
      </c>
    </row>
    <row r="615" spans="1:22" ht="33" hidden="1">
      <c r="A615" s="61" t="str">
        <f ca="1">IF(ISERROR(MATCH(F615,Код_КВР,0)),"",INDIRECT(ADDRESS(MATCH(F615,Код_КВР,0)+1,2,,,"КВР")))</f>
        <v>Пособия, компенсации, меры социальной поддержки по публичным нормативным обязательствам</v>
      </c>
      <c r="B615" s="126">
        <v>805</v>
      </c>
      <c r="C615" s="8" t="s">
        <v>193</v>
      </c>
      <c r="D615" s="8" t="s">
        <v>211</v>
      </c>
      <c r="E615" s="126" t="s">
        <v>291</v>
      </c>
      <c r="F615" s="126">
        <v>313</v>
      </c>
      <c r="G615" s="69">
        <v>130.19999999999999</v>
      </c>
      <c r="H615" s="64"/>
      <c r="I615" s="69">
        <f t="shared" si="130"/>
        <v>130.19999999999999</v>
      </c>
      <c r="J615" s="64"/>
      <c r="K615" s="84">
        <f t="shared" si="128"/>
        <v>130.19999999999999</v>
      </c>
      <c r="L615" s="84"/>
      <c r="M615" s="84">
        <f t="shared" si="137"/>
        <v>130.19999999999999</v>
      </c>
      <c r="N615" s="84"/>
      <c r="O615" s="84">
        <f t="shared" si="138"/>
        <v>130.19999999999999</v>
      </c>
      <c r="P615" s="84"/>
      <c r="Q615" s="84">
        <f t="shared" si="136"/>
        <v>130.19999999999999</v>
      </c>
      <c r="R615" s="84"/>
      <c r="S615" s="84">
        <f t="shared" si="135"/>
        <v>130.19999999999999</v>
      </c>
      <c r="T615" s="84">
        <f>-100-30.2</f>
        <v>-130.19999999999999</v>
      </c>
      <c r="U615" s="84">
        <f t="shared" si="141"/>
        <v>0</v>
      </c>
      <c r="V615" s="142" t="s">
        <v>706</v>
      </c>
    </row>
    <row r="616" spans="1:22">
      <c r="A616" s="61" t="str">
        <f ca="1">IF(ISERROR(MATCH(F616,Код_КВР,0)),"",INDIRECT(ADDRESS(MATCH(F616,Код_КВР,0)+1,2,,,"КВР")))</f>
        <v>Публичные нормативные выплаты гражданам несоциального характера</v>
      </c>
      <c r="B616" s="126">
        <v>805</v>
      </c>
      <c r="C616" s="8" t="s">
        <v>193</v>
      </c>
      <c r="D616" s="8" t="s">
        <v>211</v>
      </c>
      <c r="E616" s="126" t="s">
        <v>291</v>
      </c>
      <c r="F616" s="126">
        <v>330</v>
      </c>
      <c r="G616" s="69"/>
      <c r="H616" s="64"/>
      <c r="I616" s="69"/>
      <c r="J616" s="64"/>
      <c r="K616" s="84"/>
      <c r="L616" s="84"/>
      <c r="M616" s="84"/>
      <c r="N616" s="84"/>
      <c r="O616" s="84"/>
      <c r="P616" s="84"/>
      <c r="Q616" s="84"/>
      <c r="R616" s="84"/>
      <c r="S616" s="84"/>
      <c r="T616" s="84">
        <v>130.19999999999999</v>
      </c>
      <c r="U616" s="84">
        <f t="shared" si="141"/>
        <v>130.19999999999999</v>
      </c>
    </row>
    <row r="617" spans="1:22" ht="33">
      <c r="A617" s="61" t="str">
        <f ca="1">IF(ISERROR(MATCH(E617,Код_КЦСР,0)),"",INDIRECT(ADDRESS(MATCH(E617,Код_КЦСР,0)+1,2,,,"КЦСР")))</f>
        <v xml:space="preserve">Осуществление денежных выплат работникам муниципальных образовательных учреждений     </v>
      </c>
      <c r="B617" s="126">
        <v>805</v>
      </c>
      <c r="C617" s="8" t="s">
        <v>193</v>
      </c>
      <c r="D617" s="8" t="s">
        <v>211</v>
      </c>
      <c r="E617" s="126" t="s">
        <v>292</v>
      </c>
      <c r="F617" s="126"/>
      <c r="G617" s="69">
        <f t="shared" ref="G617:T620" si="143">G618</f>
        <v>6156</v>
      </c>
      <c r="H617" s="69">
        <f t="shared" si="143"/>
        <v>0</v>
      </c>
      <c r="I617" s="69">
        <f t="shared" si="130"/>
        <v>6156</v>
      </c>
      <c r="J617" s="69">
        <f t="shared" si="143"/>
        <v>0</v>
      </c>
      <c r="K617" s="84">
        <f t="shared" si="128"/>
        <v>6156</v>
      </c>
      <c r="L617" s="13">
        <f t="shared" si="143"/>
        <v>0</v>
      </c>
      <c r="M617" s="84">
        <f t="shared" si="137"/>
        <v>6156</v>
      </c>
      <c r="N617" s="13">
        <f t="shared" si="143"/>
        <v>0</v>
      </c>
      <c r="O617" s="84">
        <f t="shared" si="138"/>
        <v>6156</v>
      </c>
      <c r="P617" s="13">
        <f t="shared" si="143"/>
        <v>0</v>
      </c>
      <c r="Q617" s="84">
        <f t="shared" si="136"/>
        <v>6156</v>
      </c>
      <c r="R617" s="13">
        <f t="shared" si="143"/>
        <v>2264</v>
      </c>
      <c r="S617" s="84">
        <f t="shared" si="135"/>
        <v>8420</v>
      </c>
      <c r="T617" s="13">
        <f t="shared" si="143"/>
        <v>0</v>
      </c>
      <c r="U617" s="84">
        <f t="shared" si="141"/>
        <v>8420</v>
      </c>
    </row>
    <row r="618" spans="1:22" ht="82.5">
      <c r="A618" s="61" t="str">
        <f ca="1">IF(ISERROR(MATCH(E618,Код_КЦСР,0)),"",INDIRECT(ADDRESS(MATCH(E618,Код_КЦСР,0)+1,2,,,"КЦСР")))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v>
      </c>
      <c r="B618" s="126">
        <v>805</v>
      </c>
      <c r="C618" s="8" t="s">
        <v>193</v>
      </c>
      <c r="D618" s="8" t="s">
        <v>211</v>
      </c>
      <c r="E618" s="126" t="s">
        <v>294</v>
      </c>
      <c r="F618" s="126"/>
      <c r="G618" s="69">
        <f t="shared" si="143"/>
        <v>6156</v>
      </c>
      <c r="H618" s="69">
        <f t="shared" si="143"/>
        <v>0</v>
      </c>
      <c r="I618" s="69">
        <f t="shared" si="130"/>
        <v>6156</v>
      </c>
      <c r="J618" s="69">
        <f t="shared" si="143"/>
        <v>0</v>
      </c>
      <c r="K618" s="84">
        <f t="shared" si="128"/>
        <v>6156</v>
      </c>
      <c r="L618" s="13">
        <f t="shared" si="143"/>
        <v>0</v>
      </c>
      <c r="M618" s="84">
        <f t="shared" si="137"/>
        <v>6156</v>
      </c>
      <c r="N618" s="13">
        <f t="shared" si="143"/>
        <v>0</v>
      </c>
      <c r="O618" s="84">
        <f t="shared" si="138"/>
        <v>6156</v>
      </c>
      <c r="P618" s="13">
        <f t="shared" si="143"/>
        <v>0</v>
      </c>
      <c r="Q618" s="84">
        <f t="shared" si="136"/>
        <v>6156</v>
      </c>
      <c r="R618" s="13">
        <f t="shared" si="143"/>
        <v>2264</v>
      </c>
      <c r="S618" s="84">
        <f t="shared" si="135"/>
        <v>8420</v>
      </c>
      <c r="T618" s="13">
        <f t="shared" si="143"/>
        <v>0</v>
      </c>
      <c r="U618" s="84">
        <f t="shared" si="141"/>
        <v>8420</v>
      </c>
    </row>
    <row r="619" spans="1:22">
      <c r="A619" s="61" t="str">
        <f ca="1">IF(ISERROR(MATCH(F619,Код_КВР,0)),"",INDIRECT(ADDRESS(MATCH(F619,Код_КВР,0)+1,2,,,"КВР")))</f>
        <v>Социальное обеспечение и иные выплаты населению</v>
      </c>
      <c r="B619" s="126">
        <v>805</v>
      </c>
      <c r="C619" s="8" t="s">
        <v>193</v>
      </c>
      <c r="D619" s="8" t="s">
        <v>211</v>
      </c>
      <c r="E619" s="126" t="s">
        <v>294</v>
      </c>
      <c r="F619" s="126">
        <v>300</v>
      </c>
      <c r="G619" s="69">
        <f t="shared" si="143"/>
        <v>6156</v>
      </c>
      <c r="H619" s="69">
        <f t="shared" si="143"/>
        <v>0</v>
      </c>
      <c r="I619" s="69">
        <f t="shared" si="130"/>
        <v>6156</v>
      </c>
      <c r="J619" s="69">
        <f t="shared" si="143"/>
        <v>0</v>
      </c>
      <c r="K619" s="84">
        <f t="shared" si="128"/>
        <v>6156</v>
      </c>
      <c r="L619" s="13">
        <f t="shared" si="143"/>
        <v>0</v>
      </c>
      <c r="M619" s="84">
        <f t="shared" si="137"/>
        <v>6156</v>
      </c>
      <c r="N619" s="13">
        <f t="shared" si="143"/>
        <v>0</v>
      </c>
      <c r="O619" s="84">
        <f t="shared" si="138"/>
        <v>6156</v>
      </c>
      <c r="P619" s="13">
        <f t="shared" si="143"/>
        <v>0</v>
      </c>
      <c r="Q619" s="84">
        <f t="shared" si="136"/>
        <v>6156</v>
      </c>
      <c r="R619" s="13">
        <f t="shared" si="143"/>
        <v>2264</v>
      </c>
      <c r="S619" s="84">
        <f t="shared" si="135"/>
        <v>8420</v>
      </c>
      <c r="T619" s="13">
        <f t="shared" si="143"/>
        <v>0</v>
      </c>
      <c r="U619" s="84">
        <f t="shared" si="141"/>
        <v>8420</v>
      </c>
    </row>
    <row r="620" spans="1:22">
      <c r="A620" s="61" t="str">
        <f ca="1">IF(ISERROR(MATCH(F620,Код_КВР,0)),"",INDIRECT(ADDRESS(MATCH(F620,Код_КВР,0)+1,2,,,"КВР")))</f>
        <v>Публичные нормативные социальные выплаты гражданам</v>
      </c>
      <c r="B620" s="126">
        <v>805</v>
      </c>
      <c r="C620" s="8" t="s">
        <v>193</v>
      </c>
      <c r="D620" s="8" t="s">
        <v>211</v>
      </c>
      <c r="E620" s="126" t="s">
        <v>294</v>
      </c>
      <c r="F620" s="126">
        <v>310</v>
      </c>
      <c r="G620" s="69">
        <f t="shared" si="143"/>
        <v>6156</v>
      </c>
      <c r="H620" s="69">
        <f t="shared" si="143"/>
        <v>0</v>
      </c>
      <c r="I620" s="69">
        <f t="shared" si="130"/>
        <v>6156</v>
      </c>
      <c r="J620" s="69">
        <f t="shared" si="143"/>
        <v>0</v>
      </c>
      <c r="K620" s="84">
        <f t="shared" si="128"/>
        <v>6156</v>
      </c>
      <c r="L620" s="13">
        <f t="shared" si="143"/>
        <v>0</v>
      </c>
      <c r="M620" s="84">
        <f t="shared" si="137"/>
        <v>6156</v>
      </c>
      <c r="N620" s="13">
        <f t="shared" si="143"/>
        <v>0</v>
      </c>
      <c r="O620" s="84">
        <f t="shared" si="138"/>
        <v>6156</v>
      </c>
      <c r="P620" s="13">
        <f t="shared" si="143"/>
        <v>0</v>
      </c>
      <c r="Q620" s="84">
        <f t="shared" si="136"/>
        <v>6156</v>
      </c>
      <c r="R620" s="13">
        <f t="shared" si="143"/>
        <v>2264</v>
      </c>
      <c r="S620" s="84">
        <f t="shared" si="135"/>
        <v>8420</v>
      </c>
      <c r="T620" s="13">
        <f t="shared" si="143"/>
        <v>0</v>
      </c>
      <c r="U620" s="84">
        <f t="shared" si="141"/>
        <v>8420</v>
      </c>
    </row>
    <row r="621" spans="1:22" ht="33">
      <c r="A621" s="61" t="str">
        <f ca="1">IF(ISERROR(MATCH(F621,Код_КВР,0)),"",INDIRECT(ADDRESS(MATCH(F621,Код_КВР,0)+1,2,,,"КВР")))</f>
        <v>Пособия, компенсации, меры социальной поддержки по публичным нормативным обязательствам</v>
      </c>
      <c r="B621" s="126">
        <v>805</v>
      </c>
      <c r="C621" s="8" t="s">
        <v>193</v>
      </c>
      <c r="D621" s="8" t="s">
        <v>211</v>
      </c>
      <c r="E621" s="126" t="s">
        <v>294</v>
      </c>
      <c r="F621" s="126">
        <v>313</v>
      </c>
      <c r="G621" s="69">
        <v>6156</v>
      </c>
      <c r="H621" s="64"/>
      <c r="I621" s="69">
        <f t="shared" si="130"/>
        <v>6156</v>
      </c>
      <c r="J621" s="64"/>
      <c r="K621" s="84">
        <f t="shared" si="128"/>
        <v>6156</v>
      </c>
      <c r="L621" s="84"/>
      <c r="M621" s="84">
        <f t="shared" si="137"/>
        <v>6156</v>
      </c>
      <c r="N621" s="84"/>
      <c r="O621" s="84">
        <f t="shared" si="138"/>
        <v>6156</v>
      </c>
      <c r="P621" s="84"/>
      <c r="Q621" s="84">
        <f t="shared" si="136"/>
        <v>6156</v>
      </c>
      <c r="R621" s="84">
        <v>2264</v>
      </c>
      <c r="S621" s="84">
        <f t="shared" si="135"/>
        <v>8420</v>
      </c>
      <c r="T621" s="84"/>
      <c r="U621" s="84">
        <f t="shared" si="141"/>
        <v>8420</v>
      </c>
    </row>
    <row r="622" spans="1:22" ht="33">
      <c r="A622" s="61" t="str">
        <f ca="1">IF(ISERROR(MATCH(E622,Код_КЦСР,0)),"",INDIRECT(ADDRESS(MATCH(E622,Код_КЦСР,0)+1,2,,,"КЦСР")))</f>
        <v>Непрограммные направления деятельности органов местного самоуправления</v>
      </c>
      <c r="B622" s="126">
        <v>805</v>
      </c>
      <c r="C622" s="8" t="s">
        <v>193</v>
      </c>
      <c r="D622" s="8" t="s">
        <v>211</v>
      </c>
      <c r="E622" s="126" t="s">
        <v>295</v>
      </c>
      <c r="F622" s="126"/>
      <c r="G622" s="69"/>
      <c r="H622" s="64"/>
      <c r="I622" s="69"/>
      <c r="J622" s="64">
        <f>J623</f>
        <v>44229.299999999996</v>
      </c>
      <c r="K622" s="84">
        <f t="shared" si="128"/>
        <v>44229.299999999996</v>
      </c>
      <c r="L622" s="84">
        <f>L623</f>
        <v>0</v>
      </c>
      <c r="M622" s="84">
        <f t="shared" si="137"/>
        <v>44229.299999999996</v>
      </c>
      <c r="N622" s="84">
        <f>N623</f>
        <v>0</v>
      </c>
      <c r="O622" s="84">
        <f t="shared" si="138"/>
        <v>44229.299999999996</v>
      </c>
      <c r="P622" s="84">
        <f>P623</f>
        <v>0</v>
      </c>
      <c r="Q622" s="84">
        <f t="shared" si="136"/>
        <v>44229.299999999996</v>
      </c>
      <c r="R622" s="84">
        <f>R623</f>
        <v>0</v>
      </c>
      <c r="S622" s="84">
        <f t="shared" si="135"/>
        <v>44229.299999999996</v>
      </c>
      <c r="T622" s="84">
        <f>T623</f>
        <v>0</v>
      </c>
      <c r="U622" s="84">
        <f t="shared" si="141"/>
        <v>44229.299999999996</v>
      </c>
    </row>
    <row r="623" spans="1:22">
      <c r="A623" s="61" t="str">
        <f ca="1">IF(ISERROR(MATCH(E623,Код_КЦСР,0)),"",INDIRECT(ADDRESS(MATCH(E623,Код_КЦСР,0)+1,2,,,"КЦСР")))</f>
        <v>Расходы, не включенные в муниципальные программы города Череповца</v>
      </c>
      <c r="B623" s="126">
        <v>805</v>
      </c>
      <c r="C623" s="8" t="s">
        <v>193</v>
      </c>
      <c r="D623" s="8" t="s">
        <v>211</v>
      </c>
      <c r="E623" s="126" t="s">
        <v>297</v>
      </c>
      <c r="F623" s="126"/>
      <c r="G623" s="69"/>
      <c r="H623" s="64"/>
      <c r="I623" s="69"/>
      <c r="J623" s="64">
        <f>J624</f>
        <v>44229.299999999996</v>
      </c>
      <c r="K623" s="84">
        <f t="shared" si="128"/>
        <v>44229.299999999996</v>
      </c>
      <c r="L623" s="84">
        <f>L624</f>
        <v>0</v>
      </c>
      <c r="M623" s="84">
        <f t="shared" si="137"/>
        <v>44229.299999999996</v>
      </c>
      <c r="N623" s="84">
        <f>N624</f>
        <v>0</v>
      </c>
      <c r="O623" s="84">
        <f t="shared" si="138"/>
        <v>44229.299999999996</v>
      </c>
      <c r="P623" s="84">
        <f>P624</f>
        <v>0</v>
      </c>
      <c r="Q623" s="84">
        <f t="shared" si="136"/>
        <v>44229.299999999996</v>
      </c>
      <c r="R623" s="84">
        <f>R624</f>
        <v>0</v>
      </c>
      <c r="S623" s="84">
        <f t="shared" si="135"/>
        <v>44229.299999999996</v>
      </c>
      <c r="T623" s="84">
        <f>T624</f>
        <v>0</v>
      </c>
      <c r="U623" s="84">
        <f t="shared" si="141"/>
        <v>44229.299999999996</v>
      </c>
    </row>
    <row r="624" spans="1:22">
      <c r="A624" s="61" t="str">
        <f ca="1">IF(ISERROR(MATCH(E624,Код_КЦСР,0)),"",INDIRECT(ADDRESS(MATCH(E624,Код_КЦСР,0)+1,2,,,"КЦСР")))</f>
        <v>Кредиторская задолженность, сложившаяся по итогам 2013 года</v>
      </c>
      <c r="B624" s="126">
        <v>805</v>
      </c>
      <c r="C624" s="8" t="s">
        <v>193</v>
      </c>
      <c r="D624" s="8" t="s">
        <v>211</v>
      </c>
      <c r="E624" s="126" t="s">
        <v>367</v>
      </c>
      <c r="F624" s="126"/>
      <c r="G624" s="69"/>
      <c r="H624" s="64"/>
      <c r="I624" s="69"/>
      <c r="J624" s="64">
        <f>J625</f>
        <v>44229.299999999996</v>
      </c>
      <c r="K624" s="84">
        <f t="shared" si="128"/>
        <v>44229.299999999996</v>
      </c>
      <c r="L624" s="84">
        <f>L625</f>
        <v>0</v>
      </c>
      <c r="M624" s="84">
        <f t="shared" si="137"/>
        <v>44229.299999999996</v>
      </c>
      <c r="N624" s="84">
        <f>N625</f>
        <v>0</v>
      </c>
      <c r="O624" s="84">
        <f t="shared" si="138"/>
        <v>44229.299999999996</v>
      </c>
      <c r="P624" s="84">
        <f>P625</f>
        <v>0</v>
      </c>
      <c r="Q624" s="84">
        <f t="shared" si="136"/>
        <v>44229.299999999996</v>
      </c>
      <c r="R624" s="84">
        <f>R625</f>
        <v>0</v>
      </c>
      <c r="S624" s="84">
        <f t="shared" si="135"/>
        <v>44229.299999999996</v>
      </c>
      <c r="T624" s="84">
        <f>T625</f>
        <v>0</v>
      </c>
      <c r="U624" s="84">
        <f t="shared" si="141"/>
        <v>44229.299999999996</v>
      </c>
    </row>
    <row r="625" spans="1:21" ht="33">
      <c r="A625" s="61" t="str">
        <f ca="1">IF(ISERROR(MATCH(F625,Код_КВР,0)),"",INDIRECT(ADDRESS(MATCH(F625,Код_КВР,0)+1,2,,,"КВР")))</f>
        <v>Предоставление субсидий бюджетным, автономным учреждениям и иным некоммерческим организациям</v>
      </c>
      <c r="B625" s="126">
        <v>805</v>
      </c>
      <c r="C625" s="8" t="s">
        <v>193</v>
      </c>
      <c r="D625" s="8" t="s">
        <v>211</v>
      </c>
      <c r="E625" s="126" t="s">
        <v>367</v>
      </c>
      <c r="F625" s="126">
        <v>600</v>
      </c>
      <c r="G625" s="69"/>
      <c r="H625" s="64"/>
      <c r="I625" s="69"/>
      <c r="J625" s="64">
        <f>J626+J628</f>
        <v>44229.299999999996</v>
      </c>
      <c r="K625" s="84">
        <f t="shared" si="128"/>
        <v>44229.299999999996</v>
      </c>
      <c r="L625" s="84">
        <f>L626+L628</f>
        <v>0</v>
      </c>
      <c r="M625" s="84">
        <f t="shared" si="137"/>
        <v>44229.299999999996</v>
      </c>
      <c r="N625" s="84">
        <f>N626+N628</f>
        <v>0</v>
      </c>
      <c r="O625" s="84">
        <f t="shared" si="138"/>
        <v>44229.299999999996</v>
      </c>
      <c r="P625" s="84">
        <f>P626+P628</f>
        <v>0</v>
      </c>
      <c r="Q625" s="84">
        <f t="shared" si="136"/>
        <v>44229.299999999996</v>
      </c>
      <c r="R625" s="84">
        <f>R626+R628</f>
        <v>0</v>
      </c>
      <c r="S625" s="84">
        <f t="shared" si="135"/>
        <v>44229.299999999996</v>
      </c>
      <c r="T625" s="84">
        <f>T626+T628</f>
        <v>0</v>
      </c>
      <c r="U625" s="84">
        <f t="shared" si="141"/>
        <v>44229.299999999996</v>
      </c>
    </row>
    <row r="626" spans="1:21">
      <c r="A626" s="61" t="str">
        <f ca="1">IF(ISERROR(MATCH(F626,Код_КВР,0)),"",INDIRECT(ADDRESS(MATCH(F626,Код_КВР,0)+1,2,,,"КВР")))</f>
        <v>Субсидии бюджетным учреждениям</v>
      </c>
      <c r="B626" s="126">
        <v>805</v>
      </c>
      <c r="C626" s="8" t="s">
        <v>193</v>
      </c>
      <c r="D626" s="8" t="s">
        <v>211</v>
      </c>
      <c r="E626" s="126" t="s">
        <v>367</v>
      </c>
      <c r="F626" s="126">
        <v>610</v>
      </c>
      <c r="G626" s="69"/>
      <c r="H626" s="64"/>
      <c r="I626" s="69"/>
      <c r="J626" s="64">
        <f>J627</f>
        <v>42345.1</v>
      </c>
      <c r="K626" s="84">
        <f t="shared" si="128"/>
        <v>42345.1</v>
      </c>
      <c r="L626" s="84">
        <f>L627</f>
        <v>0</v>
      </c>
      <c r="M626" s="84">
        <f t="shared" si="137"/>
        <v>42345.1</v>
      </c>
      <c r="N626" s="84">
        <f>N627</f>
        <v>0</v>
      </c>
      <c r="O626" s="84">
        <f t="shared" si="138"/>
        <v>42345.1</v>
      </c>
      <c r="P626" s="84">
        <f>P627</f>
        <v>0</v>
      </c>
      <c r="Q626" s="84">
        <f t="shared" si="136"/>
        <v>42345.1</v>
      </c>
      <c r="R626" s="84">
        <f>R627</f>
        <v>0</v>
      </c>
      <c r="S626" s="84">
        <f t="shared" si="135"/>
        <v>42345.1</v>
      </c>
      <c r="T626" s="84">
        <f>T627</f>
        <v>0</v>
      </c>
      <c r="U626" s="84">
        <f t="shared" si="141"/>
        <v>42345.1</v>
      </c>
    </row>
    <row r="627" spans="1:21">
      <c r="A627" s="61" t="str">
        <f ca="1">IF(ISERROR(MATCH(F627,Код_КВР,0)),"",INDIRECT(ADDRESS(MATCH(F627,Код_КВР,0)+1,2,,,"КВР")))</f>
        <v>Субсидии бюджетным учреждениям на иные цели</v>
      </c>
      <c r="B627" s="126">
        <v>805</v>
      </c>
      <c r="C627" s="8" t="s">
        <v>193</v>
      </c>
      <c r="D627" s="8" t="s">
        <v>211</v>
      </c>
      <c r="E627" s="126" t="s">
        <v>367</v>
      </c>
      <c r="F627" s="126">
        <v>612</v>
      </c>
      <c r="G627" s="69"/>
      <c r="H627" s="64"/>
      <c r="I627" s="69"/>
      <c r="J627" s="64">
        <f>45091.1-2746</f>
        <v>42345.1</v>
      </c>
      <c r="K627" s="84">
        <f t="shared" si="128"/>
        <v>42345.1</v>
      </c>
      <c r="L627" s="84"/>
      <c r="M627" s="84">
        <f t="shared" si="137"/>
        <v>42345.1</v>
      </c>
      <c r="N627" s="84"/>
      <c r="O627" s="84">
        <f t="shared" si="138"/>
        <v>42345.1</v>
      </c>
      <c r="P627" s="84"/>
      <c r="Q627" s="84">
        <f t="shared" si="136"/>
        <v>42345.1</v>
      </c>
      <c r="R627" s="84"/>
      <c r="S627" s="84">
        <f t="shared" si="135"/>
        <v>42345.1</v>
      </c>
      <c r="T627" s="84"/>
      <c r="U627" s="84">
        <f t="shared" si="141"/>
        <v>42345.1</v>
      </c>
    </row>
    <row r="628" spans="1:21">
      <c r="A628" s="61" t="str">
        <f ca="1">IF(ISERROR(MATCH(F628,Код_КВР,0)),"",INDIRECT(ADDRESS(MATCH(F628,Код_КВР,0)+1,2,,,"КВР")))</f>
        <v>Субсидии автономным учреждениям</v>
      </c>
      <c r="B628" s="126">
        <v>805</v>
      </c>
      <c r="C628" s="8" t="s">
        <v>193</v>
      </c>
      <c r="D628" s="8" t="s">
        <v>211</v>
      </c>
      <c r="E628" s="126" t="s">
        <v>367</v>
      </c>
      <c r="F628" s="126">
        <v>620</v>
      </c>
      <c r="G628" s="69"/>
      <c r="H628" s="64"/>
      <c r="I628" s="69"/>
      <c r="J628" s="64">
        <f>J629</f>
        <v>1884.2</v>
      </c>
      <c r="K628" s="84">
        <f t="shared" si="128"/>
        <v>1884.2</v>
      </c>
      <c r="L628" s="84">
        <f>L629</f>
        <v>0</v>
      </c>
      <c r="M628" s="84">
        <f t="shared" si="137"/>
        <v>1884.2</v>
      </c>
      <c r="N628" s="84">
        <f>N629</f>
        <v>0</v>
      </c>
      <c r="O628" s="84">
        <f t="shared" si="138"/>
        <v>1884.2</v>
      </c>
      <c r="P628" s="84">
        <f>P629</f>
        <v>0</v>
      </c>
      <c r="Q628" s="84">
        <f t="shared" si="136"/>
        <v>1884.2</v>
      </c>
      <c r="R628" s="84">
        <f>R629</f>
        <v>0</v>
      </c>
      <c r="S628" s="84">
        <f t="shared" si="135"/>
        <v>1884.2</v>
      </c>
      <c r="T628" s="84">
        <f>T629</f>
        <v>0</v>
      </c>
      <c r="U628" s="84">
        <f t="shared" si="141"/>
        <v>1884.2</v>
      </c>
    </row>
    <row r="629" spans="1:21">
      <c r="A629" s="61" t="str">
        <f ca="1">IF(ISERROR(MATCH(F629,Код_КВР,0)),"",INDIRECT(ADDRESS(MATCH(F629,Код_КВР,0)+1,2,,,"КВР")))</f>
        <v>Субсидии автономным учреждениям на иные цели</v>
      </c>
      <c r="B629" s="126">
        <v>805</v>
      </c>
      <c r="C629" s="8" t="s">
        <v>193</v>
      </c>
      <c r="D629" s="8" t="s">
        <v>211</v>
      </c>
      <c r="E629" s="126" t="s">
        <v>367</v>
      </c>
      <c r="F629" s="126">
        <v>622</v>
      </c>
      <c r="G629" s="69"/>
      <c r="H629" s="64"/>
      <c r="I629" s="69"/>
      <c r="J629" s="64">
        <v>1884.2</v>
      </c>
      <c r="K629" s="84">
        <f t="shared" si="128"/>
        <v>1884.2</v>
      </c>
      <c r="L629" s="84"/>
      <c r="M629" s="84">
        <f t="shared" si="137"/>
        <v>1884.2</v>
      </c>
      <c r="N629" s="84"/>
      <c r="O629" s="84">
        <f t="shared" si="138"/>
        <v>1884.2</v>
      </c>
      <c r="P629" s="84"/>
      <c r="Q629" s="84">
        <f t="shared" si="136"/>
        <v>1884.2</v>
      </c>
      <c r="R629" s="84"/>
      <c r="S629" s="84">
        <f t="shared" si="135"/>
        <v>1884.2</v>
      </c>
      <c r="T629" s="84"/>
      <c r="U629" s="84">
        <f t="shared" si="141"/>
        <v>1884.2</v>
      </c>
    </row>
    <row r="630" spans="1:21">
      <c r="A630" s="12" t="s">
        <v>248</v>
      </c>
      <c r="B630" s="126">
        <v>805</v>
      </c>
      <c r="C630" s="8" t="s">
        <v>193</v>
      </c>
      <c r="D630" s="8" t="s">
        <v>212</v>
      </c>
      <c r="E630" s="126"/>
      <c r="F630" s="126"/>
      <c r="G630" s="69">
        <f>G631</f>
        <v>1549087.7999999998</v>
      </c>
      <c r="H630" s="69">
        <f>H631</f>
        <v>0</v>
      </c>
      <c r="I630" s="69">
        <f t="shared" si="130"/>
        <v>1549087.7999999998</v>
      </c>
      <c r="J630" s="69">
        <f>J631</f>
        <v>-7173</v>
      </c>
      <c r="K630" s="84">
        <f t="shared" si="128"/>
        <v>1541914.7999999998</v>
      </c>
      <c r="L630" s="13">
        <f>L631</f>
        <v>-77</v>
      </c>
      <c r="M630" s="84">
        <f t="shared" si="137"/>
        <v>1541837.7999999998</v>
      </c>
      <c r="N630" s="13">
        <f>N631</f>
        <v>-2877.3</v>
      </c>
      <c r="O630" s="84">
        <f t="shared" si="138"/>
        <v>1538960.4999999998</v>
      </c>
      <c r="P630" s="13">
        <f>P631</f>
        <v>10</v>
      </c>
      <c r="Q630" s="84">
        <f t="shared" si="136"/>
        <v>1538970.4999999998</v>
      </c>
      <c r="R630" s="13">
        <f>R631</f>
        <v>3515.5000000000009</v>
      </c>
      <c r="S630" s="84">
        <f t="shared" si="135"/>
        <v>1542485.9999999998</v>
      </c>
      <c r="T630" s="13">
        <f>T631+T693</f>
        <v>12937.600000000002</v>
      </c>
      <c r="U630" s="84">
        <f t="shared" si="141"/>
        <v>1555423.5999999999</v>
      </c>
    </row>
    <row r="631" spans="1:21">
      <c r="A631" s="61" t="str">
        <f ca="1">IF(ISERROR(MATCH(E631,Код_КЦСР,0)),"",INDIRECT(ADDRESS(MATCH(E631,Код_КЦСР,0)+1,2,,,"КЦСР")))</f>
        <v>Муниципальная программа «Развитие образования» на 2013-2022 годы</v>
      </c>
      <c r="B631" s="126">
        <v>805</v>
      </c>
      <c r="C631" s="8" t="s">
        <v>193</v>
      </c>
      <c r="D631" s="8" t="s">
        <v>212</v>
      </c>
      <c r="E631" s="126" t="s">
        <v>267</v>
      </c>
      <c r="F631" s="126"/>
      <c r="G631" s="69">
        <f>G632+G661+G670+G683</f>
        <v>1549087.7999999998</v>
      </c>
      <c r="H631" s="69">
        <f>H632+H661+H670+H683</f>
        <v>0</v>
      </c>
      <c r="I631" s="69">
        <f t="shared" si="130"/>
        <v>1549087.7999999998</v>
      </c>
      <c r="J631" s="69">
        <f>J632+J661+J670+J683</f>
        <v>-7173</v>
      </c>
      <c r="K631" s="84">
        <f t="shared" si="128"/>
        <v>1541914.7999999998</v>
      </c>
      <c r="L631" s="13">
        <f>L632+L661+L670+L683</f>
        <v>-77</v>
      </c>
      <c r="M631" s="84">
        <f t="shared" si="137"/>
        <v>1541837.7999999998</v>
      </c>
      <c r="N631" s="13">
        <f>N632+N661+N670+N683</f>
        <v>-2877.3</v>
      </c>
      <c r="O631" s="84">
        <f t="shared" si="138"/>
        <v>1538960.4999999998</v>
      </c>
      <c r="P631" s="13">
        <f>P632+P661+P670+P683</f>
        <v>10</v>
      </c>
      <c r="Q631" s="84">
        <f t="shared" si="136"/>
        <v>1538970.4999999998</v>
      </c>
      <c r="R631" s="13">
        <f>R632+R661+R670+R683</f>
        <v>3515.5000000000009</v>
      </c>
      <c r="S631" s="84">
        <f t="shared" si="135"/>
        <v>1542485.9999999998</v>
      </c>
      <c r="T631" s="13">
        <f>T632+T661+T670+T683</f>
        <v>12187.600000000002</v>
      </c>
      <c r="U631" s="84">
        <f t="shared" si="141"/>
        <v>1554673.5999999999</v>
      </c>
    </row>
    <row r="632" spans="1:21">
      <c r="A632" s="61" t="str">
        <f ca="1">IF(ISERROR(MATCH(E632,Код_КЦСР,0)),"",INDIRECT(ADDRESS(MATCH(E632,Код_КЦСР,0)+1,2,,,"КЦСР")))</f>
        <v>Общее образование</v>
      </c>
      <c r="B632" s="126">
        <v>805</v>
      </c>
      <c r="C632" s="8" t="s">
        <v>193</v>
      </c>
      <c r="D632" s="8" t="s">
        <v>212</v>
      </c>
      <c r="E632" s="126" t="s">
        <v>276</v>
      </c>
      <c r="F632" s="126"/>
      <c r="G632" s="69">
        <f>G633+G639+G643+G647+G655</f>
        <v>1341601.8999999999</v>
      </c>
      <c r="H632" s="69">
        <f>H633+H639+H643+H647+H655</f>
        <v>0</v>
      </c>
      <c r="I632" s="69">
        <f>G632+H632</f>
        <v>1341601.8999999999</v>
      </c>
      <c r="J632" s="69">
        <f>J633+J639+J643+J647+J655</f>
        <v>-7173</v>
      </c>
      <c r="K632" s="84">
        <f t="shared" si="128"/>
        <v>1334428.8999999999</v>
      </c>
      <c r="L632" s="13">
        <f>L633+L639+L643+L647+L655</f>
        <v>0</v>
      </c>
      <c r="M632" s="84">
        <f t="shared" si="137"/>
        <v>1334428.8999999999</v>
      </c>
      <c r="N632" s="13">
        <f>N633+N639+N643+N647+N655</f>
        <v>-2877.3</v>
      </c>
      <c r="O632" s="84">
        <f t="shared" si="138"/>
        <v>1331551.5999999999</v>
      </c>
      <c r="P632" s="13">
        <f>P633+P639+P643+P647+P655</f>
        <v>10</v>
      </c>
      <c r="Q632" s="84">
        <f t="shared" si="136"/>
        <v>1331561.5999999999</v>
      </c>
      <c r="R632" s="13">
        <f>R633+R639+R643+R647+R655</f>
        <v>4006.7000000000007</v>
      </c>
      <c r="S632" s="84">
        <f t="shared" si="135"/>
        <v>1335568.2999999998</v>
      </c>
      <c r="T632" s="13">
        <f>T633+T639+T643+T647+T655</f>
        <v>2508.2000000000007</v>
      </c>
      <c r="U632" s="84">
        <f t="shared" si="141"/>
        <v>1338076.4999999998</v>
      </c>
    </row>
    <row r="633" spans="1:21" ht="49.5">
      <c r="A633" s="61" t="str">
        <f ca="1">IF(ISERROR(MATCH(E633,Код_КЦСР,0)),"",INDIRECT(ADDRESS(MATCH(E633,Код_КЦСР,0)+1,2,,,"КЦСР")))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33" s="126">
        <v>805</v>
      </c>
      <c r="C633" s="8" t="s">
        <v>193</v>
      </c>
      <c r="D633" s="8" t="s">
        <v>212</v>
      </c>
      <c r="E633" s="126" t="s">
        <v>277</v>
      </c>
      <c r="F633" s="126"/>
      <c r="G633" s="69">
        <f>G634</f>
        <v>159038.20000000001</v>
      </c>
      <c r="H633" s="69">
        <f>H634</f>
        <v>0</v>
      </c>
      <c r="I633" s="69">
        <f t="shared" si="130"/>
        <v>159038.20000000001</v>
      </c>
      <c r="J633" s="69">
        <f>J634</f>
        <v>0</v>
      </c>
      <c r="K633" s="84">
        <f t="shared" si="128"/>
        <v>159038.20000000001</v>
      </c>
      <c r="L633" s="13">
        <f>L634</f>
        <v>0</v>
      </c>
      <c r="M633" s="84">
        <f t="shared" si="137"/>
        <v>159038.20000000001</v>
      </c>
      <c r="N633" s="13">
        <f>N634</f>
        <v>-2877.3</v>
      </c>
      <c r="O633" s="84">
        <f t="shared" si="138"/>
        <v>156160.90000000002</v>
      </c>
      <c r="P633" s="13">
        <f>P634</f>
        <v>0</v>
      </c>
      <c r="Q633" s="84">
        <f t="shared" si="136"/>
        <v>156160.90000000002</v>
      </c>
      <c r="R633" s="13">
        <f>R634</f>
        <v>0</v>
      </c>
      <c r="S633" s="84">
        <f t="shared" si="135"/>
        <v>156160.90000000002</v>
      </c>
      <c r="T633" s="13">
        <f>T634</f>
        <v>0</v>
      </c>
      <c r="U633" s="84">
        <f t="shared" si="141"/>
        <v>156160.90000000002</v>
      </c>
    </row>
    <row r="634" spans="1:21" ht="33">
      <c r="A634" s="61" t="str">
        <f ca="1">IF(ISERROR(MATCH(F634,Код_КВР,0)),"",INDIRECT(ADDRESS(MATCH(F634,Код_КВР,0)+1,2,,,"КВР")))</f>
        <v>Предоставление субсидий бюджетным, автономным учреждениям и иным некоммерческим организациям</v>
      </c>
      <c r="B634" s="126">
        <v>805</v>
      </c>
      <c r="C634" s="8" t="s">
        <v>193</v>
      </c>
      <c r="D634" s="8" t="s">
        <v>212</v>
      </c>
      <c r="E634" s="126" t="s">
        <v>277</v>
      </c>
      <c r="F634" s="126">
        <v>600</v>
      </c>
      <c r="G634" s="69">
        <f>G635+G637</f>
        <v>159038.20000000001</v>
      </c>
      <c r="H634" s="69">
        <f>H635+H637</f>
        <v>0</v>
      </c>
      <c r="I634" s="69">
        <f t="shared" si="130"/>
        <v>159038.20000000001</v>
      </c>
      <c r="J634" s="69">
        <f>J635+J637</f>
        <v>0</v>
      </c>
      <c r="K634" s="84">
        <f t="shared" ref="K634:K718" si="144">I634+J634</f>
        <v>159038.20000000001</v>
      </c>
      <c r="L634" s="13">
        <f>L635+L637</f>
        <v>0</v>
      </c>
      <c r="M634" s="84">
        <f t="shared" si="137"/>
        <v>159038.20000000001</v>
      </c>
      <c r="N634" s="13">
        <f>N635+N637</f>
        <v>-2877.3</v>
      </c>
      <c r="O634" s="84">
        <f t="shared" si="138"/>
        <v>156160.90000000002</v>
      </c>
      <c r="P634" s="13">
        <f>P635+P637</f>
        <v>0</v>
      </c>
      <c r="Q634" s="84">
        <f t="shared" si="136"/>
        <v>156160.90000000002</v>
      </c>
      <c r="R634" s="13">
        <f>R635+R637</f>
        <v>0</v>
      </c>
      <c r="S634" s="84">
        <f t="shared" si="135"/>
        <v>156160.90000000002</v>
      </c>
      <c r="T634" s="13">
        <f>T635+T637</f>
        <v>0</v>
      </c>
      <c r="U634" s="84">
        <f t="shared" si="141"/>
        <v>156160.90000000002</v>
      </c>
    </row>
    <row r="635" spans="1:21">
      <c r="A635" s="61" t="str">
        <f ca="1">IF(ISERROR(MATCH(F635,Код_КВР,0)),"",INDIRECT(ADDRESS(MATCH(F635,Код_КВР,0)+1,2,,,"КВР")))</f>
        <v>Субсидии бюджетным учреждениям</v>
      </c>
      <c r="B635" s="126">
        <v>805</v>
      </c>
      <c r="C635" s="8" t="s">
        <v>193</v>
      </c>
      <c r="D635" s="8" t="s">
        <v>212</v>
      </c>
      <c r="E635" s="126" t="s">
        <v>277</v>
      </c>
      <c r="F635" s="126">
        <v>610</v>
      </c>
      <c r="G635" s="69">
        <f>G636</f>
        <v>155778.5</v>
      </c>
      <c r="H635" s="69">
        <f>H636</f>
        <v>0</v>
      </c>
      <c r="I635" s="69">
        <f t="shared" si="130"/>
        <v>155778.5</v>
      </c>
      <c r="J635" s="69">
        <f>J636</f>
        <v>0</v>
      </c>
      <c r="K635" s="84">
        <f t="shared" si="144"/>
        <v>155778.5</v>
      </c>
      <c r="L635" s="13">
        <f>L636</f>
        <v>0</v>
      </c>
      <c r="M635" s="84">
        <f t="shared" si="137"/>
        <v>155778.5</v>
      </c>
      <c r="N635" s="13">
        <f>N636</f>
        <v>-2877.3</v>
      </c>
      <c r="O635" s="84">
        <f t="shared" si="138"/>
        <v>152901.20000000001</v>
      </c>
      <c r="P635" s="13">
        <f>P636</f>
        <v>0</v>
      </c>
      <c r="Q635" s="84">
        <f t="shared" si="136"/>
        <v>152901.20000000001</v>
      </c>
      <c r="R635" s="13">
        <f>R636</f>
        <v>0</v>
      </c>
      <c r="S635" s="84">
        <f t="shared" si="135"/>
        <v>152901.20000000001</v>
      </c>
      <c r="T635" s="13">
        <f>T636</f>
        <v>0</v>
      </c>
      <c r="U635" s="84">
        <f t="shared" si="141"/>
        <v>152901.20000000001</v>
      </c>
    </row>
    <row r="636" spans="1:21" ht="49.5">
      <c r="A636" s="61" t="str">
        <f ca="1">IF(ISERROR(MATCH(F636,Код_КВР,0)),"",INDIRECT(ADDRESS(MATCH(F636,Код_КВР,0)+1,2,,,"КВР")))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36" s="126">
        <v>805</v>
      </c>
      <c r="C636" s="8" t="s">
        <v>193</v>
      </c>
      <c r="D636" s="8" t="s">
        <v>212</v>
      </c>
      <c r="E636" s="126" t="s">
        <v>277</v>
      </c>
      <c r="F636" s="126">
        <v>611</v>
      </c>
      <c r="G636" s="69">
        <v>155778.5</v>
      </c>
      <c r="H636" s="64"/>
      <c r="I636" s="69">
        <f t="shared" si="130"/>
        <v>155778.5</v>
      </c>
      <c r="J636" s="64"/>
      <c r="K636" s="84">
        <f t="shared" si="144"/>
        <v>155778.5</v>
      </c>
      <c r="L636" s="84"/>
      <c r="M636" s="84">
        <f t="shared" si="137"/>
        <v>155778.5</v>
      </c>
      <c r="N636" s="84">
        <f>-2500-377.3</f>
        <v>-2877.3</v>
      </c>
      <c r="O636" s="84">
        <f t="shared" si="138"/>
        <v>152901.20000000001</v>
      </c>
      <c r="P636" s="84"/>
      <c r="Q636" s="84">
        <f t="shared" si="136"/>
        <v>152901.20000000001</v>
      </c>
      <c r="R636" s="84"/>
      <c r="S636" s="84">
        <f t="shared" si="135"/>
        <v>152901.20000000001</v>
      </c>
      <c r="T636" s="84"/>
      <c r="U636" s="84">
        <f t="shared" si="141"/>
        <v>152901.20000000001</v>
      </c>
    </row>
    <row r="637" spans="1:21">
      <c r="A637" s="61" t="str">
        <f ca="1">IF(ISERROR(MATCH(F637,Код_КВР,0)),"",INDIRECT(ADDRESS(MATCH(F637,Код_КВР,0)+1,2,,,"КВР")))</f>
        <v>Субсидии автономным учреждениям</v>
      </c>
      <c r="B637" s="126">
        <v>805</v>
      </c>
      <c r="C637" s="8" t="s">
        <v>193</v>
      </c>
      <c r="D637" s="8" t="s">
        <v>212</v>
      </c>
      <c r="E637" s="126" t="s">
        <v>277</v>
      </c>
      <c r="F637" s="126">
        <v>620</v>
      </c>
      <c r="G637" s="69">
        <f>G638</f>
        <v>3259.7</v>
      </c>
      <c r="H637" s="69">
        <f>H638</f>
        <v>0</v>
      </c>
      <c r="I637" s="69">
        <f t="shared" si="130"/>
        <v>3259.7</v>
      </c>
      <c r="J637" s="69">
        <f>J638</f>
        <v>0</v>
      </c>
      <c r="K637" s="84">
        <f t="shared" si="144"/>
        <v>3259.7</v>
      </c>
      <c r="L637" s="13">
        <f>L638</f>
        <v>0</v>
      </c>
      <c r="M637" s="84">
        <f t="shared" si="137"/>
        <v>3259.7</v>
      </c>
      <c r="N637" s="13">
        <f>N638</f>
        <v>0</v>
      </c>
      <c r="O637" s="84">
        <f t="shared" si="138"/>
        <v>3259.7</v>
      </c>
      <c r="P637" s="13">
        <f>P638</f>
        <v>0</v>
      </c>
      <c r="Q637" s="84">
        <f t="shared" si="136"/>
        <v>3259.7</v>
      </c>
      <c r="R637" s="13">
        <f>R638</f>
        <v>0</v>
      </c>
      <c r="S637" s="84">
        <f t="shared" si="135"/>
        <v>3259.7</v>
      </c>
      <c r="T637" s="13">
        <f>T638</f>
        <v>0</v>
      </c>
      <c r="U637" s="84">
        <f t="shared" si="141"/>
        <v>3259.7</v>
      </c>
    </row>
    <row r="638" spans="1:21" ht="49.5">
      <c r="A638" s="61" t="str">
        <f ca="1">IF(ISERROR(MATCH(F638,Код_КВР,0)),"",INDIRECT(ADDRESS(MATCH(F638,Код_КВР,0)+1,2,,,"КВР")))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38" s="126">
        <v>805</v>
      </c>
      <c r="C638" s="8" t="s">
        <v>193</v>
      </c>
      <c r="D638" s="8" t="s">
        <v>212</v>
      </c>
      <c r="E638" s="126" t="s">
        <v>277</v>
      </c>
      <c r="F638" s="126">
        <v>621</v>
      </c>
      <c r="G638" s="69">
        <v>3259.7</v>
      </c>
      <c r="H638" s="64"/>
      <c r="I638" s="69">
        <f t="shared" si="130"/>
        <v>3259.7</v>
      </c>
      <c r="J638" s="64"/>
      <c r="K638" s="84">
        <f t="shared" si="144"/>
        <v>3259.7</v>
      </c>
      <c r="L638" s="84"/>
      <c r="M638" s="84">
        <f t="shared" si="137"/>
        <v>3259.7</v>
      </c>
      <c r="N638" s="84"/>
      <c r="O638" s="84">
        <f t="shared" si="138"/>
        <v>3259.7</v>
      </c>
      <c r="P638" s="84"/>
      <c r="Q638" s="84">
        <f t="shared" si="136"/>
        <v>3259.7</v>
      </c>
      <c r="R638" s="84"/>
      <c r="S638" s="84">
        <f t="shared" ref="S638:S713" si="145">Q638+R638</f>
        <v>3259.7</v>
      </c>
      <c r="T638" s="84"/>
      <c r="U638" s="84">
        <f t="shared" si="141"/>
        <v>3259.7</v>
      </c>
    </row>
    <row r="639" spans="1:21" ht="84.75" customHeight="1">
      <c r="A639" s="61" t="str">
        <f ca="1">IF(ISERROR(MATCH(E639,Код_КЦСР,0)),"",INDIRECT(ADDRESS(MATCH(E639,Код_КЦСР,0)+1,2,,,"КЦСР")))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639" s="126">
        <v>805</v>
      </c>
      <c r="C639" s="8" t="s">
        <v>193</v>
      </c>
      <c r="D639" s="8" t="s">
        <v>212</v>
      </c>
      <c r="E639" s="126" t="s">
        <v>278</v>
      </c>
      <c r="F639" s="126"/>
      <c r="G639" s="69">
        <f t="shared" ref="G639:T641" si="146">G640</f>
        <v>8367.7000000000007</v>
      </c>
      <c r="H639" s="69">
        <f t="shared" si="146"/>
        <v>0</v>
      </c>
      <c r="I639" s="69">
        <f t="shared" si="130"/>
        <v>8367.7000000000007</v>
      </c>
      <c r="J639" s="69">
        <f t="shared" si="146"/>
        <v>0</v>
      </c>
      <c r="K639" s="84">
        <f t="shared" si="144"/>
        <v>8367.7000000000007</v>
      </c>
      <c r="L639" s="13">
        <f t="shared" si="146"/>
        <v>0</v>
      </c>
      <c r="M639" s="84">
        <f t="shared" si="137"/>
        <v>8367.7000000000007</v>
      </c>
      <c r="N639" s="13">
        <f t="shared" si="146"/>
        <v>0</v>
      </c>
      <c r="O639" s="84">
        <f t="shared" si="138"/>
        <v>8367.7000000000007</v>
      </c>
      <c r="P639" s="13">
        <f t="shared" si="146"/>
        <v>0</v>
      </c>
      <c r="Q639" s="84">
        <f t="shared" si="136"/>
        <v>8367.7000000000007</v>
      </c>
      <c r="R639" s="13">
        <f t="shared" si="146"/>
        <v>0</v>
      </c>
      <c r="S639" s="84">
        <f t="shared" si="145"/>
        <v>8367.7000000000007</v>
      </c>
      <c r="T639" s="13">
        <f t="shared" si="146"/>
        <v>-373.2</v>
      </c>
      <c r="U639" s="84">
        <f t="shared" si="141"/>
        <v>7994.5000000000009</v>
      </c>
    </row>
    <row r="640" spans="1:21" ht="33">
      <c r="A640" s="61" t="str">
        <f ca="1">IF(ISERROR(MATCH(F640,Код_КВР,0)),"",INDIRECT(ADDRESS(MATCH(F640,Код_КВР,0)+1,2,,,"КВР")))</f>
        <v>Предоставление субсидий бюджетным, автономным учреждениям и иным некоммерческим организациям</v>
      </c>
      <c r="B640" s="126">
        <v>805</v>
      </c>
      <c r="C640" s="8" t="s">
        <v>193</v>
      </c>
      <c r="D640" s="8" t="s">
        <v>212</v>
      </c>
      <c r="E640" s="126" t="s">
        <v>278</v>
      </c>
      <c r="F640" s="126">
        <v>600</v>
      </c>
      <c r="G640" s="69">
        <f t="shared" si="146"/>
        <v>8367.7000000000007</v>
      </c>
      <c r="H640" s="69">
        <f t="shared" si="146"/>
        <v>0</v>
      </c>
      <c r="I640" s="69">
        <f t="shared" ref="I640:I727" si="147">G640+H640</f>
        <v>8367.7000000000007</v>
      </c>
      <c r="J640" s="69">
        <f t="shared" si="146"/>
        <v>0</v>
      </c>
      <c r="K640" s="84">
        <f t="shared" si="144"/>
        <v>8367.7000000000007</v>
      </c>
      <c r="L640" s="13">
        <f t="shared" si="146"/>
        <v>0</v>
      </c>
      <c r="M640" s="84">
        <f t="shared" si="137"/>
        <v>8367.7000000000007</v>
      </c>
      <c r="N640" s="13">
        <f t="shared" si="146"/>
        <v>0</v>
      </c>
      <c r="O640" s="84">
        <f t="shared" si="138"/>
        <v>8367.7000000000007</v>
      </c>
      <c r="P640" s="13">
        <f t="shared" si="146"/>
        <v>0</v>
      </c>
      <c r="Q640" s="84">
        <f t="shared" si="136"/>
        <v>8367.7000000000007</v>
      </c>
      <c r="R640" s="13">
        <f t="shared" si="146"/>
        <v>0</v>
      </c>
      <c r="S640" s="84">
        <f t="shared" si="145"/>
        <v>8367.7000000000007</v>
      </c>
      <c r="T640" s="13">
        <f t="shared" si="146"/>
        <v>-373.2</v>
      </c>
      <c r="U640" s="84">
        <f t="shared" si="141"/>
        <v>7994.5000000000009</v>
      </c>
    </row>
    <row r="641" spans="1:21">
      <c r="A641" s="61" t="str">
        <f ca="1">IF(ISERROR(MATCH(F641,Код_КВР,0)),"",INDIRECT(ADDRESS(MATCH(F641,Код_КВР,0)+1,2,,,"КВР")))</f>
        <v>Субсидии бюджетным учреждениям</v>
      </c>
      <c r="B641" s="126">
        <v>805</v>
      </c>
      <c r="C641" s="8" t="s">
        <v>193</v>
      </c>
      <c r="D641" s="8" t="s">
        <v>212</v>
      </c>
      <c r="E641" s="126" t="s">
        <v>278</v>
      </c>
      <c r="F641" s="126">
        <v>610</v>
      </c>
      <c r="G641" s="69">
        <f t="shared" si="146"/>
        <v>8367.7000000000007</v>
      </c>
      <c r="H641" s="69">
        <f t="shared" si="146"/>
        <v>0</v>
      </c>
      <c r="I641" s="69">
        <f t="shared" si="147"/>
        <v>8367.7000000000007</v>
      </c>
      <c r="J641" s="69">
        <f t="shared" si="146"/>
        <v>0</v>
      </c>
      <c r="K641" s="84">
        <f t="shared" si="144"/>
        <v>8367.7000000000007</v>
      </c>
      <c r="L641" s="13">
        <f t="shared" si="146"/>
        <v>0</v>
      </c>
      <c r="M641" s="84">
        <f t="shared" si="137"/>
        <v>8367.7000000000007</v>
      </c>
      <c r="N641" s="13">
        <f t="shared" si="146"/>
        <v>0</v>
      </c>
      <c r="O641" s="84">
        <f t="shared" si="138"/>
        <v>8367.7000000000007</v>
      </c>
      <c r="P641" s="13">
        <f t="shared" si="146"/>
        <v>0</v>
      </c>
      <c r="Q641" s="84">
        <f t="shared" si="136"/>
        <v>8367.7000000000007</v>
      </c>
      <c r="R641" s="13">
        <f t="shared" si="146"/>
        <v>0</v>
      </c>
      <c r="S641" s="84">
        <f t="shared" si="145"/>
        <v>8367.7000000000007</v>
      </c>
      <c r="T641" s="13">
        <f t="shared" si="146"/>
        <v>-373.2</v>
      </c>
      <c r="U641" s="84">
        <f t="shared" si="141"/>
        <v>7994.5000000000009</v>
      </c>
    </row>
    <row r="642" spans="1:21" ht="49.5">
      <c r="A642" s="61" t="str">
        <f ca="1">IF(ISERROR(MATCH(F642,Код_КВР,0)),"",INDIRECT(ADDRESS(MATCH(F642,Код_КВР,0)+1,2,,,"КВР")))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2" s="126">
        <v>805</v>
      </c>
      <c r="C642" s="8" t="s">
        <v>193</v>
      </c>
      <c r="D642" s="8" t="s">
        <v>212</v>
      </c>
      <c r="E642" s="126" t="s">
        <v>278</v>
      </c>
      <c r="F642" s="126">
        <v>611</v>
      </c>
      <c r="G642" s="69">
        <v>8367.7000000000007</v>
      </c>
      <c r="H642" s="64"/>
      <c r="I642" s="69">
        <f t="shared" si="147"/>
        <v>8367.7000000000007</v>
      </c>
      <c r="J642" s="64"/>
      <c r="K642" s="84">
        <f t="shared" si="144"/>
        <v>8367.7000000000007</v>
      </c>
      <c r="L642" s="84"/>
      <c r="M642" s="84">
        <f t="shared" si="137"/>
        <v>8367.7000000000007</v>
      </c>
      <c r="N642" s="84"/>
      <c r="O642" s="84">
        <f t="shared" si="138"/>
        <v>8367.7000000000007</v>
      </c>
      <c r="P642" s="84"/>
      <c r="Q642" s="84">
        <f t="shared" si="136"/>
        <v>8367.7000000000007</v>
      </c>
      <c r="R642" s="84"/>
      <c r="S642" s="84">
        <f t="shared" si="145"/>
        <v>8367.7000000000007</v>
      </c>
      <c r="T642" s="84">
        <f>-373.2</f>
        <v>-373.2</v>
      </c>
      <c r="U642" s="84">
        <f t="shared" si="141"/>
        <v>7994.5000000000009</v>
      </c>
    </row>
    <row r="643" spans="1:21" ht="33">
      <c r="A643" s="61" t="str">
        <f ca="1">IF(ISERROR(MATCH(E643,Код_КЦСР,0)),"",INDIRECT(ADDRESS(MATCH(E643,Код_КЦСР,0)+1,2,,,"КЦСР")))</f>
        <v>Формирование комплексной системы выявления, развития и поддержки одаренных детей и молодых талантов</v>
      </c>
      <c r="B643" s="126">
        <v>805</v>
      </c>
      <c r="C643" s="8" t="s">
        <v>193</v>
      </c>
      <c r="D643" s="8" t="s">
        <v>212</v>
      </c>
      <c r="E643" s="126" t="s">
        <v>279</v>
      </c>
      <c r="F643" s="126"/>
      <c r="G643" s="69">
        <f>G644</f>
        <v>458</v>
      </c>
      <c r="H643" s="69">
        <f>H644</f>
        <v>0</v>
      </c>
      <c r="I643" s="69">
        <f t="shared" si="147"/>
        <v>458</v>
      </c>
      <c r="J643" s="69">
        <f>J644</f>
        <v>0</v>
      </c>
      <c r="K643" s="84">
        <f t="shared" si="144"/>
        <v>458</v>
      </c>
      <c r="L643" s="13">
        <f>L644</f>
        <v>0</v>
      </c>
      <c r="M643" s="84">
        <f t="shared" si="137"/>
        <v>458</v>
      </c>
      <c r="N643" s="13">
        <f>N644</f>
        <v>0</v>
      </c>
      <c r="O643" s="84">
        <f t="shared" si="138"/>
        <v>458</v>
      </c>
      <c r="P643" s="13">
        <f>P644</f>
        <v>10</v>
      </c>
      <c r="Q643" s="84">
        <f t="shared" si="136"/>
        <v>468</v>
      </c>
      <c r="R643" s="13">
        <f>R644</f>
        <v>0</v>
      </c>
      <c r="S643" s="84">
        <f t="shared" si="145"/>
        <v>468</v>
      </c>
      <c r="T643" s="13">
        <f>T644</f>
        <v>0</v>
      </c>
      <c r="U643" s="84">
        <f t="shared" si="141"/>
        <v>468</v>
      </c>
    </row>
    <row r="644" spans="1:21">
      <c r="A644" s="61" t="str">
        <f ca="1">IF(ISERROR(MATCH(F644,Код_КВР,0)),"",INDIRECT(ADDRESS(MATCH(F644,Код_КВР,0)+1,2,,,"КВР")))</f>
        <v>Социальное обеспечение и иные выплаты населению</v>
      </c>
      <c r="B644" s="126">
        <v>805</v>
      </c>
      <c r="C644" s="8" t="s">
        <v>193</v>
      </c>
      <c r="D644" s="8" t="s">
        <v>212</v>
      </c>
      <c r="E644" s="126" t="s">
        <v>279</v>
      </c>
      <c r="F644" s="126">
        <v>300</v>
      </c>
      <c r="G644" s="69">
        <f>SUM(G645:G646)</f>
        <v>458</v>
      </c>
      <c r="H644" s="69">
        <f>SUM(H645:H646)</f>
        <v>0</v>
      </c>
      <c r="I644" s="69">
        <f t="shared" si="147"/>
        <v>458</v>
      </c>
      <c r="J644" s="69">
        <f>SUM(J645:J646)</f>
        <v>0</v>
      </c>
      <c r="K644" s="84">
        <f t="shared" si="144"/>
        <v>458</v>
      </c>
      <c r="L644" s="13">
        <f>SUM(L645:L646)</f>
        <v>0</v>
      </c>
      <c r="M644" s="84">
        <f t="shared" si="137"/>
        <v>458</v>
      </c>
      <c r="N644" s="13">
        <f>SUM(N645:N646)</f>
        <v>0</v>
      </c>
      <c r="O644" s="84">
        <f t="shared" si="138"/>
        <v>458</v>
      </c>
      <c r="P644" s="13">
        <f>SUM(P645:P646)</f>
        <v>10</v>
      </c>
      <c r="Q644" s="84">
        <f t="shared" ref="Q644:Q719" si="148">O644+P644</f>
        <v>468</v>
      </c>
      <c r="R644" s="13">
        <f>SUM(R645:R646)</f>
        <v>0</v>
      </c>
      <c r="S644" s="84">
        <f t="shared" si="145"/>
        <v>468</v>
      </c>
      <c r="T644" s="13">
        <f>SUM(T645:T646)</f>
        <v>0</v>
      </c>
      <c r="U644" s="84">
        <f t="shared" si="141"/>
        <v>468</v>
      </c>
    </row>
    <row r="645" spans="1:21">
      <c r="A645" s="61" t="str">
        <f ca="1">IF(ISERROR(MATCH(F645,Код_КВР,0)),"",INDIRECT(ADDRESS(MATCH(F645,Код_КВР,0)+1,2,,,"КВР")))</f>
        <v>Стипендии</v>
      </c>
      <c r="B645" s="126">
        <v>805</v>
      </c>
      <c r="C645" s="8" t="s">
        <v>193</v>
      </c>
      <c r="D645" s="8" t="s">
        <v>212</v>
      </c>
      <c r="E645" s="126" t="s">
        <v>279</v>
      </c>
      <c r="F645" s="126">
        <v>340</v>
      </c>
      <c r="G645" s="69">
        <v>200</v>
      </c>
      <c r="H645" s="64"/>
      <c r="I645" s="69">
        <f t="shared" si="147"/>
        <v>200</v>
      </c>
      <c r="J645" s="64"/>
      <c r="K645" s="84">
        <f t="shared" si="144"/>
        <v>200</v>
      </c>
      <c r="L645" s="84"/>
      <c r="M645" s="84">
        <f t="shared" si="137"/>
        <v>200</v>
      </c>
      <c r="N645" s="84"/>
      <c r="O645" s="84">
        <f t="shared" si="138"/>
        <v>200</v>
      </c>
      <c r="P645" s="84"/>
      <c r="Q645" s="84">
        <f t="shared" si="148"/>
        <v>200</v>
      </c>
      <c r="R645" s="84"/>
      <c r="S645" s="84">
        <f t="shared" si="145"/>
        <v>200</v>
      </c>
      <c r="T645" s="84"/>
      <c r="U645" s="84">
        <f t="shared" si="141"/>
        <v>200</v>
      </c>
    </row>
    <row r="646" spans="1:21">
      <c r="A646" s="61" t="str">
        <f ca="1">IF(ISERROR(MATCH(F646,Код_КВР,0)),"",INDIRECT(ADDRESS(MATCH(F646,Код_КВР,0)+1,2,,,"КВР")))</f>
        <v>Премии и гранты</v>
      </c>
      <c r="B646" s="126">
        <v>805</v>
      </c>
      <c r="C646" s="8" t="s">
        <v>193</v>
      </c>
      <c r="D646" s="8" t="s">
        <v>212</v>
      </c>
      <c r="E646" s="126" t="s">
        <v>279</v>
      </c>
      <c r="F646" s="126">
        <v>350</v>
      </c>
      <c r="G646" s="69">
        <v>258</v>
      </c>
      <c r="H646" s="64"/>
      <c r="I646" s="69">
        <f t="shared" si="147"/>
        <v>258</v>
      </c>
      <c r="J646" s="64"/>
      <c r="K646" s="84">
        <f t="shared" si="144"/>
        <v>258</v>
      </c>
      <c r="L646" s="84"/>
      <c r="M646" s="84">
        <f t="shared" si="137"/>
        <v>258</v>
      </c>
      <c r="N646" s="84"/>
      <c r="O646" s="84">
        <f t="shared" si="138"/>
        <v>258</v>
      </c>
      <c r="P646" s="84">
        <v>10</v>
      </c>
      <c r="Q646" s="84">
        <f t="shared" si="148"/>
        <v>268</v>
      </c>
      <c r="R646" s="84"/>
      <c r="S646" s="84">
        <f t="shared" si="145"/>
        <v>268</v>
      </c>
      <c r="T646" s="84"/>
      <c r="U646" s="84">
        <f t="shared" si="141"/>
        <v>268</v>
      </c>
    </row>
    <row r="647" spans="1:21" ht="66">
      <c r="A647" s="61" t="str">
        <f ca="1">IF(ISERROR(MATCH(E647,Код_КЦСР,0)),"",INDIRECT(ADDRESS(MATCH(E647,Код_КЦСР,0)+1,2,,,"КЦСР")))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647" s="126">
        <v>805</v>
      </c>
      <c r="C647" s="8" t="s">
        <v>193</v>
      </c>
      <c r="D647" s="8" t="s">
        <v>212</v>
      </c>
      <c r="E647" s="126" t="s">
        <v>434</v>
      </c>
      <c r="F647" s="126"/>
      <c r="G647" s="69">
        <f>G648</f>
        <v>1155626.6000000001</v>
      </c>
      <c r="H647" s="69">
        <f>H648</f>
        <v>0</v>
      </c>
      <c r="I647" s="69">
        <f t="shared" si="147"/>
        <v>1155626.6000000001</v>
      </c>
      <c r="J647" s="69">
        <f>J648</f>
        <v>0</v>
      </c>
      <c r="K647" s="84">
        <f t="shared" si="144"/>
        <v>1155626.6000000001</v>
      </c>
      <c r="L647" s="13">
        <f>L648</f>
        <v>0</v>
      </c>
      <c r="M647" s="84">
        <f t="shared" si="137"/>
        <v>1155626.6000000001</v>
      </c>
      <c r="N647" s="13">
        <f>N648</f>
        <v>0</v>
      </c>
      <c r="O647" s="84">
        <f t="shared" si="138"/>
        <v>1155626.6000000001</v>
      </c>
      <c r="P647" s="13">
        <f>P648</f>
        <v>0</v>
      </c>
      <c r="Q647" s="84">
        <f t="shared" si="148"/>
        <v>1155626.6000000001</v>
      </c>
      <c r="R647" s="13">
        <f>R648</f>
        <v>4006.7000000000007</v>
      </c>
      <c r="S647" s="84">
        <f t="shared" si="145"/>
        <v>1159633.3</v>
      </c>
      <c r="T647" s="13">
        <f>T648</f>
        <v>7434.9000000000005</v>
      </c>
      <c r="U647" s="84">
        <f t="shared" si="141"/>
        <v>1167068.2</v>
      </c>
    </row>
    <row r="648" spans="1:21" ht="33">
      <c r="A648" s="61" t="str">
        <f t="shared" ref="A648:A654" ca="1" si="149">IF(ISERROR(MATCH(F648,Код_КВР,0)),"",INDIRECT(ADDRESS(MATCH(F648,Код_КВР,0)+1,2,,,"КВР")))</f>
        <v>Предоставление субсидий бюджетным, автономным учреждениям и иным некоммерческим организациям</v>
      </c>
      <c r="B648" s="126">
        <v>805</v>
      </c>
      <c r="C648" s="8" t="s">
        <v>193</v>
      </c>
      <c r="D648" s="8" t="s">
        <v>212</v>
      </c>
      <c r="E648" s="126" t="s">
        <v>434</v>
      </c>
      <c r="F648" s="126">
        <v>600</v>
      </c>
      <c r="G648" s="69">
        <f>G649+G652</f>
        <v>1155626.6000000001</v>
      </c>
      <c r="H648" s="69">
        <f>H649+H652</f>
        <v>0</v>
      </c>
      <c r="I648" s="69">
        <f t="shared" si="147"/>
        <v>1155626.6000000001</v>
      </c>
      <c r="J648" s="69">
        <f>J649+J652</f>
        <v>0</v>
      </c>
      <c r="K648" s="84">
        <f t="shared" si="144"/>
        <v>1155626.6000000001</v>
      </c>
      <c r="L648" s="13">
        <f>L649+L652</f>
        <v>0</v>
      </c>
      <c r="M648" s="84">
        <f t="shared" si="137"/>
        <v>1155626.6000000001</v>
      </c>
      <c r="N648" s="13">
        <f>N649+N652</f>
        <v>0</v>
      </c>
      <c r="O648" s="84">
        <f t="shared" si="138"/>
        <v>1155626.6000000001</v>
      </c>
      <c r="P648" s="13">
        <f>P649+P652</f>
        <v>0</v>
      </c>
      <c r="Q648" s="84">
        <f t="shared" si="148"/>
        <v>1155626.6000000001</v>
      </c>
      <c r="R648" s="13">
        <f>R649+R652</f>
        <v>4006.7000000000007</v>
      </c>
      <c r="S648" s="84">
        <f t="shared" si="145"/>
        <v>1159633.3</v>
      </c>
      <c r="T648" s="13">
        <f>T649+T652</f>
        <v>7434.9000000000005</v>
      </c>
      <c r="U648" s="84">
        <f t="shared" si="141"/>
        <v>1167068.2</v>
      </c>
    </row>
    <row r="649" spans="1:21">
      <c r="A649" s="61" t="str">
        <f t="shared" ca="1" si="149"/>
        <v>Субсидии бюджетным учреждениям</v>
      </c>
      <c r="B649" s="126">
        <v>805</v>
      </c>
      <c r="C649" s="8" t="s">
        <v>193</v>
      </c>
      <c r="D649" s="8" t="s">
        <v>212</v>
      </c>
      <c r="E649" s="126" t="s">
        <v>434</v>
      </c>
      <c r="F649" s="126">
        <v>610</v>
      </c>
      <c r="G649" s="69">
        <f>G650</f>
        <v>1133628.3</v>
      </c>
      <c r="H649" s="69">
        <f>H650</f>
        <v>0</v>
      </c>
      <c r="I649" s="69">
        <f t="shared" si="147"/>
        <v>1133628.3</v>
      </c>
      <c r="J649" s="69">
        <f>J650</f>
        <v>0</v>
      </c>
      <c r="K649" s="84">
        <f t="shared" si="144"/>
        <v>1133628.3</v>
      </c>
      <c r="L649" s="13">
        <f>L650</f>
        <v>0</v>
      </c>
      <c r="M649" s="84">
        <f t="shared" si="137"/>
        <v>1133628.3</v>
      </c>
      <c r="N649" s="13">
        <f>N650</f>
        <v>0</v>
      </c>
      <c r="O649" s="84">
        <f t="shared" si="138"/>
        <v>1133628.3</v>
      </c>
      <c r="P649" s="13">
        <f>P650</f>
        <v>0</v>
      </c>
      <c r="Q649" s="84">
        <f t="shared" si="148"/>
        <v>1133628.3</v>
      </c>
      <c r="R649" s="13">
        <f>R650+R651</f>
        <v>4006.7000000000007</v>
      </c>
      <c r="S649" s="84">
        <f t="shared" si="145"/>
        <v>1137635</v>
      </c>
      <c r="T649" s="13">
        <f>T650+T651</f>
        <v>7434.9000000000005</v>
      </c>
      <c r="U649" s="84">
        <f t="shared" si="141"/>
        <v>1145069.8999999999</v>
      </c>
    </row>
    <row r="650" spans="1:21" ht="49.5">
      <c r="A650" s="61" t="str">
        <f t="shared" ca="1" si="149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0" s="126">
        <v>805</v>
      </c>
      <c r="C650" s="8" t="s">
        <v>193</v>
      </c>
      <c r="D650" s="8" t="s">
        <v>212</v>
      </c>
      <c r="E650" s="126" t="s">
        <v>434</v>
      </c>
      <c r="F650" s="126">
        <v>611</v>
      </c>
      <c r="G650" s="69">
        <f>1055697.5+77930.8</f>
        <v>1133628.3</v>
      </c>
      <c r="H650" s="64"/>
      <c r="I650" s="69">
        <f t="shared" si="147"/>
        <v>1133628.3</v>
      </c>
      <c r="J650" s="64"/>
      <c r="K650" s="84">
        <f t="shared" si="144"/>
        <v>1133628.3</v>
      </c>
      <c r="L650" s="84"/>
      <c r="M650" s="84">
        <f t="shared" si="137"/>
        <v>1133628.3</v>
      </c>
      <c r="N650" s="84"/>
      <c r="O650" s="84">
        <f t="shared" si="138"/>
        <v>1133628.3</v>
      </c>
      <c r="P650" s="84"/>
      <c r="Q650" s="84">
        <f t="shared" si="148"/>
        <v>1133628.3</v>
      </c>
      <c r="R650" s="84">
        <f>-16910.8+4006.7</f>
        <v>-12904.099999999999</v>
      </c>
      <c r="S650" s="84">
        <f t="shared" si="145"/>
        <v>1120724.2</v>
      </c>
      <c r="T650" s="84">
        <f>7935.8-500.9</f>
        <v>7434.9000000000005</v>
      </c>
      <c r="U650" s="84">
        <f t="shared" si="141"/>
        <v>1128159.0999999999</v>
      </c>
    </row>
    <row r="651" spans="1:21">
      <c r="A651" s="61" t="str">
        <f t="shared" ca="1" si="149"/>
        <v>Субсидии бюджетным учреждениям на иные цели</v>
      </c>
      <c r="B651" s="126">
        <v>805</v>
      </c>
      <c r="C651" s="8" t="s">
        <v>193</v>
      </c>
      <c r="D651" s="8" t="s">
        <v>212</v>
      </c>
      <c r="E651" s="126" t="s">
        <v>434</v>
      </c>
      <c r="F651" s="126">
        <v>612</v>
      </c>
      <c r="G651" s="69"/>
      <c r="H651" s="64"/>
      <c r="I651" s="69"/>
      <c r="J651" s="64"/>
      <c r="K651" s="84"/>
      <c r="L651" s="84"/>
      <c r="M651" s="84"/>
      <c r="N651" s="84"/>
      <c r="O651" s="84"/>
      <c r="P651" s="84"/>
      <c r="Q651" s="84">
        <f t="shared" si="148"/>
        <v>0</v>
      </c>
      <c r="R651" s="84">
        <v>16910.8</v>
      </c>
      <c r="S651" s="84">
        <f t="shared" si="145"/>
        <v>16910.8</v>
      </c>
      <c r="T651" s="84"/>
      <c r="U651" s="84">
        <f t="shared" si="141"/>
        <v>16910.8</v>
      </c>
    </row>
    <row r="652" spans="1:21">
      <c r="A652" s="61" t="str">
        <f t="shared" ca="1" si="149"/>
        <v>Субсидии автономным учреждениям</v>
      </c>
      <c r="B652" s="126">
        <v>805</v>
      </c>
      <c r="C652" s="8" t="s">
        <v>193</v>
      </c>
      <c r="D652" s="8" t="s">
        <v>212</v>
      </c>
      <c r="E652" s="126" t="s">
        <v>434</v>
      </c>
      <c r="F652" s="126">
        <v>620</v>
      </c>
      <c r="G652" s="69">
        <f>G653</f>
        <v>21998.3</v>
      </c>
      <c r="H652" s="69">
        <f>H653</f>
        <v>0</v>
      </c>
      <c r="I652" s="69">
        <f t="shared" si="147"/>
        <v>21998.3</v>
      </c>
      <c r="J652" s="69">
        <f>J653</f>
        <v>0</v>
      </c>
      <c r="K652" s="84">
        <f t="shared" si="144"/>
        <v>21998.3</v>
      </c>
      <c r="L652" s="13">
        <f>L653</f>
        <v>0</v>
      </c>
      <c r="M652" s="84">
        <f t="shared" si="137"/>
        <v>21998.3</v>
      </c>
      <c r="N652" s="13">
        <f>N653</f>
        <v>0</v>
      </c>
      <c r="O652" s="84">
        <f t="shared" si="138"/>
        <v>21998.3</v>
      </c>
      <c r="P652" s="13">
        <f>P653</f>
        <v>0</v>
      </c>
      <c r="Q652" s="84">
        <f t="shared" si="148"/>
        <v>21998.3</v>
      </c>
      <c r="R652" s="13">
        <f>R653+R654</f>
        <v>0</v>
      </c>
      <c r="S652" s="84">
        <f t="shared" si="145"/>
        <v>21998.3</v>
      </c>
      <c r="T652" s="13">
        <f>T653+T654</f>
        <v>0</v>
      </c>
      <c r="U652" s="84">
        <f t="shared" si="141"/>
        <v>21998.3</v>
      </c>
    </row>
    <row r="653" spans="1:21" ht="49.5">
      <c r="A653" s="61" t="str">
        <f t="shared" ca="1" si="149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53" s="126">
        <v>805</v>
      </c>
      <c r="C653" s="8" t="s">
        <v>193</v>
      </c>
      <c r="D653" s="8" t="s">
        <v>212</v>
      </c>
      <c r="E653" s="126" t="s">
        <v>434</v>
      </c>
      <c r="F653" s="126">
        <v>621</v>
      </c>
      <c r="G653" s="69">
        <v>21998.3</v>
      </c>
      <c r="H653" s="64"/>
      <c r="I653" s="69">
        <f t="shared" si="147"/>
        <v>21998.3</v>
      </c>
      <c r="J653" s="64"/>
      <c r="K653" s="84">
        <f t="shared" si="144"/>
        <v>21998.3</v>
      </c>
      <c r="L653" s="84"/>
      <c r="M653" s="84">
        <f t="shared" si="137"/>
        <v>21998.3</v>
      </c>
      <c r="N653" s="84"/>
      <c r="O653" s="84">
        <f t="shared" si="138"/>
        <v>21998.3</v>
      </c>
      <c r="P653" s="84"/>
      <c r="Q653" s="84">
        <f t="shared" si="148"/>
        <v>21998.3</v>
      </c>
      <c r="R653" s="84">
        <v>-400.8</v>
      </c>
      <c r="S653" s="84">
        <f t="shared" si="145"/>
        <v>21597.5</v>
      </c>
      <c r="T653" s="84"/>
      <c r="U653" s="84">
        <f t="shared" si="141"/>
        <v>21597.5</v>
      </c>
    </row>
    <row r="654" spans="1:21">
      <c r="A654" s="61" t="str">
        <f t="shared" ca="1" si="149"/>
        <v>Субсидии автономным учреждениям на иные цели</v>
      </c>
      <c r="B654" s="126">
        <v>805</v>
      </c>
      <c r="C654" s="8" t="s">
        <v>193</v>
      </c>
      <c r="D654" s="8" t="s">
        <v>212</v>
      </c>
      <c r="E654" s="126" t="s">
        <v>434</v>
      </c>
      <c r="F654" s="126">
        <v>622</v>
      </c>
      <c r="G654" s="69"/>
      <c r="H654" s="64"/>
      <c r="I654" s="69"/>
      <c r="J654" s="64"/>
      <c r="K654" s="84"/>
      <c r="L654" s="84"/>
      <c r="M654" s="84"/>
      <c r="N654" s="84"/>
      <c r="O654" s="84"/>
      <c r="P654" s="84"/>
      <c r="Q654" s="84">
        <f t="shared" si="148"/>
        <v>0</v>
      </c>
      <c r="R654" s="84">
        <v>400.8</v>
      </c>
      <c r="S654" s="84">
        <f t="shared" si="145"/>
        <v>400.8</v>
      </c>
      <c r="T654" s="84"/>
      <c r="U654" s="84">
        <f t="shared" si="141"/>
        <v>400.8</v>
      </c>
    </row>
    <row r="655" spans="1:21" ht="99">
      <c r="A655" s="61" t="str">
        <f ca="1">IF(ISERROR(MATCH(E655,Код_КЦСР,0)),"",INDIRECT(ADDRESS(MATCH(E655,Код_КЦСР,0)+1,2,,,"КЦСР")))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655" s="126">
        <v>805</v>
      </c>
      <c r="C655" s="8" t="s">
        <v>193</v>
      </c>
      <c r="D655" s="8" t="s">
        <v>212</v>
      </c>
      <c r="E655" s="126" t="s">
        <v>433</v>
      </c>
      <c r="F655" s="126"/>
      <c r="G655" s="69">
        <f>G656</f>
        <v>18111.400000000001</v>
      </c>
      <c r="H655" s="69">
        <f>H656</f>
        <v>0</v>
      </c>
      <c r="I655" s="69">
        <f>G655+H655</f>
        <v>18111.400000000001</v>
      </c>
      <c r="J655" s="69">
        <f>J656</f>
        <v>-7173</v>
      </c>
      <c r="K655" s="84">
        <f>I655+J655</f>
        <v>10938.400000000001</v>
      </c>
      <c r="L655" s="13">
        <f>L656</f>
        <v>0</v>
      </c>
      <c r="M655" s="84">
        <f t="shared" si="137"/>
        <v>10938.400000000001</v>
      </c>
      <c r="N655" s="13">
        <f>N656</f>
        <v>0</v>
      </c>
      <c r="O655" s="84">
        <f t="shared" si="138"/>
        <v>10938.400000000001</v>
      </c>
      <c r="P655" s="13">
        <f>P656</f>
        <v>0</v>
      </c>
      <c r="Q655" s="84">
        <f t="shared" si="148"/>
        <v>10938.400000000001</v>
      </c>
      <c r="R655" s="13">
        <f>R656</f>
        <v>0</v>
      </c>
      <c r="S655" s="84">
        <f t="shared" si="145"/>
        <v>10938.400000000001</v>
      </c>
      <c r="T655" s="13">
        <f>T656</f>
        <v>-4553.5</v>
      </c>
      <c r="U655" s="84">
        <f t="shared" si="141"/>
        <v>6384.9000000000015</v>
      </c>
    </row>
    <row r="656" spans="1:21" ht="33">
      <c r="A656" s="61" t="str">
        <f ca="1">IF(ISERROR(MATCH(F656,Код_КВР,0)),"",INDIRECT(ADDRESS(MATCH(F656,Код_КВР,0)+1,2,,,"КВР")))</f>
        <v>Предоставление субсидий бюджетным, автономным учреждениям и иным некоммерческим организациям</v>
      </c>
      <c r="B656" s="126">
        <v>805</v>
      </c>
      <c r="C656" s="8" t="s">
        <v>193</v>
      </c>
      <c r="D656" s="8" t="s">
        <v>212</v>
      </c>
      <c r="E656" s="126" t="s">
        <v>433</v>
      </c>
      <c r="F656" s="126">
        <v>600</v>
      </c>
      <c r="G656" s="69">
        <f>G657</f>
        <v>18111.400000000001</v>
      </c>
      <c r="H656" s="69">
        <f>H657</f>
        <v>0</v>
      </c>
      <c r="I656" s="69">
        <f t="shared" si="147"/>
        <v>18111.400000000001</v>
      </c>
      <c r="J656" s="69">
        <f>J657</f>
        <v>-7173</v>
      </c>
      <c r="K656" s="84">
        <f t="shared" si="144"/>
        <v>10938.400000000001</v>
      </c>
      <c r="L656" s="13">
        <f>L657</f>
        <v>0</v>
      </c>
      <c r="M656" s="84">
        <f t="shared" si="137"/>
        <v>10938.400000000001</v>
      </c>
      <c r="N656" s="13">
        <f>N657</f>
        <v>0</v>
      </c>
      <c r="O656" s="84">
        <f t="shared" si="138"/>
        <v>10938.400000000001</v>
      </c>
      <c r="P656" s="13">
        <f>P657</f>
        <v>0</v>
      </c>
      <c r="Q656" s="84">
        <f t="shared" si="148"/>
        <v>10938.400000000001</v>
      </c>
      <c r="R656" s="13">
        <f>R657+R660</f>
        <v>0</v>
      </c>
      <c r="S656" s="84">
        <f t="shared" si="145"/>
        <v>10938.400000000001</v>
      </c>
      <c r="T656" s="13">
        <f>T657+T660</f>
        <v>-4553.5</v>
      </c>
      <c r="U656" s="84">
        <f t="shared" si="141"/>
        <v>6384.9000000000015</v>
      </c>
    </row>
    <row r="657" spans="1:22">
      <c r="A657" s="61" t="str">
        <f ca="1">IF(ISERROR(MATCH(F657,Код_КВР,0)),"",INDIRECT(ADDRESS(MATCH(F657,Код_КВР,0)+1,2,,,"КВР")))</f>
        <v>Субсидии бюджетным учреждениям</v>
      </c>
      <c r="B657" s="126">
        <v>805</v>
      </c>
      <c r="C657" s="8" t="s">
        <v>193</v>
      </c>
      <c r="D657" s="8" t="s">
        <v>212</v>
      </c>
      <c r="E657" s="126" t="s">
        <v>433</v>
      </c>
      <c r="F657" s="126">
        <v>610</v>
      </c>
      <c r="G657" s="69">
        <f>G658</f>
        <v>18111.400000000001</v>
      </c>
      <c r="H657" s="64"/>
      <c r="I657" s="69">
        <f t="shared" si="147"/>
        <v>18111.400000000001</v>
      </c>
      <c r="J657" s="64">
        <f>J658</f>
        <v>-7173</v>
      </c>
      <c r="K657" s="84">
        <f t="shared" si="144"/>
        <v>10938.400000000001</v>
      </c>
      <c r="L657" s="84">
        <f>L658</f>
        <v>0</v>
      </c>
      <c r="M657" s="84">
        <f t="shared" si="137"/>
        <v>10938.400000000001</v>
      </c>
      <c r="N657" s="84">
        <f>N658</f>
        <v>0</v>
      </c>
      <c r="O657" s="84">
        <f t="shared" si="138"/>
        <v>10938.400000000001</v>
      </c>
      <c r="P657" s="84">
        <f>P658</f>
        <v>0</v>
      </c>
      <c r="Q657" s="84">
        <f t="shared" si="148"/>
        <v>10938.400000000001</v>
      </c>
      <c r="R657" s="13">
        <f>R659+R658</f>
        <v>0</v>
      </c>
      <c r="S657" s="84">
        <f>Q657+R657</f>
        <v>10938.400000000001</v>
      </c>
      <c r="T657" s="13">
        <f>T659+T658</f>
        <v>-4553.5</v>
      </c>
      <c r="U657" s="84">
        <f t="shared" si="141"/>
        <v>6384.9000000000015</v>
      </c>
    </row>
    <row r="658" spans="1:22" ht="49.5">
      <c r="A658" s="61" t="str">
        <f ca="1">IF(ISERROR(MATCH(F658,Код_КВР,0)),"",INDIRECT(ADDRESS(MATCH(F658,Код_КВР,0)+1,2,,,"КВР")))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8" s="126">
        <v>805</v>
      </c>
      <c r="C658" s="8" t="s">
        <v>193</v>
      </c>
      <c r="D658" s="8" t="s">
        <v>212</v>
      </c>
      <c r="E658" s="126" t="s">
        <v>433</v>
      </c>
      <c r="F658" s="126">
        <v>611</v>
      </c>
      <c r="G658" s="69">
        <v>18111.400000000001</v>
      </c>
      <c r="H658" s="64"/>
      <c r="I658" s="69">
        <f t="shared" si="147"/>
        <v>18111.400000000001</v>
      </c>
      <c r="J658" s="64">
        <f>-5464.6-1708.4</f>
        <v>-7173</v>
      </c>
      <c r="K658" s="84">
        <f t="shared" si="144"/>
        <v>10938.400000000001</v>
      </c>
      <c r="L658" s="84"/>
      <c r="M658" s="84">
        <f t="shared" si="137"/>
        <v>10938.400000000001</v>
      </c>
      <c r="N658" s="84"/>
      <c r="O658" s="84">
        <f t="shared" si="138"/>
        <v>10938.400000000001</v>
      </c>
      <c r="P658" s="84"/>
      <c r="Q658" s="84">
        <f t="shared" si="148"/>
        <v>10938.400000000001</v>
      </c>
      <c r="R658" s="13"/>
      <c r="S658" s="84">
        <f>Q658+R658</f>
        <v>10938.400000000001</v>
      </c>
      <c r="T658" s="13">
        <f>-3749.3-451.2-353</f>
        <v>-4553.5</v>
      </c>
      <c r="U658" s="84">
        <f t="shared" si="141"/>
        <v>6384.9000000000015</v>
      </c>
    </row>
    <row r="659" spans="1:22" hidden="1">
      <c r="A659" s="61" t="str">
        <f ca="1">IF(ISERROR(MATCH(F659,Код_КВР,0)),"",INDIRECT(ADDRESS(MATCH(F659,Код_КВР,0)+1,2,,,"КВР")))</f>
        <v>Субсидии бюджетным учреждениям на иные цели</v>
      </c>
      <c r="B659" s="100">
        <v>805</v>
      </c>
      <c r="C659" s="8" t="s">
        <v>193</v>
      </c>
      <c r="D659" s="8" t="s">
        <v>212</v>
      </c>
      <c r="E659" s="100" t="s">
        <v>433</v>
      </c>
      <c r="F659" s="100">
        <v>612</v>
      </c>
      <c r="G659" s="69"/>
      <c r="H659" s="64"/>
      <c r="I659" s="69"/>
      <c r="J659" s="64"/>
      <c r="K659" s="84"/>
      <c r="L659" s="84"/>
      <c r="M659" s="84"/>
      <c r="N659" s="84"/>
      <c r="O659" s="84"/>
      <c r="P659" s="84"/>
      <c r="Q659" s="84">
        <f t="shared" si="148"/>
        <v>0</v>
      </c>
      <c r="R659" s="13"/>
      <c r="S659" s="84">
        <f t="shared" si="145"/>
        <v>0</v>
      </c>
      <c r="T659" s="13"/>
      <c r="U659" s="84">
        <f t="shared" si="141"/>
        <v>0</v>
      </c>
      <c r="V659" s="142" t="s">
        <v>706</v>
      </c>
    </row>
    <row r="660" spans="1:22" hidden="1">
      <c r="A660" s="61" t="str">
        <f ca="1">IF(ISERROR(MATCH(F660,Код_КВР,0)),"",INDIRECT(ADDRESS(MATCH(F660,Код_КВР,0)+1,2,,,"КВР")))</f>
        <v>Субсидии автономным учреждениям на иные цели</v>
      </c>
      <c r="B660" s="100">
        <v>805</v>
      </c>
      <c r="C660" s="8" t="s">
        <v>193</v>
      </c>
      <c r="D660" s="8" t="s">
        <v>212</v>
      </c>
      <c r="E660" s="100" t="s">
        <v>433</v>
      </c>
      <c r="F660" s="100">
        <v>622</v>
      </c>
      <c r="G660" s="69"/>
      <c r="H660" s="64"/>
      <c r="I660" s="69"/>
      <c r="J660" s="64"/>
      <c r="K660" s="84"/>
      <c r="L660" s="84"/>
      <c r="M660" s="84"/>
      <c r="N660" s="84"/>
      <c r="O660" s="84"/>
      <c r="P660" s="84"/>
      <c r="Q660" s="84">
        <f t="shared" si="148"/>
        <v>0</v>
      </c>
      <c r="R660" s="13"/>
      <c r="S660" s="84">
        <f t="shared" si="145"/>
        <v>0</v>
      </c>
      <c r="T660" s="13"/>
      <c r="U660" s="84">
        <f t="shared" si="141"/>
        <v>0</v>
      </c>
      <c r="V660" s="142" t="s">
        <v>706</v>
      </c>
    </row>
    <row r="661" spans="1:22">
      <c r="A661" s="61" t="str">
        <f ca="1">IF(ISERROR(MATCH(E661,Код_КЦСР,0)),"",INDIRECT(ADDRESS(MATCH(E661,Код_КЦСР,0)+1,2,,,"КЦСР")))</f>
        <v>Дополнительное образование</v>
      </c>
      <c r="B661" s="126">
        <v>805</v>
      </c>
      <c r="C661" s="8" t="s">
        <v>193</v>
      </c>
      <c r="D661" s="8" t="s">
        <v>212</v>
      </c>
      <c r="E661" s="126" t="s">
        <v>281</v>
      </c>
      <c r="F661" s="126"/>
      <c r="G661" s="69">
        <f>G662+G666</f>
        <v>90080.2</v>
      </c>
      <c r="H661" s="69">
        <f>H662+H666</f>
        <v>0</v>
      </c>
      <c r="I661" s="69">
        <f t="shared" si="147"/>
        <v>90080.2</v>
      </c>
      <c r="J661" s="69">
        <f>J662+J666</f>
        <v>0</v>
      </c>
      <c r="K661" s="84">
        <f t="shared" si="144"/>
        <v>90080.2</v>
      </c>
      <c r="L661" s="13">
        <f>L662+L666</f>
        <v>-77</v>
      </c>
      <c r="M661" s="84">
        <f t="shared" si="137"/>
        <v>90003.199999999997</v>
      </c>
      <c r="N661" s="13">
        <f>N662+N666</f>
        <v>0</v>
      </c>
      <c r="O661" s="84">
        <f t="shared" si="138"/>
        <v>90003.199999999997</v>
      </c>
      <c r="P661" s="13">
        <f>P662+P666</f>
        <v>0</v>
      </c>
      <c r="Q661" s="84">
        <f t="shared" si="148"/>
        <v>90003.199999999997</v>
      </c>
      <c r="R661" s="13">
        <f>R662+R666</f>
        <v>0</v>
      </c>
      <c r="S661" s="84">
        <f t="shared" si="145"/>
        <v>90003.199999999997</v>
      </c>
      <c r="T661" s="13">
        <f>T662+T666</f>
        <v>373.2</v>
      </c>
      <c r="U661" s="84">
        <f t="shared" si="141"/>
        <v>90376.4</v>
      </c>
    </row>
    <row r="662" spans="1:22">
      <c r="A662" s="61" t="str">
        <f ca="1">IF(ISERROR(MATCH(E662,Код_КЦСР,0)),"",INDIRECT(ADDRESS(MATCH(E662,Код_КЦСР,0)+1,2,,,"КЦСР")))</f>
        <v xml:space="preserve">Организация предоставления дополнительного образования детям </v>
      </c>
      <c r="B662" s="126">
        <v>805</v>
      </c>
      <c r="C662" s="8" t="s">
        <v>193</v>
      </c>
      <c r="D662" s="8" t="s">
        <v>212</v>
      </c>
      <c r="E662" s="126" t="s">
        <v>283</v>
      </c>
      <c r="F662" s="126"/>
      <c r="G662" s="69">
        <f t="shared" ref="G662:T664" si="150">G663</f>
        <v>88222.7</v>
      </c>
      <c r="H662" s="69">
        <f t="shared" si="150"/>
        <v>0</v>
      </c>
      <c r="I662" s="69">
        <f t="shared" si="147"/>
        <v>88222.7</v>
      </c>
      <c r="J662" s="69">
        <f t="shared" si="150"/>
        <v>0</v>
      </c>
      <c r="K662" s="84">
        <f t="shared" si="144"/>
        <v>88222.7</v>
      </c>
      <c r="L662" s="13">
        <f t="shared" si="150"/>
        <v>-77</v>
      </c>
      <c r="M662" s="84">
        <f t="shared" si="137"/>
        <v>88145.7</v>
      </c>
      <c r="N662" s="13">
        <f t="shared" si="150"/>
        <v>0</v>
      </c>
      <c r="O662" s="84">
        <f t="shared" si="138"/>
        <v>88145.7</v>
      </c>
      <c r="P662" s="13">
        <f t="shared" si="150"/>
        <v>0</v>
      </c>
      <c r="Q662" s="84">
        <f t="shared" si="148"/>
        <v>88145.7</v>
      </c>
      <c r="R662" s="13">
        <f t="shared" si="150"/>
        <v>0</v>
      </c>
      <c r="S662" s="84">
        <f t="shared" si="145"/>
        <v>88145.7</v>
      </c>
      <c r="T662" s="13">
        <f t="shared" si="150"/>
        <v>373.2</v>
      </c>
      <c r="U662" s="84">
        <f t="shared" si="141"/>
        <v>88518.9</v>
      </c>
    </row>
    <row r="663" spans="1:22" ht="33">
      <c r="A663" s="61" t="str">
        <f ca="1">IF(ISERROR(MATCH(F663,Код_КВР,0)),"",INDIRECT(ADDRESS(MATCH(F663,Код_КВР,0)+1,2,,,"КВР")))</f>
        <v>Предоставление субсидий бюджетным, автономным учреждениям и иным некоммерческим организациям</v>
      </c>
      <c r="B663" s="126">
        <v>805</v>
      </c>
      <c r="C663" s="8" t="s">
        <v>193</v>
      </c>
      <c r="D663" s="8" t="s">
        <v>212</v>
      </c>
      <c r="E663" s="126" t="s">
        <v>283</v>
      </c>
      <c r="F663" s="126">
        <v>600</v>
      </c>
      <c r="G663" s="69">
        <f t="shared" si="150"/>
        <v>88222.7</v>
      </c>
      <c r="H663" s="69">
        <f t="shared" si="150"/>
        <v>0</v>
      </c>
      <c r="I663" s="69">
        <f t="shared" si="147"/>
        <v>88222.7</v>
      </c>
      <c r="J663" s="69">
        <f t="shared" si="150"/>
        <v>0</v>
      </c>
      <c r="K663" s="84">
        <f t="shared" si="144"/>
        <v>88222.7</v>
      </c>
      <c r="L663" s="13">
        <f t="shared" si="150"/>
        <v>-77</v>
      </c>
      <c r="M663" s="84">
        <f t="shared" si="137"/>
        <v>88145.7</v>
      </c>
      <c r="N663" s="13">
        <f t="shared" si="150"/>
        <v>0</v>
      </c>
      <c r="O663" s="84">
        <f t="shared" si="138"/>
        <v>88145.7</v>
      </c>
      <c r="P663" s="13">
        <f t="shared" si="150"/>
        <v>0</v>
      </c>
      <c r="Q663" s="84">
        <f t="shared" si="148"/>
        <v>88145.7</v>
      </c>
      <c r="R663" s="13">
        <f t="shared" si="150"/>
        <v>0</v>
      </c>
      <c r="S663" s="84">
        <f t="shared" si="145"/>
        <v>88145.7</v>
      </c>
      <c r="T663" s="13">
        <f t="shared" si="150"/>
        <v>373.2</v>
      </c>
      <c r="U663" s="84">
        <f t="shared" si="141"/>
        <v>88518.9</v>
      </c>
    </row>
    <row r="664" spans="1:22">
      <c r="A664" s="61" t="str">
        <f ca="1">IF(ISERROR(MATCH(F664,Код_КВР,0)),"",INDIRECT(ADDRESS(MATCH(F664,Код_КВР,0)+1,2,,,"КВР")))</f>
        <v>Субсидии бюджетным учреждениям</v>
      </c>
      <c r="B664" s="126">
        <v>805</v>
      </c>
      <c r="C664" s="8" t="s">
        <v>193</v>
      </c>
      <c r="D664" s="8" t="s">
        <v>212</v>
      </c>
      <c r="E664" s="126" t="s">
        <v>283</v>
      </c>
      <c r="F664" s="126">
        <v>610</v>
      </c>
      <c r="G664" s="69">
        <f t="shared" si="150"/>
        <v>88222.7</v>
      </c>
      <c r="H664" s="69">
        <f t="shared" si="150"/>
        <v>0</v>
      </c>
      <c r="I664" s="69">
        <f t="shared" si="147"/>
        <v>88222.7</v>
      </c>
      <c r="J664" s="69">
        <f t="shared" si="150"/>
        <v>0</v>
      </c>
      <c r="K664" s="84">
        <f t="shared" si="144"/>
        <v>88222.7</v>
      </c>
      <c r="L664" s="13">
        <f t="shared" si="150"/>
        <v>-77</v>
      </c>
      <c r="M664" s="84">
        <f t="shared" si="137"/>
        <v>88145.7</v>
      </c>
      <c r="N664" s="13">
        <f t="shared" si="150"/>
        <v>0</v>
      </c>
      <c r="O664" s="84">
        <f t="shared" si="138"/>
        <v>88145.7</v>
      </c>
      <c r="P664" s="13">
        <f t="shared" si="150"/>
        <v>0</v>
      </c>
      <c r="Q664" s="84">
        <f t="shared" si="148"/>
        <v>88145.7</v>
      </c>
      <c r="R664" s="13">
        <f t="shared" si="150"/>
        <v>0</v>
      </c>
      <c r="S664" s="84">
        <f t="shared" si="145"/>
        <v>88145.7</v>
      </c>
      <c r="T664" s="13">
        <f t="shared" si="150"/>
        <v>373.2</v>
      </c>
      <c r="U664" s="84">
        <f t="shared" si="141"/>
        <v>88518.9</v>
      </c>
    </row>
    <row r="665" spans="1:22" ht="49.5">
      <c r="A665" s="61" t="str">
        <f ca="1">IF(ISERROR(MATCH(F665,Код_КВР,0)),"",INDIRECT(ADDRESS(MATCH(F665,Код_КВР,0)+1,2,,,"КВР")))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65" s="126">
        <v>805</v>
      </c>
      <c r="C665" s="8" t="s">
        <v>193</v>
      </c>
      <c r="D665" s="8" t="s">
        <v>212</v>
      </c>
      <c r="E665" s="126" t="s">
        <v>283</v>
      </c>
      <c r="F665" s="126">
        <v>611</v>
      </c>
      <c r="G665" s="69">
        <v>88222.7</v>
      </c>
      <c r="H665" s="64"/>
      <c r="I665" s="69">
        <f t="shared" si="147"/>
        <v>88222.7</v>
      </c>
      <c r="J665" s="64"/>
      <c r="K665" s="84">
        <f t="shared" si="144"/>
        <v>88222.7</v>
      </c>
      <c r="L665" s="84">
        <v>-77</v>
      </c>
      <c r="M665" s="84">
        <f t="shared" si="137"/>
        <v>88145.7</v>
      </c>
      <c r="N665" s="84"/>
      <c r="O665" s="84">
        <f t="shared" si="138"/>
        <v>88145.7</v>
      </c>
      <c r="P665" s="84"/>
      <c r="Q665" s="84">
        <f t="shared" si="148"/>
        <v>88145.7</v>
      </c>
      <c r="R665" s="84"/>
      <c r="S665" s="84">
        <f t="shared" si="145"/>
        <v>88145.7</v>
      </c>
      <c r="T665" s="84">
        <f>373.2</f>
        <v>373.2</v>
      </c>
      <c r="U665" s="84">
        <f t="shared" si="141"/>
        <v>88518.9</v>
      </c>
    </row>
    <row r="666" spans="1:22" ht="68.25" customHeight="1">
      <c r="A666" s="61" t="str">
        <f ca="1">IF(ISERROR(MATCH(E666,Код_КЦСР,0)),"",INDIRECT(ADDRESS(MATCH(E666,Код_КЦСР,0)+1,2,,,"КЦСР")))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666" s="126">
        <v>805</v>
      </c>
      <c r="C666" s="8" t="s">
        <v>193</v>
      </c>
      <c r="D666" s="8" t="s">
        <v>212</v>
      </c>
      <c r="E666" s="126" t="s">
        <v>108</v>
      </c>
      <c r="F666" s="126"/>
      <c r="G666" s="69">
        <f t="shared" ref="G666:T668" si="151">G667</f>
        <v>1857.5</v>
      </c>
      <c r="H666" s="69">
        <f t="shared" si="151"/>
        <v>0</v>
      </c>
      <c r="I666" s="69">
        <f t="shared" si="147"/>
        <v>1857.5</v>
      </c>
      <c r="J666" s="69">
        <f t="shared" si="151"/>
        <v>0</v>
      </c>
      <c r="K666" s="84">
        <f t="shared" si="144"/>
        <v>1857.5</v>
      </c>
      <c r="L666" s="13">
        <f t="shared" si="151"/>
        <v>0</v>
      </c>
      <c r="M666" s="84">
        <f t="shared" ref="M666:M742" si="152">K666+L666</f>
        <v>1857.5</v>
      </c>
      <c r="N666" s="13">
        <f t="shared" si="151"/>
        <v>0</v>
      </c>
      <c r="O666" s="84">
        <f t="shared" ref="O666:O742" si="153">M666+N666</f>
        <v>1857.5</v>
      </c>
      <c r="P666" s="13">
        <f t="shared" si="151"/>
        <v>0</v>
      </c>
      <c r="Q666" s="84">
        <f t="shared" si="148"/>
        <v>1857.5</v>
      </c>
      <c r="R666" s="13">
        <f t="shared" si="151"/>
        <v>0</v>
      </c>
      <c r="S666" s="84">
        <f t="shared" si="145"/>
        <v>1857.5</v>
      </c>
      <c r="T666" s="13">
        <f t="shared" si="151"/>
        <v>0</v>
      </c>
      <c r="U666" s="84">
        <f t="shared" si="141"/>
        <v>1857.5</v>
      </c>
    </row>
    <row r="667" spans="1:22" ht="33">
      <c r="A667" s="61" t="str">
        <f ca="1">IF(ISERROR(MATCH(F667,Код_КВР,0)),"",INDIRECT(ADDRESS(MATCH(F667,Код_КВР,0)+1,2,,,"КВР")))</f>
        <v>Предоставление субсидий бюджетным, автономным учреждениям и иным некоммерческим организациям</v>
      </c>
      <c r="B667" s="126">
        <v>805</v>
      </c>
      <c r="C667" s="8" t="s">
        <v>193</v>
      </c>
      <c r="D667" s="8" t="s">
        <v>212</v>
      </c>
      <c r="E667" s="126" t="s">
        <v>108</v>
      </c>
      <c r="F667" s="126">
        <v>600</v>
      </c>
      <c r="G667" s="69">
        <f t="shared" si="151"/>
        <v>1857.5</v>
      </c>
      <c r="H667" s="69">
        <f t="shared" si="151"/>
        <v>0</v>
      </c>
      <c r="I667" s="69">
        <f t="shared" si="147"/>
        <v>1857.5</v>
      </c>
      <c r="J667" s="69">
        <f t="shared" si="151"/>
        <v>0</v>
      </c>
      <c r="K667" s="84">
        <f t="shared" si="144"/>
        <v>1857.5</v>
      </c>
      <c r="L667" s="13">
        <f t="shared" si="151"/>
        <v>0</v>
      </c>
      <c r="M667" s="84">
        <f t="shared" si="152"/>
        <v>1857.5</v>
      </c>
      <c r="N667" s="13">
        <f t="shared" si="151"/>
        <v>0</v>
      </c>
      <c r="O667" s="84">
        <f t="shared" si="153"/>
        <v>1857.5</v>
      </c>
      <c r="P667" s="13">
        <f t="shared" si="151"/>
        <v>0</v>
      </c>
      <c r="Q667" s="84">
        <f t="shared" si="148"/>
        <v>1857.5</v>
      </c>
      <c r="R667" s="13">
        <f t="shared" si="151"/>
        <v>0</v>
      </c>
      <c r="S667" s="84">
        <f t="shared" si="145"/>
        <v>1857.5</v>
      </c>
      <c r="T667" s="13">
        <f t="shared" si="151"/>
        <v>0</v>
      </c>
      <c r="U667" s="84">
        <f t="shared" si="141"/>
        <v>1857.5</v>
      </c>
    </row>
    <row r="668" spans="1:22">
      <c r="A668" s="61" t="str">
        <f ca="1">IF(ISERROR(MATCH(F668,Код_КВР,0)),"",INDIRECT(ADDRESS(MATCH(F668,Код_КВР,0)+1,2,,,"КВР")))</f>
        <v>Субсидии бюджетным учреждениям</v>
      </c>
      <c r="B668" s="126">
        <v>805</v>
      </c>
      <c r="C668" s="8" t="s">
        <v>193</v>
      </c>
      <c r="D668" s="8" t="s">
        <v>212</v>
      </c>
      <c r="E668" s="126" t="s">
        <v>108</v>
      </c>
      <c r="F668" s="126">
        <v>610</v>
      </c>
      <c r="G668" s="69">
        <f t="shared" si="151"/>
        <v>1857.5</v>
      </c>
      <c r="H668" s="69">
        <f t="shared" si="151"/>
        <v>0</v>
      </c>
      <c r="I668" s="69">
        <f t="shared" si="147"/>
        <v>1857.5</v>
      </c>
      <c r="J668" s="69">
        <f t="shared" si="151"/>
        <v>0</v>
      </c>
      <c r="K668" s="84">
        <f t="shared" si="144"/>
        <v>1857.5</v>
      </c>
      <c r="L668" s="13">
        <f t="shared" si="151"/>
        <v>0</v>
      </c>
      <c r="M668" s="84">
        <f t="shared" si="152"/>
        <v>1857.5</v>
      </c>
      <c r="N668" s="13">
        <f t="shared" si="151"/>
        <v>0</v>
      </c>
      <c r="O668" s="84">
        <f t="shared" si="153"/>
        <v>1857.5</v>
      </c>
      <c r="P668" s="13">
        <f t="shared" si="151"/>
        <v>0</v>
      </c>
      <c r="Q668" s="84">
        <f t="shared" si="148"/>
        <v>1857.5</v>
      </c>
      <c r="R668" s="13">
        <f t="shared" si="151"/>
        <v>0</v>
      </c>
      <c r="S668" s="84">
        <f t="shared" si="145"/>
        <v>1857.5</v>
      </c>
      <c r="T668" s="13">
        <f t="shared" si="151"/>
        <v>0</v>
      </c>
      <c r="U668" s="84">
        <f t="shared" si="141"/>
        <v>1857.5</v>
      </c>
    </row>
    <row r="669" spans="1:22" ht="49.5">
      <c r="A669" s="61" t="str">
        <f ca="1">IF(ISERROR(MATCH(F669,Код_КВР,0)),"",INDIRECT(ADDRESS(MATCH(F669,Код_КВР,0)+1,2,,,"КВР")))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69" s="126">
        <v>805</v>
      </c>
      <c r="C669" s="8" t="s">
        <v>193</v>
      </c>
      <c r="D669" s="8" t="s">
        <v>212</v>
      </c>
      <c r="E669" s="126" t="s">
        <v>108</v>
      </c>
      <c r="F669" s="126">
        <v>611</v>
      </c>
      <c r="G669" s="69">
        <v>1857.5</v>
      </c>
      <c r="H669" s="64"/>
      <c r="I669" s="69">
        <f t="shared" si="147"/>
        <v>1857.5</v>
      </c>
      <c r="J669" s="64"/>
      <c r="K669" s="84">
        <f t="shared" si="144"/>
        <v>1857.5</v>
      </c>
      <c r="L669" s="84"/>
      <c r="M669" s="84">
        <f t="shared" si="152"/>
        <v>1857.5</v>
      </c>
      <c r="N669" s="84"/>
      <c r="O669" s="84">
        <f t="shared" si="153"/>
        <v>1857.5</v>
      </c>
      <c r="P669" s="84"/>
      <c r="Q669" s="84">
        <f t="shared" si="148"/>
        <v>1857.5</v>
      </c>
      <c r="R669" s="84"/>
      <c r="S669" s="84">
        <f t="shared" si="145"/>
        <v>1857.5</v>
      </c>
      <c r="T669" s="84"/>
      <c r="U669" s="84">
        <f t="shared" si="141"/>
        <v>1857.5</v>
      </c>
    </row>
    <row r="670" spans="1:22">
      <c r="A670" s="61" t="str">
        <f ca="1">IF(ISERROR(MATCH(E670,Код_КЦСР,0)),"",INDIRECT(ADDRESS(MATCH(E670,Код_КЦСР,0)+1,2,,,"КЦСР")))</f>
        <v>Кадровое обеспечение муниципальной системы образования</v>
      </c>
      <c r="B670" s="126">
        <v>805</v>
      </c>
      <c r="C670" s="8" t="s">
        <v>193</v>
      </c>
      <c r="D670" s="8" t="s">
        <v>212</v>
      </c>
      <c r="E670" s="126" t="s">
        <v>287</v>
      </c>
      <c r="F670" s="126"/>
      <c r="G670" s="69">
        <f>G671+G677</f>
        <v>227.9</v>
      </c>
      <c r="H670" s="69">
        <f>H671+H677</f>
        <v>0</v>
      </c>
      <c r="I670" s="69">
        <f t="shared" si="147"/>
        <v>227.9</v>
      </c>
      <c r="J670" s="69">
        <f>J671+J677</f>
        <v>0</v>
      </c>
      <c r="K670" s="84">
        <f t="shared" si="144"/>
        <v>227.9</v>
      </c>
      <c r="L670" s="13">
        <f>L671+L677</f>
        <v>0</v>
      </c>
      <c r="M670" s="84">
        <f t="shared" si="152"/>
        <v>227.9</v>
      </c>
      <c r="N670" s="13">
        <f>N671+N677</f>
        <v>0</v>
      </c>
      <c r="O670" s="84">
        <f t="shared" si="153"/>
        <v>227.9</v>
      </c>
      <c r="P670" s="13">
        <f>P671+P677</f>
        <v>0</v>
      </c>
      <c r="Q670" s="84">
        <f t="shared" si="148"/>
        <v>227.9</v>
      </c>
      <c r="R670" s="13">
        <f>R671+R677</f>
        <v>0</v>
      </c>
      <c r="S670" s="84">
        <f t="shared" si="145"/>
        <v>227.9</v>
      </c>
      <c r="T670" s="13">
        <f>T671+T677</f>
        <v>0</v>
      </c>
      <c r="U670" s="84">
        <f t="shared" ref="U670:U741" si="154">S670+T670</f>
        <v>227.9</v>
      </c>
    </row>
    <row r="671" spans="1:22" ht="33">
      <c r="A671" s="61" t="str">
        <f ca="1">IF(ISERROR(MATCH(E671,Код_КЦСР,0)),"",INDIRECT(ADDRESS(MATCH(E671,Код_КЦСР,0)+1,2,,,"КЦСР")))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671" s="126">
        <v>805</v>
      </c>
      <c r="C671" s="8" t="s">
        <v>193</v>
      </c>
      <c r="D671" s="8" t="s">
        <v>212</v>
      </c>
      <c r="E671" s="126" t="s">
        <v>289</v>
      </c>
      <c r="F671" s="126"/>
      <c r="G671" s="69">
        <f t="shared" ref="G671:T674" si="155">G672</f>
        <v>195.3</v>
      </c>
      <c r="H671" s="69">
        <f t="shared" si="155"/>
        <v>0</v>
      </c>
      <c r="I671" s="69">
        <f t="shared" si="147"/>
        <v>195.3</v>
      </c>
      <c r="J671" s="69">
        <f t="shared" si="155"/>
        <v>0</v>
      </c>
      <c r="K671" s="84">
        <f t="shared" si="144"/>
        <v>195.3</v>
      </c>
      <c r="L671" s="13">
        <f t="shared" si="155"/>
        <v>0</v>
      </c>
      <c r="M671" s="84">
        <f t="shared" si="152"/>
        <v>195.3</v>
      </c>
      <c r="N671" s="13">
        <f t="shared" si="155"/>
        <v>0</v>
      </c>
      <c r="O671" s="84">
        <f t="shared" si="153"/>
        <v>195.3</v>
      </c>
      <c r="P671" s="13">
        <f t="shared" si="155"/>
        <v>0</v>
      </c>
      <c r="Q671" s="84">
        <f t="shared" si="148"/>
        <v>195.3</v>
      </c>
      <c r="R671" s="13">
        <f t="shared" si="155"/>
        <v>0</v>
      </c>
      <c r="S671" s="84">
        <f t="shared" si="145"/>
        <v>195.3</v>
      </c>
      <c r="T671" s="13">
        <f t="shared" si="155"/>
        <v>0</v>
      </c>
      <c r="U671" s="84">
        <f t="shared" si="154"/>
        <v>195.3</v>
      </c>
    </row>
    <row r="672" spans="1:22" ht="49.5">
      <c r="A672" s="61" t="str">
        <f ca="1">IF(ISERROR(MATCH(E672,Код_КЦСР,0)),"",INDIRECT(ADDRESS(MATCH(E672,Код_КЦСР,0)+1,2,,,"КЦСР")))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672" s="126">
        <v>805</v>
      </c>
      <c r="C672" s="8" t="s">
        <v>193</v>
      </c>
      <c r="D672" s="8" t="s">
        <v>212</v>
      </c>
      <c r="E672" s="126" t="s">
        <v>291</v>
      </c>
      <c r="F672" s="126"/>
      <c r="G672" s="69">
        <f t="shared" si="155"/>
        <v>195.3</v>
      </c>
      <c r="H672" s="69">
        <f t="shared" si="155"/>
        <v>0</v>
      </c>
      <c r="I672" s="69">
        <f t="shared" si="147"/>
        <v>195.3</v>
      </c>
      <c r="J672" s="69">
        <f t="shared" si="155"/>
        <v>0</v>
      </c>
      <c r="K672" s="84">
        <f t="shared" si="144"/>
        <v>195.3</v>
      </c>
      <c r="L672" s="13">
        <f t="shared" si="155"/>
        <v>0</v>
      </c>
      <c r="M672" s="84">
        <f t="shared" si="152"/>
        <v>195.3</v>
      </c>
      <c r="N672" s="13">
        <f t="shared" si="155"/>
        <v>0</v>
      </c>
      <c r="O672" s="84">
        <f t="shared" si="153"/>
        <v>195.3</v>
      </c>
      <c r="P672" s="13">
        <f t="shared" si="155"/>
        <v>0</v>
      </c>
      <c r="Q672" s="84">
        <f t="shared" si="148"/>
        <v>195.3</v>
      </c>
      <c r="R672" s="13">
        <f t="shared" si="155"/>
        <v>0</v>
      </c>
      <c r="S672" s="84">
        <f t="shared" si="145"/>
        <v>195.3</v>
      </c>
      <c r="T672" s="13">
        <f t="shared" si="155"/>
        <v>0</v>
      </c>
      <c r="U672" s="84">
        <f t="shared" si="154"/>
        <v>195.3</v>
      </c>
    </row>
    <row r="673" spans="1:22">
      <c r="A673" s="61" t="str">
        <f ca="1">IF(ISERROR(MATCH(F673,Код_КВР,0)),"",INDIRECT(ADDRESS(MATCH(F673,Код_КВР,0)+1,2,,,"КВР")))</f>
        <v>Социальное обеспечение и иные выплаты населению</v>
      </c>
      <c r="B673" s="126">
        <v>805</v>
      </c>
      <c r="C673" s="8" t="s">
        <v>193</v>
      </c>
      <c r="D673" s="8" t="s">
        <v>212</v>
      </c>
      <c r="E673" s="126" t="s">
        <v>291</v>
      </c>
      <c r="F673" s="126">
        <v>300</v>
      </c>
      <c r="G673" s="69">
        <f t="shared" si="155"/>
        <v>195.3</v>
      </c>
      <c r="H673" s="69">
        <f t="shared" si="155"/>
        <v>0</v>
      </c>
      <c r="I673" s="69">
        <f t="shared" si="147"/>
        <v>195.3</v>
      </c>
      <c r="J673" s="69">
        <f t="shared" si="155"/>
        <v>0</v>
      </c>
      <c r="K673" s="84">
        <f t="shared" si="144"/>
        <v>195.3</v>
      </c>
      <c r="L673" s="13">
        <f t="shared" si="155"/>
        <v>0</v>
      </c>
      <c r="M673" s="84">
        <f t="shared" si="152"/>
        <v>195.3</v>
      </c>
      <c r="N673" s="13">
        <f t="shared" si="155"/>
        <v>0</v>
      </c>
      <c r="O673" s="84">
        <f t="shared" si="153"/>
        <v>195.3</v>
      </c>
      <c r="P673" s="13">
        <f t="shared" si="155"/>
        <v>0</v>
      </c>
      <c r="Q673" s="84">
        <f t="shared" si="148"/>
        <v>195.3</v>
      </c>
      <c r="R673" s="13">
        <f t="shared" si="155"/>
        <v>0</v>
      </c>
      <c r="S673" s="84">
        <f t="shared" si="145"/>
        <v>195.3</v>
      </c>
      <c r="T673" s="13">
        <f>T674+T676</f>
        <v>0</v>
      </c>
      <c r="U673" s="84">
        <f t="shared" si="154"/>
        <v>195.3</v>
      </c>
    </row>
    <row r="674" spans="1:22" hidden="1">
      <c r="A674" s="61" t="str">
        <f ca="1">IF(ISERROR(MATCH(F674,Код_КВР,0)),"",INDIRECT(ADDRESS(MATCH(F674,Код_КВР,0)+1,2,,,"КВР")))</f>
        <v>Публичные нормативные социальные выплаты гражданам</v>
      </c>
      <c r="B674" s="126">
        <v>805</v>
      </c>
      <c r="C674" s="8" t="s">
        <v>193</v>
      </c>
      <c r="D674" s="8" t="s">
        <v>212</v>
      </c>
      <c r="E674" s="126" t="s">
        <v>291</v>
      </c>
      <c r="F674" s="126">
        <v>310</v>
      </c>
      <c r="G674" s="69">
        <f t="shared" si="155"/>
        <v>195.3</v>
      </c>
      <c r="H674" s="69">
        <f t="shared" si="155"/>
        <v>0</v>
      </c>
      <c r="I674" s="69">
        <f t="shared" si="147"/>
        <v>195.3</v>
      </c>
      <c r="J674" s="69">
        <f t="shared" si="155"/>
        <v>0</v>
      </c>
      <c r="K674" s="84">
        <f t="shared" si="144"/>
        <v>195.3</v>
      </c>
      <c r="L674" s="13">
        <f t="shared" si="155"/>
        <v>0</v>
      </c>
      <c r="M674" s="84">
        <f t="shared" si="152"/>
        <v>195.3</v>
      </c>
      <c r="N674" s="13">
        <f t="shared" si="155"/>
        <v>0</v>
      </c>
      <c r="O674" s="84">
        <f t="shared" si="153"/>
        <v>195.3</v>
      </c>
      <c r="P674" s="13">
        <f t="shared" si="155"/>
        <v>0</v>
      </c>
      <c r="Q674" s="84">
        <f t="shared" si="148"/>
        <v>195.3</v>
      </c>
      <c r="R674" s="13">
        <f t="shared" si="155"/>
        <v>0</v>
      </c>
      <c r="S674" s="84">
        <f t="shared" si="145"/>
        <v>195.3</v>
      </c>
      <c r="T674" s="13">
        <f t="shared" si="155"/>
        <v>-195.3</v>
      </c>
      <c r="U674" s="84">
        <f t="shared" si="154"/>
        <v>0</v>
      </c>
      <c r="V674" s="142" t="s">
        <v>706</v>
      </c>
    </row>
    <row r="675" spans="1:22" ht="33" hidden="1">
      <c r="A675" s="61" t="str">
        <f ca="1">IF(ISERROR(MATCH(F675,Код_КВР,0)),"",INDIRECT(ADDRESS(MATCH(F675,Код_КВР,0)+1,2,,,"КВР")))</f>
        <v>Пособия, компенсации, меры социальной поддержки по публичным нормативным обязательствам</v>
      </c>
      <c r="B675" s="126">
        <v>805</v>
      </c>
      <c r="C675" s="8" t="s">
        <v>193</v>
      </c>
      <c r="D675" s="8" t="s">
        <v>212</v>
      </c>
      <c r="E675" s="126" t="s">
        <v>291</v>
      </c>
      <c r="F675" s="126">
        <v>313</v>
      </c>
      <c r="G675" s="69">
        <v>195.3</v>
      </c>
      <c r="H675" s="64"/>
      <c r="I675" s="69">
        <f t="shared" si="147"/>
        <v>195.3</v>
      </c>
      <c r="J675" s="64"/>
      <c r="K675" s="84">
        <f t="shared" si="144"/>
        <v>195.3</v>
      </c>
      <c r="L675" s="84"/>
      <c r="M675" s="84">
        <f t="shared" si="152"/>
        <v>195.3</v>
      </c>
      <c r="N675" s="84"/>
      <c r="O675" s="84">
        <f t="shared" si="153"/>
        <v>195.3</v>
      </c>
      <c r="P675" s="84"/>
      <c r="Q675" s="84">
        <f t="shared" si="148"/>
        <v>195.3</v>
      </c>
      <c r="R675" s="84"/>
      <c r="S675" s="84">
        <f t="shared" si="145"/>
        <v>195.3</v>
      </c>
      <c r="T675" s="84">
        <f>-150-45.3</f>
        <v>-195.3</v>
      </c>
      <c r="U675" s="84">
        <f t="shared" si="154"/>
        <v>0</v>
      </c>
      <c r="V675" s="142" t="s">
        <v>706</v>
      </c>
    </row>
    <row r="676" spans="1:22">
      <c r="A676" s="61" t="str">
        <f ca="1">IF(ISERROR(MATCH(F676,Код_КВР,0)),"",INDIRECT(ADDRESS(MATCH(F676,Код_КВР,0)+1,2,,,"КВР")))</f>
        <v>Публичные нормативные выплаты гражданам несоциального характера</v>
      </c>
      <c r="B676" s="126">
        <v>805</v>
      </c>
      <c r="C676" s="8" t="s">
        <v>193</v>
      </c>
      <c r="D676" s="8" t="s">
        <v>212</v>
      </c>
      <c r="E676" s="126" t="s">
        <v>291</v>
      </c>
      <c r="F676" s="126">
        <v>330</v>
      </c>
      <c r="G676" s="69"/>
      <c r="H676" s="64"/>
      <c r="I676" s="69"/>
      <c r="J676" s="64"/>
      <c r="K676" s="84"/>
      <c r="L676" s="84"/>
      <c r="M676" s="84"/>
      <c r="N676" s="84"/>
      <c r="O676" s="84"/>
      <c r="P676" s="84"/>
      <c r="Q676" s="84"/>
      <c r="R676" s="84"/>
      <c r="S676" s="84"/>
      <c r="T676" s="84">
        <v>195.3</v>
      </c>
      <c r="U676" s="84">
        <f t="shared" si="154"/>
        <v>195.3</v>
      </c>
    </row>
    <row r="677" spans="1:22" ht="33">
      <c r="A677" s="61" t="str">
        <f ca="1">IF(ISERROR(MATCH(E677,Код_КЦСР,0)),"",INDIRECT(ADDRESS(MATCH(E677,Код_КЦСР,0)+1,2,,,"КЦСР")))</f>
        <v>Представление лучших педагогов сферы образования к поощрению  наградами всех уровней</v>
      </c>
      <c r="B677" s="126">
        <v>805</v>
      </c>
      <c r="C677" s="8" t="s">
        <v>193</v>
      </c>
      <c r="D677" s="8" t="s">
        <v>212</v>
      </c>
      <c r="E677" s="126" t="s">
        <v>453</v>
      </c>
      <c r="F677" s="126"/>
      <c r="G677" s="69">
        <f t="shared" ref="G677:T680" si="156">G678</f>
        <v>32.6</v>
      </c>
      <c r="H677" s="69">
        <f t="shared" si="156"/>
        <v>0</v>
      </c>
      <c r="I677" s="69">
        <f t="shared" si="147"/>
        <v>32.6</v>
      </c>
      <c r="J677" s="69">
        <f t="shared" si="156"/>
        <v>0</v>
      </c>
      <c r="K677" s="84">
        <f t="shared" si="144"/>
        <v>32.6</v>
      </c>
      <c r="L677" s="13">
        <f t="shared" si="156"/>
        <v>0</v>
      </c>
      <c r="M677" s="84">
        <f t="shared" si="152"/>
        <v>32.6</v>
      </c>
      <c r="N677" s="13">
        <f t="shared" si="156"/>
        <v>0</v>
      </c>
      <c r="O677" s="84">
        <f t="shared" si="153"/>
        <v>32.6</v>
      </c>
      <c r="P677" s="13">
        <f t="shared" si="156"/>
        <v>0</v>
      </c>
      <c r="Q677" s="84">
        <f t="shared" si="148"/>
        <v>32.6</v>
      </c>
      <c r="R677" s="13">
        <f t="shared" si="156"/>
        <v>0</v>
      </c>
      <c r="S677" s="84">
        <f t="shared" si="145"/>
        <v>32.6</v>
      </c>
      <c r="T677" s="13">
        <f t="shared" si="156"/>
        <v>0</v>
      </c>
      <c r="U677" s="84">
        <f t="shared" si="154"/>
        <v>32.6</v>
      </c>
    </row>
    <row r="678" spans="1:22" ht="49.5">
      <c r="A678" s="61" t="str">
        <f ca="1">IF(ISERROR(MATCH(E678,Код_КЦСР,0)),"",INDIRECT(ADDRESS(MATCH(E678,Код_КЦСР,0)+1,2,,,"КЦСР")))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678" s="126">
        <v>805</v>
      </c>
      <c r="C678" s="8" t="s">
        <v>193</v>
      </c>
      <c r="D678" s="8" t="s">
        <v>212</v>
      </c>
      <c r="E678" s="126" t="s">
        <v>455</v>
      </c>
      <c r="F678" s="126"/>
      <c r="G678" s="69">
        <f t="shared" si="156"/>
        <v>32.6</v>
      </c>
      <c r="H678" s="69">
        <f t="shared" si="156"/>
        <v>0</v>
      </c>
      <c r="I678" s="69">
        <f t="shared" si="147"/>
        <v>32.6</v>
      </c>
      <c r="J678" s="69">
        <f t="shared" si="156"/>
        <v>0</v>
      </c>
      <c r="K678" s="84">
        <f t="shared" si="144"/>
        <v>32.6</v>
      </c>
      <c r="L678" s="13">
        <f t="shared" si="156"/>
        <v>0</v>
      </c>
      <c r="M678" s="84">
        <f t="shared" si="152"/>
        <v>32.6</v>
      </c>
      <c r="N678" s="13">
        <f t="shared" si="156"/>
        <v>0</v>
      </c>
      <c r="O678" s="84">
        <f t="shared" si="153"/>
        <v>32.6</v>
      </c>
      <c r="P678" s="13">
        <f t="shared" si="156"/>
        <v>0</v>
      </c>
      <c r="Q678" s="84">
        <f t="shared" si="148"/>
        <v>32.6</v>
      </c>
      <c r="R678" s="13">
        <f t="shared" si="156"/>
        <v>0</v>
      </c>
      <c r="S678" s="84">
        <f t="shared" si="145"/>
        <v>32.6</v>
      </c>
      <c r="T678" s="13">
        <f t="shared" si="156"/>
        <v>0</v>
      </c>
      <c r="U678" s="84">
        <f t="shared" si="154"/>
        <v>32.6</v>
      </c>
    </row>
    <row r="679" spans="1:22">
      <c r="A679" s="61" t="str">
        <f ca="1">IF(ISERROR(MATCH(F679,Код_КВР,0)),"",INDIRECT(ADDRESS(MATCH(F679,Код_КВР,0)+1,2,,,"КВР")))</f>
        <v>Социальное обеспечение и иные выплаты населению</v>
      </c>
      <c r="B679" s="126">
        <v>805</v>
      </c>
      <c r="C679" s="8" t="s">
        <v>193</v>
      </c>
      <c r="D679" s="8" t="s">
        <v>212</v>
      </c>
      <c r="E679" s="126" t="s">
        <v>455</v>
      </c>
      <c r="F679" s="126">
        <v>300</v>
      </c>
      <c r="G679" s="69">
        <f t="shared" si="156"/>
        <v>32.6</v>
      </c>
      <c r="H679" s="69">
        <f t="shared" si="156"/>
        <v>0</v>
      </c>
      <c r="I679" s="69">
        <f t="shared" si="147"/>
        <v>32.6</v>
      </c>
      <c r="J679" s="69">
        <f t="shared" si="156"/>
        <v>0</v>
      </c>
      <c r="K679" s="84">
        <f t="shared" si="144"/>
        <v>32.6</v>
      </c>
      <c r="L679" s="13">
        <f t="shared" si="156"/>
        <v>0</v>
      </c>
      <c r="M679" s="84">
        <f t="shared" si="152"/>
        <v>32.6</v>
      </c>
      <c r="N679" s="13">
        <f t="shared" si="156"/>
        <v>0</v>
      </c>
      <c r="O679" s="84">
        <f t="shared" si="153"/>
        <v>32.6</v>
      </c>
      <c r="P679" s="13">
        <f t="shared" si="156"/>
        <v>0</v>
      </c>
      <c r="Q679" s="84">
        <f t="shared" si="148"/>
        <v>32.6</v>
      </c>
      <c r="R679" s="13">
        <f t="shared" si="156"/>
        <v>0</v>
      </c>
      <c r="S679" s="84">
        <f t="shared" si="145"/>
        <v>32.6</v>
      </c>
      <c r="T679" s="13">
        <f>T680+T682</f>
        <v>0</v>
      </c>
      <c r="U679" s="84">
        <f t="shared" si="154"/>
        <v>32.6</v>
      </c>
    </row>
    <row r="680" spans="1:22" hidden="1">
      <c r="A680" s="61" t="str">
        <f ca="1">IF(ISERROR(MATCH(F680,Код_КВР,0)),"",INDIRECT(ADDRESS(MATCH(F680,Код_КВР,0)+1,2,,,"КВР")))</f>
        <v>Публичные нормативные социальные выплаты гражданам</v>
      </c>
      <c r="B680" s="126">
        <v>805</v>
      </c>
      <c r="C680" s="8" t="s">
        <v>193</v>
      </c>
      <c r="D680" s="8" t="s">
        <v>212</v>
      </c>
      <c r="E680" s="126" t="s">
        <v>455</v>
      </c>
      <c r="F680" s="126">
        <v>310</v>
      </c>
      <c r="G680" s="69">
        <f t="shared" si="156"/>
        <v>32.6</v>
      </c>
      <c r="H680" s="69">
        <f t="shared" si="156"/>
        <v>0</v>
      </c>
      <c r="I680" s="69">
        <f t="shared" si="147"/>
        <v>32.6</v>
      </c>
      <c r="J680" s="69">
        <f t="shared" si="156"/>
        <v>0</v>
      </c>
      <c r="K680" s="84">
        <f t="shared" si="144"/>
        <v>32.6</v>
      </c>
      <c r="L680" s="13">
        <f t="shared" si="156"/>
        <v>0</v>
      </c>
      <c r="M680" s="84">
        <f t="shared" si="152"/>
        <v>32.6</v>
      </c>
      <c r="N680" s="13">
        <f t="shared" si="156"/>
        <v>0</v>
      </c>
      <c r="O680" s="84">
        <f t="shared" si="153"/>
        <v>32.6</v>
      </c>
      <c r="P680" s="13">
        <f t="shared" si="156"/>
        <v>0</v>
      </c>
      <c r="Q680" s="84">
        <f t="shared" si="148"/>
        <v>32.6</v>
      </c>
      <c r="R680" s="13">
        <f t="shared" si="156"/>
        <v>0</v>
      </c>
      <c r="S680" s="84">
        <f t="shared" si="145"/>
        <v>32.6</v>
      </c>
      <c r="T680" s="13">
        <f t="shared" si="156"/>
        <v>-32.6</v>
      </c>
      <c r="U680" s="84">
        <f t="shared" si="154"/>
        <v>0</v>
      </c>
      <c r="V680" s="142" t="s">
        <v>706</v>
      </c>
    </row>
    <row r="681" spans="1:22" ht="33" hidden="1">
      <c r="A681" s="61" t="str">
        <f ca="1">IF(ISERROR(MATCH(F681,Код_КВР,0)),"",INDIRECT(ADDRESS(MATCH(F681,Код_КВР,0)+1,2,,,"КВР")))</f>
        <v>Пособия, компенсации, меры социальной поддержки по публичным нормативным обязательствам</v>
      </c>
      <c r="B681" s="126">
        <v>805</v>
      </c>
      <c r="C681" s="8" t="s">
        <v>193</v>
      </c>
      <c r="D681" s="8" t="s">
        <v>212</v>
      </c>
      <c r="E681" s="126" t="s">
        <v>455</v>
      </c>
      <c r="F681" s="126">
        <v>313</v>
      </c>
      <c r="G681" s="69">
        <v>32.6</v>
      </c>
      <c r="H681" s="64"/>
      <c r="I681" s="69">
        <f t="shared" si="147"/>
        <v>32.6</v>
      </c>
      <c r="J681" s="64"/>
      <c r="K681" s="84">
        <f t="shared" si="144"/>
        <v>32.6</v>
      </c>
      <c r="L681" s="84"/>
      <c r="M681" s="84">
        <f t="shared" si="152"/>
        <v>32.6</v>
      </c>
      <c r="N681" s="84"/>
      <c r="O681" s="84">
        <f t="shared" si="153"/>
        <v>32.6</v>
      </c>
      <c r="P681" s="84"/>
      <c r="Q681" s="84">
        <f t="shared" si="148"/>
        <v>32.6</v>
      </c>
      <c r="R681" s="84"/>
      <c r="S681" s="84">
        <f t="shared" si="145"/>
        <v>32.6</v>
      </c>
      <c r="T681" s="84">
        <v>-32.6</v>
      </c>
      <c r="U681" s="84">
        <f t="shared" si="154"/>
        <v>0</v>
      </c>
      <c r="V681" s="142" t="s">
        <v>706</v>
      </c>
    </row>
    <row r="682" spans="1:22" ht="18.75" customHeight="1">
      <c r="A682" s="61" t="str">
        <f ca="1">IF(ISERROR(MATCH(F682,Код_КВР,0)),"",INDIRECT(ADDRESS(MATCH(F682,Код_КВР,0)+1,2,,,"КВР")))</f>
        <v>Публичные нормативные выплаты гражданам несоциального характера</v>
      </c>
      <c r="B682" s="126">
        <v>805</v>
      </c>
      <c r="C682" s="8" t="s">
        <v>193</v>
      </c>
      <c r="D682" s="8" t="s">
        <v>212</v>
      </c>
      <c r="E682" s="126" t="s">
        <v>455</v>
      </c>
      <c r="F682" s="126">
        <v>330</v>
      </c>
      <c r="G682" s="69"/>
      <c r="H682" s="64"/>
      <c r="I682" s="69"/>
      <c r="J682" s="64"/>
      <c r="K682" s="84"/>
      <c r="L682" s="84"/>
      <c r="M682" s="84"/>
      <c r="N682" s="84"/>
      <c r="O682" s="84"/>
      <c r="P682" s="84"/>
      <c r="Q682" s="84"/>
      <c r="R682" s="84"/>
      <c r="S682" s="84"/>
      <c r="T682" s="84">
        <v>32.6</v>
      </c>
      <c r="U682" s="84">
        <f t="shared" si="154"/>
        <v>32.6</v>
      </c>
    </row>
    <row r="683" spans="1:22" ht="33">
      <c r="A683" s="61" t="str">
        <f ca="1">IF(ISERROR(MATCH(E683,Код_КЦСР,0)),"",INDIRECT(ADDRESS(MATCH(E683,Код_КЦСР,0)+1,2,,,"КЦСР")))</f>
        <v>Социально-педагогическая поддержка детей-сирот и детей, оставшихся без попечения родителей</v>
      </c>
      <c r="B683" s="126">
        <v>805</v>
      </c>
      <c r="C683" s="8" t="s">
        <v>193</v>
      </c>
      <c r="D683" s="8" t="s">
        <v>212</v>
      </c>
      <c r="E683" s="126" t="s">
        <v>408</v>
      </c>
      <c r="F683" s="126"/>
      <c r="G683" s="69">
        <f>G684</f>
        <v>117177.8</v>
      </c>
      <c r="H683" s="69">
        <f>H684</f>
        <v>0</v>
      </c>
      <c r="I683" s="69">
        <f t="shared" si="147"/>
        <v>117177.8</v>
      </c>
      <c r="J683" s="69">
        <f>J684</f>
        <v>0</v>
      </c>
      <c r="K683" s="84">
        <f t="shared" si="144"/>
        <v>117177.8</v>
      </c>
      <c r="L683" s="13">
        <f>L684</f>
        <v>0</v>
      </c>
      <c r="M683" s="84">
        <f t="shared" si="152"/>
        <v>117177.8</v>
      </c>
      <c r="N683" s="13">
        <f>N684</f>
        <v>0</v>
      </c>
      <c r="O683" s="84">
        <f t="shared" si="153"/>
        <v>117177.8</v>
      </c>
      <c r="P683" s="13">
        <f>P684</f>
        <v>0</v>
      </c>
      <c r="Q683" s="84">
        <f t="shared" si="148"/>
        <v>117177.8</v>
      </c>
      <c r="R683" s="13">
        <f>R684</f>
        <v>-491.2</v>
      </c>
      <c r="S683" s="84">
        <f t="shared" si="145"/>
        <v>116686.6</v>
      </c>
      <c r="T683" s="13">
        <f>T684</f>
        <v>9306.2000000000007</v>
      </c>
      <c r="U683" s="84">
        <f t="shared" si="154"/>
        <v>125992.8</v>
      </c>
    </row>
    <row r="684" spans="1:22" ht="66">
      <c r="A684" s="61" t="str">
        <f ca="1">IF(ISERROR(MATCH(E684,Код_КЦСР,0)),"",INDIRECT(ADDRESS(MATCH(E684,Код_КЦСР,0)+1,2,,,"КЦСР")))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84" s="126">
        <v>805</v>
      </c>
      <c r="C684" s="8" t="s">
        <v>193</v>
      </c>
      <c r="D684" s="8" t="s">
        <v>212</v>
      </c>
      <c r="E684" s="126" t="s">
        <v>410</v>
      </c>
      <c r="F684" s="126"/>
      <c r="G684" s="69">
        <f>G685+G688</f>
        <v>117177.8</v>
      </c>
      <c r="H684" s="69">
        <f>H685+H688</f>
        <v>0</v>
      </c>
      <c r="I684" s="69">
        <f t="shared" si="147"/>
        <v>117177.8</v>
      </c>
      <c r="J684" s="69">
        <f>J685+J688</f>
        <v>0</v>
      </c>
      <c r="K684" s="84">
        <f t="shared" si="144"/>
        <v>117177.8</v>
      </c>
      <c r="L684" s="13">
        <f>L685+L688</f>
        <v>0</v>
      </c>
      <c r="M684" s="84">
        <f t="shared" si="152"/>
        <v>117177.8</v>
      </c>
      <c r="N684" s="13">
        <f>N685+N688</f>
        <v>0</v>
      </c>
      <c r="O684" s="84">
        <f t="shared" si="153"/>
        <v>117177.8</v>
      </c>
      <c r="P684" s="13">
        <f>P685+P688</f>
        <v>0</v>
      </c>
      <c r="Q684" s="84">
        <f t="shared" si="148"/>
        <v>117177.8</v>
      </c>
      <c r="R684" s="13">
        <f>R685+R688</f>
        <v>-491.2</v>
      </c>
      <c r="S684" s="84">
        <f t="shared" si="145"/>
        <v>116686.6</v>
      </c>
      <c r="T684" s="13">
        <f>T685+T688</f>
        <v>9306.2000000000007</v>
      </c>
      <c r="U684" s="84">
        <f t="shared" si="154"/>
        <v>125992.8</v>
      </c>
    </row>
    <row r="685" spans="1:22">
      <c r="A685" s="61" t="str">
        <f t="shared" ref="A685:A696" ca="1" si="157">IF(ISERROR(MATCH(F685,Код_КВР,0)),"",INDIRECT(ADDRESS(MATCH(F685,Код_КВР,0)+1,2,,,"КВР")))</f>
        <v>Социальное обеспечение и иные выплаты населению</v>
      </c>
      <c r="B685" s="126">
        <v>805</v>
      </c>
      <c r="C685" s="8" t="s">
        <v>193</v>
      </c>
      <c r="D685" s="8" t="s">
        <v>212</v>
      </c>
      <c r="E685" s="126" t="s">
        <v>410</v>
      </c>
      <c r="F685" s="126">
        <v>300</v>
      </c>
      <c r="G685" s="69">
        <f>G686</f>
        <v>851.6</v>
      </c>
      <c r="H685" s="69">
        <f>H686</f>
        <v>0</v>
      </c>
      <c r="I685" s="69">
        <f t="shared" si="147"/>
        <v>851.6</v>
      </c>
      <c r="J685" s="69">
        <f>J686</f>
        <v>0</v>
      </c>
      <c r="K685" s="84">
        <f t="shared" si="144"/>
        <v>851.6</v>
      </c>
      <c r="L685" s="13">
        <f>L686</f>
        <v>0</v>
      </c>
      <c r="M685" s="84">
        <f t="shared" si="152"/>
        <v>851.6</v>
      </c>
      <c r="N685" s="13">
        <f>N686</f>
        <v>0</v>
      </c>
      <c r="O685" s="84">
        <f t="shared" si="153"/>
        <v>851.6</v>
      </c>
      <c r="P685" s="13">
        <f>P686</f>
        <v>0</v>
      </c>
      <c r="Q685" s="84">
        <f t="shared" si="148"/>
        <v>851.6</v>
      </c>
      <c r="R685" s="13">
        <f>R686</f>
        <v>0</v>
      </c>
      <c r="S685" s="84">
        <f t="shared" si="145"/>
        <v>851.6</v>
      </c>
      <c r="T685" s="13">
        <f>T686</f>
        <v>-170.3</v>
      </c>
      <c r="U685" s="84">
        <f t="shared" si="154"/>
        <v>681.3</v>
      </c>
    </row>
    <row r="686" spans="1:22" ht="33">
      <c r="A686" s="61" t="str">
        <f t="shared" ca="1" si="157"/>
        <v>Социальные выплаты гражданам, кроме публичных нормативных социальных выплат</v>
      </c>
      <c r="B686" s="126">
        <v>805</v>
      </c>
      <c r="C686" s="8" t="s">
        <v>193</v>
      </c>
      <c r="D686" s="8" t="s">
        <v>212</v>
      </c>
      <c r="E686" s="126" t="s">
        <v>410</v>
      </c>
      <c r="F686" s="126">
        <v>320</v>
      </c>
      <c r="G686" s="69">
        <f>G687</f>
        <v>851.6</v>
      </c>
      <c r="H686" s="69">
        <f>H687</f>
        <v>0</v>
      </c>
      <c r="I686" s="69">
        <f t="shared" si="147"/>
        <v>851.6</v>
      </c>
      <c r="J686" s="69">
        <f>J687</f>
        <v>0</v>
      </c>
      <c r="K686" s="84">
        <f t="shared" si="144"/>
        <v>851.6</v>
      </c>
      <c r="L686" s="13">
        <f>L687</f>
        <v>0</v>
      </c>
      <c r="M686" s="84">
        <f t="shared" si="152"/>
        <v>851.6</v>
      </c>
      <c r="N686" s="13">
        <f>N687</f>
        <v>0</v>
      </c>
      <c r="O686" s="84">
        <f t="shared" si="153"/>
        <v>851.6</v>
      </c>
      <c r="P686" s="13">
        <f>P687</f>
        <v>0</v>
      </c>
      <c r="Q686" s="84">
        <f t="shared" si="148"/>
        <v>851.6</v>
      </c>
      <c r="R686" s="13">
        <f>R687</f>
        <v>0</v>
      </c>
      <c r="S686" s="84">
        <f t="shared" si="145"/>
        <v>851.6</v>
      </c>
      <c r="T686" s="13">
        <f>T687</f>
        <v>-170.3</v>
      </c>
      <c r="U686" s="84">
        <f t="shared" si="154"/>
        <v>681.3</v>
      </c>
    </row>
    <row r="687" spans="1:22" ht="33">
      <c r="A687" s="61" t="str">
        <f t="shared" ca="1" si="157"/>
        <v>Пособия, компенсации и иные социальные выплаты гражданам, кроме публичных нормативных обязательств</v>
      </c>
      <c r="B687" s="126">
        <v>805</v>
      </c>
      <c r="C687" s="8" t="s">
        <v>193</v>
      </c>
      <c r="D687" s="8" t="s">
        <v>212</v>
      </c>
      <c r="E687" s="126" t="s">
        <v>410</v>
      </c>
      <c r="F687" s="126">
        <v>321</v>
      </c>
      <c r="G687" s="69">
        <f>851.6</f>
        <v>851.6</v>
      </c>
      <c r="H687" s="64"/>
      <c r="I687" s="69">
        <f t="shared" si="147"/>
        <v>851.6</v>
      </c>
      <c r="J687" s="64"/>
      <c r="K687" s="84">
        <f t="shared" si="144"/>
        <v>851.6</v>
      </c>
      <c r="L687" s="84"/>
      <c r="M687" s="84">
        <f t="shared" si="152"/>
        <v>851.6</v>
      </c>
      <c r="N687" s="84"/>
      <c r="O687" s="84">
        <f t="shared" si="153"/>
        <v>851.6</v>
      </c>
      <c r="P687" s="84"/>
      <c r="Q687" s="84">
        <f t="shared" si="148"/>
        <v>851.6</v>
      </c>
      <c r="R687" s="84"/>
      <c r="S687" s="84">
        <f t="shared" si="145"/>
        <v>851.6</v>
      </c>
      <c r="T687" s="84">
        <v>-170.3</v>
      </c>
      <c r="U687" s="84">
        <f t="shared" si="154"/>
        <v>681.3</v>
      </c>
    </row>
    <row r="688" spans="1:22" ht="33">
      <c r="A688" s="61" t="str">
        <f t="shared" ca="1" si="157"/>
        <v>Предоставление субсидий бюджетным, автономным учреждениям и иным некоммерческим организациям</v>
      </c>
      <c r="B688" s="126">
        <v>805</v>
      </c>
      <c r="C688" s="8" t="s">
        <v>193</v>
      </c>
      <c r="D688" s="8" t="s">
        <v>212</v>
      </c>
      <c r="E688" s="126" t="s">
        <v>410</v>
      </c>
      <c r="F688" s="126">
        <v>600</v>
      </c>
      <c r="G688" s="69">
        <f>G689</f>
        <v>116326.2</v>
      </c>
      <c r="H688" s="69">
        <f>H689</f>
        <v>0</v>
      </c>
      <c r="I688" s="69">
        <f t="shared" si="147"/>
        <v>116326.2</v>
      </c>
      <c r="J688" s="69">
        <f>J689</f>
        <v>0</v>
      </c>
      <c r="K688" s="84">
        <f t="shared" si="144"/>
        <v>116326.2</v>
      </c>
      <c r="L688" s="13">
        <f>L689</f>
        <v>0</v>
      </c>
      <c r="M688" s="84">
        <f t="shared" si="152"/>
        <v>116326.2</v>
      </c>
      <c r="N688" s="13">
        <f>N689</f>
        <v>0</v>
      </c>
      <c r="O688" s="84">
        <f t="shared" si="153"/>
        <v>116326.2</v>
      </c>
      <c r="P688" s="13">
        <f>P689</f>
        <v>0</v>
      </c>
      <c r="Q688" s="84">
        <f t="shared" si="148"/>
        <v>116326.2</v>
      </c>
      <c r="R688" s="13">
        <f>R689</f>
        <v>-491.2</v>
      </c>
      <c r="S688" s="84">
        <f t="shared" si="145"/>
        <v>115835</v>
      </c>
      <c r="T688" s="13">
        <f>T689</f>
        <v>9476.5</v>
      </c>
      <c r="U688" s="84">
        <f t="shared" si="154"/>
        <v>125311.5</v>
      </c>
    </row>
    <row r="689" spans="1:21">
      <c r="A689" s="61" t="str">
        <f t="shared" ca="1" si="157"/>
        <v>Субсидии бюджетным учреждениям</v>
      </c>
      <c r="B689" s="126">
        <v>805</v>
      </c>
      <c r="C689" s="8" t="s">
        <v>193</v>
      </c>
      <c r="D689" s="8" t="s">
        <v>212</v>
      </c>
      <c r="E689" s="126" t="s">
        <v>410</v>
      </c>
      <c r="F689" s="126">
        <v>610</v>
      </c>
      <c r="G689" s="69">
        <f>G690</f>
        <v>116326.2</v>
      </c>
      <c r="H689" s="69">
        <f>H690</f>
        <v>0</v>
      </c>
      <c r="I689" s="69">
        <f t="shared" si="147"/>
        <v>116326.2</v>
      </c>
      <c r="J689" s="69">
        <f>J690</f>
        <v>0</v>
      </c>
      <c r="K689" s="84">
        <f t="shared" si="144"/>
        <v>116326.2</v>
      </c>
      <c r="L689" s="13">
        <f>L690</f>
        <v>0</v>
      </c>
      <c r="M689" s="84">
        <f t="shared" si="152"/>
        <v>116326.2</v>
      </c>
      <c r="N689" s="13">
        <f>N690</f>
        <v>0</v>
      </c>
      <c r="O689" s="84">
        <f t="shared" si="153"/>
        <v>116326.2</v>
      </c>
      <c r="P689" s="13">
        <f>P690</f>
        <v>0</v>
      </c>
      <c r="Q689" s="84">
        <f t="shared" si="148"/>
        <v>116326.2</v>
      </c>
      <c r="R689" s="13">
        <f>R690</f>
        <v>-491.2</v>
      </c>
      <c r="S689" s="84">
        <f t="shared" si="145"/>
        <v>115835</v>
      </c>
      <c r="T689" s="13">
        <f>T690</f>
        <v>9476.5</v>
      </c>
      <c r="U689" s="84">
        <f t="shared" si="154"/>
        <v>125311.5</v>
      </c>
    </row>
    <row r="690" spans="1:21" ht="49.5">
      <c r="A690" s="61" t="str">
        <f t="shared" ca="1" si="15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90" s="126">
        <v>805</v>
      </c>
      <c r="C690" s="8" t="s">
        <v>193</v>
      </c>
      <c r="D690" s="8" t="s">
        <v>212</v>
      </c>
      <c r="E690" s="126" t="s">
        <v>410</v>
      </c>
      <c r="F690" s="126">
        <v>611</v>
      </c>
      <c r="G690" s="69">
        <v>116326.2</v>
      </c>
      <c r="H690" s="64"/>
      <c r="I690" s="69">
        <f t="shared" si="147"/>
        <v>116326.2</v>
      </c>
      <c r="J690" s="64"/>
      <c r="K690" s="84">
        <f t="shared" si="144"/>
        <v>116326.2</v>
      </c>
      <c r="L690" s="84"/>
      <c r="M690" s="84">
        <f t="shared" si="152"/>
        <v>116326.2</v>
      </c>
      <c r="N690" s="84"/>
      <c r="O690" s="84">
        <f t="shared" si="153"/>
        <v>116326.2</v>
      </c>
      <c r="P690" s="84"/>
      <c r="Q690" s="84">
        <f t="shared" si="148"/>
        <v>116326.2</v>
      </c>
      <c r="R690" s="84">
        <v>-491.2</v>
      </c>
      <c r="S690" s="84">
        <f t="shared" si="145"/>
        <v>115835</v>
      </c>
      <c r="T690" s="84">
        <f>9097.6+378.9</f>
        <v>9476.5</v>
      </c>
      <c r="U690" s="84">
        <f t="shared" si="154"/>
        <v>125311.5</v>
      </c>
    </row>
    <row r="691" spans="1:21" ht="33">
      <c r="A691" s="61" t="str">
        <f ca="1">IF(ISERROR(MATCH(E691,Код_КЦСР,0)),"",INDIRECT(ADDRESS(MATCH(E691,Код_КЦСР,0)+1,2,,,"КЦСР")))</f>
        <v>Непрограммные направления деятельности органов местного самоуправления</v>
      </c>
      <c r="B691" s="126">
        <v>805</v>
      </c>
      <c r="C691" s="8" t="s">
        <v>193</v>
      </c>
      <c r="D691" s="8" t="s">
        <v>212</v>
      </c>
      <c r="E691" s="126" t="s">
        <v>295</v>
      </c>
      <c r="F691" s="126"/>
      <c r="G691" s="69"/>
      <c r="H691" s="64"/>
      <c r="I691" s="69"/>
      <c r="J691" s="64"/>
      <c r="K691" s="84"/>
      <c r="L691" s="84"/>
      <c r="M691" s="84"/>
      <c r="N691" s="84"/>
      <c r="O691" s="84"/>
      <c r="P691" s="84"/>
      <c r="Q691" s="84"/>
      <c r="R691" s="84"/>
      <c r="S691" s="84"/>
      <c r="T691" s="84">
        <f>T692</f>
        <v>750</v>
      </c>
      <c r="U691" s="84">
        <f t="shared" si="154"/>
        <v>750</v>
      </c>
    </row>
    <row r="692" spans="1:21">
      <c r="A692" s="61" t="str">
        <f ca="1">IF(ISERROR(MATCH(E692,Код_КЦСР,0)),"",INDIRECT(ADDRESS(MATCH(E692,Код_КЦСР,0)+1,2,,,"КЦСР")))</f>
        <v>Расходы, не включенные в муниципальные программы города Череповца</v>
      </c>
      <c r="B692" s="126">
        <v>805</v>
      </c>
      <c r="C692" s="8" t="s">
        <v>193</v>
      </c>
      <c r="D692" s="8" t="s">
        <v>212</v>
      </c>
      <c r="E692" s="126" t="s">
        <v>297</v>
      </c>
      <c r="F692" s="126"/>
      <c r="G692" s="69"/>
      <c r="H692" s="64"/>
      <c r="I692" s="69"/>
      <c r="J692" s="64"/>
      <c r="K692" s="84"/>
      <c r="L692" s="84"/>
      <c r="M692" s="84"/>
      <c r="N692" s="84"/>
      <c r="O692" s="84"/>
      <c r="P692" s="84"/>
      <c r="Q692" s="84"/>
      <c r="R692" s="84"/>
      <c r="S692" s="84"/>
      <c r="T692" s="84">
        <f>T693</f>
        <v>750</v>
      </c>
      <c r="U692" s="84">
        <f t="shared" si="154"/>
        <v>750</v>
      </c>
    </row>
    <row r="693" spans="1:21" ht="55.5" customHeight="1">
      <c r="A693" s="61" t="str">
        <f ca="1">IF(ISERROR(MATCH(E693,Код_КЦСР,0)),"",INDIRECT(ADDRESS(MATCH(E693,Код_КЦСР,0)+1,2,,,"КЦСР")))</f>
        <v xml:space="preserve">Поддержка общеобразовательных организаций, работающих в сложных социальных условиях за счет иных межбюджетных трансфертов из областного бюджета </v>
      </c>
      <c r="B693" s="126">
        <v>805</v>
      </c>
      <c r="C693" s="8" t="s">
        <v>193</v>
      </c>
      <c r="D693" s="8" t="s">
        <v>212</v>
      </c>
      <c r="E693" s="126" t="s">
        <v>699</v>
      </c>
      <c r="F693" s="126"/>
      <c r="G693" s="69"/>
      <c r="H693" s="64"/>
      <c r="I693" s="69"/>
      <c r="J693" s="64"/>
      <c r="K693" s="84"/>
      <c r="L693" s="84"/>
      <c r="M693" s="84"/>
      <c r="N693" s="84"/>
      <c r="O693" s="84"/>
      <c r="P693" s="84"/>
      <c r="Q693" s="84"/>
      <c r="R693" s="84"/>
      <c r="S693" s="84"/>
      <c r="T693" s="13">
        <f>T694</f>
        <v>750</v>
      </c>
      <c r="U693" s="84">
        <f t="shared" si="154"/>
        <v>750</v>
      </c>
    </row>
    <row r="694" spans="1:21" ht="33">
      <c r="A694" s="61" t="str">
        <f t="shared" ca="1" si="157"/>
        <v>Предоставление субсидий бюджетным, автономным учреждениям и иным некоммерческим организациям</v>
      </c>
      <c r="B694" s="126">
        <v>805</v>
      </c>
      <c r="C694" s="8" t="s">
        <v>193</v>
      </c>
      <c r="D694" s="8" t="s">
        <v>212</v>
      </c>
      <c r="E694" s="126" t="s">
        <v>699</v>
      </c>
      <c r="F694" s="126">
        <v>600</v>
      </c>
      <c r="G694" s="69"/>
      <c r="H694" s="64"/>
      <c r="I694" s="69"/>
      <c r="J694" s="64"/>
      <c r="K694" s="84"/>
      <c r="L694" s="84"/>
      <c r="M694" s="84"/>
      <c r="N694" s="84"/>
      <c r="O694" s="84"/>
      <c r="P694" s="84"/>
      <c r="Q694" s="84"/>
      <c r="R694" s="84"/>
      <c r="S694" s="84"/>
      <c r="T694" s="13">
        <f>T695</f>
        <v>750</v>
      </c>
      <c r="U694" s="84">
        <f t="shared" si="154"/>
        <v>750</v>
      </c>
    </row>
    <row r="695" spans="1:21">
      <c r="A695" s="61" t="str">
        <f t="shared" ca="1" si="157"/>
        <v>Субсидии бюджетным учреждениям</v>
      </c>
      <c r="B695" s="126">
        <v>805</v>
      </c>
      <c r="C695" s="8" t="s">
        <v>193</v>
      </c>
      <c r="D695" s="8" t="s">
        <v>212</v>
      </c>
      <c r="E695" s="126" t="s">
        <v>699</v>
      </c>
      <c r="F695" s="126">
        <v>610</v>
      </c>
      <c r="G695" s="69"/>
      <c r="H695" s="64"/>
      <c r="I695" s="69"/>
      <c r="J695" s="64"/>
      <c r="K695" s="84"/>
      <c r="L695" s="84"/>
      <c r="M695" s="84"/>
      <c r="N695" s="84"/>
      <c r="O695" s="84"/>
      <c r="P695" s="84"/>
      <c r="Q695" s="84"/>
      <c r="R695" s="84"/>
      <c r="S695" s="84"/>
      <c r="T695" s="13">
        <f>T696</f>
        <v>750</v>
      </c>
      <c r="U695" s="84">
        <f t="shared" si="154"/>
        <v>750</v>
      </c>
    </row>
    <row r="696" spans="1:21">
      <c r="A696" s="61" t="str">
        <f t="shared" ca="1" si="157"/>
        <v>Субсидии бюджетным учреждениям на иные цели</v>
      </c>
      <c r="B696" s="126">
        <v>805</v>
      </c>
      <c r="C696" s="8" t="s">
        <v>193</v>
      </c>
      <c r="D696" s="8" t="s">
        <v>212</v>
      </c>
      <c r="E696" s="126" t="s">
        <v>699</v>
      </c>
      <c r="F696" s="126">
        <v>612</v>
      </c>
      <c r="G696" s="69"/>
      <c r="H696" s="64"/>
      <c r="I696" s="69"/>
      <c r="J696" s="64"/>
      <c r="K696" s="84"/>
      <c r="L696" s="84"/>
      <c r="M696" s="84"/>
      <c r="N696" s="84"/>
      <c r="O696" s="84"/>
      <c r="P696" s="84"/>
      <c r="Q696" s="84"/>
      <c r="R696" s="84"/>
      <c r="S696" s="84"/>
      <c r="T696" s="84">
        <v>750</v>
      </c>
      <c r="U696" s="84">
        <f t="shared" si="154"/>
        <v>750</v>
      </c>
    </row>
    <row r="697" spans="1:21">
      <c r="A697" s="12" t="s">
        <v>197</v>
      </c>
      <c r="B697" s="126">
        <v>805</v>
      </c>
      <c r="C697" s="8" t="s">
        <v>193</v>
      </c>
      <c r="D697" s="8" t="s">
        <v>193</v>
      </c>
      <c r="E697" s="126"/>
      <c r="F697" s="126"/>
      <c r="G697" s="69">
        <f t="shared" ref="G697:T706" si="158">G698</f>
        <v>6052</v>
      </c>
      <c r="H697" s="69">
        <f t="shared" si="158"/>
        <v>0</v>
      </c>
      <c r="I697" s="69">
        <f t="shared" si="147"/>
        <v>6052</v>
      </c>
      <c r="J697" s="69">
        <f>J698+J708</f>
        <v>2842.8</v>
      </c>
      <c r="K697" s="84">
        <f t="shared" si="144"/>
        <v>8894.7999999999993</v>
      </c>
      <c r="L697" s="13">
        <f>L698+L708</f>
        <v>0</v>
      </c>
      <c r="M697" s="84">
        <f t="shared" si="152"/>
        <v>8894.7999999999993</v>
      </c>
      <c r="N697" s="13">
        <f>N698+N708</f>
        <v>377.3</v>
      </c>
      <c r="O697" s="84">
        <f t="shared" si="153"/>
        <v>9272.0999999999985</v>
      </c>
      <c r="P697" s="13">
        <f>P698+P708</f>
        <v>0</v>
      </c>
      <c r="Q697" s="84">
        <f t="shared" si="148"/>
        <v>9272.0999999999985</v>
      </c>
      <c r="R697" s="13">
        <f>R698+R708</f>
        <v>0</v>
      </c>
      <c r="S697" s="84">
        <f t="shared" si="145"/>
        <v>9272.0999999999985</v>
      </c>
      <c r="T697" s="13">
        <f>T698+T708</f>
        <v>-734.7</v>
      </c>
      <c r="U697" s="84">
        <f t="shared" si="154"/>
        <v>8537.3999999999978</v>
      </c>
    </row>
    <row r="698" spans="1:21" ht="15.75" customHeight="1">
      <c r="A698" s="61" t="str">
        <f ca="1">IF(ISERROR(MATCH(E698,Код_КЦСР,0)),"",INDIRECT(ADDRESS(MATCH(E698,Код_КЦСР,0)+1,2,,,"КЦСР")))</f>
        <v>Муниципальная программа «Развитие образования» на 2013-2022 годы</v>
      </c>
      <c r="B698" s="126">
        <v>805</v>
      </c>
      <c r="C698" s="8" t="s">
        <v>193</v>
      </c>
      <c r="D698" s="8" t="s">
        <v>193</v>
      </c>
      <c r="E698" s="126" t="s">
        <v>267</v>
      </c>
      <c r="F698" s="126"/>
      <c r="G698" s="69">
        <f>G703</f>
        <v>6052</v>
      </c>
      <c r="H698" s="69">
        <f>H703</f>
        <v>0</v>
      </c>
      <c r="I698" s="69">
        <f t="shared" si="147"/>
        <v>6052</v>
      </c>
      <c r="J698" s="69">
        <f>J703</f>
        <v>0</v>
      </c>
      <c r="K698" s="84">
        <f t="shared" si="144"/>
        <v>6052</v>
      </c>
      <c r="L698" s="13">
        <f>L703</f>
        <v>0</v>
      </c>
      <c r="M698" s="84">
        <f t="shared" si="152"/>
        <v>6052</v>
      </c>
      <c r="N698" s="13">
        <f>N703+N699</f>
        <v>377.3</v>
      </c>
      <c r="O698" s="84">
        <f t="shared" si="153"/>
        <v>6429.3</v>
      </c>
      <c r="P698" s="13">
        <f>P703+P699</f>
        <v>0</v>
      </c>
      <c r="Q698" s="84">
        <f t="shared" si="148"/>
        <v>6429.3</v>
      </c>
      <c r="R698" s="13">
        <f>R703+R699</f>
        <v>0</v>
      </c>
      <c r="S698" s="84">
        <f t="shared" si="145"/>
        <v>6429.3</v>
      </c>
      <c r="T698" s="13">
        <f>T703+T699</f>
        <v>-734.7</v>
      </c>
      <c r="U698" s="84">
        <f t="shared" si="154"/>
        <v>5694.6</v>
      </c>
    </row>
    <row r="699" spans="1:21">
      <c r="A699" s="61" t="str">
        <f ca="1">IF(ISERROR(MATCH(E699,Код_КЦСР,0)),"",INDIRECT(ADDRESS(MATCH(E699,Код_КЦСР,0)+1,2,,,"КЦСР")))</f>
        <v>Обеспечение питанием обучающихся в МОУ</v>
      </c>
      <c r="B699" s="126">
        <v>805</v>
      </c>
      <c r="C699" s="8" t="s">
        <v>193</v>
      </c>
      <c r="D699" s="8" t="s">
        <v>193</v>
      </c>
      <c r="E699" s="126" t="s">
        <v>270</v>
      </c>
      <c r="F699" s="126"/>
      <c r="G699" s="69"/>
      <c r="H699" s="69"/>
      <c r="I699" s="69"/>
      <c r="J699" s="69"/>
      <c r="K699" s="84"/>
      <c r="L699" s="13"/>
      <c r="M699" s="84"/>
      <c r="N699" s="13">
        <f>N700</f>
        <v>377.3</v>
      </c>
      <c r="O699" s="84">
        <f>N699</f>
        <v>377.3</v>
      </c>
      <c r="P699" s="13">
        <f>P700</f>
        <v>0</v>
      </c>
      <c r="Q699" s="84">
        <f t="shared" si="148"/>
        <v>377.3</v>
      </c>
      <c r="R699" s="13">
        <f>R700</f>
        <v>0</v>
      </c>
      <c r="S699" s="84">
        <f t="shared" si="145"/>
        <v>377.3</v>
      </c>
      <c r="T699" s="13">
        <f>T700</f>
        <v>0</v>
      </c>
      <c r="U699" s="84">
        <f t="shared" si="154"/>
        <v>377.3</v>
      </c>
    </row>
    <row r="700" spans="1:21" ht="39" customHeight="1">
      <c r="A700" s="61" t="str">
        <f ca="1">IF(ISERROR(MATCH(F700,Код_КВР,0)),"",INDIRECT(ADDRESS(MATCH(F700,Код_КВР,0)+1,2,,,"КВР")))</f>
        <v>Предоставление субсидий бюджетным, автономным учреждениям и иным некоммерческим организациям</v>
      </c>
      <c r="B700" s="126">
        <v>805</v>
      </c>
      <c r="C700" s="8" t="s">
        <v>193</v>
      </c>
      <c r="D700" s="8" t="s">
        <v>193</v>
      </c>
      <c r="E700" s="126" t="s">
        <v>270</v>
      </c>
      <c r="F700" s="126">
        <v>600</v>
      </c>
      <c r="G700" s="69"/>
      <c r="H700" s="69"/>
      <c r="I700" s="69"/>
      <c r="J700" s="69"/>
      <c r="K700" s="84"/>
      <c r="L700" s="13"/>
      <c r="M700" s="84"/>
      <c r="N700" s="13">
        <f>N701</f>
        <v>377.3</v>
      </c>
      <c r="O700" s="84">
        <f t="shared" ref="O700:O702" si="159">N700</f>
        <v>377.3</v>
      </c>
      <c r="P700" s="13">
        <f>P701</f>
        <v>0</v>
      </c>
      <c r="Q700" s="84">
        <f t="shared" si="148"/>
        <v>377.3</v>
      </c>
      <c r="R700" s="13">
        <f>R701</f>
        <v>0</v>
      </c>
      <c r="S700" s="84">
        <f t="shared" si="145"/>
        <v>377.3</v>
      </c>
      <c r="T700" s="13">
        <f>T701</f>
        <v>0</v>
      </c>
      <c r="U700" s="84">
        <f t="shared" si="154"/>
        <v>377.3</v>
      </c>
    </row>
    <row r="701" spans="1:21">
      <c r="A701" s="61" t="str">
        <f ca="1">IF(ISERROR(MATCH(F701,Код_КВР,0)),"",INDIRECT(ADDRESS(MATCH(F701,Код_КВР,0)+1,2,,,"КВР")))</f>
        <v>Субсидии автономным учреждениям</v>
      </c>
      <c r="B701" s="126">
        <v>805</v>
      </c>
      <c r="C701" s="8" t="s">
        <v>193</v>
      </c>
      <c r="D701" s="8" t="s">
        <v>193</v>
      </c>
      <c r="E701" s="126" t="s">
        <v>270</v>
      </c>
      <c r="F701" s="126">
        <v>620</v>
      </c>
      <c r="G701" s="69"/>
      <c r="H701" s="69"/>
      <c r="I701" s="69"/>
      <c r="J701" s="69"/>
      <c r="K701" s="84"/>
      <c r="L701" s="13"/>
      <c r="M701" s="84"/>
      <c r="N701" s="13">
        <f>N702</f>
        <v>377.3</v>
      </c>
      <c r="O701" s="84">
        <f t="shared" si="159"/>
        <v>377.3</v>
      </c>
      <c r="P701" s="13">
        <f>P702</f>
        <v>0</v>
      </c>
      <c r="Q701" s="84">
        <f t="shared" si="148"/>
        <v>377.3</v>
      </c>
      <c r="R701" s="13">
        <f>R702</f>
        <v>0</v>
      </c>
      <c r="S701" s="84">
        <f t="shared" si="145"/>
        <v>377.3</v>
      </c>
      <c r="T701" s="13">
        <f>T702</f>
        <v>0</v>
      </c>
      <c r="U701" s="84">
        <f t="shared" si="154"/>
        <v>377.3</v>
      </c>
    </row>
    <row r="702" spans="1:21">
      <c r="A702" s="61" t="str">
        <f ca="1">IF(ISERROR(MATCH(F702,Код_КВР,0)),"",INDIRECT(ADDRESS(MATCH(F702,Код_КВР,0)+1,2,,,"КВР")))</f>
        <v>Субсидии автономным учреждениям на иные цели</v>
      </c>
      <c r="B702" s="126">
        <v>805</v>
      </c>
      <c r="C702" s="8" t="s">
        <v>193</v>
      </c>
      <c r="D702" s="8" t="s">
        <v>193</v>
      </c>
      <c r="E702" s="126" t="s">
        <v>270</v>
      </c>
      <c r="F702" s="126">
        <v>622</v>
      </c>
      <c r="G702" s="69"/>
      <c r="H702" s="69"/>
      <c r="I702" s="69"/>
      <c r="J702" s="69"/>
      <c r="K702" s="84"/>
      <c r="L702" s="13"/>
      <c r="M702" s="84"/>
      <c r="N702" s="13">
        <v>377.3</v>
      </c>
      <c r="O702" s="84">
        <f t="shared" si="159"/>
        <v>377.3</v>
      </c>
      <c r="P702" s="13"/>
      <c r="Q702" s="84">
        <f t="shared" si="148"/>
        <v>377.3</v>
      </c>
      <c r="R702" s="13"/>
      <c r="S702" s="84">
        <f t="shared" si="145"/>
        <v>377.3</v>
      </c>
      <c r="T702" s="13"/>
      <c r="U702" s="84">
        <f t="shared" si="154"/>
        <v>377.3</v>
      </c>
    </row>
    <row r="703" spans="1:21" ht="33">
      <c r="A703" s="61" t="str">
        <f ca="1">IF(ISERROR(MATCH(E703,Код_КЦСР,0)),"",INDIRECT(ADDRESS(MATCH(E703,Код_КЦСР,0)+1,2,,,"КЦСР")))</f>
        <v>Социально-педагогическая поддержка детей-сирот и детей, оставшихся без попечения родителей</v>
      </c>
      <c r="B703" s="126">
        <v>805</v>
      </c>
      <c r="C703" s="8" t="s">
        <v>193</v>
      </c>
      <c r="D703" s="8" t="s">
        <v>193</v>
      </c>
      <c r="E703" s="126" t="s">
        <v>408</v>
      </c>
      <c r="F703" s="126"/>
      <c r="G703" s="69">
        <f t="shared" si="158"/>
        <v>6052</v>
      </c>
      <c r="H703" s="69">
        <f t="shared" si="158"/>
        <v>0</v>
      </c>
      <c r="I703" s="69">
        <f t="shared" si="147"/>
        <v>6052</v>
      </c>
      <c r="J703" s="69">
        <f t="shared" si="158"/>
        <v>0</v>
      </c>
      <c r="K703" s="84">
        <f t="shared" si="144"/>
        <v>6052</v>
      </c>
      <c r="L703" s="13">
        <f t="shared" si="158"/>
        <v>0</v>
      </c>
      <c r="M703" s="84">
        <f t="shared" si="152"/>
        <v>6052</v>
      </c>
      <c r="N703" s="13">
        <f t="shared" si="158"/>
        <v>0</v>
      </c>
      <c r="O703" s="84">
        <f t="shared" si="153"/>
        <v>6052</v>
      </c>
      <c r="P703" s="13">
        <f t="shared" si="158"/>
        <v>0</v>
      </c>
      <c r="Q703" s="84">
        <f t="shared" si="148"/>
        <v>6052</v>
      </c>
      <c r="R703" s="13">
        <f t="shared" si="158"/>
        <v>0</v>
      </c>
      <c r="S703" s="84">
        <f t="shared" si="145"/>
        <v>6052</v>
      </c>
      <c r="T703" s="13">
        <f t="shared" si="158"/>
        <v>-734.7</v>
      </c>
      <c r="U703" s="84">
        <f t="shared" si="154"/>
        <v>5317.3</v>
      </c>
    </row>
    <row r="704" spans="1:21" ht="68.25" customHeight="1">
      <c r="A704" s="61" t="str">
        <f ca="1">IF(ISERROR(MATCH(E704,Код_КЦСР,0)),"",INDIRECT(ADDRESS(MATCH(E704,Код_КЦСР,0)+1,2,,,"КЦСР")))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704" s="126">
        <v>805</v>
      </c>
      <c r="C704" s="8" t="s">
        <v>193</v>
      </c>
      <c r="D704" s="8" t="s">
        <v>193</v>
      </c>
      <c r="E704" s="126" t="s">
        <v>410</v>
      </c>
      <c r="F704" s="126"/>
      <c r="G704" s="69">
        <f t="shared" si="158"/>
        <v>6052</v>
      </c>
      <c r="H704" s="69">
        <f t="shared" si="158"/>
        <v>0</v>
      </c>
      <c r="I704" s="69">
        <f t="shared" si="147"/>
        <v>6052</v>
      </c>
      <c r="J704" s="69">
        <f t="shared" si="158"/>
        <v>0</v>
      </c>
      <c r="K704" s="84">
        <f t="shared" si="144"/>
        <v>6052</v>
      </c>
      <c r="L704" s="13">
        <f t="shared" si="158"/>
        <v>0</v>
      </c>
      <c r="M704" s="84">
        <f t="shared" si="152"/>
        <v>6052</v>
      </c>
      <c r="N704" s="13">
        <f t="shared" si="158"/>
        <v>0</v>
      </c>
      <c r="O704" s="84">
        <f t="shared" si="153"/>
        <v>6052</v>
      </c>
      <c r="P704" s="13">
        <f t="shared" si="158"/>
        <v>0</v>
      </c>
      <c r="Q704" s="84">
        <f t="shared" si="148"/>
        <v>6052</v>
      </c>
      <c r="R704" s="13">
        <f t="shared" si="158"/>
        <v>0</v>
      </c>
      <c r="S704" s="84">
        <f t="shared" si="145"/>
        <v>6052</v>
      </c>
      <c r="T704" s="13">
        <f t="shared" si="158"/>
        <v>-734.7</v>
      </c>
      <c r="U704" s="84">
        <f t="shared" si="154"/>
        <v>5317.3</v>
      </c>
    </row>
    <row r="705" spans="1:21">
      <c r="A705" s="61" t="str">
        <f ca="1">IF(ISERROR(MATCH(F705,Код_КВР,0)),"",INDIRECT(ADDRESS(MATCH(F705,Код_КВР,0)+1,2,,,"КВР")))</f>
        <v>Социальное обеспечение и иные выплаты населению</v>
      </c>
      <c r="B705" s="126">
        <v>805</v>
      </c>
      <c r="C705" s="8" t="s">
        <v>193</v>
      </c>
      <c r="D705" s="8" t="s">
        <v>193</v>
      </c>
      <c r="E705" s="126" t="s">
        <v>410</v>
      </c>
      <c r="F705" s="126">
        <v>300</v>
      </c>
      <c r="G705" s="69">
        <f t="shared" si="158"/>
        <v>6052</v>
      </c>
      <c r="H705" s="69">
        <f t="shared" si="158"/>
        <v>0</v>
      </c>
      <c r="I705" s="69">
        <f t="shared" si="147"/>
        <v>6052</v>
      </c>
      <c r="J705" s="69">
        <f t="shared" si="158"/>
        <v>0</v>
      </c>
      <c r="K705" s="84">
        <f t="shared" si="144"/>
        <v>6052</v>
      </c>
      <c r="L705" s="13">
        <f t="shared" si="158"/>
        <v>0</v>
      </c>
      <c r="M705" s="84">
        <f t="shared" si="152"/>
        <v>6052</v>
      </c>
      <c r="N705" s="13">
        <f t="shared" si="158"/>
        <v>0</v>
      </c>
      <c r="O705" s="84">
        <f t="shared" si="153"/>
        <v>6052</v>
      </c>
      <c r="P705" s="13">
        <f t="shared" si="158"/>
        <v>0</v>
      </c>
      <c r="Q705" s="84">
        <f t="shared" si="148"/>
        <v>6052</v>
      </c>
      <c r="R705" s="13">
        <f t="shared" si="158"/>
        <v>0</v>
      </c>
      <c r="S705" s="84">
        <f t="shared" si="145"/>
        <v>6052</v>
      </c>
      <c r="T705" s="13">
        <f t="shared" si="158"/>
        <v>-734.7</v>
      </c>
      <c r="U705" s="84">
        <f t="shared" si="154"/>
        <v>5317.3</v>
      </c>
    </row>
    <row r="706" spans="1:21" ht="33">
      <c r="A706" s="61" t="str">
        <f ca="1">IF(ISERROR(MATCH(F706,Код_КВР,0)),"",INDIRECT(ADDRESS(MATCH(F706,Код_КВР,0)+1,2,,,"КВР")))</f>
        <v>Социальные выплаты гражданам, кроме публичных нормативных социальных выплат</v>
      </c>
      <c r="B706" s="126">
        <v>805</v>
      </c>
      <c r="C706" s="8" t="s">
        <v>193</v>
      </c>
      <c r="D706" s="8" t="s">
        <v>193</v>
      </c>
      <c r="E706" s="126" t="s">
        <v>410</v>
      </c>
      <c r="F706" s="126">
        <v>320</v>
      </c>
      <c r="G706" s="69">
        <f t="shared" si="158"/>
        <v>6052</v>
      </c>
      <c r="H706" s="69">
        <f t="shared" si="158"/>
        <v>0</v>
      </c>
      <c r="I706" s="69">
        <f t="shared" si="147"/>
        <v>6052</v>
      </c>
      <c r="J706" s="69">
        <f t="shared" si="158"/>
        <v>0</v>
      </c>
      <c r="K706" s="84">
        <f t="shared" si="144"/>
        <v>6052</v>
      </c>
      <c r="L706" s="13">
        <f t="shared" si="158"/>
        <v>0</v>
      </c>
      <c r="M706" s="84">
        <f t="shared" si="152"/>
        <v>6052</v>
      </c>
      <c r="N706" s="13">
        <f t="shared" si="158"/>
        <v>0</v>
      </c>
      <c r="O706" s="84">
        <f t="shared" si="153"/>
        <v>6052</v>
      </c>
      <c r="P706" s="13">
        <f t="shared" si="158"/>
        <v>0</v>
      </c>
      <c r="Q706" s="84">
        <f t="shared" si="148"/>
        <v>6052</v>
      </c>
      <c r="R706" s="13">
        <f t="shared" si="158"/>
        <v>0</v>
      </c>
      <c r="S706" s="84">
        <f t="shared" si="145"/>
        <v>6052</v>
      </c>
      <c r="T706" s="13">
        <f t="shared" si="158"/>
        <v>-734.7</v>
      </c>
      <c r="U706" s="84">
        <f t="shared" si="154"/>
        <v>5317.3</v>
      </c>
    </row>
    <row r="707" spans="1:21" ht="33">
      <c r="A707" s="61" t="str">
        <f ca="1">IF(ISERROR(MATCH(F707,Код_КВР,0)),"",INDIRECT(ADDRESS(MATCH(F707,Код_КВР,0)+1,2,,,"КВР")))</f>
        <v>Приобретение товаров, работ, услуг в пользу граждан в целях их социального обеспечения</v>
      </c>
      <c r="B707" s="126">
        <v>805</v>
      </c>
      <c r="C707" s="8" t="s">
        <v>193</v>
      </c>
      <c r="D707" s="8" t="s">
        <v>193</v>
      </c>
      <c r="E707" s="126" t="s">
        <v>410</v>
      </c>
      <c r="F707" s="126">
        <v>323</v>
      </c>
      <c r="G707" s="69">
        <v>6052</v>
      </c>
      <c r="H707" s="64"/>
      <c r="I707" s="69">
        <f t="shared" si="147"/>
        <v>6052</v>
      </c>
      <c r="J707" s="64"/>
      <c r="K707" s="84">
        <f t="shared" si="144"/>
        <v>6052</v>
      </c>
      <c r="L707" s="84"/>
      <c r="M707" s="84">
        <f t="shared" si="152"/>
        <v>6052</v>
      </c>
      <c r="N707" s="84"/>
      <c r="O707" s="84">
        <f t="shared" si="153"/>
        <v>6052</v>
      </c>
      <c r="P707" s="84"/>
      <c r="Q707" s="84">
        <f t="shared" si="148"/>
        <v>6052</v>
      </c>
      <c r="R707" s="84"/>
      <c r="S707" s="84">
        <f t="shared" si="145"/>
        <v>6052</v>
      </c>
      <c r="T707" s="84">
        <v>-734.7</v>
      </c>
      <c r="U707" s="84">
        <f t="shared" si="154"/>
        <v>5317.3</v>
      </c>
    </row>
    <row r="708" spans="1:21" ht="36" customHeight="1">
      <c r="A708" s="61" t="str">
        <f ca="1">IF(ISERROR(MATCH(E708,Код_КЦСР,0)),"",INDIRECT(ADDRESS(MATCH(E708,Код_КЦСР,0)+1,2,,,"КЦСР")))</f>
        <v>Муниципальная программа «Социальная поддержка граждан» на 2014-2018 годы</v>
      </c>
      <c r="B708" s="126">
        <v>805</v>
      </c>
      <c r="C708" s="8" t="s">
        <v>193</v>
      </c>
      <c r="D708" s="8" t="s">
        <v>193</v>
      </c>
      <c r="E708" s="126" t="s">
        <v>5</v>
      </c>
      <c r="F708" s="126"/>
      <c r="G708" s="69"/>
      <c r="H708" s="64"/>
      <c r="I708" s="69"/>
      <c r="J708" s="64">
        <f>J709</f>
        <v>2842.8</v>
      </c>
      <c r="K708" s="84">
        <f t="shared" si="144"/>
        <v>2842.8</v>
      </c>
      <c r="L708" s="84">
        <f>L709</f>
        <v>0</v>
      </c>
      <c r="M708" s="84">
        <f t="shared" si="152"/>
        <v>2842.8</v>
      </c>
      <c r="N708" s="84">
        <f>N709</f>
        <v>0</v>
      </c>
      <c r="O708" s="84">
        <f t="shared" si="153"/>
        <v>2842.8</v>
      </c>
      <c r="P708" s="84">
        <f>P709</f>
        <v>0</v>
      </c>
      <c r="Q708" s="84">
        <f t="shared" si="148"/>
        <v>2842.8</v>
      </c>
      <c r="R708" s="84">
        <f>R709</f>
        <v>0</v>
      </c>
      <c r="S708" s="84">
        <f t="shared" si="145"/>
        <v>2842.8</v>
      </c>
      <c r="T708" s="84">
        <f>T709</f>
        <v>0</v>
      </c>
      <c r="U708" s="84">
        <f t="shared" si="154"/>
        <v>2842.8</v>
      </c>
    </row>
    <row r="709" spans="1:21" ht="86.25" customHeight="1">
      <c r="A709" s="61" t="str">
        <f ca="1">IF(ISERROR(MATCH(E709,Код_КЦСР,0)),"",INDIRECT(ADDRESS(MATCH(E709,Код_КЦСР,0)+1,2,,,"КЦСР")))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09" s="126">
        <v>805</v>
      </c>
      <c r="C709" s="8" t="s">
        <v>193</v>
      </c>
      <c r="D709" s="8" t="s">
        <v>193</v>
      </c>
      <c r="E709" s="126" t="s">
        <v>402</v>
      </c>
      <c r="F709" s="126"/>
      <c r="G709" s="69"/>
      <c r="H709" s="64"/>
      <c r="I709" s="69"/>
      <c r="J709" s="64">
        <f>J710</f>
        <v>2842.8</v>
      </c>
      <c r="K709" s="84">
        <f t="shared" si="144"/>
        <v>2842.8</v>
      </c>
      <c r="L709" s="84">
        <f>L710</f>
        <v>0</v>
      </c>
      <c r="M709" s="84">
        <f t="shared" si="152"/>
        <v>2842.8</v>
      </c>
      <c r="N709" s="84">
        <f>N710</f>
        <v>0</v>
      </c>
      <c r="O709" s="84">
        <f t="shared" si="153"/>
        <v>2842.8</v>
      </c>
      <c r="P709" s="84">
        <f>P710</f>
        <v>0</v>
      </c>
      <c r="Q709" s="84">
        <f t="shared" si="148"/>
        <v>2842.8</v>
      </c>
      <c r="R709" s="84">
        <f>R710</f>
        <v>0</v>
      </c>
      <c r="S709" s="84">
        <f t="shared" si="145"/>
        <v>2842.8</v>
      </c>
      <c r="T709" s="84">
        <f>T710</f>
        <v>0</v>
      </c>
      <c r="U709" s="84">
        <f t="shared" si="154"/>
        <v>2842.8</v>
      </c>
    </row>
    <row r="710" spans="1:21" ht="33">
      <c r="A710" s="61" t="str">
        <f ca="1">IF(ISERROR(MATCH(F710,Код_КВР,0)),"",INDIRECT(ADDRESS(MATCH(F710,Код_КВР,0)+1,2,,,"КВР")))</f>
        <v>Предоставление субсидий бюджетным, автономным учреждениям и иным некоммерческим организациям</v>
      </c>
      <c r="B710" s="126">
        <v>805</v>
      </c>
      <c r="C710" s="8" t="s">
        <v>193</v>
      </c>
      <c r="D710" s="8" t="s">
        <v>193</v>
      </c>
      <c r="E710" s="126" t="s">
        <v>402</v>
      </c>
      <c r="F710" s="126">
        <v>600</v>
      </c>
      <c r="G710" s="69"/>
      <c r="H710" s="64"/>
      <c r="I710" s="69"/>
      <c r="J710" s="64">
        <f>J711</f>
        <v>2842.8</v>
      </c>
      <c r="K710" s="84">
        <f t="shared" si="144"/>
        <v>2842.8</v>
      </c>
      <c r="L710" s="84">
        <f>L711</f>
        <v>0</v>
      </c>
      <c r="M710" s="84">
        <f t="shared" si="152"/>
        <v>2842.8</v>
      </c>
      <c r="N710" s="84">
        <f>N711</f>
        <v>0</v>
      </c>
      <c r="O710" s="84">
        <f t="shared" si="153"/>
        <v>2842.8</v>
      </c>
      <c r="P710" s="84">
        <f>P711</f>
        <v>0</v>
      </c>
      <c r="Q710" s="84">
        <f t="shared" si="148"/>
        <v>2842.8</v>
      </c>
      <c r="R710" s="84">
        <f>R711</f>
        <v>0</v>
      </c>
      <c r="S710" s="84">
        <f t="shared" si="145"/>
        <v>2842.8</v>
      </c>
      <c r="T710" s="84">
        <f>T711</f>
        <v>0</v>
      </c>
      <c r="U710" s="84">
        <f t="shared" si="154"/>
        <v>2842.8</v>
      </c>
    </row>
    <row r="711" spans="1:21">
      <c r="A711" s="61" t="str">
        <f ca="1">IF(ISERROR(MATCH(F711,Код_КВР,0)),"",INDIRECT(ADDRESS(MATCH(F711,Код_КВР,0)+1,2,,,"КВР")))</f>
        <v>Субсидии автономным учреждениям</v>
      </c>
      <c r="B711" s="126">
        <v>805</v>
      </c>
      <c r="C711" s="8" t="s">
        <v>193</v>
      </c>
      <c r="D711" s="8" t="s">
        <v>193</v>
      </c>
      <c r="E711" s="126" t="s">
        <v>402</v>
      </c>
      <c r="F711" s="126">
        <v>620</v>
      </c>
      <c r="G711" s="69"/>
      <c r="H711" s="64"/>
      <c r="I711" s="69"/>
      <c r="J711" s="64">
        <f>J712</f>
        <v>2842.8</v>
      </c>
      <c r="K711" s="84">
        <f t="shared" si="144"/>
        <v>2842.8</v>
      </c>
      <c r="L711" s="84">
        <f>L712</f>
        <v>0</v>
      </c>
      <c r="M711" s="84">
        <f t="shared" si="152"/>
        <v>2842.8</v>
      </c>
      <c r="N711" s="84">
        <f>N712</f>
        <v>0</v>
      </c>
      <c r="O711" s="84">
        <f t="shared" si="153"/>
        <v>2842.8</v>
      </c>
      <c r="P711" s="84">
        <f>P712</f>
        <v>0</v>
      </c>
      <c r="Q711" s="84">
        <f t="shared" si="148"/>
        <v>2842.8</v>
      </c>
      <c r="R711" s="84">
        <f>R712</f>
        <v>0</v>
      </c>
      <c r="S711" s="84">
        <f t="shared" si="145"/>
        <v>2842.8</v>
      </c>
      <c r="T711" s="84">
        <f>T712</f>
        <v>0</v>
      </c>
      <c r="U711" s="84">
        <f t="shared" si="154"/>
        <v>2842.8</v>
      </c>
    </row>
    <row r="712" spans="1:21">
      <c r="A712" s="61" t="str">
        <f ca="1">IF(ISERROR(MATCH(F712,Код_КВР,0)),"",INDIRECT(ADDRESS(MATCH(F712,Код_КВР,0)+1,2,,,"КВР")))</f>
        <v>Субсидии автономным учреждениям на иные цели</v>
      </c>
      <c r="B712" s="126">
        <v>805</v>
      </c>
      <c r="C712" s="8" t="s">
        <v>193</v>
      </c>
      <c r="D712" s="8" t="s">
        <v>193</v>
      </c>
      <c r="E712" s="126" t="s">
        <v>402</v>
      </c>
      <c r="F712" s="126">
        <v>622</v>
      </c>
      <c r="G712" s="69"/>
      <c r="H712" s="64"/>
      <c r="I712" s="69"/>
      <c r="J712" s="64">
        <v>2842.8</v>
      </c>
      <c r="K712" s="84">
        <f t="shared" si="144"/>
        <v>2842.8</v>
      </c>
      <c r="L712" s="84"/>
      <c r="M712" s="84">
        <f t="shared" si="152"/>
        <v>2842.8</v>
      </c>
      <c r="N712" s="84"/>
      <c r="O712" s="84">
        <f t="shared" si="153"/>
        <v>2842.8</v>
      </c>
      <c r="P712" s="84"/>
      <c r="Q712" s="84">
        <f t="shared" si="148"/>
        <v>2842.8</v>
      </c>
      <c r="R712" s="84"/>
      <c r="S712" s="84">
        <f t="shared" si="145"/>
        <v>2842.8</v>
      </c>
      <c r="T712" s="84"/>
      <c r="U712" s="84">
        <f t="shared" si="154"/>
        <v>2842.8</v>
      </c>
    </row>
    <row r="713" spans="1:21">
      <c r="A713" s="12" t="s">
        <v>249</v>
      </c>
      <c r="B713" s="126">
        <v>805</v>
      </c>
      <c r="C713" s="8" t="s">
        <v>193</v>
      </c>
      <c r="D713" s="8" t="s">
        <v>217</v>
      </c>
      <c r="E713" s="126"/>
      <c r="F713" s="126"/>
      <c r="G713" s="69">
        <f>G714+G763+G772+G786+G799+G805</f>
        <v>149620.70000000001</v>
      </c>
      <c r="H713" s="69">
        <f>H714+H763+H772+H786+H799+H805</f>
        <v>0</v>
      </c>
      <c r="I713" s="69">
        <f t="shared" si="147"/>
        <v>149620.70000000001</v>
      </c>
      <c r="J713" s="69">
        <f>J714+J763+J772+J786+J799+J805</f>
        <v>-2333.0999999999995</v>
      </c>
      <c r="K713" s="84">
        <f t="shared" si="144"/>
        <v>147287.6</v>
      </c>
      <c r="L713" s="13">
        <f>L714+L763+L772+L786+L799+L805</f>
        <v>-260.2</v>
      </c>
      <c r="M713" s="84">
        <f t="shared" si="152"/>
        <v>147027.4</v>
      </c>
      <c r="N713" s="13">
        <f>N714+N763+N772+N786+N799+N805</f>
        <v>6917.5</v>
      </c>
      <c r="O713" s="84">
        <f t="shared" si="153"/>
        <v>153944.9</v>
      </c>
      <c r="P713" s="13">
        <f>P714+P763+P772+P786+P799+P805</f>
        <v>0</v>
      </c>
      <c r="Q713" s="84">
        <f t="shared" si="148"/>
        <v>153944.9</v>
      </c>
      <c r="R713" s="13">
        <f>R714+R763+R772+R786+R799+R805</f>
        <v>-2188.1999999999998</v>
      </c>
      <c r="S713" s="84">
        <f t="shared" si="145"/>
        <v>151756.69999999998</v>
      </c>
      <c r="T713" s="13">
        <f>T714+T763+T772+T786+T799+T805</f>
        <v>3748</v>
      </c>
      <c r="U713" s="84">
        <f t="shared" si="154"/>
        <v>155504.69999999998</v>
      </c>
    </row>
    <row r="714" spans="1:21" ht="18.75" customHeight="1">
      <c r="A714" s="61" t="str">
        <f ca="1">IF(ISERROR(MATCH(E714,Код_КЦСР,0)),"",INDIRECT(ADDRESS(MATCH(E714,Код_КЦСР,0)+1,2,,,"КЦСР")))</f>
        <v>Муниципальная программа «Развитие образования» на 2013-2022 годы</v>
      </c>
      <c r="B714" s="126">
        <v>805</v>
      </c>
      <c r="C714" s="8" t="s">
        <v>193</v>
      </c>
      <c r="D714" s="8" t="s">
        <v>217</v>
      </c>
      <c r="E714" s="126" t="s">
        <v>267</v>
      </c>
      <c r="F714" s="126"/>
      <c r="G714" s="69">
        <f>G715+G719+G726+G730+G743+G748+G754+G736</f>
        <v>117151.70000000001</v>
      </c>
      <c r="H714" s="69">
        <f>H715+H719+H726+H730+H743+H748+H754+H736</f>
        <v>0</v>
      </c>
      <c r="I714" s="69">
        <f>I715+I719+I726+I730+I743+I748+I754+I736</f>
        <v>117151.70000000001</v>
      </c>
      <c r="J714" s="69">
        <f>J715+J719+J726+J730+J743+J748+J754+J736</f>
        <v>-3791.3999999999996</v>
      </c>
      <c r="K714" s="84">
        <f t="shared" si="144"/>
        <v>113360.30000000002</v>
      </c>
      <c r="L714" s="13">
        <f>L715+L719+L726+L730+L743+L748+L754+L736</f>
        <v>-260.2</v>
      </c>
      <c r="M714" s="84">
        <f t="shared" si="152"/>
        <v>113100.10000000002</v>
      </c>
      <c r="N714" s="13">
        <f>N715+N719+N726+N730+N743+N748+N754+N736</f>
        <v>6917.5</v>
      </c>
      <c r="O714" s="84">
        <f t="shared" si="153"/>
        <v>120017.60000000002</v>
      </c>
      <c r="P714" s="13">
        <f>P715+P719+P726+P730+P743+P748+P754+P736</f>
        <v>0</v>
      </c>
      <c r="Q714" s="84">
        <f t="shared" si="148"/>
        <v>120017.60000000002</v>
      </c>
      <c r="R714" s="13">
        <f>R715+R719+R726+R730+R743+R748+R754+R736</f>
        <v>-2188.1999999999998</v>
      </c>
      <c r="S714" s="84">
        <f t="shared" ref="S714:S777" si="160">Q714+R714</f>
        <v>117829.40000000002</v>
      </c>
      <c r="T714" s="13">
        <f>T715+T719+T726+T730+T743+T748+T754+T736</f>
        <v>3252</v>
      </c>
      <c r="U714" s="84">
        <f t="shared" si="154"/>
        <v>121081.40000000002</v>
      </c>
    </row>
    <row r="715" spans="1:21" ht="36" customHeight="1">
      <c r="A715" s="61" t="str">
        <f ca="1">IF(ISERROR(MATCH(E715,Код_КЦСР,0)),"",INDIRECT(ADDRESS(MATCH(E715,Код_КЦСР,0)+1,2,,,"КЦСР")))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715" s="126">
        <v>805</v>
      </c>
      <c r="C715" s="8" t="s">
        <v>193</v>
      </c>
      <c r="D715" s="8" t="s">
        <v>217</v>
      </c>
      <c r="E715" s="126" t="s">
        <v>269</v>
      </c>
      <c r="F715" s="126"/>
      <c r="G715" s="69">
        <f t="shared" ref="G715:T717" si="161">G716</f>
        <v>92.7</v>
      </c>
      <c r="H715" s="69">
        <f t="shared" si="161"/>
        <v>0</v>
      </c>
      <c r="I715" s="69">
        <f t="shared" si="147"/>
        <v>92.7</v>
      </c>
      <c r="J715" s="69">
        <f t="shared" si="161"/>
        <v>0</v>
      </c>
      <c r="K715" s="84">
        <f t="shared" si="144"/>
        <v>92.7</v>
      </c>
      <c r="L715" s="13">
        <f t="shared" si="161"/>
        <v>0</v>
      </c>
      <c r="M715" s="84">
        <f t="shared" si="152"/>
        <v>92.7</v>
      </c>
      <c r="N715" s="13">
        <f t="shared" si="161"/>
        <v>0</v>
      </c>
      <c r="O715" s="84">
        <f t="shared" si="153"/>
        <v>92.7</v>
      </c>
      <c r="P715" s="13">
        <f t="shared" si="161"/>
        <v>0</v>
      </c>
      <c r="Q715" s="84">
        <f t="shared" si="148"/>
        <v>92.7</v>
      </c>
      <c r="R715" s="13">
        <f t="shared" si="161"/>
        <v>0</v>
      </c>
      <c r="S715" s="84">
        <f t="shared" si="160"/>
        <v>92.7</v>
      </c>
      <c r="T715" s="13">
        <f t="shared" si="161"/>
        <v>0</v>
      </c>
      <c r="U715" s="84">
        <f t="shared" si="154"/>
        <v>92.7</v>
      </c>
    </row>
    <row r="716" spans="1:21">
      <c r="A716" s="61" t="str">
        <f ca="1">IF(ISERROR(MATCH(F716,Код_КВР,0)),"",INDIRECT(ADDRESS(MATCH(F716,Код_КВР,0)+1,2,,,"КВР")))</f>
        <v>Закупка товаров, работ и услуг для муниципальных нужд</v>
      </c>
      <c r="B716" s="126">
        <v>805</v>
      </c>
      <c r="C716" s="8" t="s">
        <v>193</v>
      </c>
      <c r="D716" s="8" t="s">
        <v>217</v>
      </c>
      <c r="E716" s="126" t="s">
        <v>269</v>
      </c>
      <c r="F716" s="126">
        <v>200</v>
      </c>
      <c r="G716" s="69">
        <f t="shared" si="161"/>
        <v>92.7</v>
      </c>
      <c r="H716" s="69">
        <f t="shared" si="161"/>
        <v>0</v>
      </c>
      <c r="I716" s="69">
        <f t="shared" si="147"/>
        <v>92.7</v>
      </c>
      <c r="J716" s="69">
        <f t="shared" si="161"/>
        <v>0</v>
      </c>
      <c r="K716" s="84">
        <f t="shared" si="144"/>
        <v>92.7</v>
      </c>
      <c r="L716" s="13">
        <f t="shared" si="161"/>
        <v>0</v>
      </c>
      <c r="M716" s="84">
        <f t="shared" si="152"/>
        <v>92.7</v>
      </c>
      <c r="N716" s="13">
        <f t="shared" si="161"/>
        <v>0</v>
      </c>
      <c r="O716" s="84">
        <f t="shared" si="153"/>
        <v>92.7</v>
      </c>
      <c r="P716" s="13">
        <f t="shared" si="161"/>
        <v>0</v>
      </c>
      <c r="Q716" s="84">
        <f t="shared" si="148"/>
        <v>92.7</v>
      </c>
      <c r="R716" s="13">
        <f t="shared" si="161"/>
        <v>0</v>
      </c>
      <c r="S716" s="84">
        <f t="shared" si="160"/>
        <v>92.7</v>
      </c>
      <c r="T716" s="13">
        <f t="shared" si="161"/>
        <v>0</v>
      </c>
      <c r="U716" s="84">
        <f t="shared" si="154"/>
        <v>92.7</v>
      </c>
    </row>
    <row r="717" spans="1:21" ht="33">
      <c r="A717" s="61" t="str">
        <f ca="1">IF(ISERROR(MATCH(F717,Код_КВР,0)),"",INDIRECT(ADDRESS(MATCH(F717,Код_КВР,0)+1,2,,,"КВР")))</f>
        <v>Иные закупки товаров, работ и услуг для обеспечения муниципальных нужд</v>
      </c>
      <c r="B717" s="126">
        <v>805</v>
      </c>
      <c r="C717" s="8" t="s">
        <v>193</v>
      </c>
      <c r="D717" s="8" t="s">
        <v>217</v>
      </c>
      <c r="E717" s="126" t="s">
        <v>269</v>
      </c>
      <c r="F717" s="126">
        <v>240</v>
      </c>
      <c r="G717" s="69">
        <f t="shared" si="161"/>
        <v>92.7</v>
      </c>
      <c r="H717" s="69">
        <f t="shared" si="161"/>
        <v>0</v>
      </c>
      <c r="I717" s="69">
        <f t="shared" si="147"/>
        <v>92.7</v>
      </c>
      <c r="J717" s="69">
        <f t="shared" si="161"/>
        <v>0</v>
      </c>
      <c r="K717" s="84">
        <f t="shared" si="144"/>
        <v>92.7</v>
      </c>
      <c r="L717" s="13">
        <f t="shared" si="161"/>
        <v>0</v>
      </c>
      <c r="M717" s="84">
        <f t="shared" si="152"/>
        <v>92.7</v>
      </c>
      <c r="N717" s="13">
        <f t="shared" si="161"/>
        <v>0</v>
      </c>
      <c r="O717" s="84">
        <f t="shared" si="153"/>
        <v>92.7</v>
      </c>
      <c r="P717" s="13">
        <f t="shared" si="161"/>
        <v>0</v>
      </c>
      <c r="Q717" s="84">
        <f t="shared" si="148"/>
        <v>92.7</v>
      </c>
      <c r="R717" s="13">
        <f t="shared" si="161"/>
        <v>0</v>
      </c>
      <c r="S717" s="84">
        <f t="shared" si="160"/>
        <v>92.7</v>
      </c>
      <c r="T717" s="13">
        <f t="shared" si="161"/>
        <v>0</v>
      </c>
      <c r="U717" s="84">
        <f t="shared" si="154"/>
        <v>92.7</v>
      </c>
    </row>
    <row r="718" spans="1:21" ht="33">
      <c r="A718" s="61" t="str">
        <f ca="1">IF(ISERROR(MATCH(F718,Код_КВР,0)),"",INDIRECT(ADDRESS(MATCH(F718,Код_КВР,0)+1,2,,,"КВР")))</f>
        <v xml:space="preserve">Прочая закупка товаров, работ и услуг для обеспечения муниципальных нужд         </v>
      </c>
      <c r="B718" s="126">
        <v>805</v>
      </c>
      <c r="C718" s="8" t="s">
        <v>193</v>
      </c>
      <c r="D718" s="8" t="s">
        <v>217</v>
      </c>
      <c r="E718" s="126" t="s">
        <v>269</v>
      </c>
      <c r="F718" s="126">
        <v>244</v>
      </c>
      <c r="G718" s="69">
        <v>92.7</v>
      </c>
      <c r="H718" s="64"/>
      <c r="I718" s="69">
        <f t="shared" si="147"/>
        <v>92.7</v>
      </c>
      <c r="J718" s="64"/>
      <c r="K718" s="84">
        <f t="shared" si="144"/>
        <v>92.7</v>
      </c>
      <c r="L718" s="84"/>
      <c r="M718" s="84">
        <f t="shared" si="152"/>
        <v>92.7</v>
      </c>
      <c r="N718" s="84"/>
      <c r="O718" s="84">
        <f t="shared" si="153"/>
        <v>92.7</v>
      </c>
      <c r="P718" s="84"/>
      <c r="Q718" s="84">
        <f t="shared" si="148"/>
        <v>92.7</v>
      </c>
      <c r="R718" s="84"/>
      <c r="S718" s="84">
        <f t="shared" si="160"/>
        <v>92.7</v>
      </c>
      <c r="T718" s="84"/>
      <c r="U718" s="84">
        <f t="shared" si="154"/>
        <v>92.7</v>
      </c>
    </row>
    <row r="719" spans="1:21">
      <c r="A719" s="61" t="str">
        <f ca="1">IF(ISERROR(MATCH(E719,Код_КЦСР,0)),"",INDIRECT(ADDRESS(MATCH(E719,Код_КЦСР,0)+1,2,,,"КЦСР")))</f>
        <v>Обеспечение питанием обучающихся в МОУ</v>
      </c>
      <c r="B719" s="126">
        <v>805</v>
      </c>
      <c r="C719" s="8" t="s">
        <v>193</v>
      </c>
      <c r="D719" s="8" t="s">
        <v>217</v>
      </c>
      <c r="E719" s="126" t="s">
        <v>270</v>
      </c>
      <c r="F719" s="126"/>
      <c r="G719" s="69">
        <f>G720</f>
        <v>6132.1</v>
      </c>
      <c r="H719" s="69">
        <f t="shared" ref="G719:T721" si="162">H720</f>
        <v>0</v>
      </c>
      <c r="I719" s="69">
        <f t="shared" si="147"/>
        <v>6132.1</v>
      </c>
      <c r="J719" s="69">
        <f>J720</f>
        <v>0</v>
      </c>
      <c r="K719" s="84">
        <f t="shared" ref="K719:K785" si="163">I719+J719</f>
        <v>6132.1</v>
      </c>
      <c r="L719" s="13">
        <f>L720</f>
        <v>-232.3</v>
      </c>
      <c r="M719" s="84">
        <f t="shared" si="152"/>
        <v>5899.8</v>
      </c>
      <c r="N719" s="13">
        <f>N720</f>
        <v>1917.5</v>
      </c>
      <c r="O719" s="84">
        <f t="shared" si="153"/>
        <v>7817.3</v>
      </c>
      <c r="P719" s="13">
        <f>P720</f>
        <v>0</v>
      </c>
      <c r="Q719" s="84">
        <f t="shared" si="148"/>
        <v>7817.3</v>
      </c>
      <c r="R719" s="13">
        <f>R720</f>
        <v>0</v>
      </c>
      <c r="S719" s="84">
        <f t="shared" si="160"/>
        <v>7817.3</v>
      </c>
      <c r="T719" s="13">
        <f>T720</f>
        <v>-46.89999999999992</v>
      </c>
      <c r="U719" s="84">
        <f t="shared" si="154"/>
        <v>7770.4000000000005</v>
      </c>
    </row>
    <row r="720" spans="1:21" ht="33">
      <c r="A720" s="61" t="str">
        <f t="shared" ref="A720:A725" ca="1" si="164">IF(ISERROR(MATCH(F720,Код_КВР,0)),"",INDIRECT(ADDRESS(MATCH(F720,Код_КВР,0)+1,2,,,"КВР")))</f>
        <v>Предоставление субсидий бюджетным, автономным учреждениям и иным некоммерческим организациям</v>
      </c>
      <c r="B720" s="126">
        <v>805</v>
      </c>
      <c r="C720" s="8" t="s">
        <v>193</v>
      </c>
      <c r="D720" s="8" t="s">
        <v>217</v>
      </c>
      <c r="E720" s="126" t="s">
        <v>270</v>
      </c>
      <c r="F720" s="126">
        <v>600</v>
      </c>
      <c r="G720" s="69">
        <f t="shared" si="162"/>
        <v>6132.1</v>
      </c>
      <c r="H720" s="69">
        <f t="shared" si="162"/>
        <v>0</v>
      </c>
      <c r="I720" s="69">
        <f t="shared" si="147"/>
        <v>6132.1</v>
      </c>
      <c r="J720" s="69">
        <f>J721+J723</f>
        <v>0</v>
      </c>
      <c r="K720" s="84">
        <f t="shared" si="163"/>
        <v>6132.1</v>
      </c>
      <c r="L720" s="13">
        <f>L721+L723</f>
        <v>-232.3</v>
      </c>
      <c r="M720" s="84">
        <f t="shared" si="152"/>
        <v>5899.8</v>
      </c>
      <c r="N720" s="13">
        <f>N721+N723</f>
        <v>1917.5</v>
      </c>
      <c r="O720" s="84">
        <f t="shared" si="153"/>
        <v>7817.3</v>
      </c>
      <c r="P720" s="13">
        <f>P721+P723</f>
        <v>0</v>
      </c>
      <c r="Q720" s="84">
        <f t="shared" ref="Q720:Q783" si="165">O720+P720</f>
        <v>7817.3</v>
      </c>
      <c r="R720" s="13">
        <f>R721+R723</f>
        <v>0</v>
      </c>
      <c r="S720" s="84">
        <f t="shared" si="160"/>
        <v>7817.3</v>
      </c>
      <c r="T720" s="13">
        <f>T721+T723</f>
        <v>-46.89999999999992</v>
      </c>
      <c r="U720" s="84">
        <f t="shared" si="154"/>
        <v>7770.4000000000005</v>
      </c>
    </row>
    <row r="721" spans="1:21">
      <c r="A721" s="61" t="str">
        <f t="shared" ca="1" si="164"/>
        <v>Субсидии бюджетным учреждениям</v>
      </c>
      <c r="B721" s="126">
        <v>805</v>
      </c>
      <c r="C721" s="8" t="s">
        <v>193</v>
      </c>
      <c r="D721" s="8" t="s">
        <v>217</v>
      </c>
      <c r="E721" s="126" t="s">
        <v>270</v>
      </c>
      <c r="F721" s="126">
        <v>610</v>
      </c>
      <c r="G721" s="69">
        <f t="shared" si="162"/>
        <v>6132.1</v>
      </c>
      <c r="H721" s="69">
        <f t="shared" si="162"/>
        <v>0</v>
      </c>
      <c r="I721" s="69">
        <f t="shared" si="147"/>
        <v>6132.1</v>
      </c>
      <c r="J721" s="69">
        <f t="shared" si="162"/>
        <v>-4281.5</v>
      </c>
      <c r="K721" s="84">
        <f t="shared" si="163"/>
        <v>1850.6000000000004</v>
      </c>
      <c r="L721" s="13">
        <f t="shared" si="162"/>
        <v>0</v>
      </c>
      <c r="M721" s="84">
        <f t="shared" si="152"/>
        <v>1850.6000000000004</v>
      </c>
      <c r="N721" s="13">
        <f t="shared" si="162"/>
        <v>0</v>
      </c>
      <c r="O721" s="84">
        <f t="shared" si="153"/>
        <v>1850.6000000000004</v>
      </c>
      <c r="P721" s="13">
        <f t="shared" si="162"/>
        <v>0</v>
      </c>
      <c r="Q721" s="84">
        <f t="shared" si="165"/>
        <v>1850.6000000000004</v>
      </c>
      <c r="R721" s="13">
        <f t="shared" si="162"/>
        <v>0</v>
      </c>
      <c r="S721" s="84">
        <f t="shared" si="160"/>
        <v>1850.6000000000004</v>
      </c>
      <c r="T721" s="13">
        <f t="shared" si="162"/>
        <v>-466.09999999999997</v>
      </c>
      <c r="U721" s="84">
        <f t="shared" si="154"/>
        <v>1384.5000000000005</v>
      </c>
    </row>
    <row r="722" spans="1:21" ht="49.5">
      <c r="A722" s="61" t="str">
        <f t="shared" ca="1" si="16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22" s="126">
        <v>805</v>
      </c>
      <c r="C722" s="8" t="s">
        <v>193</v>
      </c>
      <c r="D722" s="8" t="s">
        <v>217</v>
      </c>
      <c r="E722" s="126" t="s">
        <v>270</v>
      </c>
      <c r="F722" s="126">
        <v>611</v>
      </c>
      <c r="G722" s="69">
        <v>6132.1</v>
      </c>
      <c r="H722" s="64"/>
      <c r="I722" s="69">
        <f t="shared" si="147"/>
        <v>6132.1</v>
      </c>
      <c r="J722" s="64">
        <v>-4281.5</v>
      </c>
      <c r="K722" s="84">
        <f t="shared" si="163"/>
        <v>1850.6000000000004</v>
      </c>
      <c r="L722" s="84"/>
      <c r="M722" s="84">
        <f t="shared" si="152"/>
        <v>1850.6000000000004</v>
      </c>
      <c r="N722" s="84"/>
      <c r="O722" s="84">
        <f t="shared" si="153"/>
        <v>1850.6000000000004</v>
      </c>
      <c r="P722" s="84"/>
      <c r="Q722" s="84">
        <f t="shared" si="165"/>
        <v>1850.6000000000004</v>
      </c>
      <c r="R722" s="84"/>
      <c r="S722" s="84">
        <f t="shared" si="160"/>
        <v>1850.6000000000004</v>
      </c>
      <c r="T722" s="84">
        <f>-15.9-450.2</f>
        <v>-466.09999999999997</v>
      </c>
      <c r="U722" s="84">
        <f t="shared" si="154"/>
        <v>1384.5000000000005</v>
      </c>
    </row>
    <row r="723" spans="1:21">
      <c r="A723" s="61" t="str">
        <f t="shared" ca="1" si="164"/>
        <v>Субсидии автономным учреждениям</v>
      </c>
      <c r="B723" s="126">
        <v>805</v>
      </c>
      <c r="C723" s="8" t="s">
        <v>193</v>
      </c>
      <c r="D723" s="8" t="s">
        <v>217</v>
      </c>
      <c r="E723" s="126" t="s">
        <v>270</v>
      </c>
      <c r="F723" s="126">
        <v>620</v>
      </c>
      <c r="G723" s="69"/>
      <c r="H723" s="64"/>
      <c r="I723" s="69"/>
      <c r="J723" s="64">
        <f>J724</f>
        <v>4281.5</v>
      </c>
      <c r="K723" s="84">
        <f t="shared" si="163"/>
        <v>4281.5</v>
      </c>
      <c r="L723" s="84">
        <f>L724</f>
        <v>-232.3</v>
      </c>
      <c r="M723" s="84">
        <f>K723+L723</f>
        <v>4049.2</v>
      </c>
      <c r="N723" s="84">
        <f>N724+N725</f>
        <v>1917.5</v>
      </c>
      <c r="O723" s="84">
        <f>M723+N723</f>
        <v>5966.7</v>
      </c>
      <c r="P723" s="84">
        <f>P724+P725</f>
        <v>0</v>
      </c>
      <c r="Q723" s="84">
        <f t="shared" si="165"/>
        <v>5966.7</v>
      </c>
      <c r="R723" s="84">
        <f>R724+R725</f>
        <v>0</v>
      </c>
      <c r="S723" s="84">
        <f t="shared" si="160"/>
        <v>5966.7</v>
      </c>
      <c r="T723" s="84">
        <f>T724+T725</f>
        <v>419.20000000000005</v>
      </c>
      <c r="U723" s="84">
        <f t="shared" si="154"/>
        <v>6385.9</v>
      </c>
    </row>
    <row r="724" spans="1:21" ht="49.5">
      <c r="A724" s="61" t="str">
        <f t="shared" ca="1" si="164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24" s="126">
        <v>805</v>
      </c>
      <c r="C724" s="8" t="s">
        <v>193</v>
      </c>
      <c r="D724" s="8" t="s">
        <v>217</v>
      </c>
      <c r="E724" s="126" t="s">
        <v>270</v>
      </c>
      <c r="F724" s="126">
        <v>621</v>
      </c>
      <c r="G724" s="69"/>
      <c r="H724" s="64"/>
      <c r="I724" s="69"/>
      <c r="J724" s="64">
        <v>4281.5</v>
      </c>
      <c r="K724" s="84">
        <f t="shared" si="163"/>
        <v>4281.5</v>
      </c>
      <c r="L724" s="84">
        <v>-232.3</v>
      </c>
      <c r="M724" s="84">
        <f t="shared" si="152"/>
        <v>4049.2</v>
      </c>
      <c r="N724" s="84"/>
      <c r="O724" s="84">
        <f t="shared" si="153"/>
        <v>4049.2</v>
      </c>
      <c r="P724" s="84"/>
      <c r="Q724" s="84">
        <f t="shared" si="165"/>
        <v>4049.2</v>
      </c>
      <c r="R724" s="84"/>
      <c r="S724" s="84">
        <f t="shared" si="160"/>
        <v>4049.2</v>
      </c>
      <c r="T724" s="84">
        <v>619.20000000000005</v>
      </c>
      <c r="U724" s="84">
        <f t="shared" si="154"/>
        <v>4668.3999999999996</v>
      </c>
    </row>
    <row r="725" spans="1:21" ht="20.25" customHeight="1">
      <c r="A725" s="61" t="str">
        <f t="shared" ca="1" si="164"/>
        <v>Субсидии автономным учреждениям на иные цели</v>
      </c>
      <c r="B725" s="126">
        <v>805</v>
      </c>
      <c r="C725" s="8" t="s">
        <v>193</v>
      </c>
      <c r="D725" s="8" t="s">
        <v>217</v>
      </c>
      <c r="E725" s="126" t="s">
        <v>270</v>
      </c>
      <c r="F725" s="126">
        <v>622</v>
      </c>
      <c r="G725" s="69"/>
      <c r="H725" s="64"/>
      <c r="I725" s="69"/>
      <c r="J725" s="64"/>
      <c r="K725" s="84"/>
      <c r="L725" s="84"/>
      <c r="M725" s="84"/>
      <c r="N725" s="84">
        <v>1917.5</v>
      </c>
      <c r="O725" s="84">
        <f t="shared" si="153"/>
        <v>1917.5</v>
      </c>
      <c r="P725" s="84"/>
      <c r="Q725" s="84">
        <f t="shared" si="165"/>
        <v>1917.5</v>
      </c>
      <c r="R725" s="84"/>
      <c r="S725" s="84">
        <f t="shared" si="160"/>
        <v>1917.5</v>
      </c>
      <c r="T725" s="84">
        <v>-200</v>
      </c>
      <c r="U725" s="84">
        <f t="shared" si="154"/>
        <v>1717.5</v>
      </c>
    </row>
    <row r="726" spans="1:21" ht="33">
      <c r="A726" s="61" t="str">
        <f ca="1">IF(ISERROR(MATCH(E726,Код_КЦСР,0)),"",INDIRECT(ADDRESS(MATCH(E726,Код_КЦСР,0)+1,2,,,"КЦСР")))</f>
        <v>Обеспечение работы по организации и ведению бухгалтерского (бюджетного) учета и отчетности</v>
      </c>
      <c r="B726" s="126">
        <v>805</v>
      </c>
      <c r="C726" s="8" t="s">
        <v>193</v>
      </c>
      <c r="D726" s="8" t="s">
        <v>217</v>
      </c>
      <c r="E726" s="126" t="s">
        <v>272</v>
      </c>
      <c r="F726" s="126"/>
      <c r="G726" s="69">
        <f t="shared" ref="G726:T728" si="166">G727</f>
        <v>43113.9</v>
      </c>
      <c r="H726" s="69">
        <f t="shared" si="166"/>
        <v>0</v>
      </c>
      <c r="I726" s="69">
        <f t="shared" si="147"/>
        <v>43113.9</v>
      </c>
      <c r="J726" s="69">
        <f t="shared" si="166"/>
        <v>0</v>
      </c>
      <c r="K726" s="84">
        <f t="shared" si="163"/>
        <v>43113.9</v>
      </c>
      <c r="L726" s="13">
        <f t="shared" si="166"/>
        <v>-27.9</v>
      </c>
      <c r="M726" s="84">
        <f t="shared" si="152"/>
        <v>43086</v>
      </c>
      <c r="N726" s="13">
        <f t="shared" si="166"/>
        <v>0</v>
      </c>
      <c r="O726" s="84">
        <f t="shared" si="153"/>
        <v>43086</v>
      </c>
      <c r="P726" s="13">
        <f t="shared" si="166"/>
        <v>0</v>
      </c>
      <c r="Q726" s="84">
        <f t="shared" si="165"/>
        <v>43086</v>
      </c>
      <c r="R726" s="13">
        <f t="shared" si="166"/>
        <v>0</v>
      </c>
      <c r="S726" s="84">
        <f t="shared" si="160"/>
        <v>43086</v>
      </c>
      <c r="T726" s="13">
        <f t="shared" si="166"/>
        <v>0</v>
      </c>
      <c r="U726" s="84">
        <f t="shared" si="154"/>
        <v>43086</v>
      </c>
    </row>
    <row r="727" spans="1:21" ht="33">
      <c r="A727" s="61" t="str">
        <f ca="1">IF(ISERROR(MATCH(F727,Код_КВР,0)),"",INDIRECT(ADDRESS(MATCH(F727,Код_КВР,0)+1,2,,,"КВР")))</f>
        <v>Предоставление субсидий бюджетным, автономным учреждениям и иным некоммерческим организациям</v>
      </c>
      <c r="B727" s="126">
        <v>805</v>
      </c>
      <c r="C727" s="8" t="s">
        <v>193</v>
      </c>
      <c r="D727" s="8" t="s">
        <v>217</v>
      </c>
      <c r="E727" s="126" t="s">
        <v>272</v>
      </c>
      <c r="F727" s="126">
        <v>600</v>
      </c>
      <c r="G727" s="69">
        <f t="shared" si="166"/>
        <v>43113.9</v>
      </c>
      <c r="H727" s="69">
        <f t="shared" si="166"/>
        <v>0</v>
      </c>
      <c r="I727" s="69">
        <f t="shared" si="147"/>
        <v>43113.9</v>
      </c>
      <c r="J727" s="69">
        <f t="shared" si="166"/>
        <v>0</v>
      </c>
      <c r="K727" s="84">
        <f t="shared" si="163"/>
        <v>43113.9</v>
      </c>
      <c r="L727" s="13">
        <f t="shared" si="166"/>
        <v>-27.9</v>
      </c>
      <c r="M727" s="84">
        <f t="shared" si="152"/>
        <v>43086</v>
      </c>
      <c r="N727" s="13">
        <f t="shared" si="166"/>
        <v>0</v>
      </c>
      <c r="O727" s="84">
        <f t="shared" si="153"/>
        <v>43086</v>
      </c>
      <c r="P727" s="13">
        <f t="shared" si="166"/>
        <v>0</v>
      </c>
      <c r="Q727" s="84">
        <f t="shared" si="165"/>
        <v>43086</v>
      </c>
      <c r="R727" s="13">
        <f t="shared" si="166"/>
        <v>0</v>
      </c>
      <c r="S727" s="84">
        <f t="shared" si="160"/>
        <v>43086</v>
      </c>
      <c r="T727" s="13">
        <f t="shared" si="166"/>
        <v>0</v>
      </c>
      <c r="U727" s="84">
        <f t="shared" si="154"/>
        <v>43086</v>
      </c>
    </row>
    <row r="728" spans="1:21">
      <c r="A728" s="61" t="str">
        <f ca="1">IF(ISERROR(MATCH(F728,Код_КВР,0)),"",INDIRECT(ADDRESS(MATCH(F728,Код_КВР,0)+1,2,,,"КВР")))</f>
        <v>Субсидии бюджетным учреждениям</v>
      </c>
      <c r="B728" s="126">
        <v>805</v>
      </c>
      <c r="C728" s="8" t="s">
        <v>193</v>
      </c>
      <c r="D728" s="8" t="s">
        <v>217</v>
      </c>
      <c r="E728" s="126" t="s">
        <v>272</v>
      </c>
      <c r="F728" s="126">
        <v>610</v>
      </c>
      <c r="G728" s="69">
        <f t="shared" si="166"/>
        <v>43113.9</v>
      </c>
      <c r="H728" s="69">
        <f t="shared" si="166"/>
        <v>0</v>
      </c>
      <c r="I728" s="69">
        <f t="shared" ref="I728:I800" si="167">G728+H728</f>
        <v>43113.9</v>
      </c>
      <c r="J728" s="69">
        <f t="shared" si="166"/>
        <v>0</v>
      </c>
      <c r="K728" s="84">
        <f t="shared" si="163"/>
        <v>43113.9</v>
      </c>
      <c r="L728" s="13">
        <f t="shared" si="166"/>
        <v>-27.9</v>
      </c>
      <c r="M728" s="84">
        <f t="shared" si="152"/>
        <v>43086</v>
      </c>
      <c r="N728" s="13">
        <f t="shared" si="166"/>
        <v>0</v>
      </c>
      <c r="O728" s="84">
        <f t="shared" si="153"/>
        <v>43086</v>
      </c>
      <c r="P728" s="13">
        <f t="shared" si="166"/>
        <v>0</v>
      </c>
      <c r="Q728" s="84">
        <f t="shared" si="165"/>
        <v>43086</v>
      </c>
      <c r="R728" s="13">
        <f t="shared" si="166"/>
        <v>0</v>
      </c>
      <c r="S728" s="84">
        <f t="shared" si="160"/>
        <v>43086</v>
      </c>
      <c r="T728" s="13">
        <f t="shared" si="166"/>
        <v>0</v>
      </c>
      <c r="U728" s="84">
        <f t="shared" si="154"/>
        <v>43086</v>
      </c>
    </row>
    <row r="729" spans="1:21" ht="49.5">
      <c r="A729" s="61" t="str">
        <f ca="1">IF(ISERROR(MATCH(F729,Код_КВР,0)),"",INDIRECT(ADDRESS(MATCH(F729,Код_КВР,0)+1,2,,,"КВР")))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29" s="126">
        <v>805</v>
      </c>
      <c r="C729" s="8" t="s">
        <v>193</v>
      </c>
      <c r="D729" s="8" t="s">
        <v>217</v>
      </c>
      <c r="E729" s="126" t="s">
        <v>272</v>
      </c>
      <c r="F729" s="126">
        <v>611</v>
      </c>
      <c r="G729" s="69">
        <v>43113.9</v>
      </c>
      <c r="H729" s="64"/>
      <c r="I729" s="69">
        <f t="shared" si="167"/>
        <v>43113.9</v>
      </c>
      <c r="J729" s="64"/>
      <c r="K729" s="84">
        <f t="shared" si="163"/>
        <v>43113.9</v>
      </c>
      <c r="L729" s="84">
        <v>-27.9</v>
      </c>
      <c r="M729" s="84">
        <f t="shared" si="152"/>
        <v>43086</v>
      </c>
      <c r="N729" s="84"/>
      <c r="O729" s="84">
        <f t="shared" si="153"/>
        <v>43086</v>
      </c>
      <c r="P729" s="84"/>
      <c r="Q729" s="84">
        <f t="shared" si="165"/>
        <v>43086</v>
      </c>
      <c r="R729" s="84"/>
      <c r="S729" s="84">
        <f t="shared" si="160"/>
        <v>43086</v>
      </c>
      <c r="T729" s="84"/>
      <c r="U729" s="84">
        <f t="shared" si="154"/>
        <v>43086</v>
      </c>
    </row>
    <row r="730" spans="1:21" ht="33">
      <c r="A730" s="61" t="str">
        <f ca="1">IF(ISERROR(MATCH(E730,Код_КЦСР,0)),"",INDIRECT(ADDRESS(MATCH(E730,Код_КЦСР,0)+1,2,,,"КЦСР")))</f>
        <v>Обеспечение питанием обучающихся в МОУ за счет субвенций из областного бюджета</v>
      </c>
      <c r="B730" s="126">
        <v>805</v>
      </c>
      <c r="C730" s="8" t="s">
        <v>193</v>
      </c>
      <c r="D730" s="8" t="s">
        <v>217</v>
      </c>
      <c r="E730" s="126" t="s">
        <v>421</v>
      </c>
      <c r="F730" s="126"/>
      <c r="G730" s="69">
        <f t="shared" ref="G730:T732" si="168">G731</f>
        <v>18137.8</v>
      </c>
      <c r="H730" s="69">
        <f t="shared" si="168"/>
        <v>0</v>
      </c>
      <c r="I730" s="69">
        <f t="shared" si="167"/>
        <v>18137.8</v>
      </c>
      <c r="J730" s="69">
        <f>J731</f>
        <v>0</v>
      </c>
      <c r="K730" s="84">
        <f t="shared" si="163"/>
        <v>18137.8</v>
      </c>
      <c r="L730" s="13">
        <f>L731</f>
        <v>0</v>
      </c>
      <c r="M730" s="84">
        <f t="shared" si="152"/>
        <v>18137.8</v>
      </c>
      <c r="N730" s="13">
        <f>N731</f>
        <v>0</v>
      </c>
      <c r="O730" s="84">
        <f t="shared" si="153"/>
        <v>18137.8</v>
      </c>
      <c r="P730" s="13">
        <f>P731</f>
        <v>0</v>
      </c>
      <c r="Q730" s="84">
        <f t="shared" si="165"/>
        <v>18137.8</v>
      </c>
      <c r="R730" s="13">
        <f>R731</f>
        <v>-2188.1999999999998</v>
      </c>
      <c r="S730" s="84">
        <f t="shared" si="160"/>
        <v>15949.599999999999</v>
      </c>
      <c r="T730" s="13">
        <f>T731</f>
        <v>-1399.9</v>
      </c>
      <c r="U730" s="84">
        <f t="shared" si="154"/>
        <v>14549.699999999999</v>
      </c>
    </row>
    <row r="731" spans="1:21" ht="33">
      <c r="A731" s="61" t="str">
        <f ca="1">IF(ISERROR(MATCH(F731,Код_КВР,0)),"",INDIRECT(ADDRESS(MATCH(F731,Код_КВР,0)+1,2,,,"КВР")))</f>
        <v>Предоставление субсидий бюджетным, автономным учреждениям и иным некоммерческим организациям</v>
      </c>
      <c r="B731" s="126">
        <v>805</v>
      </c>
      <c r="C731" s="8" t="s">
        <v>193</v>
      </c>
      <c r="D731" s="8" t="s">
        <v>217</v>
      </c>
      <c r="E731" s="126" t="s">
        <v>421</v>
      </c>
      <c r="F731" s="126">
        <v>600</v>
      </c>
      <c r="G731" s="69">
        <f t="shared" si="168"/>
        <v>18137.8</v>
      </c>
      <c r="H731" s="69">
        <f t="shared" si="168"/>
        <v>0</v>
      </c>
      <c r="I731" s="69">
        <f t="shared" si="167"/>
        <v>18137.8</v>
      </c>
      <c r="J731" s="69">
        <f>J732+J734</f>
        <v>0</v>
      </c>
      <c r="K731" s="84">
        <f t="shared" si="163"/>
        <v>18137.8</v>
      </c>
      <c r="L731" s="13">
        <f>L732+L734</f>
        <v>0</v>
      </c>
      <c r="M731" s="84">
        <f t="shared" si="152"/>
        <v>18137.8</v>
      </c>
      <c r="N731" s="13">
        <f>N732+N734</f>
        <v>0</v>
      </c>
      <c r="O731" s="84">
        <f t="shared" si="153"/>
        <v>18137.8</v>
      </c>
      <c r="P731" s="13">
        <f>P732+P734</f>
        <v>0</v>
      </c>
      <c r="Q731" s="84">
        <f t="shared" si="165"/>
        <v>18137.8</v>
      </c>
      <c r="R731" s="13">
        <f>R732+R734</f>
        <v>-2188.1999999999998</v>
      </c>
      <c r="S731" s="84">
        <f t="shared" si="160"/>
        <v>15949.599999999999</v>
      </c>
      <c r="T731" s="13">
        <f>T732+T734</f>
        <v>-1399.9</v>
      </c>
      <c r="U731" s="84">
        <f t="shared" si="154"/>
        <v>14549.699999999999</v>
      </c>
    </row>
    <row r="732" spans="1:21">
      <c r="A732" s="61" t="str">
        <f ca="1">IF(ISERROR(MATCH(F732,Код_КВР,0)),"",INDIRECT(ADDRESS(MATCH(F732,Код_КВР,0)+1,2,,,"КВР")))</f>
        <v>Субсидии бюджетным учреждениям</v>
      </c>
      <c r="B732" s="126">
        <v>805</v>
      </c>
      <c r="C732" s="8" t="s">
        <v>193</v>
      </c>
      <c r="D732" s="8" t="s">
        <v>217</v>
      </c>
      <c r="E732" s="126" t="s">
        <v>421</v>
      </c>
      <c r="F732" s="126">
        <v>610</v>
      </c>
      <c r="G732" s="69">
        <f t="shared" si="168"/>
        <v>18137.8</v>
      </c>
      <c r="H732" s="69">
        <f t="shared" si="168"/>
        <v>0</v>
      </c>
      <c r="I732" s="69">
        <f t="shared" si="167"/>
        <v>18137.8</v>
      </c>
      <c r="J732" s="69">
        <f t="shared" si="168"/>
        <v>-12299.8</v>
      </c>
      <c r="K732" s="84">
        <f t="shared" si="163"/>
        <v>5838</v>
      </c>
      <c r="L732" s="13">
        <f t="shared" si="168"/>
        <v>0</v>
      </c>
      <c r="M732" s="84">
        <f t="shared" si="152"/>
        <v>5838</v>
      </c>
      <c r="N732" s="13">
        <f t="shared" si="168"/>
        <v>0</v>
      </c>
      <c r="O732" s="84">
        <f t="shared" si="153"/>
        <v>5838</v>
      </c>
      <c r="P732" s="13">
        <f t="shared" si="168"/>
        <v>0</v>
      </c>
      <c r="Q732" s="84">
        <f t="shared" si="165"/>
        <v>5838</v>
      </c>
      <c r="R732" s="13">
        <f t="shared" si="168"/>
        <v>-614.20000000000005</v>
      </c>
      <c r="S732" s="84">
        <f t="shared" si="160"/>
        <v>5223.8</v>
      </c>
      <c r="T732" s="13">
        <f t="shared" si="168"/>
        <v>0</v>
      </c>
      <c r="U732" s="84">
        <f t="shared" si="154"/>
        <v>5223.8</v>
      </c>
    </row>
    <row r="733" spans="1:21" ht="49.5">
      <c r="A733" s="61" t="str">
        <f ca="1">IF(ISERROR(MATCH(F733,Код_КВР,0)),"",INDIRECT(ADDRESS(MATCH(F733,Код_КВР,0)+1,2,,,"КВР")))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33" s="126">
        <v>805</v>
      </c>
      <c r="C733" s="8" t="s">
        <v>193</v>
      </c>
      <c r="D733" s="8" t="s">
        <v>217</v>
      </c>
      <c r="E733" s="126" t="s">
        <v>421</v>
      </c>
      <c r="F733" s="126">
        <v>611</v>
      </c>
      <c r="G733" s="69">
        <v>18137.8</v>
      </c>
      <c r="H733" s="64"/>
      <c r="I733" s="69">
        <f t="shared" si="167"/>
        <v>18137.8</v>
      </c>
      <c r="J733" s="64">
        <v>-12299.8</v>
      </c>
      <c r="K733" s="84">
        <f t="shared" si="163"/>
        <v>5838</v>
      </c>
      <c r="L733" s="84"/>
      <c r="M733" s="84">
        <f t="shared" si="152"/>
        <v>5838</v>
      </c>
      <c r="N733" s="84"/>
      <c r="O733" s="84">
        <f t="shared" si="153"/>
        <v>5838</v>
      </c>
      <c r="P733" s="84"/>
      <c r="Q733" s="84">
        <f t="shared" si="165"/>
        <v>5838</v>
      </c>
      <c r="R733" s="84">
        <v>-614.20000000000005</v>
      </c>
      <c r="S733" s="84">
        <f t="shared" si="160"/>
        <v>5223.8</v>
      </c>
      <c r="T733" s="84"/>
      <c r="U733" s="84">
        <f t="shared" si="154"/>
        <v>5223.8</v>
      </c>
    </row>
    <row r="734" spans="1:21">
      <c r="A734" s="61" t="str">
        <f ca="1">IF(ISERROR(MATCH(F734,Код_КВР,0)),"",INDIRECT(ADDRESS(MATCH(F734,Код_КВР,0)+1,2,,,"КВР")))</f>
        <v>Субсидии автономным учреждениям</v>
      </c>
      <c r="B734" s="126">
        <v>805</v>
      </c>
      <c r="C734" s="8" t="s">
        <v>193</v>
      </c>
      <c r="D734" s="8" t="s">
        <v>217</v>
      </c>
      <c r="E734" s="126" t="s">
        <v>421</v>
      </c>
      <c r="F734" s="126">
        <v>620</v>
      </c>
      <c r="G734" s="69"/>
      <c r="H734" s="64"/>
      <c r="I734" s="69"/>
      <c r="J734" s="64">
        <f>J735</f>
        <v>12299.8</v>
      </c>
      <c r="K734" s="84">
        <f t="shared" si="163"/>
        <v>12299.8</v>
      </c>
      <c r="L734" s="84">
        <f>L735</f>
        <v>0</v>
      </c>
      <c r="M734" s="84">
        <f t="shared" si="152"/>
        <v>12299.8</v>
      </c>
      <c r="N734" s="84">
        <f>N735</f>
        <v>0</v>
      </c>
      <c r="O734" s="84">
        <f t="shared" si="153"/>
        <v>12299.8</v>
      </c>
      <c r="P734" s="84">
        <f>P735</f>
        <v>0</v>
      </c>
      <c r="Q734" s="84">
        <f t="shared" si="165"/>
        <v>12299.8</v>
      </c>
      <c r="R734" s="84">
        <f>R735</f>
        <v>-1573.9999999999998</v>
      </c>
      <c r="S734" s="84">
        <f t="shared" si="160"/>
        <v>10725.8</v>
      </c>
      <c r="T734" s="84">
        <f>T735</f>
        <v>-1399.9</v>
      </c>
      <c r="U734" s="84">
        <f t="shared" si="154"/>
        <v>9325.9</v>
      </c>
    </row>
    <row r="735" spans="1:21" ht="49.5">
      <c r="A735" s="61" t="str">
        <f ca="1">IF(ISERROR(MATCH(F735,Код_КВР,0)),"",INDIRECT(ADDRESS(MATCH(F735,Код_КВР,0)+1,2,,,"КВР")))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35" s="126">
        <v>805</v>
      </c>
      <c r="C735" s="8" t="s">
        <v>193</v>
      </c>
      <c r="D735" s="8" t="s">
        <v>217</v>
      </c>
      <c r="E735" s="126" t="s">
        <v>421</v>
      </c>
      <c r="F735" s="126">
        <v>621</v>
      </c>
      <c r="G735" s="69"/>
      <c r="H735" s="64"/>
      <c r="I735" s="69"/>
      <c r="J735" s="64">
        <v>12299.8</v>
      </c>
      <c r="K735" s="84">
        <f t="shared" si="163"/>
        <v>12299.8</v>
      </c>
      <c r="L735" s="84"/>
      <c r="M735" s="84">
        <f t="shared" si="152"/>
        <v>12299.8</v>
      </c>
      <c r="N735" s="84"/>
      <c r="O735" s="84">
        <f t="shared" si="153"/>
        <v>12299.8</v>
      </c>
      <c r="P735" s="84"/>
      <c r="Q735" s="84">
        <f t="shared" si="165"/>
        <v>12299.8</v>
      </c>
      <c r="R735" s="84">
        <f>614.2-2188.2</f>
        <v>-1573.9999999999998</v>
      </c>
      <c r="S735" s="84">
        <f t="shared" si="160"/>
        <v>10725.8</v>
      </c>
      <c r="T735" s="84">
        <v>-1399.9</v>
      </c>
      <c r="U735" s="84">
        <f t="shared" si="154"/>
        <v>9325.9</v>
      </c>
    </row>
    <row r="736" spans="1:21">
      <c r="A736" s="61" t="str">
        <f ca="1">IF(ISERROR(MATCH(E736,Код_КЦСР,0)),"",INDIRECT(ADDRESS(MATCH(E736,Код_КЦСР,0)+1,2,,,"КЦСР")))</f>
        <v>Общее образование</v>
      </c>
      <c r="B736" s="126">
        <v>805</v>
      </c>
      <c r="C736" s="8" t="s">
        <v>193</v>
      </c>
      <c r="D736" s="8" t="s">
        <v>217</v>
      </c>
      <c r="E736" s="126" t="s">
        <v>276</v>
      </c>
      <c r="F736" s="126"/>
      <c r="G736" s="69"/>
      <c r="H736" s="69">
        <f>H737+H745+H749+H753+H759</f>
        <v>0</v>
      </c>
      <c r="I736" s="69">
        <f t="shared" si="167"/>
        <v>0</v>
      </c>
      <c r="J736" s="69">
        <f>J737</f>
        <v>7173</v>
      </c>
      <c r="K736" s="84">
        <f t="shared" si="163"/>
        <v>7173</v>
      </c>
      <c r="L736" s="13">
        <f>L737</f>
        <v>0</v>
      </c>
      <c r="M736" s="84">
        <f t="shared" si="152"/>
        <v>7173</v>
      </c>
      <c r="N736" s="13">
        <f>N737</f>
        <v>0</v>
      </c>
      <c r="O736" s="84">
        <f t="shared" si="153"/>
        <v>7173</v>
      </c>
      <c r="P736" s="13">
        <f>P737</f>
        <v>0</v>
      </c>
      <c r="Q736" s="84">
        <f t="shared" si="165"/>
        <v>7173</v>
      </c>
      <c r="R736" s="13">
        <f>R737</f>
        <v>0</v>
      </c>
      <c r="S736" s="84">
        <f t="shared" si="160"/>
        <v>7173</v>
      </c>
      <c r="T736" s="13">
        <f>T737</f>
        <v>4698.8</v>
      </c>
      <c r="U736" s="84">
        <f t="shared" si="154"/>
        <v>11871.8</v>
      </c>
    </row>
    <row r="737" spans="1:21" ht="104.25" customHeight="1">
      <c r="A737" s="61" t="str">
        <f ca="1">IF(ISERROR(MATCH(E737,Код_КЦСР,0)),"",INDIRECT(ADDRESS(MATCH(E737,Код_КЦСР,0)+1,2,,,"КЦСР")))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737" s="126">
        <v>805</v>
      </c>
      <c r="C737" s="8" t="s">
        <v>193</v>
      </c>
      <c r="D737" s="8" t="s">
        <v>217</v>
      </c>
      <c r="E737" s="126" t="s">
        <v>433</v>
      </c>
      <c r="F737" s="126"/>
      <c r="G737" s="69"/>
      <c r="H737" s="69">
        <f>H738</f>
        <v>0</v>
      </c>
      <c r="I737" s="69">
        <f t="shared" si="167"/>
        <v>0</v>
      </c>
      <c r="J737" s="69">
        <f>J738</f>
        <v>7173</v>
      </c>
      <c r="K737" s="84">
        <f t="shared" si="163"/>
        <v>7173</v>
      </c>
      <c r="L737" s="13">
        <f>L738</f>
        <v>0</v>
      </c>
      <c r="M737" s="84">
        <f t="shared" si="152"/>
        <v>7173</v>
      </c>
      <c r="N737" s="13">
        <f>N738</f>
        <v>0</v>
      </c>
      <c r="O737" s="84">
        <f t="shared" si="153"/>
        <v>7173</v>
      </c>
      <c r="P737" s="13">
        <f>P738</f>
        <v>0</v>
      </c>
      <c r="Q737" s="84">
        <f t="shared" si="165"/>
        <v>7173</v>
      </c>
      <c r="R737" s="13">
        <f>R738</f>
        <v>0</v>
      </c>
      <c r="S737" s="84">
        <f t="shared" si="160"/>
        <v>7173</v>
      </c>
      <c r="T737" s="13">
        <f>T738</f>
        <v>4698.8</v>
      </c>
      <c r="U737" s="84">
        <f t="shared" si="154"/>
        <v>11871.8</v>
      </c>
    </row>
    <row r="738" spans="1:21" ht="33">
      <c r="A738" s="61" t="str">
        <f ca="1">IF(ISERROR(MATCH(F738,Код_КВР,0)),"",INDIRECT(ADDRESS(MATCH(F738,Код_КВР,0)+1,2,,,"КВР")))</f>
        <v>Предоставление субсидий бюджетным, автономным учреждениям и иным некоммерческим организациям</v>
      </c>
      <c r="B738" s="126">
        <v>805</v>
      </c>
      <c r="C738" s="8" t="s">
        <v>193</v>
      </c>
      <c r="D738" s="8" t="s">
        <v>217</v>
      </c>
      <c r="E738" s="126" t="s">
        <v>433</v>
      </c>
      <c r="F738" s="126">
        <v>600</v>
      </c>
      <c r="G738" s="69"/>
      <c r="H738" s="69">
        <f>H739</f>
        <v>0</v>
      </c>
      <c r="I738" s="69">
        <f t="shared" si="167"/>
        <v>0</v>
      </c>
      <c r="J738" s="69">
        <f>J739+J741</f>
        <v>7173</v>
      </c>
      <c r="K738" s="84">
        <f t="shared" si="163"/>
        <v>7173</v>
      </c>
      <c r="L738" s="13">
        <f>L739+L741</f>
        <v>0</v>
      </c>
      <c r="M738" s="84">
        <f t="shared" si="152"/>
        <v>7173</v>
      </c>
      <c r="N738" s="13">
        <f>N739+N741</f>
        <v>0</v>
      </c>
      <c r="O738" s="84">
        <f t="shared" si="153"/>
        <v>7173</v>
      </c>
      <c r="P738" s="13">
        <f>P739+P741</f>
        <v>0</v>
      </c>
      <c r="Q738" s="84">
        <f t="shared" si="165"/>
        <v>7173</v>
      </c>
      <c r="R738" s="13">
        <f>R739+R741</f>
        <v>0</v>
      </c>
      <c r="S738" s="84">
        <f t="shared" si="160"/>
        <v>7173</v>
      </c>
      <c r="T738" s="13">
        <f>T739+T741</f>
        <v>4698.8</v>
      </c>
      <c r="U738" s="84">
        <f t="shared" si="154"/>
        <v>11871.8</v>
      </c>
    </row>
    <row r="739" spans="1:21">
      <c r="A739" s="61" t="str">
        <f ca="1">IF(ISERROR(MATCH(F739,Код_КВР,0)),"",INDIRECT(ADDRESS(MATCH(F739,Код_КВР,0)+1,2,,,"КВР")))</f>
        <v>Субсидии бюджетным учреждениям</v>
      </c>
      <c r="B739" s="126">
        <v>805</v>
      </c>
      <c r="C739" s="8" t="s">
        <v>193</v>
      </c>
      <c r="D739" s="8" t="s">
        <v>217</v>
      </c>
      <c r="E739" s="126" t="s">
        <v>433</v>
      </c>
      <c r="F739" s="126">
        <v>610</v>
      </c>
      <c r="G739" s="69"/>
      <c r="H739" s="64"/>
      <c r="I739" s="69">
        <f t="shared" si="167"/>
        <v>0</v>
      </c>
      <c r="J739" s="69">
        <f>J740</f>
        <v>1874.9</v>
      </c>
      <c r="K739" s="84">
        <f t="shared" si="163"/>
        <v>1874.9</v>
      </c>
      <c r="L739" s="13">
        <f>L740</f>
        <v>0</v>
      </c>
      <c r="M739" s="84">
        <f t="shared" si="152"/>
        <v>1874.9</v>
      </c>
      <c r="N739" s="13">
        <f>N740</f>
        <v>0</v>
      </c>
      <c r="O739" s="84">
        <f t="shared" si="153"/>
        <v>1874.9</v>
      </c>
      <c r="P739" s="13">
        <f>P740</f>
        <v>0</v>
      </c>
      <c r="Q739" s="84">
        <f t="shared" si="165"/>
        <v>1874.9</v>
      </c>
      <c r="R739" s="13">
        <f>R740</f>
        <v>0</v>
      </c>
      <c r="S739" s="84">
        <f t="shared" si="160"/>
        <v>1874.9</v>
      </c>
      <c r="T739" s="13">
        <f>T740</f>
        <v>0</v>
      </c>
      <c r="U739" s="84">
        <f t="shared" si="154"/>
        <v>1874.9</v>
      </c>
    </row>
    <row r="740" spans="1:21" ht="49.5">
      <c r="A740" s="61" t="str">
        <f ca="1">IF(ISERROR(MATCH(F740,Код_КВР,0)),"",INDIRECT(ADDRESS(MATCH(F740,Код_КВР,0)+1,2,,,"КВР")))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40" s="126">
        <v>805</v>
      </c>
      <c r="C740" s="8" t="s">
        <v>193</v>
      </c>
      <c r="D740" s="8" t="s">
        <v>217</v>
      </c>
      <c r="E740" s="126" t="s">
        <v>433</v>
      </c>
      <c r="F740" s="126">
        <v>611</v>
      </c>
      <c r="G740" s="69"/>
      <c r="H740" s="64"/>
      <c r="I740" s="69">
        <f t="shared" si="167"/>
        <v>0</v>
      </c>
      <c r="J740" s="64">
        <f>166.5+1708.4</f>
        <v>1874.9</v>
      </c>
      <c r="K740" s="84">
        <f t="shared" si="163"/>
        <v>1874.9</v>
      </c>
      <c r="L740" s="84"/>
      <c r="M740" s="84">
        <f t="shared" si="152"/>
        <v>1874.9</v>
      </c>
      <c r="N740" s="84"/>
      <c r="O740" s="84">
        <f t="shared" si="153"/>
        <v>1874.9</v>
      </c>
      <c r="P740" s="84"/>
      <c r="Q740" s="84">
        <f t="shared" si="165"/>
        <v>1874.9</v>
      </c>
      <c r="R740" s="84"/>
      <c r="S740" s="84">
        <f t="shared" si="160"/>
        <v>1874.9</v>
      </c>
      <c r="T740" s="84"/>
      <c r="U740" s="84">
        <f t="shared" si="154"/>
        <v>1874.9</v>
      </c>
    </row>
    <row r="741" spans="1:21">
      <c r="A741" s="61" t="str">
        <f ca="1">IF(ISERROR(MATCH(F741,Код_КВР,0)),"",INDIRECT(ADDRESS(MATCH(F741,Код_КВР,0)+1,2,,,"КВР")))</f>
        <v>Субсидии автономным учреждениям</v>
      </c>
      <c r="B741" s="126">
        <v>805</v>
      </c>
      <c r="C741" s="8" t="s">
        <v>193</v>
      </c>
      <c r="D741" s="8" t="s">
        <v>217</v>
      </c>
      <c r="E741" s="126" t="s">
        <v>433</v>
      </c>
      <c r="F741" s="126">
        <v>620</v>
      </c>
      <c r="G741" s="69"/>
      <c r="H741" s="64"/>
      <c r="I741" s="69"/>
      <c r="J741" s="64">
        <f>J742</f>
        <v>5298.1</v>
      </c>
      <c r="K741" s="84">
        <f t="shared" si="163"/>
        <v>5298.1</v>
      </c>
      <c r="L741" s="84">
        <f>L742</f>
        <v>0</v>
      </c>
      <c r="M741" s="84">
        <f t="shared" si="152"/>
        <v>5298.1</v>
      </c>
      <c r="N741" s="84">
        <f>N742</f>
        <v>0</v>
      </c>
      <c r="O741" s="84">
        <f t="shared" si="153"/>
        <v>5298.1</v>
      </c>
      <c r="P741" s="84">
        <f>P742</f>
        <v>0</v>
      </c>
      <c r="Q741" s="84">
        <f t="shared" si="165"/>
        <v>5298.1</v>
      </c>
      <c r="R741" s="84">
        <f>R742</f>
        <v>0</v>
      </c>
      <c r="S741" s="84">
        <f t="shared" si="160"/>
        <v>5298.1</v>
      </c>
      <c r="T741" s="84">
        <f>T742</f>
        <v>4698.8</v>
      </c>
      <c r="U741" s="84">
        <f t="shared" si="154"/>
        <v>9996.9000000000015</v>
      </c>
    </row>
    <row r="742" spans="1:21" ht="49.5">
      <c r="A742" s="61" t="str">
        <f ca="1">IF(ISERROR(MATCH(F742,Код_КВР,0)),"",INDIRECT(ADDRESS(MATCH(F742,Код_КВР,0)+1,2,,,"КВР")))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42" s="126">
        <v>805</v>
      </c>
      <c r="C742" s="8" t="s">
        <v>193</v>
      </c>
      <c r="D742" s="8" t="s">
        <v>217</v>
      </c>
      <c r="E742" s="126" t="s">
        <v>433</v>
      </c>
      <c r="F742" s="126">
        <v>621</v>
      </c>
      <c r="G742" s="69"/>
      <c r="H742" s="64"/>
      <c r="I742" s="69"/>
      <c r="J742" s="64">
        <v>5298.1</v>
      </c>
      <c r="K742" s="84">
        <f t="shared" si="163"/>
        <v>5298.1</v>
      </c>
      <c r="L742" s="84"/>
      <c r="M742" s="84">
        <f t="shared" si="152"/>
        <v>5298.1</v>
      </c>
      <c r="N742" s="84"/>
      <c r="O742" s="84">
        <f t="shared" si="153"/>
        <v>5298.1</v>
      </c>
      <c r="P742" s="84"/>
      <c r="Q742" s="84">
        <f t="shared" si="165"/>
        <v>5298.1</v>
      </c>
      <c r="R742" s="84"/>
      <c r="S742" s="84">
        <f t="shared" si="160"/>
        <v>5298.1</v>
      </c>
      <c r="T742" s="84">
        <f>3749.3-419.5+1369</f>
        <v>4698.8</v>
      </c>
      <c r="U742" s="84">
        <f t="shared" ref="U742:U805" si="169">S742+T742</f>
        <v>9996.9000000000015</v>
      </c>
    </row>
    <row r="743" spans="1:21">
      <c r="A743" s="61" t="str">
        <f ca="1">IF(ISERROR(MATCH(E743,Код_КЦСР,0)),"",INDIRECT(ADDRESS(MATCH(E743,Код_КЦСР,0)+1,2,,,"КЦСР")))</f>
        <v>Дополнительное образование</v>
      </c>
      <c r="B743" s="126">
        <v>805</v>
      </c>
      <c r="C743" s="8" t="s">
        <v>193</v>
      </c>
      <c r="D743" s="8" t="s">
        <v>217</v>
      </c>
      <c r="E743" s="126" t="s">
        <v>281</v>
      </c>
      <c r="F743" s="126"/>
      <c r="G743" s="69">
        <f t="shared" ref="G743:T746" si="170">G744</f>
        <v>258</v>
      </c>
      <c r="H743" s="69">
        <f t="shared" si="170"/>
        <v>0</v>
      </c>
      <c r="I743" s="69">
        <f t="shared" si="167"/>
        <v>258</v>
      </c>
      <c r="J743" s="69">
        <f t="shared" si="170"/>
        <v>0</v>
      </c>
      <c r="K743" s="84">
        <f t="shared" si="163"/>
        <v>258</v>
      </c>
      <c r="L743" s="13">
        <f t="shared" si="170"/>
        <v>0</v>
      </c>
      <c r="M743" s="84">
        <f t="shared" ref="M743:M806" si="171">K743+L743</f>
        <v>258</v>
      </c>
      <c r="N743" s="13">
        <f t="shared" si="170"/>
        <v>0</v>
      </c>
      <c r="O743" s="84">
        <f t="shared" ref="O743:O806" si="172">M743+N743</f>
        <v>258</v>
      </c>
      <c r="P743" s="13">
        <f t="shared" si="170"/>
        <v>0</v>
      </c>
      <c r="Q743" s="84">
        <f t="shared" si="165"/>
        <v>258</v>
      </c>
      <c r="R743" s="13">
        <f t="shared" si="170"/>
        <v>0</v>
      </c>
      <c r="S743" s="84">
        <f t="shared" si="160"/>
        <v>258</v>
      </c>
      <c r="T743" s="13">
        <f t="shared" si="170"/>
        <v>0</v>
      </c>
      <c r="U743" s="84">
        <f t="shared" si="169"/>
        <v>258</v>
      </c>
    </row>
    <row r="744" spans="1:21" ht="49.5">
      <c r="A744" s="61" t="str">
        <f ca="1">IF(ISERROR(MATCH(E744,Код_КЦСР,0)),"",INDIRECT(ADDRESS(MATCH(E744,Код_КЦСР,0)+1,2,,,"КЦСР")))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744" s="126">
        <v>805</v>
      </c>
      <c r="C744" s="8" t="s">
        <v>193</v>
      </c>
      <c r="D744" s="8" t="s">
        <v>217</v>
      </c>
      <c r="E744" s="126" t="s">
        <v>285</v>
      </c>
      <c r="F744" s="126"/>
      <c r="G744" s="69">
        <f t="shared" si="170"/>
        <v>258</v>
      </c>
      <c r="H744" s="69">
        <f t="shared" si="170"/>
        <v>0</v>
      </c>
      <c r="I744" s="69">
        <f t="shared" si="167"/>
        <v>258</v>
      </c>
      <c r="J744" s="69">
        <f t="shared" si="170"/>
        <v>0</v>
      </c>
      <c r="K744" s="84">
        <f t="shared" si="163"/>
        <v>258</v>
      </c>
      <c r="L744" s="13">
        <f t="shared" si="170"/>
        <v>0</v>
      </c>
      <c r="M744" s="84">
        <f t="shared" si="171"/>
        <v>258</v>
      </c>
      <c r="N744" s="13">
        <f t="shared" si="170"/>
        <v>0</v>
      </c>
      <c r="O744" s="84">
        <f t="shared" si="172"/>
        <v>258</v>
      </c>
      <c r="P744" s="13">
        <f t="shared" si="170"/>
        <v>0</v>
      </c>
      <c r="Q744" s="84">
        <f t="shared" si="165"/>
        <v>258</v>
      </c>
      <c r="R744" s="13">
        <f t="shared" si="170"/>
        <v>0</v>
      </c>
      <c r="S744" s="84">
        <f t="shared" si="160"/>
        <v>258</v>
      </c>
      <c r="T744" s="13">
        <f t="shared" si="170"/>
        <v>0</v>
      </c>
      <c r="U744" s="84">
        <f t="shared" si="169"/>
        <v>258</v>
      </c>
    </row>
    <row r="745" spans="1:21" ht="33">
      <c r="A745" s="61" t="str">
        <f ca="1">IF(ISERROR(MATCH(F745,Код_КВР,0)),"",INDIRECT(ADDRESS(MATCH(F745,Код_КВР,0)+1,2,,,"КВР")))</f>
        <v>Предоставление субсидий бюджетным, автономным учреждениям и иным некоммерческим организациям</v>
      </c>
      <c r="B745" s="126">
        <v>805</v>
      </c>
      <c r="C745" s="8" t="s">
        <v>193</v>
      </c>
      <c r="D745" s="8" t="s">
        <v>217</v>
      </c>
      <c r="E745" s="126" t="s">
        <v>285</v>
      </c>
      <c r="F745" s="126">
        <v>600</v>
      </c>
      <c r="G745" s="69">
        <f t="shared" si="170"/>
        <v>258</v>
      </c>
      <c r="H745" s="69">
        <f t="shared" si="170"/>
        <v>0</v>
      </c>
      <c r="I745" s="69">
        <f t="shared" si="167"/>
        <v>258</v>
      </c>
      <c r="J745" s="69">
        <f t="shared" si="170"/>
        <v>0</v>
      </c>
      <c r="K745" s="84">
        <f t="shared" si="163"/>
        <v>258</v>
      </c>
      <c r="L745" s="13">
        <f t="shared" si="170"/>
        <v>0</v>
      </c>
      <c r="M745" s="84">
        <f t="shared" si="171"/>
        <v>258</v>
      </c>
      <c r="N745" s="13">
        <f t="shared" si="170"/>
        <v>0</v>
      </c>
      <c r="O745" s="84">
        <f t="shared" si="172"/>
        <v>258</v>
      </c>
      <c r="P745" s="13">
        <f t="shared" si="170"/>
        <v>0</v>
      </c>
      <c r="Q745" s="84">
        <f t="shared" si="165"/>
        <v>258</v>
      </c>
      <c r="R745" s="13">
        <f t="shared" si="170"/>
        <v>0</v>
      </c>
      <c r="S745" s="84">
        <f t="shared" si="160"/>
        <v>258</v>
      </c>
      <c r="T745" s="13">
        <f t="shared" si="170"/>
        <v>0</v>
      </c>
      <c r="U745" s="84">
        <f t="shared" si="169"/>
        <v>258</v>
      </c>
    </row>
    <row r="746" spans="1:21">
      <c r="A746" s="61" t="str">
        <f ca="1">IF(ISERROR(MATCH(F746,Код_КВР,0)),"",INDIRECT(ADDRESS(MATCH(F746,Код_КВР,0)+1,2,,,"КВР")))</f>
        <v>Субсидии бюджетным учреждениям</v>
      </c>
      <c r="B746" s="126">
        <v>805</v>
      </c>
      <c r="C746" s="8" t="s">
        <v>193</v>
      </c>
      <c r="D746" s="8" t="s">
        <v>217</v>
      </c>
      <c r="E746" s="126" t="s">
        <v>285</v>
      </c>
      <c r="F746" s="126">
        <v>610</v>
      </c>
      <c r="G746" s="69">
        <f t="shared" si="170"/>
        <v>258</v>
      </c>
      <c r="H746" s="69">
        <f t="shared" si="170"/>
        <v>0</v>
      </c>
      <c r="I746" s="69">
        <f t="shared" si="167"/>
        <v>258</v>
      </c>
      <c r="J746" s="69">
        <f t="shared" si="170"/>
        <v>0</v>
      </c>
      <c r="K746" s="84">
        <f t="shared" si="163"/>
        <v>258</v>
      </c>
      <c r="L746" s="13">
        <f t="shared" si="170"/>
        <v>0</v>
      </c>
      <c r="M746" s="84">
        <f t="shared" si="171"/>
        <v>258</v>
      </c>
      <c r="N746" s="13">
        <f t="shared" si="170"/>
        <v>0</v>
      </c>
      <c r="O746" s="84">
        <f t="shared" si="172"/>
        <v>258</v>
      </c>
      <c r="P746" s="13">
        <f t="shared" si="170"/>
        <v>0</v>
      </c>
      <c r="Q746" s="84">
        <f t="shared" si="165"/>
        <v>258</v>
      </c>
      <c r="R746" s="13">
        <f t="shared" si="170"/>
        <v>0</v>
      </c>
      <c r="S746" s="84">
        <f t="shared" si="160"/>
        <v>258</v>
      </c>
      <c r="T746" s="13">
        <f t="shared" si="170"/>
        <v>0</v>
      </c>
      <c r="U746" s="84">
        <f t="shared" si="169"/>
        <v>258</v>
      </c>
    </row>
    <row r="747" spans="1:21" ht="49.5">
      <c r="A747" s="61" t="str">
        <f ca="1">IF(ISERROR(MATCH(F747,Код_КВР,0)),"",INDIRECT(ADDRESS(MATCH(F747,Код_КВР,0)+1,2,,,"КВР")))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47" s="126">
        <v>805</v>
      </c>
      <c r="C747" s="8" t="s">
        <v>193</v>
      </c>
      <c r="D747" s="8" t="s">
        <v>217</v>
      </c>
      <c r="E747" s="126" t="s">
        <v>285</v>
      </c>
      <c r="F747" s="126">
        <v>611</v>
      </c>
      <c r="G747" s="69">
        <v>258</v>
      </c>
      <c r="H747" s="64"/>
      <c r="I747" s="69">
        <f t="shared" si="167"/>
        <v>258</v>
      </c>
      <c r="J747" s="64"/>
      <c r="K747" s="84">
        <f t="shared" si="163"/>
        <v>258</v>
      </c>
      <c r="L747" s="84"/>
      <c r="M747" s="84">
        <f t="shared" si="171"/>
        <v>258</v>
      </c>
      <c r="N747" s="84"/>
      <c r="O747" s="84">
        <f t="shared" si="172"/>
        <v>258</v>
      </c>
      <c r="P747" s="84"/>
      <c r="Q747" s="84">
        <f t="shared" si="165"/>
        <v>258</v>
      </c>
      <c r="R747" s="84"/>
      <c r="S747" s="84">
        <f t="shared" si="160"/>
        <v>258</v>
      </c>
      <c r="T747" s="84"/>
      <c r="U747" s="84">
        <f t="shared" si="169"/>
        <v>258</v>
      </c>
    </row>
    <row r="748" spans="1:21">
      <c r="A748" s="61" t="str">
        <f ca="1">IF(ISERROR(MATCH(E748,Код_КЦСР,0)),"",INDIRECT(ADDRESS(MATCH(E748,Код_КЦСР,0)+1,2,,,"КЦСР")))</f>
        <v>Одаренные дети</v>
      </c>
      <c r="B748" s="126">
        <v>805</v>
      </c>
      <c r="C748" s="8" t="s">
        <v>193</v>
      </c>
      <c r="D748" s="8" t="s">
        <v>217</v>
      </c>
      <c r="E748" s="126" t="s">
        <v>456</v>
      </c>
      <c r="F748" s="126"/>
      <c r="G748" s="69">
        <f>G749</f>
        <v>1842.8</v>
      </c>
      <c r="H748" s="69">
        <f>H749</f>
        <v>0</v>
      </c>
      <c r="I748" s="69">
        <f t="shared" si="167"/>
        <v>1842.8</v>
      </c>
      <c r="J748" s="69">
        <f>J749</f>
        <v>0</v>
      </c>
      <c r="K748" s="84">
        <f t="shared" si="163"/>
        <v>1842.8</v>
      </c>
      <c r="L748" s="13">
        <f>L749</f>
        <v>0</v>
      </c>
      <c r="M748" s="84">
        <f t="shared" si="171"/>
        <v>1842.8</v>
      </c>
      <c r="N748" s="13">
        <f>N749</f>
        <v>0</v>
      </c>
      <c r="O748" s="84">
        <f t="shared" si="172"/>
        <v>1842.8</v>
      </c>
      <c r="P748" s="13">
        <f>P749</f>
        <v>0</v>
      </c>
      <c r="Q748" s="84">
        <f t="shared" si="165"/>
        <v>1842.8</v>
      </c>
      <c r="R748" s="13">
        <f>R749</f>
        <v>0</v>
      </c>
      <c r="S748" s="84">
        <f t="shared" si="160"/>
        <v>1842.8</v>
      </c>
      <c r="T748" s="13">
        <f>T749</f>
        <v>0</v>
      </c>
      <c r="U748" s="84">
        <f t="shared" si="169"/>
        <v>1842.8</v>
      </c>
    </row>
    <row r="749" spans="1:21" ht="33">
      <c r="A749" s="61" t="str">
        <f ca="1">IF(ISERROR(MATCH(F749,Код_КВР,0)),"",INDIRECT(ADDRESS(MATCH(F749,Код_КВР,0)+1,2,,,"КВР")))</f>
        <v>Предоставление субсидий бюджетным, автономным учреждениям и иным некоммерческим организациям</v>
      </c>
      <c r="B749" s="126">
        <v>805</v>
      </c>
      <c r="C749" s="8" t="s">
        <v>193</v>
      </c>
      <c r="D749" s="8" t="s">
        <v>217</v>
      </c>
      <c r="E749" s="126" t="s">
        <v>456</v>
      </c>
      <c r="F749" s="126">
        <v>600</v>
      </c>
      <c r="G749" s="69">
        <f>G750+G752</f>
        <v>1842.8</v>
      </c>
      <c r="H749" s="69">
        <f>H750+H752</f>
        <v>0</v>
      </c>
      <c r="I749" s="69">
        <f t="shared" si="167"/>
        <v>1842.8</v>
      </c>
      <c r="J749" s="69">
        <f>J750+J752</f>
        <v>0</v>
      </c>
      <c r="K749" s="84">
        <f t="shared" si="163"/>
        <v>1842.8</v>
      </c>
      <c r="L749" s="13">
        <f>L750+L752</f>
        <v>0</v>
      </c>
      <c r="M749" s="84">
        <f t="shared" si="171"/>
        <v>1842.8</v>
      </c>
      <c r="N749" s="13">
        <f>N750+N752</f>
        <v>0</v>
      </c>
      <c r="O749" s="84">
        <f t="shared" si="172"/>
        <v>1842.8</v>
      </c>
      <c r="P749" s="13">
        <f>P750+P752</f>
        <v>0</v>
      </c>
      <c r="Q749" s="84">
        <f t="shared" si="165"/>
        <v>1842.8</v>
      </c>
      <c r="R749" s="13">
        <f>R750+R752</f>
        <v>0</v>
      </c>
      <c r="S749" s="84">
        <f t="shared" si="160"/>
        <v>1842.8</v>
      </c>
      <c r="T749" s="13">
        <f>T750+T752</f>
        <v>0</v>
      </c>
      <c r="U749" s="84">
        <f t="shared" si="169"/>
        <v>1842.8</v>
      </c>
    </row>
    <row r="750" spans="1:21">
      <c r="A750" s="61" t="str">
        <f ca="1">IF(ISERROR(MATCH(F750,Код_КВР,0)),"",INDIRECT(ADDRESS(MATCH(F750,Код_КВР,0)+1,2,,,"КВР")))</f>
        <v>Субсидии бюджетным учреждениям</v>
      </c>
      <c r="B750" s="126">
        <v>805</v>
      </c>
      <c r="C750" s="8" t="s">
        <v>193</v>
      </c>
      <c r="D750" s="8" t="s">
        <v>217</v>
      </c>
      <c r="E750" s="126" t="s">
        <v>456</v>
      </c>
      <c r="F750" s="126">
        <v>610</v>
      </c>
      <c r="G750" s="69">
        <f>G751</f>
        <v>1808.8</v>
      </c>
      <c r="H750" s="69">
        <f>H751</f>
        <v>0</v>
      </c>
      <c r="I750" s="69">
        <f t="shared" si="167"/>
        <v>1808.8</v>
      </c>
      <c r="J750" s="69">
        <f>J751</f>
        <v>0</v>
      </c>
      <c r="K750" s="84">
        <f t="shared" si="163"/>
        <v>1808.8</v>
      </c>
      <c r="L750" s="13">
        <f>L751</f>
        <v>0</v>
      </c>
      <c r="M750" s="84">
        <f t="shared" si="171"/>
        <v>1808.8</v>
      </c>
      <c r="N750" s="13">
        <f>N751</f>
        <v>0</v>
      </c>
      <c r="O750" s="84">
        <f t="shared" si="172"/>
        <v>1808.8</v>
      </c>
      <c r="P750" s="13">
        <f>P751</f>
        <v>0</v>
      </c>
      <c r="Q750" s="84">
        <f t="shared" si="165"/>
        <v>1808.8</v>
      </c>
      <c r="R750" s="13">
        <f>R751</f>
        <v>0</v>
      </c>
      <c r="S750" s="84">
        <f t="shared" si="160"/>
        <v>1808.8</v>
      </c>
      <c r="T750" s="13">
        <f>T751</f>
        <v>0</v>
      </c>
      <c r="U750" s="84">
        <f t="shared" si="169"/>
        <v>1808.8</v>
      </c>
    </row>
    <row r="751" spans="1:21">
      <c r="A751" s="61" t="str">
        <f ca="1">IF(ISERROR(MATCH(F751,Код_КВР,0)),"",INDIRECT(ADDRESS(MATCH(F751,Код_КВР,0)+1,2,,,"КВР")))</f>
        <v>Субсидии бюджетным учреждениям на иные цели</v>
      </c>
      <c r="B751" s="126">
        <v>805</v>
      </c>
      <c r="C751" s="8" t="s">
        <v>193</v>
      </c>
      <c r="D751" s="8" t="s">
        <v>217</v>
      </c>
      <c r="E751" s="126" t="s">
        <v>456</v>
      </c>
      <c r="F751" s="126">
        <v>612</v>
      </c>
      <c r="G751" s="69">
        <v>1808.8</v>
      </c>
      <c r="H751" s="64"/>
      <c r="I751" s="69">
        <f t="shared" si="167"/>
        <v>1808.8</v>
      </c>
      <c r="J751" s="64"/>
      <c r="K751" s="84">
        <f t="shared" si="163"/>
        <v>1808.8</v>
      </c>
      <c r="L751" s="84"/>
      <c r="M751" s="84">
        <f t="shared" si="171"/>
        <v>1808.8</v>
      </c>
      <c r="N751" s="84"/>
      <c r="O751" s="84">
        <f t="shared" si="172"/>
        <v>1808.8</v>
      </c>
      <c r="P751" s="84"/>
      <c r="Q751" s="84">
        <f t="shared" si="165"/>
        <v>1808.8</v>
      </c>
      <c r="R751" s="84"/>
      <c r="S751" s="84">
        <f t="shared" si="160"/>
        <v>1808.8</v>
      </c>
      <c r="T751" s="84"/>
      <c r="U751" s="84">
        <f t="shared" si="169"/>
        <v>1808.8</v>
      </c>
    </row>
    <row r="752" spans="1:21">
      <c r="A752" s="61" t="str">
        <f ca="1">IF(ISERROR(MATCH(F752,Код_КВР,0)),"",INDIRECT(ADDRESS(MATCH(F752,Код_КВР,0)+1,2,,,"КВР")))</f>
        <v>Субсидии автономным учреждениям</v>
      </c>
      <c r="B752" s="126">
        <v>805</v>
      </c>
      <c r="C752" s="8" t="s">
        <v>193</v>
      </c>
      <c r="D752" s="8" t="s">
        <v>217</v>
      </c>
      <c r="E752" s="126" t="s">
        <v>456</v>
      </c>
      <c r="F752" s="126">
        <v>620</v>
      </c>
      <c r="G752" s="69">
        <f>G753</f>
        <v>34</v>
      </c>
      <c r="H752" s="69">
        <f>H753</f>
        <v>0</v>
      </c>
      <c r="I752" s="69">
        <f t="shared" si="167"/>
        <v>34</v>
      </c>
      <c r="J752" s="69">
        <f>J753</f>
        <v>0</v>
      </c>
      <c r="K752" s="84">
        <f t="shared" si="163"/>
        <v>34</v>
      </c>
      <c r="L752" s="13">
        <f>L753</f>
        <v>0</v>
      </c>
      <c r="M752" s="84">
        <f t="shared" si="171"/>
        <v>34</v>
      </c>
      <c r="N752" s="13">
        <f>N753</f>
        <v>0</v>
      </c>
      <c r="O752" s="84">
        <f t="shared" si="172"/>
        <v>34</v>
      </c>
      <c r="P752" s="13">
        <f>P753</f>
        <v>0</v>
      </c>
      <c r="Q752" s="84">
        <f t="shared" si="165"/>
        <v>34</v>
      </c>
      <c r="R752" s="13">
        <f>R753</f>
        <v>0</v>
      </c>
      <c r="S752" s="84">
        <f t="shared" si="160"/>
        <v>34</v>
      </c>
      <c r="T752" s="13">
        <f>T753</f>
        <v>0</v>
      </c>
      <c r="U752" s="84">
        <f t="shared" si="169"/>
        <v>34</v>
      </c>
    </row>
    <row r="753" spans="1:21">
      <c r="A753" s="61" t="str">
        <f ca="1">IF(ISERROR(MATCH(F753,Код_КВР,0)),"",INDIRECT(ADDRESS(MATCH(F753,Код_КВР,0)+1,2,,,"КВР")))</f>
        <v>Субсидии автономным учреждениям на иные цели</v>
      </c>
      <c r="B753" s="126">
        <v>805</v>
      </c>
      <c r="C753" s="8" t="s">
        <v>193</v>
      </c>
      <c r="D753" s="8" t="s">
        <v>217</v>
      </c>
      <c r="E753" s="126" t="s">
        <v>456</v>
      </c>
      <c r="F753" s="126">
        <v>622</v>
      </c>
      <c r="G753" s="69">
        <v>34</v>
      </c>
      <c r="H753" s="64"/>
      <c r="I753" s="69">
        <f t="shared" si="167"/>
        <v>34</v>
      </c>
      <c r="J753" s="64"/>
      <c r="K753" s="84">
        <f t="shared" si="163"/>
        <v>34</v>
      </c>
      <c r="L753" s="84"/>
      <c r="M753" s="84">
        <f t="shared" si="171"/>
        <v>34</v>
      </c>
      <c r="N753" s="84"/>
      <c r="O753" s="84">
        <f t="shared" si="172"/>
        <v>34</v>
      </c>
      <c r="P753" s="84"/>
      <c r="Q753" s="84">
        <f t="shared" si="165"/>
        <v>34</v>
      </c>
      <c r="R753" s="84"/>
      <c r="S753" s="84">
        <f t="shared" si="160"/>
        <v>34</v>
      </c>
      <c r="T753" s="84"/>
      <c r="U753" s="84">
        <f t="shared" si="169"/>
        <v>34</v>
      </c>
    </row>
    <row r="754" spans="1:21" ht="33">
      <c r="A754" s="61" t="str">
        <f ca="1">IF(ISERROR(MATCH(E754,Код_КЦСР,0)),"",INDIRECT(ADDRESS(MATCH(E754,Код_КЦСР,0)+1,2,,,"КЦСР")))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754" s="126">
        <v>805</v>
      </c>
      <c r="C754" s="8" t="s">
        <v>193</v>
      </c>
      <c r="D754" s="8" t="s">
        <v>217</v>
      </c>
      <c r="E754" s="126" t="s">
        <v>458</v>
      </c>
      <c r="F754" s="126"/>
      <c r="G754" s="69">
        <f>G755+G758</f>
        <v>47574.400000000001</v>
      </c>
      <c r="H754" s="69">
        <f>H755+H758</f>
        <v>0</v>
      </c>
      <c r="I754" s="69">
        <f t="shared" si="167"/>
        <v>47574.400000000001</v>
      </c>
      <c r="J754" s="69">
        <f>J755+J758</f>
        <v>-10964.4</v>
      </c>
      <c r="K754" s="84">
        <f t="shared" si="163"/>
        <v>36610</v>
      </c>
      <c r="L754" s="13">
        <f>L755+L758</f>
        <v>0</v>
      </c>
      <c r="M754" s="84">
        <f t="shared" si="171"/>
        <v>36610</v>
      </c>
      <c r="N754" s="13">
        <f>N755+N758</f>
        <v>5000</v>
      </c>
      <c r="O754" s="84">
        <f t="shared" si="172"/>
        <v>41610</v>
      </c>
      <c r="P754" s="13">
        <f>P755+P758</f>
        <v>0</v>
      </c>
      <c r="Q754" s="84">
        <f t="shared" si="165"/>
        <v>41610</v>
      </c>
      <c r="R754" s="13">
        <f>R755+R758</f>
        <v>0</v>
      </c>
      <c r="S754" s="84">
        <f t="shared" si="160"/>
        <v>41610</v>
      </c>
      <c r="T754" s="13">
        <f>T755+T758</f>
        <v>0</v>
      </c>
      <c r="U754" s="84">
        <f t="shared" si="169"/>
        <v>41610</v>
      </c>
    </row>
    <row r="755" spans="1:21">
      <c r="A755" s="61" t="str">
        <f t="shared" ref="A755:A762" ca="1" si="173">IF(ISERROR(MATCH(F755,Код_КВР,0)),"",INDIRECT(ADDRESS(MATCH(F755,Код_КВР,0)+1,2,,,"КВР")))</f>
        <v>Закупка товаров, работ и услуг для муниципальных нужд</v>
      </c>
      <c r="B755" s="126">
        <v>805</v>
      </c>
      <c r="C755" s="8" t="s">
        <v>193</v>
      </c>
      <c r="D755" s="8" t="s">
        <v>217</v>
      </c>
      <c r="E755" s="126" t="s">
        <v>458</v>
      </c>
      <c r="F755" s="126">
        <v>200</v>
      </c>
      <c r="G755" s="69">
        <f>G756</f>
        <v>7200</v>
      </c>
      <c r="H755" s="69">
        <f>H756</f>
        <v>0</v>
      </c>
      <c r="I755" s="69">
        <f t="shared" si="167"/>
        <v>7200</v>
      </c>
      <c r="J755" s="69">
        <f>J756</f>
        <v>-4473.1000000000004</v>
      </c>
      <c r="K755" s="84">
        <f t="shared" si="163"/>
        <v>2726.8999999999996</v>
      </c>
      <c r="L755" s="13">
        <f>L756</f>
        <v>0</v>
      </c>
      <c r="M755" s="84">
        <f t="shared" si="171"/>
        <v>2726.8999999999996</v>
      </c>
      <c r="N755" s="13">
        <f>N756</f>
        <v>0</v>
      </c>
      <c r="O755" s="84">
        <f t="shared" si="172"/>
        <v>2726.8999999999996</v>
      </c>
      <c r="P755" s="13">
        <f>P756</f>
        <v>0</v>
      </c>
      <c r="Q755" s="84">
        <f t="shared" si="165"/>
        <v>2726.8999999999996</v>
      </c>
      <c r="R755" s="13">
        <f>R756</f>
        <v>0</v>
      </c>
      <c r="S755" s="84">
        <f t="shared" si="160"/>
        <v>2726.8999999999996</v>
      </c>
      <c r="T755" s="13">
        <f>T756</f>
        <v>-2723.1</v>
      </c>
      <c r="U755" s="84">
        <f t="shared" si="169"/>
        <v>3.7999999999997272</v>
      </c>
    </row>
    <row r="756" spans="1:21" ht="33">
      <c r="A756" s="61" t="str">
        <f t="shared" ca="1" si="173"/>
        <v>Иные закупки товаров, работ и услуг для обеспечения муниципальных нужд</v>
      </c>
      <c r="B756" s="126">
        <v>805</v>
      </c>
      <c r="C756" s="8" t="s">
        <v>193</v>
      </c>
      <c r="D756" s="8" t="s">
        <v>217</v>
      </c>
      <c r="E756" s="126" t="s">
        <v>458</v>
      </c>
      <c r="F756" s="126">
        <v>240</v>
      </c>
      <c r="G756" s="69">
        <f>G757</f>
        <v>7200</v>
      </c>
      <c r="H756" s="69">
        <f>H757</f>
        <v>0</v>
      </c>
      <c r="I756" s="69">
        <f t="shared" si="167"/>
        <v>7200</v>
      </c>
      <c r="J756" s="69">
        <f>J757</f>
        <v>-4473.1000000000004</v>
      </c>
      <c r="K756" s="84">
        <f t="shared" si="163"/>
        <v>2726.8999999999996</v>
      </c>
      <c r="L756" s="13">
        <f>L757</f>
        <v>0</v>
      </c>
      <c r="M756" s="84">
        <f t="shared" si="171"/>
        <v>2726.8999999999996</v>
      </c>
      <c r="N756" s="13">
        <f>N757</f>
        <v>0</v>
      </c>
      <c r="O756" s="84">
        <f t="shared" si="172"/>
        <v>2726.8999999999996</v>
      </c>
      <c r="P756" s="13">
        <f>P757</f>
        <v>0</v>
      </c>
      <c r="Q756" s="84">
        <f t="shared" si="165"/>
        <v>2726.8999999999996</v>
      </c>
      <c r="R756" s="13">
        <f>R757</f>
        <v>0</v>
      </c>
      <c r="S756" s="84">
        <f t="shared" si="160"/>
        <v>2726.8999999999996</v>
      </c>
      <c r="T756" s="13">
        <f>T757</f>
        <v>-2723.1</v>
      </c>
      <c r="U756" s="84">
        <f t="shared" si="169"/>
        <v>3.7999999999997272</v>
      </c>
    </row>
    <row r="757" spans="1:21" ht="33">
      <c r="A757" s="61" t="str">
        <f t="shared" ca="1" si="173"/>
        <v xml:space="preserve">Прочая закупка товаров, работ и услуг для обеспечения муниципальных нужд         </v>
      </c>
      <c r="B757" s="126">
        <v>805</v>
      </c>
      <c r="C757" s="8" t="s">
        <v>193</v>
      </c>
      <c r="D757" s="8" t="s">
        <v>217</v>
      </c>
      <c r="E757" s="126" t="s">
        <v>458</v>
      </c>
      <c r="F757" s="126">
        <v>244</v>
      </c>
      <c r="G757" s="69">
        <v>7200</v>
      </c>
      <c r="H757" s="64"/>
      <c r="I757" s="69">
        <f t="shared" si="167"/>
        <v>7200</v>
      </c>
      <c r="J757" s="64">
        <f>-424.7-4048.4</f>
        <v>-4473.1000000000004</v>
      </c>
      <c r="K757" s="84">
        <f t="shared" si="163"/>
        <v>2726.8999999999996</v>
      </c>
      <c r="L757" s="84"/>
      <c r="M757" s="84">
        <f t="shared" si="171"/>
        <v>2726.8999999999996</v>
      </c>
      <c r="N757" s="84"/>
      <c r="O757" s="84">
        <f t="shared" si="172"/>
        <v>2726.8999999999996</v>
      </c>
      <c r="P757" s="84"/>
      <c r="Q757" s="84">
        <f t="shared" si="165"/>
        <v>2726.8999999999996</v>
      </c>
      <c r="R757" s="84"/>
      <c r="S757" s="84">
        <f t="shared" si="160"/>
        <v>2726.8999999999996</v>
      </c>
      <c r="T757" s="84">
        <f>-1051.6-1671.5</f>
        <v>-2723.1</v>
      </c>
      <c r="U757" s="84">
        <f t="shared" si="169"/>
        <v>3.7999999999997272</v>
      </c>
    </row>
    <row r="758" spans="1:21" ht="33">
      <c r="A758" s="61" t="str">
        <f t="shared" ca="1" si="173"/>
        <v>Предоставление субсидий бюджетным, автономным учреждениям и иным некоммерческим организациям</v>
      </c>
      <c r="B758" s="126">
        <v>805</v>
      </c>
      <c r="C758" s="8" t="s">
        <v>193</v>
      </c>
      <c r="D758" s="8" t="s">
        <v>217</v>
      </c>
      <c r="E758" s="126" t="s">
        <v>458</v>
      </c>
      <c r="F758" s="126">
        <v>600</v>
      </c>
      <c r="G758" s="69">
        <f>G759+G761</f>
        <v>40374.400000000001</v>
      </c>
      <c r="H758" s="64"/>
      <c r="I758" s="69">
        <f t="shared" si="167"/>
        <v>40374.400000000001</v>
      </c>
      <c r="J758" s="64">
        <f>J759+J761</f>
        <v>-6491.2999999999993</v>
      </c>
      <c r="K758" s="84">
        <f t="shared" si="163"/>
        <v>33883.100000000006</v>
      </c>
      <c r="L758" s="84">
        <f>L759+L761</f>
        <v>0</v>
      </c>
      <c r="M758" s="84">
        <f t="shared" si="171"/>
        <v>33883.100000000006</v>
      </c>
      <c r="N758" s="84">
        <f>N759+N761</f>
        <v>5000</v>
      </c>
      <c r="O758" s="84">
        <f t="shared" si="172"/>
        <v>38883.100000000006</v>
      </c>
      <c r="P758" s="84">
        <f>P759+P761</f>
        <v>0</v>
      </c>
      <c r="Q758" s="84">
        <f t="shared" si="165"/>
        <v>38883.100000000006</v>
      </c>
      <c r="R758" s="84">
        <f>R759+R761</f>
        <v>0</v>
      </c>
      <c r="S758" s="84">
        <f t="shared" si="160"/>
        <v>38883.100000000006</v>
      </c>
      <c r="T758" s="84">
        <f>T759+T761</f>
        <v>2723.1</v>
      </c>
      <c r="U758" s="84">
        <f t="shared" si="169"/>
        <v>41606.200000000004</v>
      </c>
    </row>
    <row r="759" spans="1:21">
      <c r="A759" s="61" t="str">
        <f t="shared" ca="1" si="173"/>
        <v>Субсидии бюджетным учреждениям</v>
      </c>
      <c r="B759" s="126">
        <v>805</v>
      </c>
      <c r="C759" s="8" t="s">
        <v>193</v>
      </c>
      <c r="D759" s="8" t="s">
        <v>217</v>
      </c>
      <c r="E759" s="126" t="s">
        <v>458</v>
      </c>
      <c r="F759" s="126">
        <v>610</v>
      </c>
      <c r="G759" s="69">
        <f>G760</f>
        <v>36781.300000000003</v>
      </c>
      <c r="H759" s="69">
        <f>H760</f>
        <v>0</v>
      </c>
      <c r="I759" s="69">
        <f t="shared" si="167"/>
        <v>36781.300000000003</v>
      </c>
      <c r="J759" s="69">
        <f>J760</f>
        <v>-6591.2999999999993</v>
      </c>
      <c r="K759" s="84">
        <f t="shared" si="163"/>
        <v>30190.000000000004</v>
      </c>
      <c r="L759" s="13">
        <f>L760</f>
        <v>0</v>
      </c>
      <c r="M759" s="84">
        <f t="shared" si="171"/>
        <v>30190.000000000004</v>
      </c>
      <c r="N759" s="13">
        <f>N760</f>
        <v>5000</v>
      </c>
      <c r="O759" s="84">
        <f t="shared" si="172"/>
        <v>35190</v>
      </c>
      <c r="P759" s="13">
        <f>P760</f>
        <v>0</v>
      </c>
      <c r="Q759" s="84">
        <f t="shared" si="165"/>
        <v>35190</v>
      </c>
      <c r="R759" s="13">
        <f>R760</f>
        <v>2297.6</v>
      </c>
      <c r="S759" s="84">
        <f t="shared" si="160"/>
        <v>37487.599999999999</v>
      </c>
      <c r="T759" s="13">
        <f>T760</f>
        <v>2608.1</v>
      </c>
      <c r="U759" s="84">
        <f t="shared" si="169"/>
        <v>40095.699999999997</v>
      </c>
    </row>
    <row r="760" spans="1:21">
      <c r="A760" s="61" t="str">
        <f t="shared" ca="1" si="173"/>
        <v>Субсидии бюджетным учреждениям на иные цели</v>
      </c>
      <c r="B760" s="126">
        <v>805</v>
      </c>
      <c r="C760" s="8" t="s">
        <v>193</v>
      </c>
      <c r="D760" s="8" t="s">
        <v>217</v>
      </c>
      <c r="E760" s="126" t="s">
        <v>458</v>
      </c>
      <c r="F760" s="126">
        <v>612</v>
      </c>
      <c r="G760" s="69">
        <v>36781.300000000003</v>
      </c>
      <c r="H760" s="64"/>
      <c r="I760" s="69">
        <f t="shared" si="167"/>
        <v>36781.300000000003</v>
      </c>
      <c r="J760" s="64">
        <f>424.7+3948.4-10964.4</f>
        <v>-6591.2999999999993</v>
      </c>
      <c r="K760" s="84">
        <f t="shared" si="163"/>
        <v>30190.000000000004</v>
      </c>
      <c r="L760" s="84"/>
      <c r="M760" s="84">
        <f t="shared" si="171"/>
        <v>30190.000000000004</v>
      </c>
      <c r="N760" s="84">
        <v>5000</v>
      </c>
      <c r="O760" s="84">
        <f t="shared" si="172"/>
        <v>35190</v>
      </c>
      <c r="P760" s="84"/>
      <c r="Q760" s="84">
        <f t="shared" si="165"/>
        <v>35190</v>
      </c>
      <c r="R760" s="84">
        <v>2297.6</v>
      </c>
      <c r="S760" s="84">
        <f t="shared" si="160"/>
        <v>37487.599999999999</v>
      </c>
      <c r="T760" s="84">
        <v>2608.1</v>
      </c>
      <c r="U760" s="84">
        <f t="shared" si="169"/>
        <v>40095.699999999997</v>
      </c>
    </row>
    <row r="761" spans="1:21">
      <c r="A761" s="61" t="str">
        <f t="shared" ca="1" si="173"/>
        <v>Субсидии автономным учреждениям</v>
      </c>
      <c r="B761" s="126">
        <v>805</v>
      </c>
      <c r="C761" s="8" t="s">
        <v>193</v>
      </c>
      <c r="D761" s="8" t="s">
        <v>217</v>
      </c>
      <c r="E761" s="126" t="s">
        <v>458</v>
      </c>
      <c r="F761" s="126">
        <v>620</v>
      </c>
      <c r="G761" s="69">
        <f>G762</f>
        <v>3593.1</v>
      </c>
      <c r="H761" s="69">
        <f>H762</f>
        <v>0</v>
      </c>
      <c r="I761" s="69">
        <f t="shared" si="167"/>
        <v>3593.1</v>
      </c>
      <c r="J761" s="69">
        <f>J762</f>
        <v>100</v>
      </c>
      <c r="K761" s="84">
        <f t="shared" si="163"/>
        <v>3693.1</v>
      </c>
      <c r="L761" s="13">
        <f>L762</f>
        <v>0</v>
      </c>
      <c r="M761" s="84">
        <f t="shared" si="171"/>
        <v>3693.1</v>
      </c>
      <c r="N761" s="13">
        <f>N762</f>
        <v>0</v>
      </c>
      <c r="O761" s="84">
        <f t="shared" si="172"/>
        <v>3693.1</v>
      </c>
      <c r="P761" s="13">
        <f>P762</f>
        <v>0</v>
      </c>
      <c r="Q761" s="84">
        <f t="shared" si="165"/>
        <v>3693.1</v>
      </c>
      <c r="R761" s="13">
        <f>R762</f>
        <v>-2297.6</v>
      </c>
      <c r="S761" s="84">
        <f t="shared" si="160"/>
        <v>1395.5</v>
      </c>
      <c r="T761" s="13">
        <f>T762</f>
        <v>115</v>
      </c>
      <c r="U761" s="84">
        <f t="shared" si="169"/>
        <v>1510.5</v>
      </c>
    </row>
    <row r="762" spans="1:21">
      <c r="A762" s="61" t="str">
        <f t="shared" ca="1" si="173"/>
        <v>Субсидии автономным учреждениям на иные цели</v>
      </c>
      <c r="B762" s="126">
        <v>805</v>
      </c>
      <c r="C762" s="8" t="s">
        <v>193</v>
      </c>
      <c r="D762" s="8" t="s">
        <v>217</v>
      </c>
      <c r="E762" s="126" t="s">
        <v>458</v>
      </c>
      <c r="F762" s="126">
        <v>622</v>
      </c>
      <c r="G762" s="69">
        <v>3593.1</v>
      </c>
      <c r="H762" s="69"/>
      <c r="I762" s="69">
        <f t="shared" si="167"/>
        <v>3593.1</v>
      </c>
      <c r="J762" s="69">
        <v>100</v>
      </c>
      <c r="K762" s="84">
        <f t="shared" si="163"/>
        <v>3693.1</v>
      </c>
      <c r="L762" s="13"/>
      <c r="M762" s="84">
        <f t="shared" si="171"/>
        <v>3693.1</v>
      </c>
      <c r="N762" s="13"/>
      <c r="O762" s="84">
        <f t="shared" si="172"/>
        <v>3693.1</v>
      </c>
      <c r="P762" s="13"/>
      <c r="Q762" s="84">
        <f t="shared" si="165"/>
        <v>3693.1</v>
      </c>
      <c r="R762" s="13">
        <v>-2297.6</v>
      </c>
      <c r="S762" s="84">
        <f t="shared" si="160"/>
        <v>1395.5</v>
      </c>
      <c r="T762" s="13">
        <v>115</v>
      </c>
      <c r="U762" s="84">
        <f t="shared" si="169"/>
        <v>1510.5</v>
      </c>
    </row>
    <row r="763" spans="1:21" ht="33">
      <c r="A763" s="61" t="str">
        <f ca="1">IF(ISERROR(MATCH(E763,Код_КЦСР,0)),"",INDIRECT(ADDRESS(MATCH(E763,Код_КЦСР,0)+1,2,,,"КЦСР")))</f>
        <v>Муниципальная программа «Охрана окружающей среды» на 2013-2022 годы</v>
      </c>
      <c r="B763" s="126">
        <v>805</v>
      </c>
      <c r="C763" s="8" t="s">
        <v>193</v>
      </c>
      <c r="D763" s="8" t="s">
        <v>217</v>
      </c>
      <c r="E763" s="126" t="s">
        <v>535</v>
      </c>
      <c r="F763" s="126"/>
      <c r="G763" s="69">
        <f>G764+G768</f>
        <v>495</v>
      </c>
      <c r="H763" s="69">
        <f>H764+H768</f>
        <v>0</v>
      </c>
      <c r="I763" s="69">
        <f t="shared" si="167"/>
        <v>495</v>
      </c>
      <c r="J763" s="69">
        <f>J764+J768</f>
        <v>0</v>
      </c>
      <c r="K763" s="84">
        <f t="shared" si="163"/>
        <v>495</v>
      </c>
      <c r="L763" s="13">
        <f>L764+L768</f>
        <v>0</v>
      </c>
      <c r="M763" s="84">
        <f t="shared" si="171"/>
        <v>495</v>
      </c>
      <c r="N763" s="13">
        <f>N764+N768</f>
        <v>0</v>
      </c>
      <c r="O763" s="84">
        <f t="shared" si="172"/>
        <v>495</v>
      </c>
      <c r="P763" s="13">
        <f>P764+P768</f>
        <v>0</v>
      </c>
      <c r="Q763" s="84">
        <f t="shared" si="165"/>
        <v>495</v>
      </c>
      <c r="R763" s="13">
        <f>R764+R768</f>
        <v>0</v>
      </c>
      <c r="S763" s="84">
        <f t="shared" si="160"/>
        <v>495</v>
      </c>
      <c r="T763" s="13">
        <f>T764+T768</f>
        <v>0</v>
      </c>
      <c r="U763" s="84">
        <f t="shared" si="169"/>
        <v>495</v>
      </c>
    </row>
    <row r="764" spans="1:21" ht="33">
      <c r="A764" s="61" t="str">
        <f ca="1">IF(ISERROR(MATCH(E764,Код_КЦСР,0)),"",INDIRECT(ADDRESS(MATCH(E764,Код_КЦСР,0)+1,2,,,"КЦСР")))</f>
        <v>Организация мероприятий по экологическому образованию и воспитанию населения</v>
      </c>
      <c r="B764" s="126">
        <v>805</v>
      </c>
      <c r="C764" s="8" t="s">
        <v>193</v>
      </c>
      <c r="D764" s="8" t="s">
        <v>217</v>
      </c>
      <c r="E764" s="126" t="s">
        <v>539</v>
      </c>
      <c r="F764" s="126"/>
      <c r="G764" s="69">
        <f t="shared" ref="G764:T766" si="174">G765</f>
        <v>465</v>
      </c>
      <c r="H764" s="69">
        <f t="shared" si="174"/>
        <v>0</v>
      </c>
      <c r="I764" s="69">
        <f t="shared" si="167"/>
        <v>465</v>
      </c>
      <c r="J764" s="69">
        <f t="shared" si="174"/>
        <v>0</v>
      </c>
      <c r="K764" s="84">
        <f t="shared" si="163"/>
        <v>465</v>
      </c>
      <c r="L764" s="13">
        <f t="shared" si="174"/>
        <v>0</v>
      </c>
      <c r="M764" s="84">
        <f t="shared" si="171"/>
        <v>465</v>
      </c>
      <c r="N764" s="13">
        <f t="shared" si="174"/>
        <v>0</v>
      </c>
      <c r="O764" s="84">
        <f t="shared" si="172"/>
        <v>465</v>
      </c>
      <c r="P764" s="13">
        <f t="shared" si="174"/>
        <v>0</v>
      </c>
      <c r="Q764" s="84">
        <f t="shared" si="165"/>
        <v>465</v>
      </c>
      <c r="R764" s="13">
        <f t="shared" si="174"/>
        <v>0</v>
      </c>
      <c r="S764" s="84">
        <f t="shared" si="160"/>
        <v>465</v>
      </c>
      <c r="T764" s="13">
        <f t="shared" si="174"/>
        <v>0</v>
      </c>
      <c r="U764" s="84">
        <f t="shared" si="169"/>
        <v>465</v>
      </c>
    </row>
    <row r="765" spans="1:21" ht="33">
      <c r="A765" s="61" t="str">
        <f ca="1">IF(ISERROR(MATCH(F765,Код_КВР,0)),"",INDIRECT(ADDRESS(MATCH(F765,Код_КВР,0)+1,2,,,"КВР")))</f>
        <v>Предоставление субсидий бюджетным, автономным учреждениям и иным некоммерческим организациям</v>
      </c>
      <c r="B765" s="126">
        <v>805</v>
      </c>
      <c r="C765" s="8" t="s">
        <v>193</v>
      </c>
      <c r="D765" s="8" t="s">
        <v>217</v>
      </c>
      <c r="E765" s="126" t="s">
        <v>539</v>
      </c>
      <c r="F765" s="126">
        <v>600</v>
      </c>
      <c r="G765" s="69">
        <f t="shared" si="174"/>
        <v>465</v>
      </c>
      <c r="H765" s="69">
        <f t="shared" si="174"/>
        <v>0</v>
      </c>
      <c r="I765" s="69">
        <f t="shared" si="167"/>
        <v>465</v>
      </c>
      <c r="J765" s="69">
        <f t="shared" si="174"/>
        <v>0</v>
      </c>
      <c r="K765" s="84">
        <f t="shared" si="163"/>
        <v>465</v>
      </c>
      <c r="L765" s="13">
        <f t="shared" si="174"/>
        <v>0</v>
      </c>
      <c r="M765" s="84">
        <f t="shared" si="171"/>
        <v>465</v>
      </c>
      <c r="N765" s="13">
        <f t="shared" si="174"/>
        <v>0</v>
      </c>
      <c r="O765" s="84">
        <f t="shared" si="172"/>
        <v>465</v>
      </c>
      <c r="P765" s="13">
        <f t="shared" si="174"/>
        <v>0</v>
      </c>
      <c r="Q765" s="84">
        <f t="shared" si="165"/>
        <v>465</v>
      </c>
      <c r="R765" s="13">
        <f t="shared" si="174"/>
        <v>0</v>
      </c>
      <c r="S765" s="84">
        <f t="shared" si="160"/>
        <v>465</v>
      </c>
      <c r="T765" s="13">
        <f t="shared" si="174"/>
        <v>0</v>
      </c>
      <c r="U765" s="84">
        <f t="shared" si="169"/>
        <v>465</v>
      </c>
    </row>
    <row r="766" spans="1:21">
      <c r="A766" s="61" t="str">
        <f ca="1">IF(ISERROR(MATCH(F766,Код_КВР,0)),"",INDIRECT(ADDRESS(MATCH(F766,Код_КВР,0)+1,2,,,"КВР")))</f>
        <v>Субсидии бюджетным учреждениям</v>
      </c>
      <c r="B766" s="126">
        <v>805</v>
      </c>
      <c r="C766" s="8" t="s">
        <v>193</v>
      </c>
      <c r="D766" s="8" t="s">
        <v>217</v>
      </c>
      <c r="E766" s="126" t="s">
        <v>539</v>
      </c>
      <c r="F766" s="126">
        <v>610</v>
      </c>
      <c r="G766" s="69">
        <f t="shared" si="174"/>
        <v>465</v>
      </c>
      <c r="H766" s="69">
        <f t="shared" si="174"/>
        <v>0</v>
      </c>
      <c r="I766" s="69">
        <f t="shared" si="167"/>
        <v>465</v>
      </c>
      <c r="J766" s="69">
        <f t="shared" si="174"/>
        <v>0</v>
      </c>
      <c r="K766" s="84">
        <f t="shared" si="163"/>
        <v>465</v>
      </c>
      <c r="L766" s="13">
        <f t="shared" si="174"/>
        <v>0</v>
      </c>
      <c r="M766" s="84">
        <f t="shared" si="171"/>
        <v>465</v>
      </c>
      <c r="N766" s="13">
        <f t="shared" si="174"/>
        <v>0</v>
      </c>
      <c r="O766" s="84">
        <f t="shared" si="172"/>
        <v>465</v>
      </c>
      <c r="P766" s="13">
        <f t="shared" si="174"/>
        <v>0</v>
      </c>
      <c r="Q766" s="84">
        <f t="shared" si="165"/>
        <v>465</v>
      </c>
      <c r="R766" s="13">
        <f t="shared" si="174"/>
        <v>0</v>
      </c>
      <c r="S766" s="84">
        <f t="shared" si="160"/>
        <v>465</v>
      </c>
      <c r="T766" s="13">
        <f t="shared" si="174"/>
        <v>0</v>
      </c>
      <c r="U766" s="84">
        <f t="shared" si="169"/>
        <v>465</v>
      </c>
    </row>
    <row r="767" spans="1:21">
      <c r="A767" s="61" t="str">
        <f ca="1">IF(ISERROR(MATCH(F767,Код_КВР,0)),"",INDIRECT(ADDRESS(MATCH(F767,Код_КВР,0)+1,2,,,"КВР")))</f>
        <v>Субсидии бюджетным учреждениям на иные цели</v>
      </c>
      <c r="B767" s="126">
        <v>805</v>
      </c>
      <c r="C767" s="8" t="s">
        <v>193</v>
      </c>
      <c r="D767" s="8" t="s">
        <v>217</v>
      </c>
      <c r="E767" s="126" t="s">
        <v>539</v>
      </c>
      <c r="F767" s="126">
        <v>612</v>
      </c>
      <c r="G767" s="69">
        <v>465</v>
      </c>
      <c r="H767" s="64"/>
      <c r="I767" s="69">
        <f t="shared" si="167"/>
        <v>465</v>
      </c>
      <c r="J767" s="64"/>
      <c r="K767" s="84">
        <f t="shared" si="163"/>
        <v>465</v>
      </c>
      <c r="L767" s="84"/>
      <c r="M767" s="84">
        <f t="shared" si="171"/>
        <v>465</v>
      </c>
      <c r="N767" s="84"/>
      <c r="O767" s="84">
        <f t="shared" si="172"/>
        <v>465</v>
      </c>
      <c r="P767" s="84"/>
      <c r="Q767" s="84">
        <f t="shared" si="165"/>
        <v>465</v>
      </c>
      <c r="R767" s="84"/>
      <c r="S767" s="84">
        <f t="shared" si="160"/>
        <v>465</v>
      </c>
      <c r="T767" s="84"/>
      <c r="U767" s="84">
        <f t="shared" si="169"/>
        <v>465</v>
      </c>
    </row>
    <row r="768" spans="1:21" ht="18.75" customHeight="1">
      <c r="A768" s="61" t="str">
        <f ca="1">IF(ISERROR(MATCH(E768,Код_КЦСР,0)),"",INDIRECT(ADDRESS(MATCH(E768,Код_КЦСР,0)+1,2,,,"КЦСР")))</f>
        <v>Оборудование основных помещений МБДОУ бактерицидными лампами</v>
      </c>
      <c r="B768" s="126">
        <v>805</v>
      </c>
      <c r="C768" s="8" t="s">
        <v>193</v>
      </c>
      <c r="D768" s="8" t="s">
        <v>217</v>
      </c>
      <c r="E768" s="126" t="s">
        <v>541</v>
      </c>
      <c r="F768" s="126"/>
      <c r="G768" s="69">
        <f t="shared" ref="G768:T770" si="175">G769</f>
        <v>30</v>
      </c>
      <c r="H768" s="69">
        <f t="shared" si="175"/>
        <v>0</v>
      </c>
      <c r="I768" s="69">
        <f t="shared" si="167"/>
        <v>30</v>
      </c>
      <c r="J768" s="69">
        <f t="shared" si="175"/>
        <v>0</v>
      </c>
      <c r="K768" s="84">
        <f t="shared" si="163"/>
        <v>30</v>
      </c>
      <c r="L768" s="13">
        <f t="shared" si="175"/>
        <v>0</v>
      </c>
      <c r="M768" s="84">
        <f t="shared" si="171"/>
        <v>30</v>
      </c>
      <c r="N768" s="13">
        <f t="shared" si="175"/>
        <v>0</v>
      </c>
      <c r="O768" s="84">
        <f t="shared" si="172"/>
        <v>30</v>
      </c>
      <c r="P768" s="13">
        <f t="shared" si="175"/>
        <v>0</v>
      </c>
      <c r="Q768" s="84">
        <f t="shared" si="165"/>
        <v>30</v>
      </c>
      <c r="R768" s="13">
        <f t="shared" si="175"/>
        <v>0</v>
      </c>
      <c r="S768" s="84">
        <f t="shared" si="160"/>
        <v>30</v>
      </c>
      <c r="T768" s="13">
        <f t="shared" si="175"/>
        <v>0</v>
      </c>
      <c r="U768" s="84">
        <f t="shared" si="169"/>
        <v>30</v>
      </c>
    </row>
    <row r="769" spans="1:22" ht="33">
      <c r="A769" s="61" t="str">
        <f ca="1">IF(ISERROR(MATCH(F769,Код_КВР,0)),"",INDIRECT(ADDRESS(MATCH(F769,Код_КВР,0)+1,2,,,"КВР")))</f>
        <v>Предоставление субсидий бюджетным, автономным учреждениям и иным некоммерческим организациям</v>
      </c>
      <c r="B769" s="126">
        <v>805</v>
      </c>
      <c r="C769" s="8" t="s">
        <v>193</v>
      </c>
      <c r="D769" s="8" t="s">
        <v>217</v>
      </c>
      <c r="E769" s="126" t="s">
        <v>541</v>
      </c>
      <c r="F769" s="126">
        <v>600</v>
      </c>
      <c r="G769" s="69">
        <f t="shared" si="175"/>
        <v>30</v>
      </c>
      <c r="H769" s="69">
        <f t="shared" si="175"/>
        <v>0</v>
      </c>
      <c r="I769" s="69">
        <f t="shared" si="167"/>
        <v>30</v>
      </c>
      <c r="J769" s="69">
        <f t="shared" si="175"/>
        <v>0</v>
      </c>
      <c r="K769" s="84">
        <f t="shared" si="163"/>
        <v>30</v>
      </c>
      <c r="L769" s="13">
        <f t="shared" si="175"/>
        <v>0</v>
      </c>
      <c r="M769" s="84">
        <f t="shared" si="171"/>
        <v>30</v>
      </c>
      <c r="N769" s="13">
        <f t="shared" si="175"/>
        <v>0</v>
      </c>
      <c r="O769" s="84">
        <f t="shared" si="172"/>
        <v>30</v>
      </c>
      <c r="P769" s="13">
        <f t="shared" si="175"/>
        <v>0</v>
      </c>
      <c r="Q769" s="84">
        <f t="shared" si="165"/>
        <v>30</v>
      </c>
      <c r="R769" s="13">
        <f t="shared" si="175"/>
        <v>0</v>
      </c>
      <c r="S769" s="84">
        <f t="shared" si="160"/>
        <v>30</v>
      </c>
      <c r="T769" s="13">
        <f t="shared" si="175"/>
        <v>0</v>
      </c>
      <c r="U769" s="84">
        <f t="shared" si="169"/>
        <v>30</v>
      </c>
    </row>
    <row r="770" spans="1:22">
      <c r="A770" s="61" t="str">
        <f ca="1">IF(ISERROR(MATCH(F770,Код_КВР,0)),"",INDIRECT(ADDRESS(MATCH(F770,Код_КВР,0)+1,2,,,"КВР")))</f>
        <v>Субсидии бюджетным учреждениям</v>
      </c>
      <c r="B770" s="126">
        <v>805</v>
      </c>
      <c r="C770" s="8" t="s">
        <v>193</v>
      </c>
      <c r="D770" s="8" t="s">
        <v>217</v>
      </c>
      <c r="E770" s="126" t="s">
        <v>541</v>
      </c>
      <c r="F770" s="126">
        <v>610</v>
      </c>
      <c r="G770" s="69">
        <f t="shared" si="175"/>
        <v>30</v>
      </c>
      <c r="H770" s="69">
        <f t="shared" si="175"/>
        <v>0</v>
      </c>
      <c r="I770" s="69">
        <f t="shared" si="167"/>
        <v>30</v>
      </c>
      <c r="J770" s="69">
        <f t="shared" si="175"/>
        <v>0</v>
      </c>
      <c r="K770" s="84">
        <f t="shared" si="163"/>
        <v>30</v>
      </c>
      <c r="L770" s="13">
        <f t="shared" si="175"/>
        <v>0</v>
      </c>
      <c r="M770" s="84">
        <f t="shared" si="171"/>
        <v>30</v>
      </c>
      <c r="N770" s="13">
        <f t="shared" si="175"/>
        <v>0</v>
      </c>
      <c r="O770" s="84">
        <f t="shared" si="172"/>
        <v>30</v>
      </c>
      <c r="P770" s="13">
        <f t="shared" si="175"/>
        <v>0</v>
      </c>
      <c r="Q770" s="84">
        <f t="shared" si="165"/>
        <v>30</v>
      </c>
      <c r="R770" s="13">
        <f t="shared" si="175"/>
        <v>0</v>
      </c>
      <c r="S770" s="84">
        <f t="shared" si="160"/>
        <v>30</v>
      </c>
      <c r="T770" s="13">
        <f t="shared" si="175"/>
        <v>0</v>
      </c>
      <c r="U770" s="84">
        <f t="shared" si="169"/>
        <v>30</v>
      </c>
    </row>
    <row r="771" spans="1:22">
      <c r="A771" s="61" t="str">
        <f ca="1">IF(ISERROR(MATCH(F771,Код_КВР,0)),"",INDIRECT(ADDRESS(MATCH(F771,Код_КВР,0)+1,2,,,"КВР")))</f>
        <v>Субсидии бюджетным учреждениям на иные цели</v>
      </c>
      <c r="B771" s="126">
        <v>805</v>
      </c>
      <c r="C771" s="8" t="s">
        <v>193</v>
      </c>
      <c r="D771" s="8" t="s">
        <v>217</v>
      </c>
      <c r="E771" s="126" t="s">
        <v>541</v>
      </c>
      <c r="F771" s="126">
        <v>612</v>
      </c>
      <c r="G771" s="69">
        <v>30</v>
      </c>
      <c r="H771" s="64"/>
      <c r="I771" s="69">
        <f t="shared" si="167"/>
        <v>30</v>
      </c>
      <c r="J771" s="64"/>
      <c r="K771" s="84">
        <f t="shared" si="163"/>
        <v>30</v>
      </c>
      <c r="L771" s="84"/>
      <c r="M771" s="84">
        <f t="shared" si="171"/>
        <v>30</v>
      </c>
      <c r="N771" s="84"/>
      <c r="O771" s="84">
        <f t="shared" si="172"/>
        <v>30</v>
      </c>
      <c r="P771" s="84"/>
      <c r="Q771" s="84">
        <f t="shared" si="165"/>
        <v>30</v>
      </c>
      <c r="R771" s="84"/>
      <c r="S771" s="84">
        <f t="shared" si="160"/>
        <v>30</v>
      </c>
      <c r="T771" s="84"/>
      <c r="U771" s="84">
        <f t="shared" si="169"/>
        <v>30</v>
      </c>
    </row>
    <row r="772" spans="1:22">
      <c r="A772" s="61" t="str">
        <f ca="1">IF(ISERROR(MATCH(E772,Код_КЦСР,0)),"",INDIRECT(ADDRESS(MATCH(E772,Код_КЦСР,0)+1,2,,,"КЦСР")))</f>
        <v>Муниципальная программа «Здоровый город» на 2014-2022 годы</v>
      </c>
      <c r="B772" s="126">
        <v>805</v>
      </c>
      <c r="C772" s="8" t="s">
        <v>193</v>
      </c>
      <c r="D772" s="8" t="s">
        <v>217</v>
      </c>
      <c r="E772" s="126" t="s">
        <v>566</v>
      </c>
      <c r="F772" s="126"/>
      <c r="G772" s="69">
        <f>G773+G782</f>
        <v>480</v>
      </c>
      <c r="H772" s="64"/>
      <c r="I772" s="69">
        <f t="shared" si="167"/>
        <v>480</v>
      </c>
      <c r="J772" s="64"/>
      <c r="K772" s="84">
        <f t="shared" si="163"/>
        <v>480</v>
      </c>
      <c r="L772" s="84"/>
      <c r="M772" s="84">
        <f t="shared" si="171"/>
        <v>480</v>
      </c>
      <c r="N772" s="84"/>
      <c r="O772" s="84">
        <f t="shared" si="172"/>
        <v>480</v>
      </c>
      <c r="P772" s="84"/>
      <c r="Q772" s="84">
        <f t="shared" si="165"/>
        <v>480</v>
      </c>
      <c r="R772" s="84"/>
      <c r="S772" s="84">
        <f t="shared" si="160"/>
        <v>480</v>
      </c>
      <c r="T772" s="84"/>
      <c r="U772" s="84">
        <f t="shared" si="169"/>
        <v>480</v>
      </c>
    </row>
    <row r="773" spans="1:22">
      <c r="A773" s="61" t="str">
        <f ca="1">IF(ISERROR(MATCH(E773,Код_КЦСР,0)),"",INDIRECT(ADDRESS(MATCH(E773,Код_КЦСР,0)+1,2,,,"КЦСР")))</f>
        <v>Сохранение и укрепление здоровья детей и подростков</v>
      </c>
      <c r="B773" s="126">
        <v>805</v>
      </c>
      <c r="C773" s="8" t="s">
        <v>193</v>
      </c>
      <c r="D773" s="8" t="s">
        <v>217</v>
      </c>
      <c r="E773" s="126" t="s">
        <v>569</v>
      </c>
      <c r="F773" s="126"/>
      <c r="G773" s="69">
        <f>G774+G777</f>
        <v>480</v>
      </c>
      <c r="H773" s="69">
        <f>H774+H777</f>
        <v>0</v>
      </c>
      <c r="I773" s="69">
        <f t="shared" si="167"/>
        <v>480</v>
      </c>
      <c r="J773" s="69">
        <f>J774+J777</f>
        <v>0</v>
      </c>
      <c r="K773" s="84">
        <f t="shared" si="163"/>
        <v>480</v>
      </c>
      <c r="L773" s="13">
        <f>L774+L777</f>
        <v>0</v>
      </c>
      <c r="M773" s="84">
        <f t="shared" si="171"/>
        <v>480</v>
      </c>
      <c r="N773" s="13">
        <f>N774+N777</f>
        <v>0</v>
      </c>
      <c r="O773" s="84">
        <f t="shared" si="172"/>
        <v>480</v>
      </c>
      <c r="P773" s="13">
        <f>P774+P777</f>
        <v>0</v>
      </c>
      <c r="Q773" s="84">
        <f t="shared" si="165"/>
        <v>480</v>
      </c>
      <c r="R773" s="13">
        <f>R774+R777</f>
        <v>0</v>
      </c>
      <c r="S773" s="84">
        <f t="shared" si="160"/>
        <v>480</v>
      </c>
      <c r="T773" s="13">
        <f>T774+T777</f>
        <v>0</v>
      </c>
      <c r="U773" s="84">
        <f t="shared" si="169"/>
        <v>480</v>
      </c>
    </row>
    <row r="774" spans="1:22" hidden="1">
      <c r="A774" s="61" t="str">
        <f t="shared" ref="A774:A781" ca="1" si="176">IF(ISERROR(MATCH(F774,Код_КВР,0)),"",INDIRECT(ADDRESS(MATCH(F774,Код_КВР,0)+1,2,,,"КВР")))</f>
        <v>Закупка товаров, работ и услуг для муниципальных нужд</v>
      </c>
      <c r="B774" s="100">
        <v>805</v>
      </c>
      <c r="C774" s="8" t="s">
        <v>193</v>
      </c>
      <c r="D774" s="8" t="s">
        <v>217</v>
      </c>
      <c r="E774" s="100" t="s">
        <v>569</v>
      </c>
      <c r="F774" s="100">
        <v>200</v>
      </c>
      <c r="G774" s="69">
        <f>G775</f>
        <v>0</v>
      </c>
      <c r="H774" s="69">
        <f>H775</f>
        <v>0</v>
      </c>
      <c r="I774" s="69">
        <f t="shared" si="167"/>
        <v>0</v>
      </c>
      <c r="J774" s="69">
        <f>J775</f>
        <v>0</v>
      </c>
      <c r="K774" s="84">
        <f t="shared" si="163"/>
        <v>0</v>
      </c>
      <c r="L774" s="13">
        <f>L775</f>
        <v>0</v>
      </c>
      <c r="M774" s="84">
        <f t="shared" si="171"/>
        <v>0</v>
      </c>
      <c r="N774" s="13">
        <f>N775</f>
        <v>0</v>
      </c>
      <c r="O774" s="84">
        <f t="shared" si="172"/>
        <v>0</v>
      </c>
      <c r="P774" s="13">
        <f>P775</f>
        <v>0</v>
      </c>
      <c r="Q774" s="84">
        <f t="shared" si="165"/>
        <v>0</v>
      </c>
      <c r="R774" s="13">
        <f>R775</f>
        <v>0</v>
      </c>
      <c r="S774" s="84">
        <f t="shared" si="160"/>
        <v>0</v>
      </c>
      <c r="T774" s="13">
        <f>T775</f>
        <v>0</v>
      </c>
      <c r="U774" s="84">
        <f t="shared" si="169"/>
        <v>0</v>
      </c>
      <c r="V774" s="142" t="s">
        <v>706</v>
      </c>
    </row>
    <row r="775" spans="1:22" ht="33" hidden="1">
      <c r="A775" s="61" t="str">
        <f t="shared" ca="1" si="176"/>
        <v>Иные закупки товаров, работ и услуг для обеспечения муниципальных нужд</v>
      </c>
      <c r="B775" s="100">
        <v>805</v>
      </c>
      <c r="C775" s="8" t="s">
        <v>193</v>
      </c>
      <c r="D775" s="8" t="s">
        <v>217</v>
      </c>
      <c r="E775" s="100" t="s">
        <v>569</v>
      </c>
      <c r="F775" s="100">
        <v>240</v>
      </c>
      <c r="G775" s="69">
        <f>G776</f>
        <v>0</v>
      </c>
      <c r="H775" s="69">
        <f>H776</f>
        <v>0</v>
      </c>
      <c r="I775" s="69">
        <f t="shared" si="167"/>
        <v>0</v>
      </c>
      <c r="J775" s="69">
        <f>J776</f>
        <v>0</v>
      </c>
      <c r="K775" s="84">
        <f t="shared" si="163"/>
        <v>0</v>
      </c>
      <c r="L775" s="13">
        <f>L776</f>
        <v>0</v>
      </c>
      <c r="M775" s="84">
        <f t="shared" si="171"/>
        <v>0</v>
      </c>
      <c r="N775" s="13">
        <f>N776</f>
        <v>0</v>
      </c>
      <c r="O775" s="84">
        <f t="shared" si="172"/>
        <v>0</v>
      </c>
      <c r="P775" s="13">
        <f>P776</f>
        <v>0</v>
      </c>
      <c r="Q775" s="84">
        <f t="shared" si="165"/>
        <v>0</v>
      </c>
      <c r="R775" s="13">
        <f>R776</f>
        <v>0</v>
      </c>
      <c r="S775" s="84">
        <f t="shared" si="160"/>
        <v>0</v>
      </c>
      <c r="T775" s="13">
        <f>T776</f>
        <v>0</v>
      </c>
      <c r="U775" s="84">
        <f t="shared" si="169"/>
        <v>0</v>
      </c>
      <c r="V775" s="142" t="s">
        <v>706</v>
      </c>
    </row>
    <row r="776" spans="1:22" ht="33" hidden="1">
      <c r="A776" s="61" t="str">
        <f t="shared" ca="1" si="176"/>
        <v xml:space="preserve">Прочая закупка товаров, работ и услуг для обеспечения муниципальных нужд         </v>
      </c>
      <c r="B776" s="100">
        <v>805</v>
      </c>
      <c r="C776" s="8" t="s">
        <v>193</v>
      </c>
      <c r="D776" s="8" t="s">
        <v>217</v>
      </c>
      <c r="E776" s="100" t="s">
        <v>569</v>
      </c>
      <c r="F776" s="100">
        <v>244</v>
      </c>
      <c r="G776" s="69"/>
      <c r="H776" s="69"/>
      <c r="I776" s="69">
        <f t="shared" si="167"/>
        <v>0</v>
      </c>
      <c r="J776" s="69"/>
      <c r="K776" s="84">
        <f t="shared" si="163"/>
        <v>0</v>
      </c>
      <c r="L776" s="13"/>
      <c r="M776" s="84">
        <f t="shared" si="171"/>
        <v>0</v>
      </c>
      <c r="N776" s="13"/>
      <c r="O776" s="84">
        <f t="shared" si="172"/>
        <v>0</v>
      </c>
      <c r="P776" s="13"/>
      <c r="Q776" s="84">
        <f t="shared" si="165"/>
        <v>0</v>
      </c>
      <c r="R776" s="13"/>
      <c r="S776" s="84">
        <f t="shared" si="160"/>
        <v>0</v>
      </c>
      <c r="T776" s="13"/>
      <c r="U776" s="84">
        <f t="shared" si="169"/>
        <v>0</v>
      </c>
      <c r="V776" s="142" t="s">
        <v>706</v>
      </c>
    </row>
    <row r="777" spans="1:22" ht="33">
      <c r="A777" s="61" t="str">
        <f t="shared" ca="1" si="176"/>
        <v>Предоставление субсидий бюджетным, автономным учреждениям и иным некоммерческим организациям</v>
      </c>
      <c r="B777" s="126">
        <v>805</v>
      </c>
      <c r="C777" s="8" t="s">
        <v>193</v>
      </c>
      <c r="D777" s="8" t="s">
        <v>217</v>
      </c>
      <c r="E777" s="126" t="s">
        <v>569</v>
      </c>
      <c r="F777" s="126">
        <v>600</v>
      </c>
      <c r="G777" s="69">
        <f>G778+G780</f>
        <v>480</v>
      </c>
      <c r="H777" s="69">
        <f>H778+H780</f>
        <v>0</v>
      </c>
      <c r="I777" s="69">
        <f t="shared" si="167"/>
        <v>480</v>
      </c>
      <c r="J777" s="69">
        <f>J778+J780</f>
        <v>0</v>
      </c>
      <c r="K777" s="84">
        <f t="shared" si="163"/>
        <v>480</v>
      </c>
      <c r="L777" s="13">
        <f>L778+L780</f>
        <v>0</v>
      </c>
      <c r="M777" s="84">
        <f t="shared" si="171"/>
        <v>480</v>
      </c>
      <c r="N777" s="13">
        <f>N778+N780</f>
        <v>0</v>
      </c>
      <c r="O777" s="84">
        <f t="shared" si="172"/>
        <v>480</v>
      </c>
      <c r="P777" s="13">
        <f>P778+P780</f>
        <v>0</v>
      </c>
      <c r="Q777" s="84">
        <f t="shared" si="165"/>
        <v>480</v>
      </c>
      <c r="R777" s="13">
        <f>R778+R780</f>
        <v>0</v>
      </c>
      <c r="S777" s="84">
        <f t="shared" si="160"/>
        <v>480</v>
      </c>
      <c r="T777" s="13">
        <f>T778+T780</f>
        <v>0</v>
      </c>
      <c r="U777" s="84">
        <f t="shared" si="169"/>
        <v>480</v>
      </c>
    </row>
    <row r="778" spans="1:22">
      <c r="A778" s="61" t="str">
        <f t="shared" ca="1" si="176"/>
        <v>Субсидии бюджетным учреждениям</v>
      </c>
      <c r="B778" s="126">
        <v>805</v>
      </c>
      <c r="C778" s="8" t="s">
        <v>193</v>
      </c>
      <c r="D778" s="8" t="s">
        <v>217</v>
      </c>
      <c r="E778" s="126" t="s">
        <v>569</v>
      </c>
      <c r="F778" s="126">
        <v>610</v>
      </c>
      <c r="G778" s="69">
        <f>G779</f>
        <v>463.4</v>
      </c>
      <c r="H778" s="69">
        <f>H779</f>
        <v>0</v>
      </c>
      <c r="I778" s="69">
        <f t="shared" si="167"/>
        <v>463.4</v>
      </c>
      <c r="J778" s="69">
        <f>J779</f>
        <v>0</v>
      </c>
      <c r="K778" s="84">
        <f t="shared" si="163"/>
        <v>463.4</v>
      </c>
      <c r="L778" s="13">
        <f>L779</f>
        <v>0</v>
      </c>
      <c r="M778" s="84">
        <f t="shared" si="171"/>
        <v>463.4</v>
      </c>
      <c r="N778" s="13">
        <f>N779</f>
        <v>0</v>
      </c>
      <c r="O778" s="84">
        <f t="shared" si="172"/>
        <v>463.4</v>
      </c>
      <c r="P778" s="13">
        <f>P779</f>
        <v>0</v>
      </c>
      <c r="Q778" s="84">
        <f t="shared" si="165"/>
        <v>463.4</v>
      </c>
      <c r="R778" s="13">
        <f>R779</f>
        <v>0</v>
      </c>
      <c r="S778" s="84">
        <f t="shared" ref="S778:S841" si="177">Q778+R778</f>
        <v>463.4</v>
      </c>
      <c r="T778" s="13">
        <f>T779</f>
        <v>0</v>
      </c>
      <c r="U778" s="84">
        <f t="shared" si="169"/>
        <v>463.4</v>
      </c>
    </row>
    <row r="779" spans="1:22">
      <c r="A779" s="61" t="str">
        <f t="shared" ca="1" si="176"/>
        <v>Субсидии бюджетным учреждениям на иные цели</v>
      </c>
      <c r="B779" s="126">
        <v>805</v>
      </c>
      <c r="C779" s="8" t="s">
        <v>193</v>
      </c>
      <c r="D779" s="8" t="s">
        <v>217</v>
      </c>
      <c r="E779" s="126" t="s">
        <v>569</v>
      </c>
      <c r="F779" s="126">
        <v>612</v>
      </c>
      <c r="G779" s="69">
        <v>463.4</v>
      </c>
      <c r="H779" s="64"/>
      <c r="I779" s="69">
        <f t="shared" si="167"/>
        <v>463.4</v>
      </c>
      <c r="J779" s="64"/>
      <c r="K779" s="84">
        <f t="shared" si="163"/>
        <v>463.4</v>
      </c>
      <c r="L779" s="84"/>
      <c r="M779" s="84">
        <f t="shared" si="171"/>
        <v>463.4</v>
      </c>
      <c r="N779" s="84"/>
      <c r="O779" s="84">
        <f t="shared" si="172"/>
        <v>463.4</v>
      </c>
      <c r="P779" s="84"/>
      <c r="Q779" s="84">
        <f t="shared" si="165"/>
        <v>463.4</v>
      </c>
      <c r="R779" s="84"/>
      <c r="S779" s="84">
        <f t="shared" si="177"/>
        <v>463.4</v>
      </c>
      <c r="T779" s="84"/>
      <c r="U779" s="84">
        <f t="shared" si="169"/>
        <v>463.4</v>
      </c>
    </row>
    <row r="780" spans="1:22">
      <c r="A780" s="61" t="str">
        <f t="shared" ca="1" si="176"/>
        <v>Субсидии автономным учреждениям</v>
      </c>
      <c r="B780" s="126">
        <v>805</v>
      </c>
      <c r="C780" s="8" t="s">
        <v>193</v>
      </c>
      <c r="D780" s="8" t="s">
        <v>217</v>
      </c>
      <c r="E780" s="126" t="s">
        <v>569</v>
      </c>
      <c r="F780" s="126">
        <v>620</v>
      </c>
      <c r="G780" s="69">
        <f>G781</f>
        <v>16.600000000000001</v>
      </c>
      <c r="H780" s="69">
        <f>H781</f>
        <v>0</v>
      </c>
      <c r="I780" s="69">
        <f t="shared" si="167"/>
        <v>16.600000000000001</v>
      </c>
      <c r="J780" s="69">
        <f>J781</f>
        <v>0</v>
      </c>
      <c r="K780" s="84">
        <f t="shared" si="163"/>
        <v>16.600000000000001</v>
      </c>
      <c r="L780" s="13">
        <f>L781</f>
        <v>0</v>
      </c>
      <c r="M780" s="84">
        <f t="shared" si="171"/>
        <v>16.600000000000001</v>
      </c>
      <c r="N780" s="13">
        <f>N781</f>
        <v>0</v>
      </c>
      <c r="O780" s="84">
        <f t="shared" si="172"/>
        <v>16.600000000000001</v>
      </c>
      <c r="P780" s="13">
        <f>P781</f>
        <v>0</v>
      </c>
      <c r="Q780" s="84">
        <f t="shared" si="165"/>
        <v>16.600000000000001</v>
      </c>
      <c r="R780" s="13">
        <f>R781</f>
        <v>0</v>
      </c>
      <c r="S780" s="84">
        <f t="shared" si="177"/>
        <v>16.600000000000001</v>
      </c>
      <c r="T780" s="13">
        <f>T781</f>
        <v>0</v>
      </c>
      <c r="U780" s="84">
        <f t="shared" si="169"/>
        <v>16.600000000000001</v>
      </c>
    </row>
    <row r="781" spans="1:22">
      <c r="A781" s="61" t="str">
        <f t="shared" ca="1" si="176"/>
        <v>Субсидии автономным учреждениям на иные цели</v>
      </c>
      <c r="B781" s="126">
        <v>805</v>
      </c>
      <c r="C781" s="8" t="s">
        <v>193</v>
      </c>
      <c r="D781" s="8" t="s">
        <v>217</v>
      </c>
      <c r="E781" s="126" t="s">
        <v>569</v>
      </c>
      <c r="F781" s="126">
        <v>622</v>
      </c>
      <c r="G781" s="69">
        <v>16.600000000000001</v>
      </c>
      <c r="H781" s="64"/>
      <c r="I781" s="69">
        <f t="shared" si="167"/>
        <v>16.600000000000001</v>
      </c>
      <c r="J781" s="64"/>
      <c r="K781" s="84">
        <f t="shared" si="163"/>
        <v>16.600000000000001</v>
      </c>
      <c r="L781" s="84"/>
      <c r="M781" s="84">
        <f t="shared" si="171"/>
        <v>16.600000000000001</v>
      </c>
      <c r="N781" s="84"/>
      <c r="O781" s="84">
        <f t="shared" si="172"/>
        <v>16.600000000000001</v>
      </c>
      <c r="P781" s="84"/>
      <c r="Q781" s="84">
        <f t="shared" si="165"/>
        <v>16.600000000000001</v>
      </c>
      <c r="R781" s="84"/>
      <c r="S781" s="84">
        <f t="shared" si="177"/>
        <v>16.600000000000001</v>
      </c>
      <c r="T781" s="84"/>
      <c r="U781" s="84">
        <f t="shared" si="169"/>
        <v>16.600000000000001</v>
      </c>
    </row>
    <row r="782" spans="1:22" hidden="1">
      <c r="A782" s="61" t="str">
        <f ca="1">IF(ISERROR(MATCH(E782,Код_КЦСР,0)),"",INDIRECT(ADDRESS(MATCH(E782,Код_КЦСР,0)+1,2,,,"КЦСР")))</f>
        <v>Пропаганда здорового образа жизни</v>
      </c>
      <c r="B782" s="100">
        <v>805</v>
      </c>
      <c r="C782" s="8" t="s">
        <v>193</v>
      </c>
      <c r="D782" s="8" t="s">
        <v>217</v>
      </c>
      <c r="E782" s="100" t="s">
        <v>571</v>
      </c>
      <c r="F782" s="100"/>
      <c r="G782" s="69">
        <f>G783</f>
        <v>0</v>
      </c>
      <c r="H782" s="64"/>
      <c r="I782" s="69">
        <f t="shared" si="167"/>
        <v>0</v>
      </c>
      <c r="J782" s="64"/>
      <c r="K782" s="84">
        <f t="shared" si="163"/>
        <v>0</v>
      </c>
      <c r="L782" s="84"/>
      <c r="M782" s="84">
        <f t="shared" si="171"/>
        <v>0</v>
      </c>
      <c r="N782" s="84"/>
      <c r="O782" s="84">
        <f t="shared" si="172"/>
        <v>0</v>
      </c>
      <c r="P782" s="84"/>
      <c r="Q782" s="84">
        <f t="shared" si="165"/>
        <v>0</v>
      </c>
      <c r="R782" s="84"/>
      <c r="S782" s="84">
        <f t="shared" si="177"/>
        <v>0</v>
      </c>
      <c r="T782" s="84"/>
      <c r="U782" s="84">
        <f t="shared" si="169"/>
        <v>0</v>
      </c>
      <c r="V782" s="142" t="s">
        <v>706</v>
      </c>
    </row>
    <row r="783" spans="1:22" hidden="1">
      <c r="A783" s="61" t="str">
        <f ca="1">IF(ISERROR(MATCH(F783,Код_КВР,0)),"",INDIRECT(ADDRESS(MATCH(F783,Код_КВР,0)+1,2,,,"КВР")))</f>
        <v>Закупка товаров, работ и услуг для муниципальных нужд</v>
      </c>
      <c r="B783" s="100">
        <v>805</v>
      </c>
      <c r="C783" s="8" t="s">
        <v>193</v>
      </c>
      <c r="D783" s="8" t="s">
        <v>217</v>
      </c>
      <c r="E783" s="100" t="s">
        <v>571</v>
      </c>
      <c r="F783" s="100">
        <v>200</v>
      </c>
      <c r="G783" s="69">
        <f>G784</f>
        <v>0</v>
      </c>
      <c r="H783" s="64"/>
      <c r="I783" s="69">
        <f t="shared" si="167"/>
        <v>0</v>
      </c>
      <c r="J783" s="64"/>
      <c r="K783" s="84">
        <f t="shared" si="163"/>
        <v>0</v>
      </c>
      <c r="L783" s="84"/>
      <c r="M783" s="84">
        <f t="shared" si="171"/>
        <v>0</v>
      </c>
      <c r="N783" s="84"/>
      <c r="O783" s="84">
        <f t="shared" si="172"/>
        <v>0</v>
      </c>
      <c r="P783" s="84"/>
      <c r="Q783" s="84">
        <f t="shared" si="165"/>
        <v>0</v>
      </c>
      <c r="R783" s="84"/>
      <c r="S783" s="84">
        <f t="shared" si="177"/>
        <v>0</v>
      </c>
      <c r="T783" s="84"/>
      <c r="U783" s="84">
        <f t="shared" si="169"/>
        <v>0</v>
      </c>
      <c r="V783" s="142" t="s">
        <v>706</v>
      </c>
    </row>
    <row r="784" spans="1:22" ht="33" hidden="1">
      <c r="A784" s="61" t="str">
        <f ca="1">IF(ISERROR(MATCH(F784,Код_КВР,0)),"",INDIRECT(ADDRESS(MATCH(F784,Код_КВР,0)+1,2,,,"КВР")))</f>
        <v>Иные закупки товаров, работ и услуг для обеспечения муниципальных нужд</v>
      </c>
      <c r="B784" s="100">
        <v>805</v>
      </c>
      <c r="C784" s="8" t="s">
        <v>193</v>
      </c>
      <c r="D784" s="8" t="s">
        <v>217</v>
      </c>
      <c r="E784" s="100" t="s">
        <v>571</v>
      </c>
      <c r="F784" s="100">
        <v>240</v>
      </c>
      <c r="G784" s="69">
        <f>G785</f>
        <v>0</v>
      </c>
      <c r="H784" s="64"/>
      <c r="I784" s="69">
        <f t="shared" si="167"/>
        <v>0</v>
      </c>
      <c r="J784" s="64"/>
      <c r="K784" s="84">
        <f t="shared" si="163"/>
        <v>0</v>
      </c>
      <c r="L784" s="84"/>
      <c r="M784" s="84">
        <f t="shared" si="171"/>
        <v>0</v>
      </c>
      <c r="N784" s="84"/>
      <c r="O784" s="84">
        <f t="shared" si="172"/>
        <v>0</v>
      </c>
      <c r="P784" s="84"/>
      <c r="Q784" s="84">
        <f t="shared" ref="Q784:Q847" si="178">O784+P784</f>
        <v>0</v>
      </c>
      <c r="R784" s="84"/>
      <c r="S784" s="84">
        <f t="shared" si="177"/>
        <v>0</v>
      </c>
      <c r="T784" s="84"/>
      <c r="U784" s="84">
        <f t="shared" si="169"/>
        <v>0</v>
      </c>
      <c r="V784" s="142" t="s">
        <v>706</v>
      </c>
    </row>
    <row r="785" spans="1:22" ht="33" hidden="1">
      <c r="A785" s="61" t="str">
        <f ca="1">IF(ISERROR(MATCH(F785,Код_КВР,0)),"",INDIRECT(ADDRESS(MATCH(F785,Код_КВР,0)+1,2,,,"КВР")))</f>
        <v xml:space="preserve">Прочая закупка товаров, работ и услуг для обеспечения муниципальных нужд         </v>
      </c>
      <c r="B785" s="100">
        <v>805</v>
      </c>
      <c r="C785" s="8" t="s">
        <v>193</v>
      </c>
      <c r="D785" s="8" t="s">
        <v>217</v>
      </c>
      <c r="E785" s="100" t="s">
        <v>571</v>
      </c>
      <c r="F785" s="100">
        <v>244</v>
      </c>
      <c r="G785" s="69"/>
      <c r="H785" s="64"/>
      <c r="I785" s="69">
        <f t="shared" si="167"/>
        <v>0</v>
      </c>
      <c r="J785" s="64"/>
      <c r="K785" s="84">
        <f t="shared" si="163"/>
        <v>0</v>
      </c>
      <c r="L785" s="84"/>
      <c r="M785" s="84">
        <f t="shared" si="171"/>
        <v>0</v>
      </c>
      <c r="N785" s="84"/>
      <c r="O785" s="84">
        <f t="shared" si="172"/>
        <v>0</v>
      </c>
      <c r="P785" s="84"/>
      <c r="Q785" s="84">
        <f t="shared" si="178"/>
        <v>0</v>
      </c>
      <c r="R785" s="84"/>
      <c r="S785" s="84">
        <f t="shared" si="177"/>
        <v>0</v>
      </c>
      <c r="T785" s="84"/>
      <c r="U785" s="84">
        <f t="shared" si="169"/>
        <v>0</v>
      </c>
      <c r="V785" s="142" t="s">
        <v>706</v>
      </c>
    </row>
    <row r="786" spans="1:22" ht="39.75" customHeight="1">
      <c r="A786" s="61" t="str">
        <f ca="1">IF(ISERROR(MATCH(E786,Код_КЦСР,0)),"",INDIRECT(ADDRESS(MATCH(E786,Код_КЦСР,0)+1,2,,,"КЦСР")))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86" s="126">
        <v>805</v>
      </c>
      <c r="C786" s="8" t="s">
        <v>193</v>
      </c>
      <c r="D786" s="8" t="s">
        <v>217</v>
      </c>
      <c r="E786" s="126" t="s">
        <v>78</v>
      </c>
      <c r="F786" s="126"/>
      <c r="G786" s="69">
        <f>G787</f>
        <v>3673.6</v>
      </c>
      <c r="H786" s="69">
        <f>H787</f>
        <v>0</v>
      </c>
      <c r="I786" s="69">
        <f t="shared" si="167"/>
        <v>3673.6</v>
      </c>
      <c r="J786" s="69">
        <f>J787</f>
        <v>0</v>
      </c>
      <c r="K786" s="84">
        <f t="shared" ref="K786:K853" si="179">I786+J786</f>
        <v>3673.6</v>
      </c>
      <c r="L786" s="13">
        <f>L787</f>
        <v>0</v>
      </c>
      <c r="M786" s="84">
        <f t="shared" si="171"/>
        <v>3673.6</v>
      </c>
      <c r="N786" s="13">
        <f>N787</f>
        <v>0</v>
      </c>
      <c r="O786" s="84">
        <f t="shared" si="172"/>
        <v>3673.6</v>
      </c>
      <c r="P786" s="13">
        <f>P787</f>
        <v>0</v>
      </c>
      <c r="Q786" s="84">
        <f t="shared" si="178"/>
        <v>3673.6</v>
      </c>
      <c r="R786" s="13">
        <f>R787</f>
        <v>0</v>
      </c>
      <c r="S786" s="84">
        <f t="shared" si="177"/>
        <v>3673.6</v>
      </c>
      <c r="T786" s="13">
        <f>T787</f>
        <v>0</v>
      </c>
      <c r="U786" s="84">
        <f t="shared" si="169"/>
        <v>3673.6</v>
      </c>
    </row>
    <row r="787" spans="1:22" ht="18.75" customHeight="1">
      <c r="A787" s="61" t="str">
        <f ca="1">IF(ISERROR(MATCH(E787,Код_КЦСР,0)),"",INDIRECT(ADDRESS(MATCH(E787,Код_КЦСР,0)+1,2,,,"КЦСР")))</f>
        <v>Обеспечение пожарной безопасности муниципальных учреждений города</v>
      </c>
      <c r="B787" s="126">
        <v>805</v>
      </c>
      <c r="C787" s="8" t="s">
        <v>193</v>
      </c>
      <c r="D787" s="8" t="s">
        <v>217</v>
      </c>
      <c r="E787" s="126" t="s">
        <v>80</v>
      </c>
      <c r="F787" s="126"/>
      <c r="G787" s="69">
        <f>G788+G795</f>
        <v>3673.6</v>
      </c>
      <c r="H787" s="69">
        <f>H788+H795</f>
        <v>0</v>
      </c>
      <c r="I787" s="69">
        <f t="shared" si="167"/>
        <v>3673.6</v>
      </c>
      <c r="J787" s="69">
        <f>J788+J795</f>
        <v>0</v>
      </c>
      <c r="K787" s="84">
        <f t="shared" si="179"/>
        <v>3673.6</v>
      </c>
      <c r="L787" s="13">
        <f>L788+L795</f>
        <v>0</v>
      </c>
      <c r="M787" s="84">
        <f t="shared" si="171"/>
        <v>3673.6</v>
      </c>
      <c r="N787" s="13">
        <f>N788+N795</f>
        <v>0</v>
      </c>
      <c r="O787" s="84">
        <f t="shared" si="172"/>
        <v>3673.6</v>
      </c>
      <c r="P787" s="13">
        <f>P788+P795</f>
        <v>0</v>
      </c>
      <c r="Q787" s="84">
        <f t="shared" si="178"/>
        <v>3673.6</v>
      </c>
      <c r="R787" s="13">
        <f>R788+R795</f>
        <v>0</v>
      </c>
      <c r="S787" s="84">
        <f t="shared" si="177"/>
        <v>3673.6</v>
      </c>
      <c r="T787" s="13">
        <f>T788+T795</f>
        <v>0</v>
      </c>
      <c r="U787" s="84">
        <f t="shared" si="169"/>
        <v>3673.6</v>
      </c>
    </row>
    <row r="788" spans="1:22" ht="49.5">
      <c r="A788" s="61" t="str">
        <f ca="1">IF(ISERROR(MATCH(E788,Код_КЦСР,0)),"",INDIRECT(ADDRESS(MATCH(E788,Код_КЦСР,0)+1,2,,,"КЦСР")))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88" s="126">
        <v>805</v>
      </c>
      <c r="C788" s="8" t="s">
        <v>193</v>
      </c>
      <c r="D788" s="8" t="s">
        <v>217</v>
      </c>
      <c r="E788" s="126" t="s">
        <v>82</v>
      </c>
      <c r="F788" s="126"/>
      <c r="G788" s="69">
        <f>G789+G792</f>
        <v>481</v>
      </c>
      <c r="H788" s="69">
        <f>H789+H792</f>
        <v>0</v>
      </c>
      <c r="I788" s="69">
        <f t="shared" si="167"/>
        <v>481</v>
      </c>
      <c r="J788" s="69">
        <f>J789+J792</f>
        <v>0</v>
      </c>
      <c r="K788" s="84">
        <f t="shared" si="179"/>
        <v>481</v>
      </c>
      <c r="L788" s="13">
        <f>L789+L792</f>
        <v>0</v>
      </c>
      <c r="M788" s="84">
        <f t="shared" si="171"/>
        <v>481</v>
      </c>
      <c r="N788" s="13">
        <f>N789+N792</f>
        <v>0</v>
      </c>
      <c r="O788" s="84">
        <f t="shared" si="172"/>
        <v>481</v>
      </c>
      <c r="P788" s="13">
        <f>P789+P792</f>
        <v>0</v>
      </c>
      <c r="Q788" s="84">
        <f t="shared" si="178"/>
        <v>481</v>
      </c>
      <c r="R788" s="13">
        <f>R789+R792</f>
        <v>0</v>
      </c>
      <c r="S788" s="84">
        <f t="shared" si="177"/>
        <v>481</v>
      </c>
      <c r="T788" s="13">
        <f>T789+T792</f>
        <v>0</v>
      </c>
      <c r="U788" s="84">
        <f t="shared" si="169"/>
        <v>481</v>
      </c>
    </row>
    <row r="789" spans="1:22" hidden="1">
      <c r="A789" s="61" t="str">
        <f t="shared" ref="A789:A794" ca="1" si="180">IF(ISERROR(MATCH(F789,Код_КВР,0)),"",INDIRECT(ADDRESS(MATCH(F789,Код_КВР,0)+1,2,,,"КВР")))</f>
        <v>Закупка товаров, работ и услуг для муниципальных нужд</v>
      </c>
      <c r="B789" s="100">
        <v>805</v>
      </c>
      <c r="C789" s="8" t="s">
        <v>193</v>
      </c>
      <c r="D789" s="8" t="s">
        <v>217</v>
      </c>
      <c r="E789" s="100" t="s">
        <v>82</v>
      </c>
      <c r="F789" s="100">
        <v>200</v>
      </c>
      <c r="G789" s="69">
        <f>G790</f>
        <v>0</v>
      </c>
      <c r="H789" s="69">
        <f>H790</f>
        <v>0</v>
      </c>
      <c r="I789" s="69">
        <f t="shared" si="167"/>
        <v>0</v>
      </c>
      <c r="J789" s="69">
        <f>J790</f>
        <v>0</v>
      </c>
      <c r="K789" s="84">
        <f t="shared" si="179"/>
        <v>0</v>
      </c>
      <c r="L789" s="13">
        <f>L790</f>
        <v>0</v>
      </c>
      <c r="M789" s="84">
        <f t="shared" si="171"/>
        <v>0</v>
      </c>
      <c r="N789" s="13">
        <f>N790</f>
        <v>0</v>
      </c>
      <c r="O789" s="84">
        <f t="shared" si="172"/>
        <v>0</v>
      </c>
      <c r="P789" s="13">
        <f>P790</f>
        <v>0</v>
      </c>
      <c r="Q789" s="84">
        <f t="shared" si="178"/>
        <v>0</v>
      </c>
      <c r="R789" s="13">
        <f>R790</f>
        <v>0</v>
      </c>
      <c r="S789" s="84">
        <f t="shared" si="177"/>
        <v>0</v>
      </c>
      <c r="T789" s="13">
        <f>T790</f>
        <v>0</v>
      </c>
      <c r="U789" s="84">
        <f t="shared" si="169"/>
        <v>0</v>
      </c>
      <c r="V789" s="142" t="s">
        <v>706</v>
      </c>
    </row>
    <row r="790" spans="1:22" ht="33" hidden="1">
      <c r="A790" s="61" t="str">
        <f t="shared" ca="1" si="180"/>
        <v>Иные закупки товаров, работ и услуг для обеспечения муниципальных нужд</v>
      </c>
      <c r="B790" s="100">
        <v>805</v>
      </c>
      <c r="C790" s="8" t="s">
        <v>193</v>
      </c>
      <c r="D790" s="8" t="s">
        <v>217</v>
      </c>
      <c r="E790" s="100" t="s">
        <v>82</v>
      </c>
      <c r="F790" s="100">
        <v>240</v>
      </c>
      <c r="G790" s="69">
        <f>G791</f>
        <v>0</v>
      </c>
      <c r="H790" s="69">
        <f>H791</f>
        <v>0</v>
      </c>
      <c r="I790" s="69">
        <f t="shared" si="167"/>
        <v>0</v>
      </c>
      <c r="J790" s="69">
        <f>J791</f>
        <v>0</v>
      </c>
      <c r="K790" s="84">
        <f t="shared" si="179"/>
        <v>0</v>
      </c>
      <c r="L790" s="13">
        <f>L791</f>
        <v>0</v>
      </c>
      <c r="M790" s="84">
        <f t="shared" si="171"/>
        <v>0</v>
      </c>
      <c r="N790" s="13">
        <f>N791</f>
        <v>0</v>
      </c>
      <c r="O790" s="84">
        <f t="shared" si="172"/>
        <v>0</v>
      </c>
      <c r="P790" s="13">
        <f>P791</f>
        <v>0</v>
      </c>
      <c r="Q790" s="84">
        <f t="shared" si="178"/>
        <v>0</v>
      </c>
      <c r="R790" s="13">
        <f>R791</f>
        <v>0</v>
      </c>
      <c r="S790" s="84">
        <f t="shared" si="177"/>
        <v>0</v>
      </c>
      <c r="T790" s="13">
        <f>T791</f>
        <v>0</v>
      </c>
      <c r="U790" s="84">
        <f t="shared" si="169"/>
        <v>0</v>
      </c>
      <c r="V790" s="142" t="s">
        <v>706</v>
      </c>
    </row>
    <row r="791" spans="1:22" ht="33" hidden="1">
      <c r="A791" s="61" t="str">
        <f t="shared" ca="1" si="180"/>
        <v xml:space="preserve">Прочая закупка товаров, работ и услуг для обеспечения муниципальных нужд         </v>
      </c>
      <c r="B791" s="100">
        <v>805</v>
      </c>
      <c r="C791" s="8" t="s">
        <v>193</v>
      </c>
      <c r="D791" s="8" t="s">
        <v>217</v>
      </c>
      <c r="E791" s="100" t="s">
        <v>82</v>
      </c>
      <c r="F791" s="100">
        <v>244</v>
      </c>
      <c r="G791" s="69"/>
      <c r="H791" s="69"/>
      <c r="I791" s="69">
        <f t="shared" si="167"/>
        <v>0</v>
      </c>
      <c r="J791" s="69"/>
      <c r="K791" s="84">
        <f t="shared" si="179"/>
        <v>0</v>
      </c>
      <c r="L791" s="13"/>
      <c r="M791" s="84">
        <f t="shared" si="171"/>
        <v>0</v>
      </c>
      <c r="N791" s="13"/>
      <c r="O791" s="84">
        <f t="shared" si="172"/>
        <v>0</v>
      </c>
      <c r="P791" s="13"/>
      <c r="Q791" s="84">
        <f t="shared" si="178"/>
        <v>0</v>
      </c>
      <c r="R791" s="13"/>
      <c r="S791" s="84">
        <f t="shared" si="177"/>
        <v>0</v>
      </c>
      <c r="T791" s="13"/>
      <c r="U791" s="84">
        <f t="shared" si="169"/>
        <v>0</v>
      </c>
      <c r="V791" s="142" t="s">
        <v>706</v>
      </c>
    </row>
    <row r="792" spans="1:22" ht="33">
      <c r="A792" s="61" t="str">
        <f t="shared" ca="1" si="180"/>
        <v>Предоставление субсидий бюджетным, автономным учреждениям и иным некоммерческим организациям</v>
      </c>
      <c r="B792" s="126">
        <v>805</v>
      </c>
      <c r="C792" s="8" t="s">
        <v>193</v>
      </c>
      <c r="D792" s="8" t="s">
        <v>217</v>
      </c>
      <c r="E792" s="126" t="s">
        <v>82</v>
      </c>
      <c r="F792" s="126">
        <v>600</v>
      </c>
      <c r="G792" s="69">
        <f>G793</f>
        <v>481</v>
      </c>
      <c r="H792" s="69">
        <f>H793</f>
        <v>0</v>
      </c>
      <c r="I792" s="69">
        <f t="shared" si="167"/>
        <v>481</v>
      </c>
      <c r="J792" s="69">
        <f>J793</f>
        <v>0</v>
      </c>
      <c r="K792" s="84">
        <f t="shared" si="179"/>
        <v>481</v>
      </c>
      <c r="L792" s="13">
        <f>L793</f>
        <v>0</v>
      </c>
      <c r="M792" s="84">
        <f t="shared" si="171"/>
        <v>481</v>
      </c>
      <c r="N792" s="13">
        <f>N793</f>
        <v>0</v>
      </c>
      <c r="O792" s="84">
        <f t="shared" si="172"/>
        <v>481</v>
      </c>
      <c r="P792" s="13">
        <f>P793</f>
        <v>0</v>
      </c>
      <c r="Q792" s="84">
        <f t="shared" si="178"/>
        <v>481</v>
      </c>
      <c r="R792" s="13">
        <f>R793</f>
        <v>0</v>
      </c>
      <c r="S792" s="84">
        <f t="shared" si="177"/>
        <v>481</v>
      </c>
      <c r="T792" s="13">
        <f>T793</f>
        <v>0</v>
      </c>
      <c r="U792" s="84">
        <f t="shared" si="169"/>
        <v>481</v>
      </c>
    </row>
    <row r="793" spans="1:22">
      <c r="A793" s="61" t="str">
        <f t="shared" ca="1" si="180"/>
        <v>Субсидии бюджетным учреждениям</v>
      </c>
      <c r="B793" s="126">
        <v>805</v>
      </c>
      <c r="C793" s="8" t="s">
        <v>193</v>
      </c>
      <c r="D793" s="8" t="s">
        <v>217</v>
      </c>
      <c r="E793" s="126" t="s">
        <v>82</v>
      </c>
      <c r="F793" s="126">
        <v>610</v>
      </c>
      <c r="G793" s="69">
        <f>G794</f>
        <v>481</v>
      </c>
      <c r="H793" s="69">
        <f>H794</f>
        <v>0</v>
      </c>
      <c r="I793" s="69">
        <f t="shared" si="167"/>
        <v>481</v>
      </c>
      <c r="J793" s="69">
        <f>J794</f>
        <v>0</v>
      </c>
      <c r="K793" s="84">
        <f t="shared" si="179"/>
        <v>481</v>
      </c>
      <c r="L793" s="13">
        <f>L794</f>
        <v>0</v>
      </c>
      <c r="M793" s="84">
        <f t="shared" si="171"/>
        <v>481</v>
      </c>
      <c r="N793" s="13">
        <f>N794</f>
        <v>0</v>
      </c>
      <c r="O793" s="84">
        <f t="shared" si="172"/>
        <v>481</v>
      </c>
      <c r="P793" s="13">
        <f>P794</f>
        <v>0</v>
      </c>
      <c r="Q793" s="84">
        <f t="shared" si="178"/>
        <v>481</v>
      </c>
      <c r="R793" s="13">
        <f>R794</f>
        <v>0</v>
      </c>
      <c r="S793" s="84">
        <f t="shared" si="177"/>
        <v>481</v>
      </c>
      <c r="T793" s="13">
        <f>T794</f>
        <v>0</v>
      </c>
      <c r="U793" s="84">
        <f t="shared" si="169"/>
        <v>481</v>
      </c>
    </row>
    <row r="794" spans="1:22">
      <c r="A794" s="61" t="str">
        <f t="shared" ca="1" si="180"/>
        <v>Субсидии бюджетным учреждениям на иные цели</v>
      </c>
      <c r="B794" s="126">
        <v>805</v>
      </c>
      <c r="C794" s="8" t="s">
        <v>193</v>
      </c>
      <c r="D794" s="8" t="s">
        <v>217</v>
      </c>
      <c r="E794" s="126" t="s">
        <v>82</v>
      </c>
      <c r="F794" s="126">
        <v>612</v>
      </c>
      <c r="G794" s="69">
        <v>481</v>
      </c>
      <c r="H794" s="64"/>
      <c r="I794" s="69">
        <f t="shared" si="167"/>
        <v>481</v>
      </c>
      <c r="J794" s="64"/>
      <c r="K794" s="84">
        <f t="shared" si="179"/>
        <v>481</v>
      </c>
      <c r="L794" s="84"/>
      <c r="M794" s="84">
        <f t="shared" si="171"/>
        <v>481</v>
      </c>
      <c r="N794" s="84"/>
      <c r="O794" s="84">
        <f t="shared" si="172"/>
        <v>481</v>
      </c>
      <c r="P794" s="84"/>
      <c r="Q794" s="84">
        <f t="shared" si="178"/>
        <v>481</v>
      </c>
      <c r="R794" s="84"/>
      <c r="S794" s="84">
        <f t="shared" si="177"/>
        <v>481</v>
      </c>
      <c r="T794" s="84"/>
      <c r="U794" s="84">
        <f t="shared" si="169"/>
        <v>481</v>
      </c>
    </row>
    <row r="795" spans="1:22">
      <c r="A795" s="61" t="str">
        <f ca="1">IF(ISERROR(MATCH(E795,Код_КЦСР,0)),"",INDIRECT(ADDRESS(MATCH(E795,Код_КЦСР,0)+1,2,,,"КЦСР")))</f>
        <v>Ремонт и оборудование эвакуационных путей  зданий</v>
      </c>
      <c r="B795" s="126">
        <v>805</v>
      </c>
      <c r="C795" s="8" t="s">
        <v>193</v>
      </c>
      <c r="D795" s="8" t="s">
        <v>217</v>
      </c>
      <c r="E795" s="126" t="s">
        <v>86</v>
      </c>
      <c r="F795" s="126"/>
      <c r="G795" s="69">
        <f>G796</f>
        <v>3192.6</v>
      </c>
      <c r="H795" s="64"/>
      <c r="I795" s="69">
        <f t="shared" si="167"/>
        <v>3192.6</v>
      </c>
      <c r="J795" s="64"/>
      <c r="K795" s="84">
        <f t="shared" si="179"/>
        <v>3192.6</v>
      </c>
      <c r="L795" s="84"/>
      <c r="M795" s="84">
        <f t="shared" si="171"/>
        <v>3192.6</v>
      </c>
      <c r="N795" s="84"/>
      <c r="O795" s="84">
        <f t="shared" si="172"/>
        <v>3192.6</v>
      </c>
      <c r="P795" s="84"/>
      <c r="Q795" s="84">
        <f t="shared" si="178"/>
        <v>3192.6</v>
      </c>
      <c r="R795" s="84"/>
      <c r="S795" s="84">
        <f t="shared" si="177"/>
        <v>3192.6</v>
      </c>
      <c r="T795" s="84"/>
      <c r="U795" s="84">
        <f t="shared" si="169"/>
        <v>3192.6</v>
      </c>
    </row>
    <row r="796" spans="1:22" ht="33">
      <c r="A796" s="61" t="str">
        <f ca="1">IF(ISERROR(MATCH(F796,Код_КВР,0)),"",INDIRECT(ADDRESS(MATCH(F796,Код_КВР,0)+1,2,,,"КВР")))</f>
        <v>Предоставление субсидий бюджетным, автономным учреждениям и иным некоммерческим организациям</v>
      </c>
      <c r="B796" s="126">
        <v>805</v>
      </c>
      <c r="C796" s="8" t="s">
        <v>193</v>
      </c>
      <c r="D796" s="8" t="s">
        <v>217</v>
      </c>
      <c r="E796" s="126" t="s">
        <v>86</v>
      </c>
      <c r="F796" s="126">
        <v>600</v>
      </c>
      <c r="G796" s="69">
        <f>G797</f>
        <v>3192.6</v>
      </c>
      <c r="H796" s="69">
        <f>H797</f>
        <v>0</v>
      </c>
      <c r="I796" s="69">
        <f t="shared" si="167"/>
        <v>3192.6</v>
      </c>
      <c r="J796" s="69">
        <f>J797</f>
        <v>0</v>
      </c>
      <c r="K796" s="84">
        <f t="shared" si="179"/>
        <v>3192.6</v>
      </c>
      <c r="L796" s="13">
        <f>L797</f>
        <v>0</v>
      </c>
      <c r="M796" s="84">
        <f t="shared" si="171"/>
        <v>3192.6</v>
      </c>
      <c r="N796" s="13">
        <f>N797</f>
        <v>0</v>
      </c>
      <c r="O796" s="84">
        <f t="shared" si="172"/>
        <v>3192.6</v>
      </c>
      <c r="P796" s="13">
        <f>P797</f>
        <v>0</v>
      </c>
      <c r="Q796" s="84">
        <f t="shared" si="178"/>
        <v>3192.6</v>
      </c>
      <c r="R796" s="13">
        <f>R797</f>
        <v>0</v>
      </c>
      <c r="S796" s="84">
        <f t="shared" si="177"/>
        <v>3192.6</v>
      </c>
      <c r="T796" s="13">
        <f>T797</f>
        <v>0</v>
      </c>
      <c r="U796" s="84">
        <f t="shared" si="169"/>
        <v>3192.6</v>
      </c>
    </row>
    <row r="797" spans="1:22">
      <c r="A797" s="61" t="str">
        <f ca="1">IF(ISERROR(MATCH(F797,Код_КВР,0)),"",INDIRECT(ADDRESS(MATCH(F797,Код_КВР,0)+1,2,,,"КВР")))</f>
        <v>Субсидии бюджетным учреждениям</v>
      </c>
      <c r="B797" s="126">
        <v>805</v>
      </c>
      <c r="C797" s="8" t="s">
        <v>193</v>
      </c>
      <c r="D797" s="8" t="s">
        <v>217</v>
      </c>
      <c r="E797" s="126" t="s">
        <v>86</v>
      </c>
      <c r="F797" s="126">
        <v>610</v>
      </c>
      <c r="G797" s="69">
        <f>G798</f>
        <v>3192.6</v>
      </c>
      <c r="H797" s="69">
        <f>H798</f>
        <v>0</v>
      </c>
      <c r="I797" s="69">
        <f t="shared" si="167"/>
        <v>3192.6</v>
      </c>
      <c r="J797" s="69">
        <f>J798</f>
        <v>0</v>
      </c>
      <c r="K797" s="84">
        <f t="shared" si="179"/>
        <v>3192.6</v>
      </c>
      <c r="L797" s="13">
        <f>L798</f>
        <v>0</v>
      </c>
      <c r="M797" s="84">
        <f t="shared" si="171"/>
        <v>3192.6</v>
      </c>
      <c r="N797" s="13">
        <f>N798</f>
        <v>0</v>
      </c>
      <c r="O797" s="84">
        <f t="shared" si="172"/>
        <v>3192.6</v>
      </c>
      <c r="P797" s="13">
        <f>P798</f>
        <v>0</v>
      </c>
      <c r="Q797" s="84">
        <f t="shared" si="178"/>
        <v>3192.6</v>
      </c>
      <c r="R797" s="13">
        <f>R798</f>
        <v>0</v>
      </c>
      <c r="S797" s="84">
        <f t="shared" si="177"/>
        <v>3192.6</v>
      </c>
      <c r="T797" s="13">
        <f>T798</f>
        <v>0</v>
      </c>
      <c r="U797" s="84">
        <f t="shared" si="169"/>
        <v>3192.6</v>
      </c>
    </row>
    <row r="798" spans="1:22">
      <c r="A798" s="61" t="str">
        <f ca="1">IF(ISERROR(MATCH(F798,Код_КВР,0)),"",INDIRECT(ADDRESS(MATCH(F798,Код_КВР,0)+1,2,,,"КВР")))</f>
        <v>Субсидии бюджетным учреждениям на иные цели</v>
      </c>
      <c r="B798" s="126">
        <v>805</v>
      </c>
      <c r="C798" s="8" t="s">
        <v>193</v>
      </c>
      <c r="D798" s="8" t="s">
        <v>217</v>
      </c>
      <c r="E798" s="126" t="s">
        <v>86</v>
      </c>
      <c r="F798" s="126">
        <v>612</v>
      </c>
      <c r="G798" s="69">
        <v>3192.6</v>
      </c>
      <c r="H798" s="64"/>
      <c r="I798" s="69">
        <f t="shared" si="167"/>
        <v>3192.6</v>
      </c>
      <c r="J798" s="64"/>
      <c r="K798" s="84">
        <f t="shared" si="179"/>
        <v>3192.6</v>
      </c>
      <c r="L798" s="84"/>
      <c r="M798" s="84">
        <f t="shared" si="171"/>
        <v>3192.6</v>
      </c>
      <c r="N798" s="84"/>
      <c r="O798" s="84">
        <f t="shared" si="172"/>
        <v>3192.6</v>
      </c>
      <c r="P798" s="84"/>
      <c r="Q798" s="84">
        <f t="shared" si="178"/>
        <v>3192.6</v>
      </c>
      <c r="R798" s="84"/>
      <c r="S798" s="84">
        <f t="shared" si="177"/>
        <v>3192.6</v>
      </c>
      <c r="T798" s="84"/>
      <c r="U798" s="84">
        <f t="shared" si="169"/>
        <v>3192.6</v>
      </c>
    </row>
    <row r="799" spans="1:22" ht="33">
      <c r="A799" s="61" t="str">
        <f ca="1">IF(ISERROR(MATCH(E799,Код_КЦСР,0)),"",INDIRECT(ADDRESS(MATCH(E799,Код_КЦСР,0)+1,2,,,"КЦСР")))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799" s="126">
        <v>805</v>
      </c>
      <c r="C799" s="8" t="s">
        <v>193</v>
      </c>
      <c r="D799" s="8" t="s">
        <v>217</v>
      </c>
      <c r="E799" s="126" t="s">
        <v>148</v>
      </c>
      <c r="F799" s="126"/>
      <c r="G799" s="69">
        <f t="shared" ref="G799:T803" si="181">G800</f>
        <v>30</v>
      </c>
      <c r="H799" s="69">
        <f t="shared" si="181"/>
        <v>0</v>
      </c>
      <c r="I799" s="69">
        <f t="shared" si="167"/>
        <v>30</v>
      </c>
      <c r="J799" s="69">
        <f t="shared" si="181"/>
        <v>0</v>
      </c>
      <c r="K799" s="84">
        <f t="shared" si="179"/>
        <v>30</v>
      </c>
      <c r="L799" s="13">
        <f t="shared" si="181"/>
        <v>0</v>
      </c>
      <c r="M799" s="84">
        <f t="shared" si="171"/>
        <v>30</v>
      </c>
      <c r="N799" s="13">
        <f t="shared" si="181"/>
        <v>0</v>
      </c>
      <c r="O799" s="84">
        <f t="shared" si="172"/>
        <v>30</v>
      </c>
      <c r="P799" s="13">
        <f t="shared" si="181"/>
        <v>0</v>
      </c>
      <c r="Q799" s="84">
        <f t="shared" si="178"/>
        <v>30</v>
      </c>
      <c r="R799" s="13">
        <f t="shared" si="181"/>
        <v>0</v>
      </c>
      <c r="S799" s="84">
        <f t="shared" si="177"/>
        <v>30</v>
      </c>
      <c r="T799" s="13">
        <f t="shared" si="181"/>
        <v>0</v>
      </c>
      <c r="U799" s="84">
        <f t="shared" si="169"/>
        <v>30</v>
      </c>
    </row>
    <row r="800" spans="1:22">
      <c r="A800" s="61" t="str">
        <f ca="1">IF(ISERROR(MATCH(E800,Код_КЦСР,0)),"",INDIRECT(ADDRESS(MATCH(E800,Код_КЦСР,0)+1,2,,,"КЦСР")))</f>
        <v>Повышение безопасности дорожного движения в городе Череповце</v>
      </c>
      <c r="B800" s="126">
        <v>805</v>
      </c>
      <c r="C800" s="8" t="s">
        <v>193</v>
      </c>
      <c r="D800" s="8" t="s">
        <v>217</v>
      </c>
      <c r="E800" s="126" t="s">
        <v>154</v>
      </c>
      <c r="F800" s="126"/>
      <c r="G800" s="69">
        <f t="shared" si="181"/>
        <v>30</v>
      </c>
      <c r="H800" s="69">
        <f t="shared" si="181"/>
        <v>0</v>
      </c>
      <c r="I800" s="69">
        <f t="shared" si="167"/>
        <v>30</v>
      </c>
      <c r="J800" s="69">
        <f t="shared" si="181"/>
        <v>0</v>
      </c>
      <c r="K800" s="84">
        <f t="shared" si="179"/>
        <v>30</v>
      </c>
      <c r="L800" s="13">
        <f t="shared" si="181"/>
        <v>0</v>
      </c>
      <c r="M800" s="84">
        <f t="shared" si="171"/>
        <v>30</v>
      </c>
      <c r="N800" s="13">
        <f t="shared" si="181"/>
        <v>0</v>
      </c>
      <c r="O800" s="84">
        <f t="shared" si="172"/>
        <v>30</v>
      </c>
      <c r="P800" s="13">
        <f t="shared" si="181"/>
        <v>0</v>
      </c>
      <c r="Q800" s="84">
        <f t="shared" si="178"/>
        <v>30</v>
      </c>
      <c r="R800" s="13">
        <f t="shared" si="181"/>
        <v>0</v>
      </c>
      <c r="S800" s="84">
        <f t="shared" si="177"/>
        <v>30</v>
      </c>
      <c r="T800" s="13">
        <f t="shared" si="181"/>
        <v>0</v>
      </c>
      <c r="U800" s="84">
        <f t="shared" si="169"/>
        <v>30</v>
      </c>
    </row>
    <row r="801" spans="1:21" ht="49.5">
      <c r="A801" s="61" t="str">
        <f ca="1">IF(ISERROR(MATCH(E801,Код_КЦСР,0)),"",INDIRECT(ADDRESS(MATCH(E801,Код_КЦСР,0)+1,2,,,"КЦСР")))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801" s="126">
        <v>805</v>
      </c>
      <c r="C801" s="8" t="s">
        <v>193</v>
      </c>
      <c r="D801" s="8" t="s">
        <v>217</v>
      </c>
      <c r="E801" s="126" t="s">
        <v>156</v>
      </c>
      <c r="F801" s="126"/>
      <c r="G801" s="69">
        <f t="shared" si="181"/>
        <v>30</v>
      </c>
      <c r="H801" s="69">
        <f t="shared" si="181"/>
        <v>0</v>
      </c>
      <c r="I801" s="69">
        <f t="shared" ref="I801:I871" si="182">G801+H801</f>
        <v>30</v>
      </c>
      <c r="J801" s="69">
        <f t="shared" si="181"/>
        <v>0</v>
      </c>
      <c r="K801" s="84">
        <f t="shared" si="179"/>
        <v>30</v>
      </c>
      <c r="L801" s="13">
        <f t="shared" si="181"/>
        <v>0</v>
      </c>
      <c r="M801" s="84">
        <f t="shared" si="171"/>
        <v>30</v>
      </c>
      <c r="N801" s="13">
        <f t="shared" si="181"/>
        <v>0</v>
      </c>
      <c r="O801" s="84">
        <f t="shared" si="172"/>
        <v>30</v>
      </c>
      <c r="P801" s="13">
        <f t="shared" si="181"/>
        <v>0</v>
      </c>
      <c r="Q801" s="84">
        <f t="shared" si="178"/>
        <v>30</v>
      </c>
      <c r="R801" s="13">
        <f t="shared" si="181"/>
        <v>0</v>
      </c>
      <c r="S801" s="84">
        <f t="shared" si="177"/>
        <v>30</v>
      </c>
      <c r="T801" s="13">
        <f t="shared" si="181"/>
        <v>0</v>
      </c>
      <c r="U801" s="84">
        <f t="shared" si="169"/>
        <v>30</v>
      </c>
    </row>
    <row r="802" spans="1:21" ht="33">
      <c r="A802" s="61" t="str">
        <f ca="1">IF(ISERROR(MATCH(F802,Код_КВР,0)),"",INDIRECT(ADDRESS(MATCH(F802,Код_КВР,0)+1,2,,,"КВР")))</f>
        <v>Предоставление субсидий бюджетным, автономным учреждениям и иным некоммерческим организациям</v>
      </c>
      <c r="B802" s="126">
        <v>805</v>
      </c>
      <c r="C802" s="8" t="s">
        <v>193</v>
      </c>
      <c r="D802" s="8" t="s">
        <v>217</v>
      </c>
      <c r="E802" s="126" t="s">
        <v>156</v>
      </c>
      <c r="F802" s="126">
        <v>600</v>
      </c>
      <c r="G802" s="69">
        <f t="shared" si="181"/>
        <v>30</v>
      </c>
      <c r="H802" s="69">
        <f t="shared" si="181"/>
        <v>0</v>
      </c>
      <c r="I802" s="69">
        <f t="shared" si="182"/>
        <v>30</v>
      </c>
      <c r="J802" s="69">
        <f t="shared" si="181"/>
        <v>0</v>
      </c>
      <c r="K802" s="84">
        <f t="shared" si="179"/>
        <v>30</v>
      </c>
      <c r="L802" s="13">
        <f t="shared" si="181"/>
        <v>0</v>
      </c>
      <c r="M802" s="84">
        <f t="shared" si="171"/>
        <v>30</v>
      </c>
      <c r="N802" s="13">
        <f t="shared" si="181"/>
        <v>0</v>
      </c>
      <c r="O802" s="84">
        <f t="shared" si="172"/>
        <v>30</v>
      </c>
      <c r="P802" s="13">
        <f t="shared" si="181"/>
        <v>0</v>
      </c>
      <c r="Q802" s="84">
        <f t="shared" si="178"/>
        <v>30</v>
      </c>
      <c r="R802" s="13">
        <f t="shared" si="181"/>
        <v>0</v>
      </c>
      <c r="S802" s="84">
        <f t="shared" si="177"/>
        <v>30</v>
      </c>
      <c r="T802" s="13">
        <f t="shared" si="181"/>
        <v>0</v>
      </c>
      <c r="U802" s="84">
        <f t="shared" si="169"/>
        <v>30</v>
      </c>
    </row>
    <row r="803" spans="1:21">
      <c r="A803" s="61" t="str">
        <f ca="1">IF(ISERROR(MATCH(F803,Код_КВР,0)),"",INDIRECT(ADDRESS(MATCH(F803,Код_КВР,0)+1,2,,,"КВР")))</f>
        <v>Субсидии бюджетным учреждениям</v>
      </c>
      <c r="B803" s="126">
        <v>805</v>
      </c>
      <c r="C803" s="8" t="s">
        <v>193</v>
      </c>
      <c r="D803" s="8" t="s">
        <v>217</v>
      </c>
      <c r="E803" s="126" t="s">
        <v>156</v>
      </c>
      <c r="F803" s="126">
        <v>610</v>
      </c>
      <c r="G803" s="69">
        <f t="shared" si="181"/>
        <v>30</v>
      </c>
      <c r="H803" s="69">
        <f t="shared" si="181"/>
        <v>0</v>
      </c>
      <c r="I803" s="69">
        <f t="shared" si="182"/>
        <v>30</v>
      </c>
      <c r="J803" s="69">
        <f t="shared" si="181"/>
        <v>0</v>
      </c>
      <c r="K803" s="84">
        <f t="shared" si="179"/>
        <v>30</v>
      </c>
      <c r="L803" s="13">
        <f t="shared" si="181"/>
        <v>0</v>
      </c>
      <c r="M803" s="84">
        <f t="shared" si="171"/>
        <v>30</v>
      </c>
      <c r="N803" s="13">
        <f t="shared" si="181"/>
        <v>0</v>
      </c>
      <c r="O803" s="84">
        <f t="shared" si="172"/>
        <v>30</v>
      </c>
      <c r="P803" s="13">
        <f t="shared" si="181"/>
        <v>0</v>
      </c>
      <c r="Q803" s="84">
        <f t="shared" si="178"/>
        <v>30</v>
      </c>
      <c r="R803" s="13">
        <f t="shared" si="181"/>
        <v>0</v>
      </c>
      <c r="S803" s="84">
        <f t="shared" si="177"/>
        <v>30</v>
      </c>
      <c r="T803" s="13">
        <f t="shared" si="181"/>
        <v>0</v>
      </c>
      <c r="U803" s="84">
        <f t="shared" si="169"/>
        <v>30</v>
      </c>
    </row>
    <row r="804" spans="1:21">
      <c r="A804" s="61" t="str">
        <f ca="1">IF(ISERROR(MATCH(F804,Код_КВР,0)),"",INDIRECT(ADDRESS(MATCH(F804,Код_КВР,0)+1,2,,,"КВР")))</f>
        <v>Субсидии бюджетным учреждениям на иные цели</v>
      </c>
      <c r="B804" s="126">
        <v>805</v>
      </c>
      <c r="C804" s="8" t="s">
        <v>193</v>
      </c>
      <c r="D804" s="8" t="s">
        <v>217</v>
      </c>
      <c r="E804" s="126" t="s">
        <v>156</v>
      </c>
      <c r="F804" s="126">
        <v>612</v>
      </c>
      <c r="G804" s="69">
        <v>30</v>
      </c>
      <c r="H804" s="64"/>
      <c r="I804" s="69">
        <f t="shared" si="182"/>
        <v>30</v>
      </c>
      <c r="J804" s="64"/>
      <c r="K804" s="84">
        <f t="shared" si="179"/>
        <v>30</v>
      </c>
      <c r="L804" s="84"/>
      <c r="M804" s="84">
        <f t="shared" si="171"/>
        <v>30</v>
      </c>
      <c r="N804" s="84"/>
      <c r="O804" s="84">
        <f t="shared" si="172"/>
        <v>30</v>
      </c>
      <c r="P804" s="84"/>
      <c r="Q804" s="84">
        <f t="shared" si="178"/>
        <v>30</v>
      </c>
      <c r="R804" s="84"/>
      <c r="S804" s="84">
        <f t="shared" si="177"/>
        <v>30</v>
      </c>
      <c r="T804" s="84"/>
      <c r="U804" s="84">
        <f t="shared" si="169"/>
        <v>30</v>
      </c>
    </row>
    <row r="805" spans="1:21" ht="33">
      <c r="A805" s="61" t="str">
        <f ca="1">IF(ISERROR(MATCH(E805,Код_КЦСР,0)),"",INDIRECT(ADDRESS(MATCH(E805,Код_КЦСР,0)+1,2,,,"КЦСР")))</f>
        <v>Непрограммные направления деятельности органов местного самоуправления</v>
      </c>
      <c r="B805" s="126">
        <v>805</v>
      </c>
      <c r="C805" s="8" t="s">
        <v>193</v>
      </c>
      <c r="D805" s="8" t="s">
        <v>217</v>
      </c>
      <c r="E805" s="126" t="s">
        <v>295</v>
      </c>
      <c r="F805" s="126"/>
      <c r="G805" s="69">
        <f>G806</f>
        <v>27790.399999999998</v>
      </c>
      <c r="H805" s="69">
        <f>H806</f>
        <v>0</v>
      </c>
      <c r="I805" s="69">
        <f t="shared" si="182"/>
        <v>27790.399999999998</v>
      </c>
      <c r="J805" s="69">
        <f>J806</f>
        <v>1458.3</v>
      </c>
      <c r="K805" s="84">
        <f t="shared" si="179"/>
        <v>29248.699999999997</v>
      </c>
      <c r="L805" s="13">
        <f>L806</f>
        <v>0</v>
      </c>
      <c r="M805" s="84">
        <f t="shared" si="171"/>
        <v>29248.699999999997</v>
      </c>
      <c r="N805" s="13">
        <f>N806</f>
        <v>0</v>
      </c>
      <c r="O805" s="84">
        <f t="shared" si="172"/>
        <v>29248.699999999997</v>
      </c>
      <c r="P805" s="13">
        <f>P806</f>
        <v>0</v>
      </c>
      <c r="Q805" s="84">
        <f t="shared" si="178"/>
        <v>29248.699999999997</v>
      </c>
      <c r="R805" s="13">
        <f>R806</f>
        <v>0</v>
      </c>
      <c r="S805" s="84">
        <f t="shared" si="177"/>
        <v>29248.699999999997</v>
      </c>
      <c r="T805" s="13">
        <f>T806</f>
        <v>496</v>
      </c>
      <c r="U805" s="84">
        <f t="shared" si="169"/>
        <v>29744.699999999997</v>
      </c>
    </row>
    <row r="806" spans="1:21">
      <c r="A806" s="61" t="str">
        <f ca="1">IF(ISERROR(MATCH(E806,Код_КЦСР,0)),"",INDIRECT(ADDRESS(MATCH(E806,Код_КЦСР,0)+1,2,,,"КЦСР")))</f>
        <v>Расходы, не включенные в муниципальные программы города Череповца</v>
      </c>
      <c r="B806" s="126">
        <v>805</v>
      </c>
      <c r="C806" s="8" t="s">
        <v>193</v>
      </c>
      <c r="D806" s="8" t="s">
        <v>217</v>
      </c>
      <c r="E806" s="126" t="s">
        <v>297</v>
      </c>
      <c r="F806" s="126"/>
      <c r="G806" s="69">
        <f>G807+G818</f>
        <v>27790.399999999998</v>
      </c>
      <c r="H806" s="69">
        <f>H807+H818</f>
        <v>0</v>
      </c>
      <c r="I806" s="69">
        <f t="shared" si="182"/>
        <v>27790.399999999998</v>
      </c>
      <c r="J806" s="69">
        <f>J807+J818+J814</f>
        <v>1458.3</v>
      </c>
      <c r="K806" s="84">
        <f t="shared" si="179"/>
        <v>29248.699999999997</v>
      </c>
      <c r="L806" s="13">
        <f>L807+L818+L814</f>
        <v>0</v>
      </c>
      <c r="M806" s="84">
        <f t="shared" si="171"/>
        <v>29248.699999999997</v>
      </c>
      <c r="N806" s="13">
        <f>N807+N818+N814</f>
        <v>0</v>
      </c>
      <c r="O806" s="84">
        <f t="shared" si="172"/>
        <v>29248.699999999997</v>
      </c>
      <c r="P806" s="13">
        <f>P807+P818+P814</f>
        <v>0</v>
      </c>
      <c r="Q806" s="84">
        <f t="shared" si="178"/>
        <v>29248.699999999997</v>
      </c>
      <c r="R806" s="13">
        <f>R807+R818+R814</f>
        <v>0</v>
      </c>
      <c r="S806" s="84">
        <f t="shared" si="177"/>
        <v>29248.699999999997</v>
      </c>
      <c r="T806" s="13">
        <f>T807+T818+T814</f>
        <v>496</v>
      </c>
      <c r="U806" s="84">
        <f t="shared" ref="U806:U872" si="183">S806+T806</f>
        <v>29744.699999999997</v>
      </c>
    </row>
    <row r="807" spans="1:21" ht="33">
      <c r="A807" s="61" t="str">
        <f ca="1">IF(ISERROR(MATCH(E807,Код_КЦСР,0)),"",INDIRECT(ADDRESS(MATCH(E807,Код_КЦСР,0)+1,2,,,"КЦСР")))</f>
        <v>Руководство и управление в сфере установленных функций органов местного самоуправления</v>
      </c>
      <c r="B807" s="126">
        <v>805</v>
      </c>
      <c r="C807" s="8" t="s">
        <v>193</v>
      </c>
      <c r="D807" s="8" t="s">
        <v>217</v>
      </c>
      <c r="E807" s="126" t="s">
        <v>299</v>
      </c>
      <c r="F807" s="126"/>
      <c r="G807" s="69">
        <f>G808</f>
        <v>20820.599999999999</v>
      </c>
      <c r="H807" s="69">
        <f>H808</f>
        <v>0</v>
      </c>
      <c r="I807" s="69">
        <f t="shared" si="182"/>
        <v>20820.599999999999</v>
      </c>
      <c r="J807" s="69">
        <f>J808</f>
        <v>0</v>
      </c>
      <c r="K807" s="84">
        <f t="shared" si="179"/>
        <v>20820.599999999999</v>
      </c>
      <c r="L807" s="13">
        <f>L808</f>
        <v>0</v>
      </c>
      <c r="M807" s="84">
        <f t="shared" ref="M807:M873" si="184">K807+L807</f>
        <v>20820.599999999999</v>
      </c>
      <c r="N807" s="13">
        <f>N808</f>
        <v>0</v>
      </c>
      <c r="O807" s="84">
        <f t="shared" ref="O807:O873" si="185">M807+N807</f>
        <v>20820.599999999999</v>
      </c>
      <c r="P807" s="13">
        <f>P808</f>
        <v>0</v>
      </c>
      <c r="Q807" s="84">
        <f t="shared" si="178"/>
        <v>20820.599999999999</v>
      </c>
      <c r="R807" s="13">
        <f>R808</f>
        <v>0</v>
      </c>
      <c r="S807" s="84">
        <f t="shared" si="177"/>
        <v>20820.599999999999</v>
      </c>
      <c r="T807" s="13">
        <f>T808</f>
        <v>0</v>
      </c>
      <c r="U807" s="84">
        <f t="shared" si="183"/>
        <v>20820.599999999999</v>
      </c>
    </row>
    <row r="808" spans="1:21">
      <c r="A808" s="61" t="str">
        <f ca="1">IF(ISERROR(MATCH(E808,Код_КЦСР,0)),"",INDIRECT(ADDRESS(MATCH(E808,Код_КЦСР,0)+1,2,,,"КЦСР")))</f>
        <v>Центральный аппарат</v>
      </c>
      <c r="B808" s="126">
        <v>805</v>
      </c>
      <c r="C808" s="8" t="s">
        <v>193</v>
      </c>
      <c r="D808" s="8" t="s">
        <v>217</v>
      </c>
      <c r="E808" s="126" t="s">
        <v>302</v>
      </c>
      <c r="F808" s="126"/>
      <c r="G808" s="69">
        <f>G809+G811</f>
        <v>20820.599999999999</v>
      </c>
      <c r="H808" s="69">
        <f>H809+H811</f>
        <v>0</v>
      </c>
      <c r="I808" s="69">
        <f t="shared" si="182"/>
        <v>20820.599999999999</v>
      </c>
      <c r="J808" s="69">
        <f>J809+J811</f>
        <v>0</v>
      </c>
      <c r="K808" s="84">
        <f t="shared" si="179"/>
        <v>20820.599999999999</v>
      </c>
      <c r="L808" s="13">
        <f>L809+L811</f>
        <v>0</v>
      </c>
      <c r="M808" s="84">
        <f t="shared" si="184"/>
        <v>20820.599999999999</v>
      </c>
      <c r="N808" s="13">
        <f>N809+N811</f>
        <v>0</v>
      </c>
      <c r="O808" s="84">
        <f t="shared" si="185"/>
        <v>20820.599999999999</v>
      </c>
      <c r="P808" s="13">
        <f>P809+P811</f>
        <v>0</v>
      </c>
      <c r="Q808" s="84">
        <f t="shared" si="178"/>
        <v>20820.599999999999</v>
      </c>
      <c r="R808" s="13">
        <f>R809+R811</f>
        <v>0</v>
      </c>
      <c r="S808" s="84">
        <f t="shared" si="177"/>
        <v>20820.599999999999</v>
      </c>
      <c r="T808" s="13">
        <f>T809+T811</f>
        <v>0</v>
      </c>
      <c r="U808" s="84">
        <f t="shared" si="183"/>
        <v>20820.599999999999</v>
      </c>
    </row>
    <row r="809" spans="1:21" ht="33">
      <c r="A809" s="61" t="str">
        <f ca="1">IF(ISERROR(MATCH(F809,Код_КВР,0)),"",INDIRECT(ADDRESS(MATCH(F809,Код_КВР,0)+1,2,,,"КВР")))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09" s="126">
        <v>805</v>
      </c>
      <c r="C809" s="8" t="s">
        <v>193</v>
      </c>
      <c r="D809" s="8" t="s">
        <v>217</v>
      </c>
      <c r="E809" s="126" t="s">
        <v>302</v>
      </c>
      <c r="F809" s="126">
        <v>100</v>
      </c>
      <c r="G809" s="69">
        <f>G810</f>
        <v>20763</v>
      </c>
      <c r="H809" s="69">
        <f>H810</f>
        <v>0</v>
      </c>
      <c r="I809" s="69">
        <f t="shared" si="182"/>
        <v>20763</v>
      </c>
      <c r="J809" s="69">
        <f>J810</f>
        <v>0</v>
      </c>
      <c r="K809" s="84">
        <f t="shared" si="179"/>
        <v>20763</v>
      </c>
      <c r="L809" s="13">
        <f>L810</f>
        <v>0</v>
      </c>
      <c r="M809" s="84">
        <f t="shared" si="184"/>
        <v>20763</v>
      </c>
      <c r="N809" s="13">
        <f>N810</f>
        <v>0</v>
      </c>
      <c r="O809" s="84">
        <f t="shared" si="185"/>
        <v>20763</v>
      </c>
      <c r="P809" s="13">
        <f>P810</f>
        <v>0</v>
      </c>
      <c r="Q809" s="84">
        <f t="shared" si="178"/>
        <v>20763</v>
      </c>
      <c r="R809" s="13">
        <f>R810</f>
        <v>0</v>
      </c>
      <c r="S809" s="84">
        <f t="shared" si="177"/>
        <v>20763</v>
      </c>
      <c r="T809" s="13">
        <f>T810</f>
        <v>0</v>
      </c>
      <c r="U809" s="84">
        <f t="shared" si="183"/>
        <v>20763</v>
      </c>
    </row>
    <row r="810" spans="1:21">
      <c r="A810" s="61" t="str">
        <f ca="1">IF(ISERROR(MATCH(F810,Код_КВР,0)),"",INDIRECT(ADDRESS(MATCH(F810,Код_КВР,0)+1,2,,,"КВР")))</f>
        <v>Расходы на выплаты персоналу муниципальных органов</v>
      </c>
      <c r="B810" s="126">
        <v>805</v>
      </c>
      <c r="C810" s="8" t="s">
        <v>193</v>
      </c>
      <c r="D810" s="8" t="s">
        <v>217</v>
      </c>
      <c r="E810" s="126" t="s">
        <v>302</v>
      </c>
      <c r="F810" s="126">
        <v>120</v>
      </c>
      <c r="G810" s="69">
        <v>20763</v>
      </c>
      <c r="H810" s="64"/>
      <c r="I810" s="69">
        <f t="shared" si="182"/>
        <v>20763</v>
      </c>
      <c r="J810" s="64"/>
      <c r="K810" s="84">
        <f t="shared" si="179"/>
        <v>20763</v>
      </c>
      <c r="L810" s="84"/>
      <c r="M810" s="84">
        <f t="shared" si="184"/>
        <v>20763</v>
      </c>
      <c r="N810" s="84"/>
      <c r="O810" s="84">
        <f t="shared" si="185"/>
        <v>20763</v>
      </c>
      <c r="P810" s="84"/>
      <c r="Q810" s="84">
        <f t="shared" si="178"/>
        <v>20763</v>
      </c>
      <c r="R810" s="84"/>
      <c r="S810" s="84">
        <f t="shared" si="177"/>
        <v>20763</v>
      </c>
      <c r="T810" s="84"/>
      <c r="U810" s="84">
        <f t="shared" si="183"/>
        <v>20763</v>
      </c>
    </row>
    <row r="811" spans="1:21">
      <c r="A811" s="61" t="str">
        <f ca="1">IF(ISERROR(MATCH(F811,Код_КВР,0)),"",INDIRECT(ADDRESS(MATCH(F811,Код_КВР,0)+1,2,,,"КВР")))</f>
        <v>Закупка товаров, работ и услуг для муниципальных нужд</v>
      </c>
      <c r="B811" s="126">
        <v>805</v>
      </c>
      <c r="C811" s="8" t="s">
        <v>193</v>
      </c>
      <c r="D811" s="8" t="s">
        <v>217</v>
      </c>
      <c r="E811" s="126" t="s">
        <v>302</v>
      </c>
      <c r="F811" s="126">
        <v>200</v>
      </c>
      <c r="G811" s="69">
        <f>G812</f>
        <v>57.6</v>
      </c>
      <c r="H811" s="64"/>
      <c r="I811" s="69">
        <f t="shared" si="182"/>
        <v>57.6</v>
      </c>
      <c r="J811" s="64"/>
      <c r="K811" s="84">
        <f t="shared" si="179"/>
        <v>57.6</v>
      </c>
      <c r="L811" s="84"/>
      <c r="M811" s="84">
        <f t="shared" si="184"/>
        <v>57.6</v>
      </c>
      <c r="N811" s="84"/>
      <c r="O811" s="84">
        <f t="shared" si="185"/>
        <v>57.6</v>
      </c>
      <c r="P811" s="84"/>
      <c r="Q811" s="84">
        <f t="shared" si="178"/>
        <v>57.6</v>
      </c>
      <c r="R811" s="84"/>
      <c r="S811" s="84">
        <f t="shared" si="177"/>
        <v>57.6</v>
      </c>
      <c r="T811" s="84"/>
      <c r="U811" s="84">
        <f t="shared" si="183"/>
        <v>57.6</v>
      </c>
    </row>
    <row r="812" spans="1:21" ht="33">
      <c r="A812" s="61" t="str">
        <f ca="1">IF(ISERROR(MATCH(F812,Код_КВР,0)),"",INDIRECT(ADDRESS(MATCH(F812,Код_КВР,0)+1,2,,,"КВР")))</f>
        <v>Иные закупки товаров, работ и услуг для обеспечения муниципальных нужд</v>
      </c>
      <c r="B812" s="126">
        <v>805</v>
      </c>
      <c r="C812" s="8" t="s">
        <v>193</v>
      </c>
      <c r="D812" s="8" t="s">
        <v>217</v>
      </c>
      <c r="E812" s="126" t="s">
        <v>302</v>
      </c>
      <c r="F812" s="126">
        <v>240</v>
      </c>
      <c r="G812" s="69">
        <f>G813</f>
        <v>57.6</v>
      </c>
      <c r="H812" s="69">
        <f>H813</f>
        <v>0</v>
      </c>
      <c r="I812" s="69">
        <f t="shared" si="182"/>
        <v>57.6</v>
      </c>
      <c r="J812" s="69">
        <f>J813</f>
        <v>0</v>
      </c>
      <c r="K812" s="84">
        <f t="shared" si="179"/>
        <v>57.6</v>
      </c>
      <c r="L812" s="13">
        <f>L813</f>
        <v>0</v>
      </c>
      <c r="M812" s="84">
        <f t="shared" si="184"/>
        <v>57.6</v>
      </c>
      <c r="N812" s="13">
        <f>N813</f>
        <v>0</v>
      </c>
      <c r="O812" s="84">
        <f t="shared" si="185"/>
        <v>57.6</v>
      </c>
      <c r="P812" s="13">
        <f>P813</f>
        <v>0</v>
      </c>
      <c r="Q812" s="84">
        <f t="shared" si="178"/>
        <v>57.6</v>
      </c>
      <c r="R812" s="13">
        <f>R813</f>
        <v>0</v>
      </c>
      <c r="S812" s="84">
        <f t="shared" si="177"/>
        <v>57.6</v>
      </c>
      <c r="T812" s="13">
        <f>T813</f>
        <v>0</v>
      </c>
      <c r="U812" s="84">
        <f t="shared" si="183"/>
        <v>57.6</v>
      </c>
    </row>
    <row r="813" spans="1:21" ht="33">
      <c r="A813" s="61" t="str">
        <f ca="1">IF(ISERROR(MATCH(F813,Код_КВР,0)),"",INDIRECT(ADDRESS(MATCH(F813,Код_КВР,0)+1,2,,,"КВР")))</f>
        <v xml:space="preserve">Прочая закупка товаров, работ и услуг для обеспечения муниципальных нужд         </v>
      </c>
      <c r="B813" s="126">
        <v>805</v>
      </c>
      <c r="C813" s="8" t="s">
        <v>193</v>
      </c>
      <c r="D813" s="8" t="s">
        <v>217</v>
      </c>
      <c r="E813" s="126" t="s">
        <v>302</v>
      </c>
      <c r="F813" s="126">
        <v>244</v>
      </c>
      <c r="G813" s="69">
        <v>57.6</v>
      </c>
      <c r="H813" s="69"/>
      <c r="I813" s="69">
        <f t="shared" si="182"/>
        <v>57.6</v>
      </c>
      <c r="J813" s="69"/>
      <c r="K813" s="84">
        <f t="shared" si="179"/>
        <v>57.6</v>
      </c>
      <c r="L813" s="13"/>
      <c r="M813" s="84">
        <f t="shared" si="184"/>
        <v>57.6</v>
      </c>
      <c r="N813" s="13"/>
      <c r="O813" s="84">
        <f t="shared" si="185"/>
        <v>57.6</v>
      </c>
      <c r="P813" s="13"/>
      <c r="Q813" s="84">
        <f t="shared" si="178"/>
        <v>57.6</v>
      </c>
      <c r="R813" s="13"/>
      <c r="S813" s="84">
        <f t="shared" si="177"/>
        <v>57.6</v>
      </c>
      <c r="T813" s="13"/>
      <c r="U813" s="84">
        <f t="shared" si="183"/>
        <v>57.6</v>
      </c>
    </row>
    <row r="814" spans="1:21">
      <c r="A814" s="61" t="str">
        <f ca="1">IF(ISERROR(MATCH(E814,Код_КЦСР,0)),"",INDIRECT(ADDRESS(MATCH(E814,Код_КЦСР,0)+1,2,,,"КЦСР")))</f>
        <v>Кредиторская задолженность, сложившаяся по итогам 2013 года</v>
      </c>
      <c r="B814" s="126">
        <v>805</v>
      </c>
      <c r="C814" s="8" t="s">
        <v>193</v>
      </c>
      <c r="D814" s="8" t="s">
        <v>217</v>
      </c>
      <c r="E814" s="126" t="s">
        <v>367</v>
      </c>
      <c r="F814" s="126"/>
      <c r="G814" s="69"/>
      <c r="H814" s="69"/>
      <c r="I814" s="69"/>
      <c r="J814" s="69">
        <f>J815</f>
        <v>1458.3</v>
      </c>
      <c r="K814" s="84">
        <f t="shared" si="179"/>
        <v>1458.3</v>
      </c>
      <c r="L814" s="13">
        <f>L815</f>
        <v>0</v>
      </c>
      <c r="M814" s="84">
        <f t="shared" si="184"/>
        <v>1458.3</v>
      </c>
      <c r="N814" s="13">
        <f>N815</f>
        <v>0</v>
      </c>
      <c r="O814" s="84">
        <f t="shared" si="185"/>
        <v>1458.3</v>
      </c>
      <c r="P814" s="13">
        <f>P815</f>
        <v>0</v>
      </c>
      <c r="Q814" s="84">
        <f t="shared" si="178"/>
        <v>1458.3</v>
      </c>
      <c r="R814" s="13">
        <f>R815</f>
        <v>0</v>
      </c>
      <c r="S814" s="84">
        <f t="shared" si="177"/>
        <v>1458.3</v>
      </c>
      <c r="T814" s="13">
        <f>T815</f>
        <v>0</v>
      </c>
      <c r="U814" s="84">
        <f t="shared" si="183"/>
        <v>1458.3</v>
      </c>
    </row>
    <row r="815" spans="1:21" ht="33">
      <c r="A815" s="61" t="str">
        <f ca="1">IF(ISERROR(MATCH(F815,Код_КВР,0)),"",INDIRECT(ADDRESS(MATCH(F815,Код_КВР,0)+1,2,,,"КВР")))</f>
        <v>Предоставление субсидий бюджетным, автономным учреждениям и иным некоммерческим организациям</v>
      </c>
      <c r="B815" s="126">
        <v>805</v>
      </c>
      <c r="C815" s="8" t="s">
        <v>193</v>
      </c>
      <c r="D815" s="8" t="s">
        <v>217</v>
      </c>
      <c r="E815" s="126" t="s">
        <v>367</v>
      </c>
      <c r="F815" s="126">
        <v>600</v>
      </c>
      <c r="G815" s="69"/>
      <c r="H815" s="69"/>
      <c r="I815" s="69"/>
      <c r="J815" s="69">
        <f>J816</f>
        <v>1458.3</v>
      </c>
      <c r="K815" s="84">
        <f t="shared" si="179"/>
        <v>1458.3</v>
      </c>
      <c r="L815" s="13">
        <f>L816</f>
        <v>0</v>
      </c>
      <c r="M815" s="84">
        <f t="shared" si="184"/>
        <v>1458.3</v>
      </c>
      <c r="N815" s="13">
        <f>N816</f>
        <v>0</v>
      </c>
      <c r="O815" s="84">
        <f t="shared" si="185"/>
        <v>1458.3</v>
      </c>
      <c r="P815" s="13">
        <f>P816</f>
        <v>0</v>
      </c>
      <c r="Q815" s="84">
        <f t="shared" si="178"/>
        <v>1458.3</v>
      </c>
      <c r="R815" s="13">
        <f>R816</f>
        <v>0</v>
      </c>
      <c r="S815" s="84">
        <f t="shared" si="177"/>
        <v>1458.3</v>
      </c>
      <c r="T815" s="13">
        <f>T816</f>
        <v>0</v>
      </c>
      <c r="U815" s="84">
        <f t="shared" si="183"/>
        <v>1458.3</v>
      </c>
    </row>
    <row r="816" spans="1:21">
      <c r="A816" s="61" t="str">
        <f ca="1">IF(ISERROR(MATCH(F816,Код_КВР,0)),"",INDIRECT(ADDRESS(MATCH(F816,Код_КВР,0)+1,2,,,"КВР")))</f>
        <v>Субсидии бюджетным учреждениям</v>
      </c>
      <c r="B816" s="126">
        <v>805</v>
      </c>
      <c r="C816" s="8" t="s">
        <v>193</v>
      </c>
      <c r="D816" s="8" t="s">
        <v>217</v>
      </c>
      <c r="E816" s="126" t="s">
        <v>367</v>
      </c>
      <c r="F816" s="126">
        <v>610</v>
      </c>
      <c r="G816" s="69"/>
      <c r="H816" s="69"/>
      <c r="I816" s="69"/>
      <c r="J816" s="69">
        <f>J817</f>
        <v>1458.3</v>
      </c>
      <c r="K816" s="84">
        <f t="shared" si="179"/>
        <v>1458.3</v>
      </c>
      <c r="L816" s="13">
        <f>L817</f>
        <v>0</v>
      </c>
      <c r="M816" s="84">
        <f t="shared" si="184"/>
        <v>1458.3</v>
      </c>
      <c r="N816" s="13">
        <f>N817</f>
        <v>0</v>
      </c>
      <c r="O816" s="84">
        <f t="shared" si="185"/>
        <v>1458.3</v>
      </c>
      <c r="P816" s="13">
        <f>P817</f>
        <v>0</v>
      </c>
      <c r="Q816" s="84">
        <f t="shared" si="178"/>
        <v>1458.3</v>
      </c>
      <c r="R816" s="13">
        <f>R817</f>
        <v>0</v>
      </c>
      <c r="S816" s="84">
        <f t="shared" si="177"/>
        <v>1458.3</v>
      </c>
      <c r="T816" s="13">
        <f>T817</f>
        <v>0</v>
      </c>
      <c r="U816" s="84">
        <f t="shared" si="183"/>
        <v>1458.3</v>
      </c>
    </row>
    <row r="817" spans="1:21">
      <c r="A817" s="61" t="str">
        <f ca="1">IF(ISERROR(MATCH(F817,Код_КВР,0)),"",INDIRECT(ADDRESS(MATCH(F817,Код_КВР,0)+1,2,,,"КВР")))</f>
        <v>Субсидии бюджетным учреждениям на иные цели</v>
      </c>
      <c r="B817" s="126">
        <v>805</v>
      </c>
      <c r="C817" s="8" t="s">
        <v>193</v>
      </c>
      <c r="D817" s="8" t="s">
        <v>217</v>
      </c>
      <c r="E817" s="126" t="s">
        <v>367</v>
      </c>
      <c r="F817" s="126">
        <v>612</v>
      </c>
      <c r="G817" s="69"/>
      <c r="H817" s="69"/>
      <c r="I817" s="69"/>
      <c r="J817" s="69">
        <v>1458.3</v>
      </c>
      <c r="K817" s="84">
        <f t="shared" si="179"/>
        <v>1458.3</v>
      </c>
      <c r="L817" s="13"/>
      <c r="M817" s="84">
        <f t="shared" si="184"/>
        <v>1458.3</v>
      </c>
      <c r="N817" s="13"/>
      <c r="O817" s="84">
        <f t="shared" si="185"/>
        <v>1458.3</v>
      </c>
      <c r="P817" s="13"/>
      <c r="Q817" s="84">
        <f t="shared" si="178"/>
        <v>1458.3</v>
      </c>
      <c r="R817" s="13"/>
      <c r="S817" s="84">
        <f t="shared" si="177"/>
        <v>1458.3</v>
      </c>
      <c r="T817" s="13"/>
      <c r="U817" s="84">
        <f t="shared" si="183"/>
        <v>1458.3</v>
      </c>
    </row>
    <row r="818" spans="1:21" ht="125.25" customHeight="1">
      <c r="A818" s="61" t="str">
        <f ca="1">IF(ISERROR(MATCH(E818,Код_КЦСР,0)),"",INDIRECT(ADDRESS(MATCH(E818,Код_КЦСР,0)+1,2,,,"КЦСР")))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818" s="126">
        <v>805</v>
      </c>
      <c r="C818" s="8" t="s">
        <v>193</v>
      </c>
      <c r="D818" s="8" t="s">
        <v>217</v>
      </c>
      <c r="E818" s="126" t="s">
        <v>386</v>
      </c>
      <c r="F818" s="126"/>
      <c r="G818" s="69">
        <f>G819+G821</f>
        <v>6969.8</v>
      </c>
      <c r="H818" s="69">
        <f>H819+H821</f>
        <v>0</v>
      </c>
      <c r="I818" s="69">
        <f t="shared" si="182"/>
        <v>6969.8</v>
      </c>
      <c r="J818" s="69">
        <f>J819+J821</f>
        <v>0</v>
      </c>
      <c r="K818" s="84">
        <f t="shared" si="179"/>
        <v>6969.8</v>
      </c>
      <c r="L818" s="13">
        <f>L819+L821</f>
        <v>0</v>
      </c>
      <c r="M818" s="84">
        <f t="shared" si="184"/>
        <v>6969.8</v>
      </c>
      <c r="N818" s="13">
        <f>N819+N821</f>
        <v>0</v>
      </c>
      <c r="O818" s="84">
        <f t="shared" si="185"/>
        <v>6969.8</v>
      </c>
      <c r="P818" s="13">
        <f>P819+P821</f>
        <v>0</v>
      </c>
      <c r="Q818" s="84">
        <f t="shared" si="178"/>
        <v>6969.8</v>
      </c>
      <c r="R818" s="13">
        <f>R819+R821</f>
        <v>0</v>
      </c>
      <c r="S818" s="84">
        <f t="shared" si="177"/>
        <v>6969.8</v>
      </c>
      <c r="T818" s="13">
        <f>T819+T821</f>
        <v>496</v>
      </c>
      <c r="U818" s="84">
        <f t="shared" si="183"/>
        <v>7465.8</v>
      </c>
    </row>
    <row r="819" spans="1:21" ht="33">
      <c r="A819" s="61" t="str">
        <f ca="1">IF(ISERROR(MATCH(F819,Код_КВР,0)),"",INDIRECT(ADDRESS(MATCH(F819,Код_КВР,0)+1,2,,,"КВР")))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19" s="126">
        <v>805</v>
      </c>
      <c r="C819" s="8" t="s">
        <v>193</v>
      </c>
      <c r="D819" s="8" t="s">
        <v>217</v>
      </c>
      <c r="E819" s="126" t="s">
        <v>386</v>
      </c>
      <c r="F819" s="126">
        <v>100</v>
      </c>
      <c r="G819" s="69">
        <f>G820</f>
        <v>6501.2</v>
      </c>
      <c r="H819" s="69">
        <f>H820</f>
        <v>0</v>
      </c>
      <c r="I819" s="69">
        <f t="shared" si="182"/>
        <v>6501.2</v>
      </c>
      <c r="J819" s="69">
        <f>J820</f>
        <v>0</v>
      </c>
      <c r="K819" s="84">
        <f t="shared" si="179"/>
        <v>6501.2</v>
      </c>
      <c r="L819" s="13">
        <f>L820</f>
        <v>0</v>
      </c>
      <c r="M819" s="84">
        <f t="shared" si="184"/>
        <v>6501.2</v>
      </c>
      <c r="N819" s="13">
        <f>N820</f>
        <v>0</v>
      </c>
      <c r="O819" s="84">
        <f t="shared" si="185"/>
        <v>6501.2</v>
      </c>
      <c r="P819" s="13">
        <f>P820</f>
        <v>-2</v>
      </c>
      <c r="Q819" s="84">
        <f t="shared" si="178"/>
        <v>6499.2</v>
      </c>
      <c r="R819" s="13">
        <f>R820</f>
        <v>167</v>
      </c>
      <c r="S819" s="84">
        <f t="shared" si="177"/>
        <v>6666.2</v>
      </c>
      <c r="T819" s="13">
        <f>T820</f>
        <v>496</v>
      </c>
      <c r="U819" s="84">
        <f t="shared" si="183"/>
        <v>7162.2</v>
      </c>
    </row>
    <row r="820" spans="1:21">
      <c r="A820" s="61" t="str">
        <f ca="1">IF(ISERROR(MATCH(F820,Код_КВР,0)),"",INDIRECT(ADDRESS(MATCH(F820,Код_КВР,0)+1,2,,,"КВР")))</f>
        <v>Расходы на выплаты персоналу муниципальных органов</v>
      </c>
      <c r="B820" s="126">
        <v>805</v>
      </c>
      <c r="C820" s="8" t="s">
        <v>193</v>
      </c>
      <c r="D820" s="8" t="s">
        <v>217</v>
      </c>
      <c r="E820" s="126" t="s">
        <v>386</v>
      </c>
      <c r="F820" s="126">
        <v>120</v>
      </c>
      <c r="G820" s="69">
        <v>6501.2</v>
      </c>
      <c r="H820" s="69"/>
      <c r="I820" s="69">
        <f t="shared" si="182"/>
        <v>6501.2</v>
      </c>
      <c r="J820" s="69"/>
      <c r="K820" s="84">
        <f t="shared" si="179"/>
        <v>6501.2</v>
      </c>
      <c r="L820" s="13"/>
      <c r="M820" s="84">
        <f t="shared" si="184"/>
        <v>6501.2</v>
      </c>
      <c r="N820" s="13"/>
      <c r="O820" s="84">
        <f t="shared" si="185"/>
        <v>6501.2</v>
      </c>
      <c r="P820" s="13">
        <v>-2</v>
      </c>
      <c r="Q820" s="84">
        <f t="shared" si="178"/>
        <v>6499.2</v>
      </c>
      <c r="R820" s="13">
        <v>167</v>
      </c>
      <c r="S820" s="84">
        <f t="shared" si="177"/>
        <v>6666.2</v>
      </c>
      <c r="T820" s="13">
        <v>496</v>
      </c>
      <c r="U820" s="84">
        <f t="shared" si="183"/>
        <v>7162.2</v>
      </c>
    </row>
    <row r="821" spans="1:21">
      <c r="A821" s="61" t="str">
        <f ca="1">IF(ISERROR(MATCH(F821,Код_КВР,0)),"",INDIRECT(ADDRESS(MATCH(F821,Код_КВР,0)+1,2,,,"КВР")))</f>
        <v>Закупка товаров, работ и услуг для муниципальных нужд</v>
      </c>
      <c r="B821" s="126">
        <v>805</v>
      </c>
      <c r="C821" s="8" t="s">
        <v>193</v>
      </c>
      <c r="D821" s="8" t="s">
        <v>217</v>
      </c>
      <c r="E821" s="126" t="s">
        <v>386</v>
      </c>
      <c r="F821" s="126">
        <v>200</v>
      </c>
      <c r="G821" s="69">
        <f>G822</f>
        <v>468.6</v>
      </c>
      <c r="H821" s="69">
        <f>H822</f>
        <v>0</v>
      </c>
      <c r="I821" s="69">
        <f t="shared" si="182"/>
        <v>468.6</v>
      </c>
      <c r="J821" s="69">
        <f>J822</f>
        <v>0</v>
      </c>
      <c r="K821" s="84">
        <f t="shared" si="179"/>
        <v>468.6</v>
      </c>
      <c r="L821" s="13">
        <f>L822</f>
        <v>0</v>
      </c>
      <c r="M821" s="84">
        <f t="shared" si="184"/>
        <v>468.6</v>
      </c>
      <c r="N821" s="13">
        <f>N822</f>
        <v>0</v>
      </c>
      <c r="O821" s="84">
        <f t="shared" si="185"/>
        <v>468.6</v>
      </c>
      <c r="P821" s="13">
        <f>P822</f>
        <v>2</v>
      </c>
      <c r="Q821" s="84">
        <f t="shared" si="178"/>
        <v>470.6</v>
      </c>
      <c r="R821" s="13">
        <f>R822</f>
        <v>-167</v>
      </c>
      <c r="S821" s="84">
        <f t="shared" si="177"/>
        <v>303.60000000000002</v>
      </c>
      <c r="T821" s="13">
        <f>T822</f>
        <v>0</v>
      </c>
      <c r="U821" s="84">
        <f t="shared" si="183"/>
        <v>303.60000000000002</v>
      </c>
    </row>
    <row r="822" spans="1:21" ht="33">
      <c r="A822" s="61" t="str">
        <f ca="1">IF(ISERROR(MATCH(F822,Код_КВР,0)),"",INDIRECT(ADDRESS(MATCH(F822,Код_КВР,0)+1,2,,,"КВР")))</f>
        <v>Иные закупки товаров, работ и услуг для обеспечения муниципальных нужд</v>
      </c>
      <c r="B822" s="126">
        <v>805</v>
      </c>
      <c r="C822" s="8" t="s">
        <v>193</v>
      </c>
      <c r="D822" s="8" t="s">
        <v>217</v>
      </c>
      <c r="E822" s="126" t="s">
        <v>386</v>
      </c>
      <c r="F822" s="126">
        <v>240</v>
      </c>
      <c r="G822" s="69">
        <f>G823</f>
        <v>468.6</v>
      </c>
      <c r="H822" s="69">
        <f>H823</f>
        <v>0</v>
      </c>
      <c r="I822" s="69">
        <f t="shared" si="182"/>
        <v>468.6</v>
      </c>
      <c r="J822" s="69">
        <f>J823</f>
        <v>0</v>
      </c>
      <c r="K822" s="84">
        <f t="shared" si="179"/>
        <v>468.6</v>
      </c>
      <c r="L822" s="13">
        <f>L823</f>
        <v>0</v>
      </c>
      <c r="M822" s="84">
        <f t="shared" si="184"/>
        <v>468.6</v>
      </c>
      <c r="N822" s="13">
        <f>N823</f>
        <v>0</v>
      </c>
      <c r="O822" s="84">
        <f t="shared" si="185"/>
        <v>468.6</v>
      </c>
      <c r="P822" s="13">
        <f>P823</f>
        <v>2</v>
      </c>
      <c r="Q822" s="84">
        <f t="shared" si="178"/>
        <v>470.6</v>
      </c>
      <c r="R822" s="13">
        <f>R823</f>
        <v>-167</v>
      </c>
      <c r="S822" s="84">
        <f t="shared" si="177"/>
        <v>303.60000000000002</v>
      </c>
      <c r="T822" s="13">
        <f>T823</f>
        <v>0</v>
      </c>
      <c r="U822" s="84">
        <f t="shared" si="183"/>
        <v>303.60000000000002</v>
      </c>
    </row>
    <row r="823" spans="1:21" ht="33">
      <c r="A823" s="61" t="str">
        <f ca="1">IF(ISERROR(MATCH(F823,Код_КВР,0)),"",INDIRECT(ADDRESS(MATCH(F823,Код_КВР,0)+1,2,,,"КВР")))</f>
        <v xml:space="preserve">Прочая закупка товаров, работ и услуг для обеспечения муниципальных нужд         </v>
      </c>
      <c r="B823" s="126">
        <v>805</v>
      </c>
      <c r="C823" s="8" t="s">
        <v>193</v>
      </c>
      <c r="D823" s="8" t="s">
        <v>217</v>
      </c>
      <c r="E823" s="126" t="s">
        <v>386</v>
      </c>
      <c r="F823" s="126">
        <v>244</v>
      </c>
      <c r="G823" s="69">
        <v>468.6</v>
      </c>
      <c r="H823" s="64"/>
      <c r="I823" s="69">
        <f t="shared" si="182"/>
        <v>468.6</v>
      </c>
      <c r="J823" s="64"/>
      <c r="K823" s="84">
        <f t="shared" si="179"/>
        <v>468.6</v>
      </c>
      <c r="L823" s="84"/>
      <c r="M823" s="84">
        <f t="shared" si="184"/>
        <v>468.6</v>
      </c>
      <c r="N823" s="84"/>
      <c r="O823" s="84">
        <f t="shared" si="185"/>
        <v>468.6</v>
      </c>
      <c r="P823" s="84">
        <v>2</v>
      </c>
      <c r="Q823" s="84">
        <f t="shared" si="178"/>
        <v>470.6</v>
      </c>
      <c r="R823" s="84">
        <v>-167</v>
      </c>
      <c r="S823" s="84">
        <f t="shared" si="177"/>
        <v>303.60000000000002</v>
      </c>
      <c r="T823" s="84"/>
      <c r="U823" s="84">
        <f t="shared" si="183"/>
        <v>303.60000000000002</v>
      </c>
    </row>
    <row r="824" spans="1:21">
      <c r="A824" s="61" t="str">
        <f ca="1">IF(ISERROR(MATCH(C824,Код_Раздел,0)),"",INDIRECT(ADDRESS(MATCH(C824,Код_Раздел,0)+1,2,,,"Раздел")))</f>
        <v>Социальная политика</v>
      </c>
      <c r="B824" s="126">
        <v>805</v>
      </c>
      <c r="C824" s="8" t="s">
        <v>186</v>
      </c>
      <c r="D824" s="8"/>
      <c r="E824" s="126"/>
      <c r="F824" s="126"/>
      <c r="G824" s="69">
        <f>G825+G844</f>
        <v>154405.10000000003</v>
      </c>
      <c r="H824" s="69">
        <f>H825+H844</f>
        <v>0</v>
      </c>
      <c r="I824" s="69">
        <f t="shared" si="182"/>
        <v>154405.10000000003</v>
      </c>
      <c r="J824" s="69">
        <f>J825+J844</f>
        <v>0</v>
      </c>
      <c r="K824" s="84">
        <f t="shared" si="179"/>
        <v>154405.10000000003</v>
      </c>
      <c r="L824" s="13">
        <f>L825+L844</f>
        <v>0</v>
      </c>
      <c r="M824" s="84">
        <f t="shared" si="184"/>
        <v>154405.10000000003</v>
      </c>
      <c r="N824" s="13">
        <f>N825+N844</f>
        <v>0</v>
      </c>
      <c r="O824" s="84">
        <f t="shared" si="185"/>
        <v>154405.10000000003</v>
      </c>
      <c r="P824" s="13">
        <f>P825+P844</f>
        <v>-10</v>
      </c>
      <c r="Q824" s="84">
        <f t="shared" si="178"/>
        <v>154395.10000000003</v>
      </c>
      <c r="R824" s="13">
        <f>R825+R844</f>
        <v>-9058.1</v>
      </c>
      <c r="S824" s="84">
        <f t="shared" si="177"/>
        <v>145337.00000000003</v>
      </c>
      <c r="T824" s="13">
        <f>T825+T844</f>
        <v>4058.5</v>
      </c>
      <c r="U824" s="84">
        <f t="shared" si="183"/>
        <v>149395.50000000003</v>
      </c>
    </row>
    <row r="825" spans="1:21">
      <c r="A825" s="12" t="s">
        <v>177</v>
      </c>
      <c r="B825" s="126">
        <v>805</v>
      </c>
      <c r="C825" s="8" t="s">
        <v>186</v>
      </c>
      <c r="D825" s="8" t="s">
        <v>213</v>
      </c>
      <c r="E825" s="126"/>
      <c r="F825" s="126"/>
      <c r="G825" s="69">
        <f>G826</f>
        <v>22087.200000000001</v>
      </c>
      <c r="H825" s="69">
        <f>H826</f>
        <v>0</v>
      </c>
      <c r="I825" s="69">
        <f t="shared" si="182"/>
        <v>22087.200000000001</v>
      </c>
      <c r="J825" s="69">
        <f>J826</f>
        <v>0</v>
      </c>
      <c r="K825" s="84">
        <f t="shared" si="179"/>
        <v>22087.200000000001</v>
      </c>
      <c r="L825" s="13">
        <f>L826</f>
        <v>0</v>
      </c>
      <c r="M825" s="84">
        <f t="shared" si="184"/>
        <v>22087.200000000001</v>
      </c>
      <c r="N825" s="13">
        <f>N826</f>
        <v>0</v>
      </c>
      <c r="O825" s="84">
        <f t="shared" si="185"/>
        <v>22087.200000000001</v>
      </c>
      <c r="P825" s="13">
        <f>P826</f>
        <v>-10</v>
      </c>
      <c r="Q825" s="84">
        <f t="shared" si="178"/>
        <v>22077.200000000001</v>
      </c>
      <c r="R825" s="13">
        <f>R826</f>
        <v>201.09999999999997</v>
      </c>
      <c r="S825" s="84">
        <f t="shared" si="177"/>
        <v>22278.3</v>
      </c>
      <c r="T825" s="13">
        <f>T826</f>
        <v>-1210.7</v>
      </c>
      <c r="U825" s="84">
        <f t="shared" si="183"/>
        <v>21067.599999999999</v>
      </c>
    </row>
    <row r="826" spans="1:21">
      <c r="A826" s="61" t="str">
        <f ca="1">IF(ISERROR(MATCH(E826,Код_КЦСР,0)),"",INDIRECT(ADDRESS(MATCH(E826,Код_КЦСР,0)+1,2,,,"КЦСР")))</f>
        <v>Муниципальная программа «Развитие образования» на 2013-2022 годы</v>
      </c>
      <c r="B826" s="126">
        <v>805</v>
      </c>
      <c r="C826" s="8" t="s">
        <v>186</v>
      </c>
      <c r="D826" s="8" t="s">
        <v>213</v>
      </c>
      <c r="E826" s="126" t="s">
        <v>267</v>
      </c>
      <c r="F826" s="126"/>
      <c r="G826" s="69">
        <f>G827+G832+G838</f>
        <v>22087.200000000001</v>
      </c>
      <c r="H826" s="69">
        <f>H827+H832+H838</f>
        <v>0</v>
      </c>
      <c r="I826" s="69">
        <f t="shared" si="182"/>
        <v>22087.200000000001</v>
      </c>
      <c r="J826" s="69">
        <f>J827+J832+J838</f>
        <v>0</v>
      </c>
      <c r="K826" s="84">
        <f t="shared" si="179"/>
        <v>22087.200000000001</v>
      </c>
      <c r="L826" s="13">
        <f>L827+L832+L838</f>
        <v>0</v>
      </c>
      <c r="M826" s="84">
        <f t="shared" si="184"/>
        <v>22087.200000000001</v>
      </c>
      <c r="N826" s="13">
        <f>N827+N832+N838</f>
        <v>0</v>
      </c>
      <c r="O826" s="84">
        <f t="shared" si="185"/>
        <v>22087.200000000001</v>
      </c>
      <c r="P826" s="13">
        <f>P827+P832+P838</f>
        <v>-10</v>
      </c>
      <c r="Q826" s="84">
        <f t="shared" si="178"/>
        <v>22077.200000000001</v>
      </c>
      <c r="R826" s="13">
        <f>R827+R832+R838</f>
        <v>201.09999999999997</v>
      </c>
      <c r="S826" s="84">
        <f t="shared" si="177"/>
        <v>22278.3</v>
      </c>
      <c r="T826" s="13">
        <f>T827+T832+T838</f>
        <v>-1210.7</v>
      </c>
      <c r="U826" s="84">
        <f t="shared" si="183"/>
        <v>21067.599999999999</v>
      </c>
    </row>
    <row r="827" spans="1:21">
      <c r="A827" s="61" t="str">
        <f ca="1">IF(ISERROR(MATCH(E827,Код_КЦСР,0)),"",INDIRECT(ADDRESS(MATCH(E827,Код_КЦСР,0)+1,2,,,"КЦСР")))</f>
        <v>Общее образование</v>
      </c>
      <c r="B827" s="126">
        <v>805</v>
      </c>
      <c r="C827" s="8" t="s">
        <v>186</v>
      </c>
      <c r="D827" s="8" t="s">
        <v>213</v>
      </c>
      <c r="E827" s="126" t="s">
        <v>276</v>
      </c>
      <c r="F827" s="126"/>
      <c r="G827" s="69">
        <f t="shared" ref="G827:T830" si="186">G828</f>
        <v>6276.3</v>
      </c>
      <c r="H827" s="69">
        <f t="shared" si="186"/>
        <v>0</v>
      </c>
      <c r="I827" s="69">
        <f t="shared" si="182"/>
        <v>6276.3</v>
      </c>
      <c r="J827" s="69">
        <f t="shared" si="186"/>
        <v>0</v>
      </c>
      <c r="K827" s="84">
        <f t="shared" si="179"/>
        <v>6276.3</v>
      </c>
      <c r="L827" s="13">
        <f t="shared" si="186"/>
        <v>0</v>
      </c>
      <c r="M827" s="84">
        <f t="shared" si="184"/>
        <v>6276.3</v>
      </c>
      <c r="N827" s="13">
        <f t="shared" si="186"/>
        <v>0</v>
      </c>
      <c r="O827" s="84">
        <f t="shared" si="185"/>
        <v>6276.3</v>
      </c>
      <c r="P827" s="13">
        <f t="shared" si="186"/>
        <v>0</v>
      </c>
      <c r="Q827" s="84">
        <f t="shared" si="178"/>
        <v>6276.3</v>
      </c>
      <c r="R827" s="13">
        <f t="shared" si="186"/>
        <v>-290.10000000000002</v>
      </c>
      <c r="S827" s="84">
        <f t="shared" si="177"/>
        <v>5986.2</v>
      </c>
      <c r="T827" s="13">
        <f t="shared" si="186"/>
        <v>76.900000000000006</v>
      </c>
      <c r="U827" s="84">
        <f t="shared" si="183"/>
        <v>6063.0999999999995</v>
      </c>
    </row>
    <row r="828" spans="1:21" ht="123" customHeight="1">
      <c r="A828" s="61" t="str">
        <f ca="1">IF(ISERROR(MATCH(E828,Код_КЦСР,0)),"",INDIRECT(ADDRESS(MATCH(E828,Код_КЦСР,0)+1,2,,,"КЦСР")))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828" s="126">
        <v>805</v>
      </c>
      <c r="C828" s="8" t="s">
        <v>186</v>
      </c>
      <c r="D828" s="8" t="s">
        <v>213</v>
      </c>
      <c r="E828" s="126" t="s">
        <v>431</v>
      </c>
      <c r="F828" s="126"/>
      <c r="G828" s="69">
        <f t="shared" si="186"/>
        <v>6276.3</v>
      </c>
      <c r="H828" s="69">
        <f t="shared" si="186"/>
        <v>0</v>
      </c>
      <c r="I828" s="69">
        <f t="shared" si="182"/>
        <v>6276.3</v>
      </c>
      <c r="J828" s="69">
        <f t="shared" si="186"/>
        <v>0</v>
      </c>
      <c r="K828" s="84">
        <f t="shared" si="179"/>
        <v>6276.3</v>
      </c>
      <c r="L828" s="13">
        <f t="shared" si="186"/>
        <v>0</v>
      </c>
      <c r="M828" s="84">
        <f t="shared" si="184"/>
        <v>6276.3</v>
      </c>
      <c r="N828" s="13">
        <f t="shared" si="186"/>
        <v>0</v>
      </c>
      <c r="O828" s="84">
        <f t="shared" si="185"/>
        <v>6276.3</v>
      </c>
      <c r="P828" s="13">
        <f t="shared" si="186"/>
        <v>0</v>
      </c>
      <c r="Q828" s="84">
        <f t="shared" si="178"/>
        <v>6276.3</v>
      </c>
      <c r="R828" s="13">
        <f t="shared" si="186"/>
        <v>-290.10000000000002</v>
      </c>
      <c r="S828" s="84">
        <f t="shared" si="177"/>
        <v>5986.2</v>
      </c>
      <c r="T828" s="13">
        <f t="shared" si="186"/>
        <v>76.900000000000006</v>
      </c>
      <c r="U828" s="84">
        <f t="shared" si="183"/>
        <v>6063.0999999999995</v>
      </c>
    </row>
    <row r="829" spans="1:21">
      <c r="A829" s="61" t="str">
        <f ca="1">IF(ISERROR(MATCH(F829,Код_КВР,0)),"",INDIRECT(ADDRESS(MATCH(F829,Код_КВР,0)+1,2,,,"КВР")))</f>
        <v>Социальное обеспечение и иные выплаты населению</v>
      </c>
      <c r="B829" s="126">
        <v>805</v>
      </c>
      <c r="C829" s="8" t="s">
        <v>186</v>
      </c>
      <c r="D829" s="8" t="s">
        <v>213</v>
      </c>
      <c r="E829" s="126" t="s">
        <v>431</v>
      </c>
      <c r="F829" s="126">
        <v>300</v>
      </c>
      <c r="G829" s="69">
        <f t="shared" si="186"/>
        <v>6276.3</v>
      </c>
      <c r="H829" s="69">
        <f t="shared" si="186"/>
        <v>0</v>
      </c>
      <c r="I829" s="69">
        <f t="shared" si="182"/>
        <v>6276.3</v>
      </c>
      <c r="J829" s="69">
        <f t="shared" si="186"/>
        <v>0</v>
      </c>
      <c r="K829" s="84">
        <f t="shared" si="179"/>
        <v>6276.3</v>
      </c>
      <c r="L829" s="13">
        <f t="shared" si="186"/>
        <v>0</v>
      </c>
      <c r="M829" s="84">
        <f t="shared" si="184"/>
        <v>6276.3</v>
      </c>
      <c r="N829" s="13">
        <f t="shared" si="186"/>
        <v>0</v>
      </c>
      <c r="O829" s="84">
        <f t="shared" si="185"/>
        <v>6276.3</v>
      </c>
      <c r="P829" s="13">
        <f t="shared" si="186"/>
        <v>0</v>
      </c>
      <c r="Q829" s="84">
        <f t="shared" si="178"/>
        <v>6276.3</v>
      </c>
      <c r="R829" s="13">
        <f t="shared" si="186"/>
        <v>-290.10000000000002</v>
      </c>
      <c r="S829" s="84">
        <f t="shared" si="177"/>
        <v>5986.2</v>
      </c>
      <c r="T829" s="13">
        <f t="shared" si="186"/>
        <v>76.900000000000006</v>
      </c>
      <c r="U829" s="84">
        <f t="shared" si="183"/>
        <v>6063.0999999999995</v>
      </c>
    </row>
    <row r="830" spans="1:21" ht="33">
      <c r="A830" s="61" t="str">
        <f ca="1">IF(ISERROR(MATCH(F830,Код_КВР,0)),"",INDIRECT(ADDRESS(MATCH(F830,Код_КВР,0)+1,2,,,"КВР")))</f>
        <v>Социальные выплаты гражданам, кроме публичных нормативных социальных выплат</v>
      </c>
      <c r="B830" s="126">
        <v>805</v>
      </c>
      <c r="C830" s="8" t="s">
        <v>186</v>
      </c>
      <c r="D830" s="8" t="s">
        <v>213</v>
      </c>
      <c r="E830" s="126" t="s">
        <v>431</v>
      </c>
      <c r="F830" s="126">
        <v>320</v>
      </c>
      <c r="G830" s="69">
        <f t="shared" si="186"/>
        <v>6276.3</v>
      </c>
      <c r="H830" s="69">
        <f t="shared" si="186"/>
        <v>0</v>
      </c>
      <c r="I830" s="69">
        <f t="shared" si="182"/>
        <v>6276.3</v>
      </c>
      <c r="J830" s="69">
        <f t="shared" si="186"/>
        <v>0</v>
      </c>
      <c r="K830" s="84">
        <f t="shared" si="179"/>
        <v>6276.3</v>
      </c>
      <c r="L830" s="13">
        <f t="shared" si="186"/>
        <v>0</v>
      </c>
      <c r="M830" s="84">
        <f t="shared" si="184"/>
        <v>6276.3</v>
      </c>
      <c r="N830" s="13">
        <f t="shared" si="186"/>
        <v>0</v>
      </c>
      <c r="O830" s="84">
        <f t="shared" si="185"/>
        <v>6276.3</v>
      </c>
      <c r="P830" s="13">
        <f t="shared" si="186"/>
        <v>0</v>
      </c>
      <c r="Q830" s="84">
        <f t="shared" si="178"/>
        <v>6276.3</v>
      </c>
      <c r="R830" s="13">
        <f t="shared" si="186"/>
        <v>-290.10000000000002</v>
      </c>
      <c r="S830" s="84">
        <f t="shared" si="177"/>
        <v>5986.2</v>
      </c>
      <c r="T830" s="13">
        <f t="shared" si="186"/>
        <v>76.900000000000006</v>
      </c>
      <c r="U830" s="84">
        <f t="shared" si="183"/>
        <v>6063.0999999999995</v>
      </c>
    </row>
    <row r="831" spans="1:21" ht="33">
      <c r="A831" s="61" t="str">
        <f ca="1">IF(ISERROR(MATCH(F831,Код_КВР,0)),"",INDIRECT(ADDRESS(MATCH(F831,Код_КВР,0)+1,2,,,"КВР")))</f>
        <v>Пособия, компенсации и иные социальные выплаты гражданам, кроме публичных нормативных обязательств</v>
      </c>
      <c r="B831" s="126">
        <v>805</v>
      </c>
      <c r="C831" s="8" t="s">
        <v>186</v>
      </c>
      <c r="D831" s="8" t="s">
        <v>213</v>
      </c>
      <c r="E831" s="126" t="s">
        <v>431</v>
      </c>
      <c r="F831" s="126">
        <v>321</v>
      </c>
      <c r="G831" s="69">
        <v>6276.3</v>
      </c>
      <c r="H831" s="64"/>
      <c r="I831" s="69">
        <f t="shared" si="182"/>
        <v>6276.3</v>
      </c>
      <c r="J831" s="64"/>
      <c r="K831" s="84">
        <f t="shared" si="179"/>
        <v>6276.3</v>
      </c>
      <c r="L831" s="84"/>
      <c r="M831" s="84">
        <f t="shared" si="184"/>
        <v>6276.3</v>
      </c>
      <c r="N831" s="84"/>
      <c r="O831" s="84">
        <f t="shared" si="185"/>
        <v>6276.3</v>
      </c>
      <c r="P831" s="84"/>
      <c r="Q831" s="84">
        <f t="shared" si="178"/>
        <v>6276.3</v>
      </c>
      <c r="R831" s="84">
        <v>-290.10000000000002</v>
      </c>
      <c r="S831" s="84">
        <f t="shared" si="177"/>
        <v>5986.2</v>
      </c>
      <c r="T831" s="84">
        <v>76.900000000000006</v>
      </c>
      <c r="U831" s="84">
        <f t="shared" si="183"/>
        <v>6063.0999999999995</v>
      </c>
    </row>
    <row r="832" spans="1:21">
      <c r="A832" s="61" t="str">
        <f ca="1">IF(ISERROR(MATCH(E832,Код_КЦСР,0)),"",INDIRECT(ADDRESS(MATCH(E832,Код_КЦСР,0)+1,2,,,"КЦСР")))</f>
        <v>Кадровое обеспечение муниципальной системы образования</v>
      </c>
      <c r="B832" s="126">
        <v>805</v>
      </c>
      <c r="C832" s="8" t="s">
        <v>186</v>
      </c>
      <c r="D832" s="8" t="s">
        <v>213</v>
      </c>
      <c r="E832" s="126" t="s">
        <v>287</v>
      </c>
      <c r="F832" s="126"/>
      <c r="G832" s="69">
        <f t="shared" ref="G832:T836" si="187">G833</f>
        <v>11634.9</v>
      </c>
      <c r="H832" s="69">
        <f t="shared" si="187"/>
        <v>0</v>
      </c>
      <c r="I832" s="69">
        <f t="shared" si="182"/>
        <v>11634.9</v>
      </c>
      <c r="J832" s="69">
        <f t="shared" si="187"/>
        <v>0</v>
      </c>
      <c r="K832" s="84">
        <f t="shared" si="179"/>
        <v>11634.9</v>
      </c>
      <c r="L832" s="13">
        <f t="shared" si="187"/>
        <v>0</v>
      </c>
      <c r="M832" s="84">
        <f t="shared" si="184"/>
        <v>11634.9</v>
      </c>
      <c r="N832" s="13">
        <f t="shared" si="187"/>
        <v>0</v>
      </c>
      <c r="O832" s="84">
        <f t="shared" si="185"/>
        <v>11634.9</v>
      </c>
      <c r="P832" s="13">
        <f t="shared" si="187"/>
        <v>-10</v>
      </c>
      <c r="Q832" s="84">
        <f t="shared" si="178"/>
        <v>11624.9</v>
      </c>
      <c r="R832" s="13">
        <f t="shared" si="187"/>
        <v>0</v>
      </c>
      <c r="S832" s="84">
        <f t="shared" si="177"/>
        <v>11624.9</v>
      </c>
      <c r="T832" s="13">
        <f t="shared" si="187"/>
        <v>-288.7</v>
      </c>
      <c r="U832" s="84">
        <f t="shared" si="183"/>
        <v>11336.199999999999</v>
      </c>
    </row>
    <row r="833" spans="1:21" ht="33">
      <c r="A833" s="61" t="str">
        <f ca="1">IF(ISERROR(MATCH(E833,Код_КЦСР,0)),"",INDIRECT(ADDRESS(MATCH(E833,Код_КЦСР,0)+1,2,,,"КЦСР")))</f>
        <v xml:space="preserve">Осуществление денежных выплат работникам муниципальных образовательных учреждений     </v>
      </c>
      <c r="B833" s="126">
        <v>805</v>
      </c>
      <c r="C833" s="8" t="s">
        <v>186</v>
      </c>
      <c r="D833" s="8" t="s">
        <v>213</v>
      </c>
      <c r="E833" s="126" t="s">
        <v>292</v>
      </c>
      <c r="F833" s="126"/>
      <c r="G833" s="69">
        <f t="shared" si="187"/>
        <v>11634.9</v>
      </c>
      <c r="H833" s="69">
        <f t="shared" si="187"/>
        <v>0</v>
      </c>
      <c r="I833" s="69">
        <f t="shared" si="182"/>
        <v>11634.9</v>
      </c>
      <c r="J833" s="69">
        <f t="shared" si="187"/>
        <v>0</v>
      </c>
      <c r="K833" s="84">
        <f t="shared" si="179"/>
        <v>11634.9</v>
      </c>
      <c r="L833" s="13">
        <f t="shared" si="187"/>
        <v>0</v>
      </c>
      <c r="M833" s="84">
        <f t="shared" si="184"/>
        <v>11634.9</v>
      </c>
      <c r="N833" s="13">
        <f t="shared" si="187"/>
        <v>0</v>
      </c>
      <c r="O833" s="84">
        <f t="shared" si="185"/>
        <v>11634.9</v>
      </c>
      <c r="P833" s="13">
        <f t="shared" si="187"/>
        <v>-10</v>
      </c>
      <c r="Q833" s="84">
        <f t="shared" si="178"/>
        <v>11624.9</v>
      </c>
      <c r="R833" s="13">
        <f t="shared" si="187"/>
        <v>0</v>
      </c>
      <c r="S833" s="84">
        <f t="shared" si="177"/>
        <v>11624.9</v>
      </c>
      <c r="T833" s="13">
        <f t="shared" si="187"/>
        <v>-288.7</v>
      </c>
      <c r="U833" s="84">
        <f t="shared" si="183"/>
        <v>11336.199999999999</v>
      </c>
    </row>
    <row r="834" spans="1:21" ht="71.25" customHeight="1">
      <c r="A834" s="61" t="str">
        <f ca="1">IF(ISERROR(MATCH(E834,Код_КЦСР,0)),"",INDIRECT(ADDRESS(MATCH(E834,Код_КЦСР,0)+1,2,,,"КЦСР")))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834" s="126">
        <v>805</v>
      </c>
      <c r="C834" s="8" t="s">
        <v>186</v>
      </c>
      <c r="D834" s="8" t="s">
        <v>213</v>
      </c>
      <c r="E834" s="126" t="s">
        <v>451</v>
      </c>
      <c r="F834" s="126"/>
      <c r="G834" s="69">
        <f t="shared" si="187"/>
        <v>11634.9</v>
      </c>
      <c r="H834" s="69">
        <f t="shared" si="187"/>
        <v>0</v>
      </c>
      <c r="I834" s="69">
        <f t="shared" si="182"/>
        <v>11634.9</v>
      </c>
      <c r="J834" s="69">
        <f t="shared" si="187"/>
        <v>0</v>
      </c>
      <c r="K834" s="84">
        <f t="shared" si="179"/>
        <v>11634.9</v>
      </c>
      <c r="L834" s="13">
        <f t="shared" si="187"/>
        <v>0</v>
      </c>
      <c r="M834" s="84">
        <f t="shared" si="184"/>
        <v>11634.9</v>
      </c>
      <c r="N834" s="13">
        <f t="shared" si="187"/>
        <v>0</v>
      </c>
      <c r="O834" s="84">
        <f t="shared" si="185"/>
        <v>11634.9</v>
      </c>
      <c r="P834" s="13">
        <f t="shared" si="187"/>
        <v>-10</v>
      </c>
      <c r="Q834" s="84">
        <f t="shared" si="178"/>
        <v>11624.9</v>
      </c>
      <c r="R834" s="13">
        <f t="shared" si="187"/>
        <v>0</v>
      </c>
      <c r="S834" s="84">
        <f t="shared" si="177"/>
        <v>11624.9</v>
      </c>
      <c r="T834" s="13">
        <f t="shared" si="187"/>
        <v>-288.7</v>
      </c>
      <c r="U834" s="84">
        <f t="shared" si="183"/>
        <v>11336.199999999999</v>
      </c>
    </row>
    <row r="835" spans="1:21">
      <c r="A835" s="61" t="str">
        <f ca="1">IF(ISERROR(MATCH(F835,Код_КВР,0)),"",INDIRECT(ADDRESS(MATCH(F835,Код_КВР,0)+1,2,,,"КВР")))</f>
        <v>Социальное обеспечение и иные выплаты населению</v>
      </c>
      <c r="B835" s="126">
        <v>805</v>
      </c>
      <c r="C835" s="8" t="s">
        <v>186</v>
      </c>
      <c r="D835" s="8" t="s">
        <v>213</v>
      </c>
      <c r="E835" s="126" t="s">
        <v>451</v>
      </c>
      <c r="F835" s="126">
        <v>300</v>
      </c>
      <c r="G835" s="69">
        <f t="shared" si="187"/>
        <v>11634.9</v>
      </c>
      <c r="H835" s="69">
        <f t="shared" si="187"/>
        <v>0</v>
      </c>
      <c r="I835" s="69">
        <f t="shared" si="182"/>
        <v>11634.9</v>
      </c>
      <c r="J835" s="69">
        <f t="shared" si="187"/>
        <v>0</v>
      </c>
      <c r="K835" s="84">
        <f t="shared" si="179"/>
        <v>11634.9</v>
      </c>
      <c r="L835" s="13">
        <f t="shared" si="187"/>
        <v>0</v>
      </c>
      <c r="M835" s="84">
        <f t="shared" si="184"/>
        <v>11634.9</v>
      </c>
      <c r="N835" s="13">
        <f t="shared" si="187"/>
        <v>0</v>
      </c>
      <c r="O835" s="84">
        <f t="shared" si="185"/>
        <v>11634.9</v>
      </c>
      <c r="P835" s="13">
        <f t="shared" si="187"/>
        <v>-10</v>
      </c>
      <c r="Q835" s="84">
        <f t="shared" si="178"/>
        <v>11624.9</v>
      </c>
      <c r="R835" s="13">
        <f t="shared" si="187"/>
        <v>0</v>
      </c>
      <c r="S835" s="84">
        <f t="shared" si="177"/>
        <v>11624.9</v>
      </c>
      <c r="T835" s="13">
        <f t="shared" si="187"/>
        <v>-288.7</v>
      </c>
      <c r="U835" s="84">
        <f t="shared" si="183"/>
        <v>11336.199999999999</v>
      </c>
    </row>
    <row r="836" spans="1:21">
      <c r="A836" s="61" t="str">
        <f ca="1">IF(ISERROR(MATCH(F836,Код_КВР,0)),"",INDIRECT(ADDRESS(MATCH(F836,Код_КВР,0)+1,2,,,"КВР")))</f>
        <v>Публичные нормативные социальные выплаты гражданам</v>
      </c>
      <c r="B836" s="126">
        <v>805</v>
      </c>
      <c r="C836" s="8" t="s">
        <v>186</v>
      </c>
      <c r="D836" s="8" t="s">
        <v>213</v>
      </c>
      <c r="E836" s="126" t="s">
        <v>451</v>
      </c>
      <c r="F836" s="126">
        <v>310</v>
      </c>
      <c r="G836" s="69">
        <f t="shared" si="187"/>
        <v>11634.9</v>
      </c>
      <c r="H836" s="69">
        <f t="shared" si="187"/>
        <v>0</v>
      </c>
      <c r="I836" s="69">
        <f t="shared" si="182"/>
        <v>11634.9</v>
      </c>
      <c r="J836" s="69">
        <f t="shared" si="187"/>
        <v>0</v>
      </c>
      <c r="K836" s="84">
        <f t="shared" si="179"/>
        <v>11634.9</v>
      </c>
      <c r="L836" s="13">
        <f t="shared" si="187"/>
        <v>0</v>
      </c>
      <c r="M836" s="84">
        <f t="shared" si="184"/>
        <v>11634.9</v>
      </c>
      <c r="N836" s="13">
        <f t="shared" si="187"/>
        <v>0</v>
      </c>
      <c r="O836" s="84">
        <f t="shared" si="185"/>
        <v>11634.9</v>
      </c>
      <c r="P836" s="13">
        <f t="shared" si="187"/>
        <v>-10</v>
      </c>
      <c r="Q836" s="84">
        <f t="shared" si="178"/>
        <v>11624.9</v>
      </c>
      <c r="R836" s="13">
        <f t="shared" si="187"/>
        <v>0</v>
      </c>
      <c r="S836" s="84">
        <f t="shared" si="177"/>
        <v>11624.9</v>
      </c>
      <c r="T836" s="13">
        <f t="shared" si="187"/>
        <v>-288.7</v>
      </c>
      <c r="U836" s="84">
        <f t="shared" si="183"/>
        <v>11336.199999999999</v>
      </c>
    </row>
    <row r="837" spans="1:21" ht="33">
      <c r="A837" s="61" t="str">
        <f ca="1">IF(ISERROR(MATCH(F837,Код_КВР,0)),"",INDIRECT(ADDRESS(MATCH(F837,Код_КВР,0)+1,2,,,"КВР")))</f>
        <v>Пособия, компенсации, меры социальной поддержки по публичным нормативным обязательствам</v>
      </c>
      <c r="B837" s="126">
        <v>805</v>
      </c>
      <c r="C837" s="8" t="s">
        <v>186</v>
      </c>
      <c r="D837" s="8" t="s">
        <v>213</v>
      </c>
      <c r="E837" s="126" t="s">
        <v>451</v>
      </c>
      <c r="F837" s="126">
        <v>313</v>
      </c>
      <c r="G837" s="69">
        <v>11634.9</v>
      </c>
      <c r="H837" s="64"/>
      <c r="I837" s="69">
        <f t="shared" si="182"/>
        <v>11634.9</v>
      </c>
      <c r="J837" s="64"/>
      <c r="K837" s="84">
        <f t="shared" si="179"/>
        <v>11634.9</v>
      </c>
      <c r="L837" s="84"/>
      <c r="M837" s="84">
        <f t="shared" si="184"/>
        <v>11634.9</v>
      </c>
      <c r="N837" s="84"/>
      <c r="O837" s="84">
        <f t="shared" si="185"/>
        <v>11634.9</v>
      </c>
      <c r="P837" s="84">
        <v>-10</v>
      </c>
      <c r="Q837" s="84">
        <f t="shared" si="178"/>
        <v>11624.9</v>
      </c>
      <c r="R837" s="84"/>
      <c r="S837" s="84">
        <f t="shared" si="177"/>
        <v>11624.9</v>
      </c>
      <c r="T837" s="84">
        <f>-153.1-135.6</f>
        <v>-288.7</v>
      </c>
      <c r="U837" s="84">
        <f t="shared" si="183"/>
        <v>11336.199999999999</v>
      </c>
    </row>
    <row r="838" spans="1:21" ht="33">
      <c r="A838" s="61" t="str">
        <f ca="1">IF(ISERROR(MATCH(E838,Код_КЦСР,0)),"",INDIRECT(ADDRESS(MATCH(E838,Код_КЦСР,0)+1,2,,,"КЦСР")))</f>
        <v>Социально-педагогическая поддержка детей-сирот и детей, оставшихся без попечения родителей</v>
      </c>
      <c r="B838" s="126">
        <v>805</v>
      </c>
      <c r="C838" s="8" t="s">
        <v>186</v>
      </c>
      <c r="D838" s="8" t="s">
        <v>213</v>
      </c>
      <c r="E838" s="126" t="s">
        <v>408</v>
      </c>
      <c r="F838" s="126"/>
      <c r="G838" s="69">
        <f t="shared" ref="G838:T840" si="188">G839</f>
        <v>4176</v>
      </c>
      <c r="H838" s="69">
        <f t="shared" si="188"/>
        <v>0</v>
      </c>
      <c r="I838" s="69">
        <f t="shared" si="182"/>
        <v>4176</v>
      </c>
      <c r="J838" s="69">
        <f t="shared" si="188"/>
        <v>0</v>
      </c>
      <c r="K838" s="84">
        <f t="shared" si="179"/>
        <v>4176</v>
      </c>
      <c r="L838" s="13">
        <f t="shared" si="188"/>
        <v>0</v>
      </c>
      <c r="M838" s="84">
        <f t="shared" si="184"/>
        <v>4176</v>
      </c>
      <c r="N838" s="13">
        <f t="shared" si="188"/>
        <v>0</v>
      </c>
      <c r="O838" s="84">
        <f t="shared" si="185"/>
        <v>4176</v>
      </c>
      <c r="P838" s="13">
        <f t="shared" si="188"/>
        <v>0</v>
      </c>
      <c r="Q838" s="84">
        <f t="shared" si="178"/>
        <v>4176</v>
      </c>
      <c r="R838" s="13">
        <f t="shared" si="188"/>
        <v>491.2</v>
      </c>
      <c r="S838" s="84">
        <f t="shared" si="177"/>
        <v>4667.2</v>
      </c>
      <c r="T838" s="13">
        <f t="shared" si="188"/>
        <v>-998.9</v>
      </c>
      <c r="U838" s="84">
        <f t="shared" si="183"/>
        <v>3668.2999999999997</v>
      </c>
    </row>
    <row r="839" spans="1:21" ht="66">
      <c r="A839" s="61" t="str">
        <f ca="1">IF(ISERROR(MATCH(E839,Код_КЦСР,0)),"",INDIRECT(ADDRESS(MATCH(E839,Код_КЦСР,0)+1,2,,,"КЦСР")))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839" s="126">
        <v>805</v>
      </c>
      <c r="C839" s="8" t="s">
        <v>186</v>
      </c>
      <c r="D839" s="8" t="s">
        <v>213</v>
      </c>
      <c r="E839" s="126" t="s">
        <v>410</v>
      </c>
      <c r="F839" s="126"/>
      <c r="G839" s="69">
        <f t="shared" si="188"/>
        <v>4176</v>
      </c>
      <c r="H839" s="69">
        <f t="shared" si="188"/>
        <v>0</v>
      </c>
      <c r="I839" s="69">
        <f t="shared" si="182"/>
        <v>4176</v>
      </c>
      <c r="J839" s="69">
        <f t="shared" si="188"/>
        <v>0</v>
      </c>
      <c r="K839" s="84">
        <f t="shared" si="179"/>
        <v>4176</v>
      </c>
      <c r="L839" s="13">
        <f t="shared" si="188"/>
        <v>0</v>
      </c>
      <c r="M839" s="84">
        <f t="shared" si="184"/>
        <v>4176</v>
      </c>
      <c r="N839" s="13">
        <f t="shared" si="188"/>
        <v>0</v>
      </c>
      <c r="O839" s="84">
        <f t="shared" si="185"/>
        <v>4176</v>
      </c>
      <c r="P839" s="13">
        <f t="shared" si="188"/>
        <v>0</v>
      </c>
      <c r="Q839" s="84">
        <f t="shared" si="178"/>
        <v>4176</v>
      </c>
      <c r="R839" s="13">
        <f t="shared" si="188"/>
        <v>491.2</v>
      </c>
      <c r="S839" s="84">
        <f t="shared" si="177"/>
        <v>4667.2</v>
      </c>
      <c r="T839" s="13">
        <f t="shared" si="188"/>
        <v>-998.9</v>
      </c>
      <c r="U839" s="84">
        <f t="shared" si="183"/>
        <v>3668.2999999999997</v>
      </c>
    </row>
    <row r="840" spans="1:21">
      <c r="A840" s="61" t="str">
        <f ca="1">IF(ISERROR(MATCH(F840,Код_КВР,0)),"",INDIRECT(ADDRESS(MATCH(F840,Код_КВР,0)+1,2,,,"КВР")))</f>
        <v>Социальное обеспечение и иные выплаты населению</v>
      </c>
      <c r="B840" s="126">
        <v>805</v>
      </c>
      <c r="C840" s="8" t="s">
        <v>186</v>
      </c>
      <c r="D840" s="8" t="s">
        <v>213</v>
      </c>
      <c r="E840" s="126" t="s">
        <v>410</v>
      </c>
      <c r="F840" s="126">
        <v>300</v>
      </c>
      <c r="G840" s="69">
        <f t="shared" si="188"/>
        <v>4176</v>
      </c>
      <c r="H840" s="69">
        <f t="shared" si="188"/>
        <v>0</v>
      </c>
      <c r="I840" s="69">
        <f t="shared" si="182"/>
        <v>4176</v>
      </c>
      <c r="J840" s="69">
        <f t="shared" si="188"/>
        <v>0</v>
      </c>
      <c r="K840" s="84">
        <f t="shared" si="179"/>
        <v>4176</v>
      </c>
      <c r="L840" s="13">
        <f t="shared" si="188"/>
        <v>0</v>
      </c>
      <c r="M840" s="84">
        <f t="shared" si="184"/>
        <v>4176</v>
      </c>
      <c r="N840" s="13">
        <f t="shared" si="188"/>
        <v>0</v>
      </c>
      <c r="O840" s="84">
        <f t="shared" si="185"/>
        <v>4176</v>
      </c>
      <c r="P840" s="13">
        <f t="shared" si="188"/>
        <v>0</v>
      </c>
      <c r="Q840" s="84">
        <f t="shared" si="178"/>
        <v>4176</v>
      </c>
      <c r="R840" s="13">
        <f t="shared" si="188"/>
        <v>491.2</v>
      </c>
      <c r="S840" s="84">
        <f t="shared" si="177"/>
        <v>4667.2</v>
      </c>
      <c r="T840" s="13">
        <f t="shared" si="188"/>
        <v>-998.9</v>
      </c>
      <c r="U840" s="84">
        <f t="shared" si="183"/>
        <v>3668.2999999999997</v>
      </c>
    </row>
    <row r="841" spans="1:21" ht="33">
      <c r="A841" s="61" t="str">
        <f ca="1">IF(ISERROR(MATCH(F841,Код_КВР,0)),"",INDIRECT(ADDRESS(MATCH(F841,Код_КВР,0)+1,2,,,"КВР")))</f>
        <v>Социальные выплаты гражданам, кроме публичных нормативных социальных выплат</v>
      </c>
      <c r="B841" s="126">
        <v>805</v>
      </c>
      <c r="C841" s="8" t="s">
        <v>186</v>
      </c>
      <c r="D841" s="8" t="s">
        <v>213</v>
      </c>
      <c r="E841" s="126" t="s">
        <v>410</v>
      </c>
      <c r="F841" s="126">
        <v>320</v>
      </c>
      <c r="G841" s="69">
        <f>SUM(G842+G843)</f>
        <v>4176</v>
      </c>
      <c r="H841" s="69">
        <f>SUM(H842+H843)</f>
        <v>0</v>
      </c>
      <c r="I841" s="69">
        <f t="shared" si="182"/>
        <v>4176</v>
      </c>
      <c r="J841" s="69">
        <f>SUM(J842+J843)</f>
        <v>0</v>
      </c>
      <c r="K841" s="84">
        <f t="shared" si="179"/>
        <v>4176</v>
      </c>
      <c r="L841" s="13">
        <f>SUM(L842+L843)</f>
        <v>0</v>
      </c>
      <c r="M841" s="84">
        <f t="shared" si="184"/>
        <v>4176</v>
      </c>
      <c r="N841" s="13">
        <f>SUM(N842+N843)</f>
        <v>0</v>
      </c>
      <c r="O841" s="84">
        <f t="shared" si="185"/>
        <v>4176</v>
      </c>
      <c r="P841" s="13">
        <f>SUM(P842+P843)</f>
        <v>0</v>
      </c>
      <c r="Q841" s="84">
        <f t="shared" si="178"/>
        <v>4176</v>
      </c>
      <c r="R841" s="13">
        <f>SUM(R842+R843)</f>
        <v>491.2</v>
      </c>
      <c r="S841" s="84">
        <f t="shared" si="177"/>
        <v>4667.2</v>
      </c>
      <c r="T841" s="13">
        <f>SUM(T842+T843)</f>
        <v>-998.9</v>
      </c>
      <c r="U841" s="84">
        <f t="shared" si="183"/>
        <v>3668.2999999999997</v>
      </c>
    </row>
    <row r="842" spans="1:21" ht="33">
      <c r="A842" s="61" t="str">
        <f ca="1">IF(ISERROR(MATCH(F842,Код_КВР,0)),"",INDIRECT(ADDRESS(MATCH(F842,Код_КВР,0)+1,2,,,"КВР")))</f>
        <v>Пособия, компенсации и иные социальные выплаты гражданам, кроме публичных нормативных обязательств</v>
      </c>
      <c r="B842" s="126">
        <v>805</v>
      </c>
      <c r="C842" s="8" t="s">
        <v>186</v>
      </c>
      <c r="D842" s="8" t="s">
        <v>213</v>
      </c>
      <c r="E842" s="126" t="s">
        <v>410</v>
      </c>
      <c r="F842" s="126">
        <v>321</v>
      </c>
      <c r="G842" s="69">
        <f>696+1200</f>
        <v>1896</v>
      </c>
      <c r="H842" s="69"/>
      <c r="I842" s="69">
        <f t="shared" si="182"/>
        <v>1896</v>
      </c>
      <c r="J842" s="69"/>
      <c r="K842" s="84">
        <f t="shared" si="179"/>
        <v>1896</v>
      </c>
      <c r="L842" s="13"/>
      <c r="M842" s="84">
        <f t="shared" si="184"/>
        <v>1896</v>
      </c>
      <c r="N842" s="13"/>
      <c r="O842" s="84">
        <f t="shared" si="185"/>
        <v>1896</v>
      </c>
      <c r="P842" s="13"/>
      <c r="Q842" s="84">
        <f t="shared" si="178"/>
        <v>1896</v>
      </c>
      <c r="R842" s="13">
        <v>491.2</v>
      </c>
      <c r="S842" s="84">
        <f t="shared" ref="S842:S908" si="189">Q842+R842</f>
        <v>2387.1999999999998</v>
      </c>
      <c r="T842" s="13">
        <f>580-378.9</f>
        <v>201.10000000000002</v>
      </c>
      <c r="U842" s="84">
        <f t="shared" si="183"/>
        <v>2588.2999999999997</v>
      </c>
    </row>
    <row r="843" spans="1:21" ht="33">
      <c r="A843" s="61" t="str">
        <f ca="1">IF(ISERROR(MATCH(F843,Код_КВР,0)),"",INDIRECT(ADDRESS(MATCH(F843,Код_КВР,0)+1,2,,,"КВР")))</f>
        <v>Приобретение товаров, работ, услуг в пользу граждан в целях их социального обеспечения</v>
      </c>
      <c r="B843" s="126">
        <v>805</v>
      </c>
      <c r="C843" s="8" t="s">
        <v>186</v>
      </c>
      <c r="D843" s="8" t="s">
        <v>213</v>
      </c>
      <c r="E843" s="126" t="s">
        <v>410</v>
      </c>
      <c r="F843" s="126">
        <v>323</v>
      </c>
      <c r="G843" s="69">
        <v>2280</v>
      </c>
      <c r="H843" s="69"/>
      <c r="I843" s="69">
        <f t="shared" si="182"/>
        <v>2280</v>
      </c>
      <c r="J843" s="69"/>
      <c r="K843" s="84">
        <f t="shared" si="179"/>
        <v>2280</v>
      </c>
      <c r="L843" s="13"/>
      <c r="M843" s="84">
        <f t="shared" si="184"/>
        <v>2280</v>
      </c>
      <c r="N843" s="13"/>
      <c r="O843" s="84">
        <f t="shared" si="185"/>
        <v>2280</v>
      </c>
      <c r="P843" s="13"/>
      <c r="Q843" s="84">
        <f t="shared" si="178"/>
        <v>2280</v>
      </c>
      <c r="R843" s="13"/>
      <c r="S843" s="84">
        <f t="shared" si="189"/>
        <v>2280</v>
      </c>
      <c r="T843" s="13">
        <v>-1200</v>
      </c>
      <c r="U843" s="84">
        <f t="shared" si="183"/>
        <v>1080</v>
      </c>
    </row>
    <row r="844" spans="1:21">
      <c r="A844" s="75" t="s">
        <v>202</v>
      </c>
      <c r="B844" s="126">
        <v>805</v>
      </c>
      <c r="C844" s="8" t="s">
        <v>186</v>
      </c>
      <c r="D844" s="8" t="s">
        <v>214</v>
      </c>
      <c r="E844" s="126"/>
      <c r="F844" s="126"/>
      <c r="G844" s="69">
        <f>G845</f>
        <v>132317.90000000002</v>
      </c>
      <c r="H844" s="69">
        <f>H845</f>
        <v>0</v>
      </c>
      <c r="I844" s="69">
        <f t="shared" si="182"/>
        <v>132317.90000000002</v>
      </c>
      <c r="J844" s="69">
        <f>J845</f>
        <v>0</v>
      </c>
      <c r="K844" s="84">
        <f t="shared" si="179"/>
        <v>132317.90000000002</v>
      </c>
      <c r="L844" s="13">
        <f>L845</f>
        <v>0</v>
      </c>
      <c r="M844" s="84">
        <f t="shared" si="184"/>
        <v>132317.90000000002</v>
      </c>
      <c r="N844" s="13">
        <f>N845</f>
        <v>0</v>
      </c>
      <c r="O844" s="84">
        <f t="shared" si="185"/>
        <v>132317.90000000002</v>
      </c>
      <c r="P844" s="13">
        <f>P845</f>
        <v>0</v>
      </c>
      <c r="Q844" s="84">
        <f t="shared" si="178"/>
        <v>132317.90000000002</v>
      </c>
      <c r="R844" s="13">
        <f>R845</f>
        <v>-9259.2000000000007</v>
      </c>
      <c r="S844" s="84">
        <f t="shared" si="189"/>
        <v>123058.70000000003</v>
      </c>
      <c r="T844" s="13">
        <f>T845</f>
        <v>5269.2</v>
      </c>
      <c r="U844" s="84">
        <f t="shared" si="183"/>
        <v>128327.90000000002</v>
      </c>
    </row>
    <row r="845" spans="1:21">
      <c r="A845" s="61" t="str">
        <f ca="1">IF(ISERROR(MATCH(E845,Код_КЦСР,0)),"",INDIRECT(ADDRESS(MATCH(E845,Код_КЦСР,0)+1,2,,,"КЦСР")))</f>
        <v>Муниципальная программа «Развитие образования» на 2013-2022 годы</v>
      </c>
      <c r="B845" s="126">
        <v>805</v>
      </c>
      <c r="C845" s="8" t="s">
        <v>186</v>
      </c>
      <c r="D845" s="8" t="s">
        <v>214</v>
      </c>
      <c r="E845" s="126" t="s">
        <v>267</v>
      </c>
      <c r="F845" s="126"/>
      <c r="G845" s="69">
        <f>G846+G851+G857</f>
        <v>132317.90000000002</v>
      </c>
      <c r="H845" s="69">
        <f>H846+H851+H857</f>
        <v>0</v>
      </c>
      <c r="I845" s="69">
        <f t="shared" si="182"/>
        <v>132317.90000000002</v>
      </c>
      <c r="J845" s="69">
        <f>J846+J851+J857</f>
        <v>0</v>
      </c>
      <c r="K845" s="84">
        <f t="shared" si="179"/>
        <v>132317.90000000002</v>
      </c>
      <c r="L845" s="13">
        <f>L846+L851+L857</f>
        <v>0</v>
      </c>
      <c r="M845" s="84">
        <f t="shared" si="184"/>
        <v>132317.90000000002</v>
      </c>
      <c r="N845" s="13">
        <f>N846+N851+N857</f>
        <v>0</v>
      </c>
      <c r="O845" s="84">
        <f t="shared" si="185"/>
        <v>132317.90000000002</v>
      </c>
      <c r="P845" s="13">
        <f>P846+P851+P857</f>
        <v>0</v>
      </c>
      <c r="Q845" s="84">
        <f t="shared" si="178"/>
        <v>132317.90000000002</v>
      </c>
      <c r="R845" s="13">
        <f>R846+R851+R857</f>
        <v>-9259.2000000000007</v>
      </c>
      <c r="S845" s="84">
        <f t="shared" si="189"/>
        <v>123058.70000000003</v>
      </c>
      <c r="T845" s="13">
        <f>T846+T851+T857</f>
        <v>5269.2</v>
      </c>
      <c r="U845" s="84">
        <f t="shared" si="183"/>
        <v>128327.90000000002</v>
      </c>
    </row>
    <row r="846" spans="1:21">
      <c r="A846" s="61" t="str">
        <f ca="1">IF(ISERROR(MATCH(E846,Код_КЦСР,0)),"",INDIRECT(ADDRESS(MATCH(E846,Код_КЦСР,0)+1,2,,,"КЦСР")))</f>
        <v>Дошкольное образование</v>
      </c>
      <c r="B846" s="126">
        <v>805</v>
      </c>
      <c r="C846" s="8" t="s">
        <v>186</v>
      </c>
      <c r="D846" s="8" t="s">
        <v>214</v>
      </c>
      <c r="E846" s="126" t="s">
        <v>274</v>
      </c>
      <c r="F846" s="126"/>
      <c r="G846" s="69">
        <f t="shared" ref="G846:T849" si="190">G847</f>
        <v>63969.3</v>
      </c>
      <c r="H846" s="69">
        <f t="shared" si="190"/>
        <v>0</v>
      </c>
      <c r="I846" s="69">
        <f t="shared" si="182"/>
        <v>63969.3</v>
      </c>
      <c r="J846" s="69">
        <f t="shared" si="190"/>
        <v>0</v>
      </c>
      <c r="K846" s="84">
        <f t="shared" si="179"/>
        <v>63969.3</v>
      </c>
      <c r="L846" s="13">
        <f t="shared" si="190"/>
        <v>0</v>
      </c>
      <c r="M846" s="84">
        <f t="shared" si="184"/>
        <v>63969.3</v>
      </c>
      <c r="N846" s="13">
        <f t="shared" si="190"/>
        <v>0</v>
      </c>
      <c r="O846" s="84">
        <f t="shared" si="185"/>
        <v>63969.3</v>
      </c>
      <c r="P846" s="13">
        <f t="shared" si="190"/>
        <v>0</v>
      </c>
      <c r="Q846" s="84">
        <f t="shared" si="178"/>
        <v>63969.3</v>
      </c>
      <c r="R846" s="13">
        <f t="shared" si="190"/>
        <v>-6403.7</v>
      </c>
      <c r="S846" s="84">
        <f t="shared" si="189"/>
        <v>57565.600000000006</v>
      </c>
      <c r="T846" s="13">
        <f t="shared" si="190"/>
        <v>1869.1000000000001</v>
      </c>
      <c r="U846" s="84">
        <f t="shared" si="183"/>
        <v>59434.700000000004</v>
      </c>
    </row>
    <row r="847" spans="1:21" ht="66">
      <c r="A847" s="61" t="str">
        <f ca="1">IF(ISERROR(MATCH(E847,Код_КЦСР,0)),"",INDIRECT(ADDRESS(MATCH(E847,Код_КЦСР,0)+1,2,,,"КЦСР")))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847" s="126">
        <v>805</v>
      </c>
      <c r="C847" s="8" t="s">
        <v>186</v>
      </c>
      <c r="D847" s="8" t="s">
        <v>214</v>
      </c>
      <c r="E847" s="126" t="s">
        <v>425</v>
      </c>
      <c r="F847" s="126"/>
      <c r="G847" s="69">
        <f t="shared" si="190"/>
        <v>63969.3</v>
      </c>
      <c r="H847" s="69">
        <f t="shared" si="190"/>
        <v>0</v>
      </c>
      <c r="I847" s="69">
        <f t="shared" si="182"/>
        <v>63969.3</v>
      </c>
      <c r="J847" s="69">
        <f t="shared" si="190"/>
        <v>0</v>
      </c>
      <c r="K847" s="84">
        <f t="shared" si="179"/>
        <v>63969.3</v>
      </c>
      <c r="L847" s="13">
        <f t="shared" si="190"/>
        <v>0</v>
      </c>
      <c r="M847" s="84">
        <f t="shared" si="184"/>
        <v>63969.3</v>
      </c>
      <c r="N847" s="13">
        <f t="shared" si="190"/>
        <v>0</v>
      </c>
      <c r="O847" s="84">
        <f t="shared" si="185"/>
        <v>63969.3</v>
      </c>
      <c r="P847" s="13">
        <f t="shared" si="190"/>
        <v>0</v>
      </c>
      <c r="Q847" s="84">
        <f t="shared" si="178"/>
        <v>63969.3</v>
      </c>
      <c r="R847" s="13">
        <f t="shared" si="190"/>
        <v>-6403.7</v>
      </c>
      <c r="S847" s="84">
        <f t="shared" si="189"/>
        <v>57565.600000000006</v>
      </c>
      <c r="T847" s="13">
        <f t="shared" si="190"/>
        <v>1869.1000000000001</v>
      </c>
      <c r="U847" s="84">
        <f t="shared" si="183"/>
        <v>59434.700000000004</v>
      </c>
    </row>
    <row r="848" spans="1:21">
      <c r="A848" s="61" t="str">
        <f ca="1">IF(ISERROR(MATCH(F848,Код_КВР,0)),"",INDIRECT(ADDRESS(MATCH(F848,Код_КВР,0)+1,2,,,"КВР")))</f>
        <v>Социальное обеспечение и иные выплаты населению</v>
      </c>
      <c r="B848" s="126">
        <v>805</v>
      </c>
      <c r="C848" s="8" t="s">
        <v>186</v>
      </c>
      <c r="D848" s="8" t="s">
        <v>214</v>
      </c>
      <c r="E848" s="126" t="s">
        <v>425</v>
      </c>
      <c r="F848" s="126">
        <v>300</v>
      </c>
      <c r="G848" s="69">
        <f t="shared" si="190"/>
        <v>63969.3</v>
      </c>
      <c r="H848" s="69">
        <f t="shared" si="190"/>
        <v>0</v>
      </c>
      <c r="I848" s="69">
        <f t="shared" si="182"/>
        <v>63969.3</v>
      </c>
      <c r="J848" s="69">
        <f t="shared" si="190"/>
        <v>0</v>
      </c>
      <c r="K848" s="84">
        <f t="shared" si="179"/>
        <v>63969.3</v>
      </c>
      <c r="L848" s="13">
        <f t="shared" si="190"/>
        <v>0</v>
      </c>
      <c r="M848" s="84">
        <f t="shared" si="184"/>
        <v>63969.3</v>
      </c>
      <c r="N848" s="13">
        <f t="shared" si="190"/>
        <v>0</v>
      </c>
      <c r="O848" s="84">
        <f t="shared" si="185"/>
        <v>63969.3</v>
      </c>
      <c r="P848" s="13">
        <f t="shared" si="190"/>
        <v>0</v>
      </c>
      <c r="Q848" s="84">
        <f t="shared" ref="Q848:Q914" si="191">O848+P848</f>
        <v>63969.3</v>
      </c>
      <c r="R848" s="13">
        <f t="shared" si="190"/>
        <v>-6403.7</v>
      </c>
      <c r="S848" s="84">
        <f t="shared" si="189"/>
        <v>57565.600000000006</v>
      </c>
      <c r="T848" s="13">
        <f t="shared" si="190"/>
        <v>1869.1000000000001</v>
      </c>
      <c r="U848" s="84">
        <f t="shared" si="183"/>
        <v>59434.700000000004</v>
      </c>
    </row>
    <row r="849" spans="1:21" ht="33">
      <c r="A849" s="61" t="str">
        <f ca="1">IF(ISERROR(MATCH(F849,Код_КВР,0)),"",INDIRECT(ADDRESS(MATCH(F849,Код_КВР,0)+1,2,,,"КВР")))</f>
        <v>Социальные выплаты гражданам, кроме публичных нормативных социальных выплат</v>
      </c>
      <c r="B849" s="126">
        <v>805</v>
      </c>
      <c r="C849" s="8" t="s">
        <v>186</v>
      </c>
      <c r="D849" s="8" t="s">
        <v>214</v>
      </c>
      <c r="E849" s="126" t="s">
        <v>425</v>
      </c>
      <c r="F849" s="126">
        <v>320</v>
      </c>
      <c r="G849" s="69">
        <f t="shared" si="190"/>
        <v>63969.3</v>
      </c>
      <c r="H849" s="69">
        <f t="shared" si="190"/>
        <v>0</v>
      </c>
      <c r="I849" s="69">
        <f t="shared" si="182"/>
        <v>63969.3</v>
      </c>
      <c r="J849" s="69">
        <f t="shared" si="190"/>
        <v>0</v>
      </c>
      <c r="K849" s="84">
        <f t="shared" si="179"/>
        <v>63969.3</v>
      </c>
      <c r="L849" s="13">
        <f t="shared" si="190"/>
        <v>0</v>
      </c>
      <c r="M849" s="84">
        <f t="shared" si="184"/>
        <v>63969.3</v>
      </c>
      <c r="N849" s="13">
        <f t="shared" si="190"/>
        <v>0</v>
      </c>
      <c r="O849" s="84">
        <f t="shared" si="185"/>
        <v>63969.3</v>
      </c>
      <c r="P849" s="13">
        <f t="shared" si="190"/>
        <v>0</v>
      </c>
      <c r="Q849" s="84">
        <f t="shared" si="191"/>
        <v>63969.3</v>
      </c>
      <c r="R849" s="13">
        <f t="shared" si="190"/>
        <v>-6403.7</v>
      </c>
      <c r="S849" s="84">
        <f t="shared" si="189"/>
        <v>57565.600000000006</v>
      </c>
      <c r="T849" s="13">
        <f t="shared" si="190"/>
        <v>1869.1000000000001</v>
      </c>
      <c r="U849" s="84">
        <f t="shared" si="183"/>
        <v>59434.700000000004</v>
      </c>
    </row>
    <row r="850" spans="1:21" ht="33">
      <c r="A850" s="61" t="str">
        <f ca="1">IF(ISERROR(MATCH(F850,Код_КВР,0)),"",INDIRECT(ADDRESS(MATCH(F850,Код_КВР,0)+1,2,,,"КВР")))</f>
        <v>Пособия, компенсации и иные социальные выплаты гражданам, кроме публичных нормативных обязательств</v>
      </c>
      <c r="B850" s="126">
        <v>805</v>
      </c>
      <c r="C850" s="8" t="s">
        <v>186</v>
      </c>
      <c r="D850" s="8" t="s">
        <v>214</v>
      </c>
      <c r="E850" s="126" t="s">
        <v>425</v>
      </c>
      <c r="F850" s="126">
        <v>321</v>
      </c>
      <c r="G850" s="69">
        <v>63969.3</v>
      </c>
      <c r="H850" s="69"/>
      <c r="I850" s="69">
        <f t="shared" si="182"/>
        <v>63969.3</v>
      </c>
      <c r="J850" s="69"/>
      <c r="K850" s="84">
        <f t="shared" si="179"/>
        <v>63969.3</v>
      </c>
      <c r="L850" s="13"/>
      <c r="M850" s="84">
        <f t="shared" si="184"/>
        <v>63969.3</v>
      </c>
      <c r="N850" s="13"/>
      <c r="O850" s="84">
        <f t="shared" si="185"/>
        <v>63969.3</v>
      </c>
      <c r="P850" s="13"/>
      <c r="Q850" s="84">
        <f t="shared" si="191"/>
        <v>63969.3</v>
      </c>
      <c r="R850" s="13">
        <v>-6403.7</v>
      </c>
      <c r="S850" s="84">
        <f t="shared" si="189"/>
        <v>57565.600000000006</v>
      </c>
      <c r="T850" s="13">
        <f>2116.4-247.3</f>
        <v>1869.1000000000001</v>
      </c>
      <c r="U850" s="84">
        <f t="shared" si="183"/>
        <v>59434.700000000004</v>
      </c>
    </row>
    <row r="851" spans="1:21">
      <c r="A851" s="61" t="str">
        <f ca="1">IF(ISERROR(MATCH(E851,Код_КЦСР,0)),"",INDIRECT(ADDRESS(MATCH(E851,Код_КЦСР,0)+1,2,,,"КЦСР")))</f>
        <v>Кадровое обеспечение муниципальной системы образования</v>
      </c>
      <c r="B851" s="126">
        <v>805</v>
      </c>
      <c r="C851" s="8" t="s">
        <v>186</v>
      </c>
      <c r="D851" s="8" t="s">
        <v>214</v>
      </c>
      <c r="E851" s="126" t="s">
        <v>287</v>
      </c>
      <c r="F851" s="126"/>
      <c r="G851" s="69">
        <f t="shared" ref="G851:T855" si="192">G852</f>
        <v>12418.6</v>
      </c>
      <c r="H851" s="69">
        <f t="shared" si="192"/>
        <v>0</v>
      </c>
      <c r="I851" s="69">
        <f t="shared" si="182"/>
        <v>12418.6</v>
      </c>
      <c r="J851" s="69">
        <f t="shared" si="192"/>
        <v>0</v>
      </c>
      <c r="K851" s="84">
        <f t="shared" si="179"/>
        <v>12418.6</v>
      </c>
      <c r="L851" s="13">
        <f t="shared" si="192"/>
        <v>0</v>
      </c>
      <c r="M851" s="84">
        <f t="shared" si="184"/>
        <v>12418.6</v>
      </c>
      <c r="N851" s="13">
        <f t="shared" si="192"/>
        <v>0</v>
      </c>
      <c r="O851" s="84">
        <f t="shared" si="185"/>
        <v>12418.6</v>
      </c>
      <c r="P851" s="13">
        <f t="shared" si="192"/>
        <v>0</v>
      </c>
      <c r="Q851" s="84">
        <f t="shared" si="191"/>
        <v>12418.6</v>
      </c>
      <c r="R851" s="13">
        <f t="shared" si="192"/>
        <v>0</v>
      </c>
      <c r="S851" s="84">
        <f t="shared" si="189"/>
        <v>12418.6</v>
      </c>
      <c r="T851" s="13">
        <f t="shared" si="192"/>
        <v>135.6</v>
      </c>
      <c r="U851" s="84">
        <f t="shared" si="183"/>
        <v>12554.2</v>
      </c>
    </row>
    <row r="852" spans="1:21" ht="33">
      <c r="A852" s="61" t="str">
        <f ca="1">IF(ISERROR(MATCH(E852,Код_КЦСР,0)),"",INDIRECT(ADDRESS(MATCH(E852,Код_КЦСР,0)+1,2,,,"КЦСР")))</f>
        <v xml:space="preserve">Осуществление денежных выплат работникам муниципальных образовательных учреждений     </v>
      </c>
      <c r="B852" s="126">
        <v>805</v>
      </c>
      <c r="C852" s="8" t="s">
        <v>186</v>
      </c>
      <c r="D852" s="8" t="s">
        <v>214</v>
      </c>
      <c r="E852" s="126" t="s">
        <v>292</v>
      </c>
      <c r="F852" s="126"/>
      <c r="G852" s="69">
        <f t="shared" si="192"/>
        <v>12418.6</v>
      </c>
      <c r="H852" s="69">
        <f t="shared" si="192"/>
        <v>0</v>
      </c>
      <c r="I852" s="69">
        <f t="shared" si="182"/>
        <v>12418.6</v>
      </c>
      <c r="J852" s="69">
        <f t="shared" si="192"/>
        <v>0</v>
      </c>
      <c r="K852" s="84">
        <f t="shared" si="179"/>
        <v>12418.6</v>
      </c>
      <c r="L852" s="13">
        <f t="shared" si="192"/>
        <v>0</v>
      </c>
      <c r="M852" s="84">
        <f t="shared" si="184"/>
        <v>12418.6</v>
      </c>
      <c r="N852" s="13">
        <f t="shared" si="192"/>
        <v>0</v>
      </c>
      <c r="O852" s="84">
        <f t="shared" si="185"/>
        <v>12418.6</v>
      </c>
      <c r="P852" s="13">
        <f t="shared" si="192"/>
        <v>0</v>
      </c>
      <c r="Q852" s="84">
        <f t="shared" si="191"/>
        <v>12418.6</v>
      </c>
      <c r="R852" s="13">
        <f t="shared" si="192"/>
        <v>0</v>
      </c>
      <c r="S852" s="84">
        <f t="shared" si="189"/>
        <v>12418.6</v>
      </c>
      <c r="T852" s="13">
        <f t="shared" si="192"/>
        <v>135.6</v>
      </c>
      <c r="U852" s="84">
        <f t="shared" si="183"/>
        <v>12554.2</v>
      </c>
    </row>
    <row r="853" spans="1:21" ht="89.25" customHeight="1">
      <c r="A853" s="61" t="str">
        <f ca="1">IF(ISERROR(MATCH(E853,Код_КЦСР,0)),"",INDIRECT(ADDRESS(MATCH(E853,Код_КЦСР,0)+1,2,,,"КЦСР")))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853" s="126">
        <v>805</v>
      </c>
      <c r="C853" s="8" t="s">
        <v>186</v>
      </c>
      <c r="D853" s="8" t="s">
        <v>214</v>
      </c>
      <c r="E853" s="126" t="s">
        <v>452</v>
      </c>
      <c r="F853" s="126"/>
      <c r="G853" s="69">
        <f t="shared" si="192"/>
        <v>12418.6</v>
      </c>
      <c r="H853" s="69">
        <f t="shared" si="192"/>
        <v>0</v>
      </c>
      <c r="I853" s="69">
        <f t="shared" si="182"/>
        <v>12418.6</v>
      </c>
      <c r="J853" s="69">
        <f t="shared" si="192"/>
        <v>0</v>
      </c>
      <c r="K853" s="84">
        <f t="shared" si="179"/>
        <v>12418.6</v>
      </c>
      <c r="L853" s="13">
        <f t="shared" si="192"/>
        <v>0</v>
      </c>
      <c r="M853" s="84">
        <f t="shared" si="184"/>
        <v>12418.6</v>
      </c>
      <c r="N853" s="13">
        <f t="shared" si="192"/>
        <v>0</v>
      </c>
      <c r="O853" s="84">
        <f t="shared" si="185"/>
        <v>12418.6</v>
      </c>
      <c r="P853" s="13">
        <f t="shared" si="192"/>
        <v>0</v>
      </c>
      <c r="Q853" s="84">
        <f t="shared" si="191"/>
        <v>12418.6</v>
      </c>
      <c r="R853" s="13">
        <f t="shared" si="192"/>
        <v>0</v>
      </c>
      <c r="S853" s="84">
        <f t="shared" si="189"/>
        <v>12418.6</v>
      </c>
      <c r="T853" s="13">
        <f t="shared" si="192"/>
        <v>135.6</v>
      </c>
      <c r="U853" s="84">
        <f t="shared" si="183"/>
        <v>12554.2</v>
      </c>
    </row>
    <row r="854" spans="1:21">
      <c r="A854" s="61" t="str">
        <f ca="1">IF(ISERROR(MATCH(F854,Код_КВР,0)),"",INDIRECT(ADDRESS(MATCH(F854,Код_КВР,0)+1,2,,,"КВР")))</f>
        <v>Социальное обеспечение и иные выплаты населению</v>
      </c>
      <c r="B854" s="126">
        <v>805</v>
      </c>
      <c r="C854" s="8" t="s">
        <v>186</v>
      </c>
      <c r="D854" s="8" t="s">
        <v>214</v>
      </c>
      <c r="E854" s="126" t="s">
        <v>452</v>
      </c>
      <c r="F854" s="126">
        <v>300</v>
      </c>
      <c r="G854" s="69">
        <f t="shared" si="192"/>
        <v>12418.6</v>
      </c>
      <c r="H854" s="69">
        <f t="shared" si="192"/>
        <v>0</v>
      </c>
      <c r="I854" s="69">
        <f t="shared" si="182"/>
        <v>12418.6</v>
      </c>
      <c r="J854" s="69">
        <f t="shared" si="192"/>
        <v>0</v>
      </c>
      <c r="K854" s="84">
        <f t="shared" ref="K854:K920" si="193">I854+J854</f>
        <v>12418.6</v>
      </c>
      <c r="L854" s="13">
        <f t="shared" si="192"/>
        <v>0</v>
      </c>
      <c r="M854" s="84">
        <f t="shared" si="184"/>
        <v>12418.6</v>
      </c>
      <c r="N854" s="13">
        <f t="shared" si="192"/>
        <v>0</v>
      </c>
      <c r="O854" s="84">
        <f t="shared" si="185"/>
        <v>12418.6</v>
      </c>
      <c r="P854" s="13">
        <f t="shared" si="192"/>
        <v>0</v>
      </c>
      <c r="Q854" s="84">
        <f t="shared" si="191"/>
        <v>12418.6</v>
      </c>
      <c r="R854" s="13">
        <f t="shared" si="192"/>
        <v>0</v>
      </c>
      <c r="S854" s="84">
        <f t="shared" si="189"/>
        <v>12418.6</v>
      </c>
      <c r="T854" s="13">
        <f t="shared" si="192"/>
        <v>135.6</v>
      </c>
      <c r="U854" s="84">
        <f t="shared" si="183"/>
        <v>12554.2</v>
      </c>
    </row>
    <row r="855" spans="1:21">
      <c r="A855" s="61" t="str">
        <f ca="1">IF(ISERROR(MATCH(F855,Код_КВР,0)),"",INDIRECT(ADDRESS(MATCH(F855,Код_КВР,0)+1,2,,,"КВР")))</f>
        <v>Публичные нормативные социальные выплаты гражданам</v>
      </c>
      <c r="B855" s="126">
        <v>805</v>
      </c>
      <c r="C855" s="8" t="s">
        <v>186</v>
      </c>
      <c r="D855" s="8" t="s">
        <v>214</v>
      </c>
      <c r="E855" s="126" t="s">
        <v>452</v>
      </c>
      <c r="F855" s="126">
        <v>310</v>
      </c>
      <c r="G855" s="69">
        <f t="shared" si="192"/>
        <v>12418.6</v>
      </c>
      <c r="H855" s="69">
        <f t="shared" si="192"/>
        <v>0</v>
      </c>
      <c r="I855" s="69">
        <f t="shared" si="182"/>
        <v>12418.6</v>
      </c>
      <c r="J855" s="69">
        <f t="shared" si="192"/>
        <v>0</v>
      </c>
      <c r="K855" s="84">
        <f t="shared" si="193"/>
        <v>12418.6</v>
      </c>
      <c r="L855" s="13">
        <f t="shared" si="192"/>
        <v>0</v>
      </c>
      <c r="M855" s="84">
        <f t="shared" si="184"/>
        <v>12418.6</v>
      </c>
      <c r="N855" s="13">
        <f t="shared" si="192"/>
        <v>0</v>
      </c>
      <c r="O855" s="84">
        <f t="shared" si="185"/>
        <v>12418.6</v>
      </c>
      <c r="P855" s="13">
        <f t="shared" si="192"/>
        <v>0</v>
      </c>
      <c r="Q855" s="84">
        <f t="shared" si="191"/>
        <v>12418.6</v>
      </c>
      <c r="R855" s="13">
        <f t="shared" si="192"/>
        <v>0</v>
      </c>
      <c r="S855" s="84">
        <f t="shared" si="189"/>
        <v>12418.6</v>
      </c>
      <c r="T855" s="13">
        <f t="shared" si="192"/>
        <v>135.6</v>
      </c>
      <c r="U855" s="84">
        <f t="shared" si="183"/>
        <v>12554.2</v>
      </c>
    </row>
    <row r="856" spans="1:21" ht="33">
      <c r="A856" s="61" t="str">
        <f ca="1">IF(ISERROR(MATCH(F856,Код_КВР,0)),"",INDIRECT(ADDRESS(MATCH(F856,Код_КВР,0)+1,2,,,"КВР")))</f>
        <v>Пособия, компенсации, меры социальной поддержки по публичным нормативным обязательствам</v>
      </c>
      <c r="B856" s="126">
        <v>805</v>
      </c>
      <c r="C856" s="8" t="s">
        <v>186</v>
      </c>
      <c r="D856" s="8" t="s">
        <v>214</v>
      </c>
      <c r="E856" s="126" t="s">
        <v>452</v>
      </c>
      <c r="F856" s="126">
        <v>313</v>
      </c>
      <c r="G856" s="69">
        <v>12418.6</v>
      </c>
      <c r="H856" s="69"/>
      <c r="I856" s="69">
        <f t="shared" si="182"/>
        <v>12418.6</v>
      </c>
      <c r="J856" s="69"/>
      <c r="K856" s="84">
        <f t="shared" si="193"/>
        <v>12418.6</v>
      </c>
      <c r="L856" s="13"/>
      <c r="M856" s="84">
        <f t="shared" si="184"/>
        <v>12418.6</v>
      </c>
      <c r="N856" s="13"/>
      <c r="O856" s="84">
        <f t="shared" si="185"/>
        <v>12418.6</v>
      </c>
      <c r="P856" s="13"/>
      <c r="Q856" s="84">
        <f t="shared" si="191"/>
        <v>12418.6</v>
      </c>
      <c r="R856" s="13"/>
      <c r="S856" s="84">
        <f t="shared" si="189"/>
        <v>12418.6</v>
      </c>
      <c r="T856" s="13">
        <v>135.6</v>
      </c>
      <c r="U856" s="84">
        <f t="shared" si="183"/>
        <v>12554.2</v>
      </c>
    </row>
    <row r="857" spans="1:21" ht="33">
      <c r="A857" s="61" t="str">
        <f ca="1">IF(ISERROR(MATCH(E857,Код_КЦСР,0)),"",INDIRECT(ADDRESS(MATCH(E857,Код_КЦСР,0)+1,2,,,"КЦСР")))</f>
        <v>Социально-педагогическая поддержка детей-сирот и детей, оставшихся без попечения родителей</v>
      </c>
      <c r="B857" s="126">
        <v>805</v>
      </c>
      <c r="C857" s="8" t="s">
        <v>186</v>
      </c>
      <c r="D857" s="8" t="s">
        <v>214</v>
      </c>
      <c r="E857" s="126" t="s">
        <v>408</v>
      </c>
      <c r="F857" s="126"/>
      <c r="G857" s="69">
        <f t="shared" ref="G857:T863" si="194">G858</f>
        <v>55930</v>
      </c>
      <c r="H857" s="69">
        <f t="shared" si="194"/>
        <v>0</v>
      </c>
      <c r="I857" s="69">
        <f t="shared" si="182"/>
        <v>55930</v>
      </c>
      <c r="J857" s="69">
        <f t="shared" si="194"/>
        <v>0</v>
      </c>
      <c r="K857" s="84">
        <f t="shared" si="193"/>
        <v>55930</v>
      </c>
      <c r="L857" s="13">
        <f t="shared" si="194"/>
        <v>0</v>
      </c>
      <c r="M857" s="84">
        <f t="shared" si="184"/>
        <v>55930</v>
      </c>
      <c r="N857" s="13">
        <f t="shared" si="194"/>
        <v>0</v>
      </c>
      <c r="O857" s="84">
        <f t="shared" si="185"/>
        <v>55930</v>
      </c>
      <c r="P857" s="13">
        <f t="shared" si="194"/>
        <v>0</v>
      </c>
      <c r="Q857" s="84">
        <f t="shared" si="191"/>
        <v>55930</v>
      </c>
      <c r="R857" s="13">
        <f t="shared" si="194"/>
        <v>-2855.5</v>
      </c>
      <c r="S857" s="84">
        <f t="shared" si="189"/>
        <v>53074.5</v>
      </c>
      <c r="T857" s="13">
        <f t="shared" si="194"/>
        <v>3264.5</v>
      </c>
      <c r="U857" s="84">
        <f t="shared" si="183"/>
        <v>56339</v>
      </c>
    </row>
    <row r="858" spans="1:21" ht="153" customHeight="1">
      <c r="A858" s="61" t="str">
        <f ca="1">IF(ISERROR(MATCH(E858,Код_КЦСР,0)),"",INDIRECT(ADDRESS(MATCH(E858,Код_КЦСР,0)+1,2,,,"КЦСР")))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858" s="126">
        <v>805</v>
      </c>
      <c r="C858" s="8" t="s">
        <v>186</v>
      </c>
      <c r="D858" s="8" t="s">
        <v>214</v>
      </c>
      <c r="E858" s="126" t="s">
        <v>429</v>
      </c>
      <c r="F858" s="126"/>
      <c r="G858" s="69">
        <f>G862</f>
        <v>55930</v>
      </c>
      <c r="H858" s="69">
        <f>H862</f>
        <v>0</v>
      </c>
      <c r="I858" s="69">
        <f t="shared" si="182"/>
        <v>55930</v>
      </c>
      <c r="J858" s="69">
        <f>J862</f>
        <v>0</v>
      </c>
      <c r="K858" s="84">
        <f t="shared" si="193"/>
        <v>55930</v>
      </c>
      <c r="L858" s="13">
        <f>L862</f>
        <v>0</v>
      </c>
      <c r="M858" s="84">
        <f t="shared" si="184"/>
        <v>55930</v>
      </c>
      <c r="N858" s="13">
        <f>N862</f>
        <v>0</v>
      </c>
      <c r="O858" s="84">
        <f t="shared" si="185"/>
        <v>55930</v>
      </c>
      <c r="P858" s="13">
        <f>P862</f>
        <v>0</v>
      </c>
      <c r="Q858" s="84">
        <f t="shared" si="191"/>
        <v>55930</v>
      </c>
      <c r="R858" s="13">
        <f>R862</f>
        <v>-2855.5</v>
      </c>
      <c r="S858" s="84">
        <f t="shared" si="189"/>
        <v>53074.5</v>
      </c>
      <c r="T858" s="13">
        <f>T859+T862</f>
        <v>3264.5</v>
      </c>
      <c r="U858" s="84">
        <f t="shared" si="183"/>
        <v>56339</v>
      </c>
    </row>
    <row r="859" spans="1:21">
      <c r="A859" s="61" t="str">
        <f t="shared" ref="A859:A864" ca="1" si="195">IF(ISERROR(MATCH(F859,Код_КВР,0)),"",INDIRECT(ADDRESS(MATCH(F859,Код_КВР,0)+1,2,,,"КВР")))</f>
        <v>Закупка товаров, работ и услуг для муниципальных нужд</v>
      </c>
      <c r="B859" s="126">
        <v>805</v>
      </c>
      <c r="C859" s="8" t="s">
        <v>186</v>
      </c>
      <c r="D859" s="8" t="s">
        <v>214</v>
      </c>
      <c r="E859" s="126" t="s">
        <v>429</v>
      </c>
      <c r="F859" s="126">
        <v>200</v>
      </c>
      <c r="G859" s="69"/>
      <c r="H859" s="69"/>
      <c r="I859" s="69"/>
      <c r="J859" s="69"/>
      <c r="K859" s="84"/>
      <c r="L859" s="13"/>
      <c r="M859" s="84"/>
      <c r="N859" s="13"/>
      <c r="O859" s="84"/>
      <c r="P859" s="13"/>
      <c r="Q859" s="84"/>
      <c r="R859" s="13"/>
      <c r="S859" s="84"/>
      <c r="T859" s="13">
        <f t="shared" si="194"/>
        <v>22622.3</v>
      </c>
      <c r="U859" s="84">
        <f t="shared" si="183"/>
        <v>22622.3</v>
      </c>
    </row>
    <row r="860" spans="1:21" ht="33">
      <c r="A860" s="61" t="str">
        <f t="shared" ca="1" si="195"/>
        <v>Иные закупки товаров, работ и услуг для обеспечения муниципальных нужд</v>
      </c>
      <c r="B860" s="126">
        <v>805</v>
      </c>
      <c r="C860" s="8" t="s">
        <v>186</v>
      </c>
      <c r="D860" s="8" t="s">
        <v>214</v>
      </c>
      <c r="E860" s="126" t="s">
        <v>429</v>
      </c>
      <c r="F860" s="126">
        <v>240</v>
      </c>
      <c r="G860" s="69"/>
      <c r="H860" s="69"/>
      <c r="I860" s="69"/>
      <c r="J860" s="69"/>
      <c r="K860" s="84"/>
      <c r="L860" s="13"/>
      <c r="M860" s="84"/>
      <c r="N860" s="13"/>
      <c r="O860" s="84"/>
      <c r="P860" s="13"/>
      <c r="Q860" s="84"/>
      <c r="R860" s="13"/>
      <c r="S860" s="84"/>
      <c r="T860" s="13">
        <f t="shared" si="194"/>
        <v>22622.3</v>
      </c>
      <c r="U860" s="84">
        <f t="shared" si="183"/>
        <v>22622.3</v>
      </c>
    </row>
    <row r="861" spans="1:21" ht="33">
      <c r="A861" s="61" t="str">
        <f t="shared" ca="1" si="195"/>
        <v xml:space="preserve">Прочая закупка товаров, работ и услуг для обеспечения муниципальных нужд         </v>
      </c>
      <c r="B861" s="126">
        <v>805</v>
      </c>
      <c r="C861" s="8" t="s">
        <v>186</v>
      </c>
      <c r="D861" s="8" t="s">
        <v>214</v>
      </c>
      <c r="E861" s="126" t="s">
        <v>429</v>
      </c>
      <c r="F861" s="126">
        <v>244</v>
      </c>
      <c r="G861" s="69"/>
      <c r="H861" s="69"/>
      <c r="I861" s="69"/>
      <c r="J861" s="69"/>
      <c r="K861" s="84"/>
      <c r="L861" s="13"/>
      <c r="M861" s="84"/>
      <c r="N861" s="13"/>
      <c r="O861" s="84"/>
      <c r="P861" s="13"/>
      <c r="Q861" s="84"/>
      <c r="R861" s="13"/>
      <c r="S861" s="84"/>
      <c r="T861" s="13">
        <f>20635.3+1900+75+12</f>
        <v>22622.3</v>
      </c>
      <c r="U861" s="84">
        <f t="shared" si="183"/>
        <v>22622.3</v>
      </c>
    </row>
    <row r="862" spans="1:21">
      <c r="A862" s="61" t="str">
        <f t="shared" ca="1" si="195"/>
        <v>Социальное обеспечение и иные выплаты населению</v>
      </c>
      <c r="B862" s="126">
        <v>805</v>
      </c>
      <c r="C862" s="8" t="s">
        <v>186</v>
      </c>
      <c r="D862" s="8" t="s">
        <v>214</v>
      </c>
      <c r="E862" s="126" t="s">
        <v>429</v>
      </c>
      <c r="F862" s="126">
        <v>300</v>
      </c>
      <c r="G862" s="69">
        <f t="shared" si="194"/>
        <v>55930</v>
      </c>
      <c r="H862" s="69">
        <f t="shared" si="194"/>
        <v>0</v>
      </c>
      <c r="I862" s="69">
        <f t="shared" si="182"/>
        <v>55930</v>
      </c>
      <c r="J862" s="69">
        <f t="shared" si="194"/>
        <v>0</v>
      </c>
      <c r="K862" s="84">
        <f t="shared" si="193"/>
        <v>55930</v>
      </c>
      <c r="L862" s="13">
        <f t="shared" si="194"/>
        <v>0</v>
      </c>
      <c r="M862" s="84">
        <f t="shared" si="184"/>
        <v>55930</v>
      </c>
      <c r="N862" s="13">
        <f t="shared" si="194"/>
        <v>0</v>
      </c>
      <c r="O862" s="84">
        <f t="shared" si="185"/>
        <v>55930</v>
      </c>
      <c r="P862" s="13">
        <f t="shared" si="194"/>
        <v>0</v>
      </c>
      <c r="Q862" s="84">
        <f t="shared" si="191"/>
        <v>55930</v>
      </c>
      <c r="R862" s="13">
        <f t="shared" si="194"/>
        <v>-2855.5</v>
      </c>
      <c r="S862" s="84">
        <f t="shared" si="189"/>
        <v>53074.5</v>
      </c>
      <c r="T862" s="13">
        <f t="shared" si="194"/>
        <v>-19357.8</v>
      </c>
      <c r="U862" s="84">
        <f t="shared" si="183"/>
        <v>33716.699999999997</v>
      </c>
    </row>
    <row r="863" spans="1:21" ht="33">
      <c r="A863" s="61" t="str">
        <f t="shared" ca="1" si="195"/>
        <v>Социальные выплаты гражданам, кроме публичных нормативных социальных выплат</v>
      </c>
      <c r="B863" s="126">
        <v>805</v>
      </c>
      <c r="C863" s="8" t="s">
        <v>186</v>
      </c>
      <c r="D863" s="8" t="s">
        <v>214</v>
      </c>
      <c r="E863" s="126" t="s">
        <v>429</v>
      </c>
      <c r="F863" s="126">
        <v>320</v>
      </c>
      <c r="G863" s="69">
        <f t="shared" si="194"/>
        <v>55930</v>
      </c>
      <c r="H863" s="69">
        <f t="shared" si="194"/>
        <v>0</v>
      </c>
      <c r="I863" s="69">
        <f t="shared" si="182"/>
        <v>55930</v>
      </c>
      <c r="J863" s="69">
        <f t="shared" si="194"/>
        <v>0</v>
      </c>
      <c r="K863" s="84">
        <f t="shared" si="193"/>
        <v>55930</v>
      </c>
      <c r="L863" s="13">
        <f t="shared" si="194"/>
        <v>0</v>
      </c>
      <c r="M863" s="84">
        <f t="shared" si="184"/>
        <v>55930</v>
      </c>
      <c r="N863" s="13">
        <f t="shared" si="194"/>
        <v>0</v>
      </c>
      <c r="O863" s="84">
        <f t="shared" si="185"/>
        <v>55930</v>
      </c>
      <c r="P863" s="13">
        <f t="shared" si="194"/>
        <v>0</v>
      </c>
      <c r="Q863" s="84">
        <f t="shared" si="191"/>
        <v>55930</v>
      </c>
      <c r="R863" s="13">
        <f t="shared" si="194"/>
        <v>-2855.5</v>
      </c>
      <c r="S863" s="84">
        <f t="shared" si="189"/>
        <v>53074.5</v>
      </c>
      <c r="T863" s="13">
        <f t="shared" si="194"/>
        <v>-19357.8</v>
      </c>
      <c r="U863" s="84">
        <f t="shared" si="183"/>
        <v>33716.699999999997</v>
      </c>
    </row>
    <row r="864" spans="1:21" ht="33">
      <c r="A864" s="61" t="str">
        <f t="shared" ca="1" si="195"/>
        <v>Пособия, компенсации и иные социальные выплаты гражданам, кроме публичных нормативных обязательств</v>
      </c>
      <c r="B864" s="126">
        <v>805</v>
      </c>
      <c r="C864" s="8" t="s">
        <v>186</v>
      </c>
      <c r="D864" s="8" t="s">
        <v>214</v>
      </c>
      <c r="E864" s="126" t="s">
        <v>429</v>
      </c>
      <c r="F864" s="126">
        <v>321</v>
      </c>
      <c r="G864" s="69">
        <v>55930</v>
      </c>
      <c r="H864" s="69"/>
      <c r="I864" s="69">
        <f t="shared" si="182"/>
        <v>55930</v>
      </c>
      <c r="J864" s="69"/>
      <c r="K864" s="84">
        <f t="shared" si="193"/>
        <v>55930</v>
      </c>
      <c r="L864" s="13"/>
      <c r="M864" s="84">
        <f t="shared" si="184"/>
        <v>55930</v>
      </c>
      <c r="N864" s="13"/>
      <c r="O864" s="84">
        <f t="shared" si="185"/>
        <v>55930</v>
      </c>
      <c r="P864" s="13"/>
      <c r="Q864" s="84">
        <f t="shared" si="191"/>
        <v>55930</v>
      </c>
      <c r="R864" s="13">
        <v>-2855.5</v>
      </c>
      <c r="S864" s="84">
        <f t="shared" si="189"/>
        <v>53074.5</v>
      </c>
      <c r="T864" s="13">
        <f>-20635.3+1364.5-75-12</f>
        <v>-19357.8</v>
      </c>
      <c r="U864" s="84">
        <f t="shared" si="183"/>
        <v>33716.699999999997</v>
      </c>
    </row>
    <row r="865" spans="1:21">
      <c r="A865" s="61" t="str">
        <f ca="1">IF(ISERROR(MATCH(B865,Код_ППП,0)),"",INDIRECT(ADDRESS(MATCH(B865,Код_ППП,0)+1,2,,,"ППП")))</f>
        <v>ФИНАНСОВОЕ УПРАВЛЕНИЕ МЭРИИ ГОРОДА</v>
      </c>
      <c r="B865" s="126">
        <v>807</v>
      </c>
      <c r="C865" s="8"/>
      <c r="D865" s="8"/>
      <c r="E865" s="126"/>
      <c r="F865" s="126"/>
      <c r="G865" s="69">
        <f>G866+G898+G906</f>
        <v>267430.09999999998</v>
      </c>
      <c r="H865" s="69">
        <f>H866+H898+H906</f>
        <v>-73691.899999999994</v>
      </c>
      <c r="I865" s="69">
        <f t="shared" si="182"/>
        <v>193738.19999999998</v>
      </c>
      <c r="J865" s="69">
        <f>J866+J898+J906</f>
        <v>-50801.299999999996</v>
      </c>
      <c r="K865" s="84">
        <f t="shared" si="193"/>
        <v>142936.9</v>
      </c>
      <c r="L865" s="13">
        <f>L866+L898+L906</f>
        <v>-45726.7</v>
      </c>
      <c r="M865" s="84">
        <f t="shared" si="184"/>
        <v>97210.2</v>
      </c>
      <c r="N865" s="13">
        <f>N866+N898+N906</f>
        <v>-4163</v>
      </c>
      <c r="O865" s="84">
        <f t="shared" si="185"/>
        <v>93047.2</v>
      </c>
      <c r="P865" s="13">
        <f>P866+P898+P906</f>
        <v>0</v>
      </c>
      <c r="Q865" s="84">
        <f t="shared" si="191"/>
        <v>93047.2</v>
      </c>
      <c r="R865" s="13">
        <f>R866+R898+R906</f>
        <v>-373.59999999999991</v>
      </c>
      <c r="S865" s="84">
        <f t="shared" si="189"/>
        <v>92673.599999999991</v>
      </c>
      <c r="T865" s="13">
        <f>T866+T898+T906</f>
        <v>0</v>
      </c>
      <c r="U865" s="84">
        <f t="shared" si="183"/>
        <v>92673.599999999991</v>
      </c>
    </row>
    <row r="866" spans="1:21">
      <c r="A866" s="61" t="str">
        <f ca="1">IF(ISERROR(MATCH(C866,Код_Раздел,0)),"",INDIRECT(ADDRESS(MATCH(C866,Код_Раздел,0)+1,2,,,"Раздел")))</f>
        <v>Общегосударственные  вопросы</v>
      </c>
      <c r="B866" s="126">
        <v>807</v>
      </c>
      <c r="C866" s="8" t="s">
        <v>211</v>
      </c>
      <c r="D866" s="8"/>
      <c r="E866" s="126"/>
      <c r="F866" s="126"/>
      <c r="G866" s="69">
        <f>G867+G883+G890</f>
        <v>103836.29999999999</v>
      </c>
      <c r="H866" s="69">
        <f>H867+H883+H890</f>
        <v>-9691.9</v>
      </c>
      <c r="I866" s="69">
        <f t="shared" si="182"/>
        <v>94144.4</v>
      </c>
      <c r="J866" s="69">
        <f>J867+J883+J890</f>
        <v>-630.1</v>
      </c>
      <c r="K866" s="84">
        <f t="shared" si="193"/>
        <v>93514.299999999988</v>
      </c>
      <c r="L866" s="13">
        <f>L867+L883+L890</f>
        <v>-42706.7</v>
      </c>
      <c r="M866" s="84">
        <f t="shared" si="184"/>
        <v>50807.599999999991</v>
      </c>
      <c r="N866" s="13">
        <f>N867+N883+N890</f>
        <v>-4163</v>
      </c>
      <c r="O866" s="84">
        <f t="shared" si="185"/>
        <v>46644.599999999991</v>
      </c>
      <c r="P866" s="13">
        <f>P867+P883+P890</f>
        <v>0</v>
      </c>
      <c r="Q866" s="84">
        <f t="shared" si="191"/>
        <v>46644.599999999991</v>
      </c>
      <c r="R866" s="13">
        <f>R867+R883+R890</f>
        <v>-373.59999999999991</v>
      </c>
      <c r="S866" s="84">
        <f t="shared" si="189"/>
        <v>46270.999999999993</v>
      </c>
      <c r="T866" s="13">
        <f>T867+T883+T890</f>
        <v>0</v>
      </c>
      <c r="U866" s="84">
        <f t="shared" si="183"/>
        <v>46270.999999999993</v>
      </c>
    </row>
    <row r="867" spans="1:21" ht="33">
      <c r="A867" s="12" t="s">
        <v>163</v>
      </c>
      <c r="B867" s="126">
        <v>807</v>
      </c>
      <c r="C867" s="8" t="s">
        <v>211</v>
      </c>
      <c r="D867" s="8" t="s">
        <v>215</v>
      </c>
      <c r="E867" s="126"/>
      <c r="F867" s="126"/>
      <c r="G867" s="69">
        <f>G868</f>
        <v>34284.999999999993</v>
      </c>
      <c r="H867" s="69">
        <f>H868</f>
        <v>0</v>
      </c>
      <c r="I867" s="69">
        <f t="shared" si="182"/>
        <v>34284.999999999993</v>
      </c>
      <c r="J867" s="69">
        <f>J868</f>
        <v>0</v>
      </c>
      <c r="K867" s="84">
        <f t="shared" si="193"/>
        <v>34284.999999999993</v>
      </c>
      <c r="L867" s="13">
        <f>L868</f>
        <v>0</v>
      </c>
      <c r="M867" s="84">
        <f t="shared" si="184"/>
        <v>34284.999999999993</v>
      </c>
      <c r="N867" s="13">
        <f>N868</f>
        <v>0</v>
      </c>
      <c r="O867" s="84">
        <f t="shared" si="185"/>
        <v>34284.999999999993</v>
      </c>
      <c r="P867" s="13">
        <f>P868</f>
        <v>0</v>
      </c>
      <c r="Q867" s="84">
        <f t="shared" si="191"/>
        <v>34284.999999999993</v>
      </c>
      <c r="R867" s="13">
        <f>R868</f>
        <v>-63.5</v>
      </c>
      <c r="S867" s="84">
        <f t="shared" si="189"/>
        <v>34221.499999999993</v>
      </c>
      <c r="T867" s="13">
        <f>T868</f>
        <v>0</v>
      </c>
      <c r="U867" s="84">
        <f t="shared" si="183"/>
        <v>34221.499999999993</v>
      </c>
    </row>
    <row r="868" spans="1:21" ht="33">
      <c r="A868" s="61" t="str">
        <f ca="1">IF(ISERROR(MATCH(E868,Код_КЦСР,0)),"",INDIRECT(ADDRESS(MATCH(E868,Код_КЦСР,0)+1,2,,,"КЦСР")))</f>
        <v>Непрограммные направления деятельности органов местного самоуправления</v>
      </c>
      <c r="B868" s="126">
        <v>807</v>
      </c>
      <c r="C868" s="8" t="s">
        <v>211</v>
      </c>
      <c r="D868" s="8" t="s">
        <v>215</v>
      </c>
      <c r="E868" s="126" t="s">
        <v>295</v>
      </c>
      <c r="F868" s="126"/>
      <c r="G868" s="69">
        <f>G869</f>
        <v>34284.999999999993</v>
      </c>
      <c r="H868" s="69">
        <f>H869</f>
        <v>0</v>
      </c>
      <c r="I868" s="69">
        <f t="shared" si="182"/>
        <v>34284.999999999993</v>
      </c>
      <c r="J868" s="69">
        <f>J869</f>
        <v>0</v>
      </c>
      <c r="K868" s="84">
        <f t="shared" si="193"/>
        <v>34284.999999999993</v>
      </c>
      <c r="L868" s="13">
        <f>L869</f>
        <v>0</v>
      </c>
      <c r="M868" s="84">
        <f t="shared" si="184"/>
        <v>34284.999999999993</v>
      </c>
      <c r="N868" s="13">
        <f>N869</f>
        <v>0</v>
      </c>
      <c r="O868" s="84">
        <f t="shared" si="185"/>
        <v>34284.999999999993</v>
      </c>
      <c r="P868" s="13">
        <f>P869</f>
        <v>0</v>
      </c>
      <c r="Q868" s="84">
        <f t="shared" si="191"/>
        <v>34284.999999999993</v>
      </c>
      <c r="R868" s="13">
        <f>R869</f>
        <v>-63.5</v>
      </c>
      <c r="S868" s="84">
        <f>Q868+R868</f>
        <v>34221.499999999993</v>
      </c>
      <c r="T868" s="13">
        <f>T869</f>
        <v>0</v>
      </c>
      <c r="U868" s="84">
        <f t="shared" si="183"/>
        <v>34221.499999999993</v>
      </c>
    </row>
    <row r="869" spans="1:21">
      <c r="A869" s="61" t="str">
        <f ca="1">IF(ISERROR(MATCH(E869,Код_КЦСР,0)),"",INDIRECT(ADDRESS(MATCH(E869,Код_КЦСР,0)+1,2,,,"КЦСР")))</f>
        <v>Расходы, не включенные в муниципальные программы города Череповца</v>
      </c>
      <c r="B869" s="126">
        <v>807</v>
      </c>
      <c r="C869" s="8" t="s">
        <v>211</v>
      </c>
      <c r="D869" s="8" t="s">
        <v>215</v>
      </c>
      <c r="E869" s="126" t="s">
        <v>297</v>
      </c>
      <c r="F869" s="126"/>
      <c r="G869" s="69">
        <f>G870+G880</f>
        <v>34284.999999999993</v>
      </c>
      <c r="H869" s="69">
        <f>H870+H880</f>
        <v>0</v>
      </c>
      <c r="I869" s="69">
        <f t="shared" si="182"/>
        <v>34284.999999999993</v>
      </c>
      <c r="J869" s="69">
        <f>J870+J880</f>
        <v>0</v>
      </c>
      <c r="K869" s="84">
        <f t="shared" si="193"/>
        <v>34284.999999999993</v>
      </c>
      <c r="L869" s="13">
        <f>L870+L880</f>
        <v>0</v>
      </c>
      <c r="M869" s="84">
        <f t="shared" si="184"/>
        <v>34284.999999999993</v>
      </c>
      <c r="N869" s="13">
        <f>N870+N880</f>
        <v>0</v>
      </c>
      <c r="O869" s="84">
        <f t="shared" si="185"/>
        <v>34284.999999999993</v>
      </c>
      <c r="P869" s="13">
        <f>P870+P880</f>
        <v>0</v>
      </c>
      <c r="Q869" s="84">
        <f t="shared" si="191"/>
        <v>34284.999999999993</v>
      </c>
      <c r="R869" s="13">
        <f>R870+R880</f>
        <v>-63.5</v>
      </c>
      <c r="S869" s="84">
        <f t="shared" si="189"/>
        <v>34221.499999999993</v>
      </c>
      <c r="T869" s="13">
        <f>T870+T880</f>
        <v>0</v>
      </c>
      <c r="U869" s="84">
        <f t="shared" si="183"/>
        <v>34221.499999999993</v>
      </c>
    </row>
    <row r="870" spans="1:21" ht="33">
      <c r="A870" s="61" t="str">
        <f ca="1">IF(ISERROR(MATCH(E870,Код_КЦСР,0)),"",INDIRECT(ADDRESS(MATCH(E870,Код_КЦСР,0)+1,2,,,"КЦСР")))</f>
        <v>Руководство и управление в сфере установленных функций органов местного самоуправления</v>
      </c>
      <c r="B870" s="126">
        <v>807</v>
      </c>
      <c r="C870" s="8" t="s">
        <v>211</v>
      </c>
      <c r="D870" s="8" t="s">
        <v>215</v>
      </c>
      <c r="E870" s="126" t="s">
        <v>299</v>
      </c>
      <c r="F870" s="126"/>
      <c r="G870" s="69">
        <f>G871</f>
        <v>34037.299999999996</v>
      </c>
      <c r="H870" s="69">
        <f>H871</f>
        <v>0</v>
      </c>
      <c r="I870" s="69">
        <f t="shared" si="182"/>
        <v>34037.299999999996</v>
      </c>
      <c r="J870" s="69">
        <f>J871</f>
        <v>0</v>
      </c>
      <c r="K870" s="84">
        <f t="shared" si="193"/>
        <v>34037.299999999996</v>
      </c>
      <c r="L870" s="13">
        <f>L871</f>
        <v>0</v>
      </c>
      <c r="M870" s="84">
        <f t="shared" si="184"/>
        <v>34037.299999999996</v>
      </c>
      <c r="N870" s="13">
        <f>N871</f>
        <v>0</v>
      </c>
      <c r="O870" s="84">
        <f t="shared" si="185"/>
        <v>34037.299999999996</v>
      </c>
      <c r="P870" s="13">
        <f>P871</f>
        <v>0</v>
      </c>
      <c r="Q870" s="84">
        <f t="shared" si="191"/>
        <v>34037.299999999996</v>
      </c>
      <c r="R870" s="13">
        <f>R871</f>
        <v>-63.5</v>
      </c>
      <c r="S870" s="84">
        <f t="shared" si="189"/>
        <v>33973.799999999996</v>
      </c>
      <c r="T870" s="13">
        <f>T871</f>
        <v>0</v>
      </c>
      <c r="U870" s="84">
        <f t="shared" si="183"/>
        <v>33973.799999999996</v>
      </c>
    </row>
    <row r="871" spans="1:21">
      <c r="A871" s="61" t="str">
        <f ca="1">IF(ISERROR(MATCH(E871,Код_КЦСР,0)),"",INDIRECT(ADDRESS(MATCH(E871,Код_КЦСР,0)+1,2,,,"КЦСР")))</f>
        <v>Центральный аппарат</v>
      </c>
      <c r="B871" s="126">
        <v>807</v>
      </c>
      <c r="C871" s="8" t="s">
        <v>211</v>
      </c>
      <c r="D871" s="8" t="s">
        <v>215</v>
      </c>
      <c r="E871" s="126" t="s">
        <v>302</v>
      </c>
      <c r="F871" s="126"/>
      <c r="G871" s="69">
        <f>G872+G874+G877</f>
        <v>34037.299999999996</v>
      </c>
      <c r="H871" s="69">
        <f>H872+H874+H877</f>
        <v>0</v>
      </c>
      <c r="I871" s="69">
        <f t="shared" si="182"/>
        <v>34037.299999999996</v>
      </c>
      <c r="J871" s="69">
        <f>J872+J874+J877</f>
        <v>0</v>
      </c>
      <c r="K871" s="84">
        <f t="shared" si="193"/>
        <v>34037.299999999996</v>
      </c>
      <c r="L871" s="13">
        <f>L872+L874+L877</f>
        <v>0</v>
      </c>
      <c r="M871" s="84">
        <f t="shared" si="184"/>
        <v>34037.299999999996</v>
      </c>
      <c r="N871" s="13">
        <f>N872+N874+N877</f>
        <v>0</v>
      </c>
      <c r="O871" s="84">
        <f t="shared" si="185"/>
        <v>34037.299999999996</v>
      </c>
      <c r="P871" s="13">
        <f>P872+P874+P877</f>
        <v>0</v>
      </c>
      <c r="Q871" s="84">
        <f t="shared" si="191"/>
        <v>34037.299999999996</v>
      </c>
      <c r="R871" s="13">
        <f>R872+R874+R877</f>
        <v>-63.5</v>
      </c>
      <c r="S871" s="84">
        <f t="shared" si="189"/>
        <v>33973.799999999996</v>
      </c>
      <c r="T871" s="13">
        <f>T872+T874+T877</f>
        <v>0</v>
      </c>
      <c r="U871" s="84">
        <f t="shared" si="183"/>
        <v>33973.799999999996</v>
      </c>
    </row>
    <row r="872" spans="1:21" ht="33">
      <c r="A872" s="61" t="str">
        <f t="shared" ref="A872:A878" ca="1" si="196">IF(ISERROR(MATCH(F872,Код_КВР,0)),"",INDIRECT(ADDRESS(MATCH(F872,Код_КВР,0)+1,2,,,"КВР")))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72" s="126">
        <v>807</v>
      </c>
      <c r="C872" s="8" t="s">
        <v>211</v>
      </c>
      <c r="D872" s="8" t="s">
        <v>215</v>
      </c>
      <c r="E872" s="126" t="s">
        <v>302</v>
      </c>
      <c r="F872" s="126">
        <v>100</v>
      </c>
      <c r="G872" s="69">
        <f>G873</f>
        <v>33963.1</v>
      </c>
      <c r="H872" s="69">
        <f>H873</f>
        <v>0</v>
      </c>
      <c r="I872" s="69">
        <f t="shared" ref="I872:I949" si="197">G872+H872</f>
        <v>33963.1</v>
      </c>
      <c r="J872" s="69">
        <f>J873</f>
        <v>0</v>
      </c>
      <c r="K872" s="84">
        <f t="shared" si="193"/>
        <v>33963.1</v>
      </c>
      <c r="L872" s="13">
        <f>L873</f>
        <v>0</v>
      </c>
      <c r="M872" s="84">
        <f t="shared" si="184"/>
        <v>33963.1</v>
      </c>
      <c r="N872" s="13">
        <f>N873</f>
        <v>0</v>
      </c>
      <c r="O872" s="84">
        <f t="shared" si="185"/>
        <v>33963.1</v>
      </c>
      <c r="P872" s="13">
        <f>P873</f>
        <v>0</v>
      </c>
      <c r="Q872" s="84">
        <f t="shared" si="191"/>
        <v>33963.1</v>
      </c>
      <c r="R872" s="13">
        <f>R873</f>
        <v>-63.5</v>
      </c>
      <c r="S872" s="84">
        <f t="shared" si="189"/>
        <v>33899.599999999999</v>
      </c>
      <c r="T872" s="13">
        <f>T873</f>
        <v>0</v>
      </c>
      <c r="U872" s="84">
        <f t="shared" si="183"/>
        <v>33899.599999999999</v>
      </c>
    </row>
    <row r="873" spans="1:21">
      <c r="A873" s="61" t="str">
        <f t="shared" ca="1" si="196"/>
        <v>Расходы на выплаты персоналу муниципальных органов</v>
      </c>
      <c r="B873" s="126">
        <v>807</v>
      </c>
      <c r="C873" s="8" t="s">
        <v>211</v>
      </c>
      <c r="D873" s="8" t="s">
        <v>215</v>
      </c>
      <c r="E873" s="126" t="s">
        <v>302</v>
      </c>
      <c r="F873" s="126">
        <v>120</v>
      </c>
      <c r="G873" s="69">
        <v>33963.1</v>
      </c>
      <c r="H873" s="69"/>
      <c r="I873" s="69">
        <f t="shared" si="197"/>
        <v>33963.1</v>
      </c>
      <c r="J873" s="69"/>
      <c r="K873" s="84">
        <f t="shared" si="193"/>
        <v>33963.1</v>
      </c>
      <c r="L873" s="13"/>
      <c r="M873" s="84">
        <f t="shared" si="184"/>
        <v>33963.1</v>
      </c>
      <c r="N873" s="13"/>
      <c r="O873" s="84">
        <f t="shared" si="185"/>
        <v>33963.1</v>
      </c>
      <c r="P873" s="13"/>
      <c r="Q873" s="84">
        <f t="shared" si="191"/>
        <v>33963.1</v>
      </c>
      <c r="R873" s="13">
        <v>-63.5</v>
      </c>
      <c r="S873" s="84">
        <f t="shared" si="189"/>
        <v>33899.599999999999</v>
      </c>
      <c r="T873" s="13"/>
      <c r="U873" s="84">
        <f t="shared" ref="U873:U936" si="198">S873+T873</f>
        <v>33899.599999999999</v>
      </c>
    </row>
    <row r="874" spans="1:21">
      <c r="A874" s="61" t="str">
        <f t="shared" ca="1" si="196"/>
        <v>Закупка товаров, работ и услуг для муниципальных нужд</v>
      </c>
      <c r="B874" s="126">
        <v>807</v>
      </c>
      <c r="C874" s="8" t="s">
        <v>211</v>
      </c>
      <c r="D874" s="8" t="s">
        <v>215</v>
      </c>
      <c r="E874" s="126" t="s">
        <v>302</v>
      </c>
      <c r="F874" s="126">
        <v>200</v>
      </c>
      <c r="G874" s="69">
        <f>G875</f>
        <v>72.7</v>
      </c>
      <c r="H874" s="69">
        <f>H875</f>
        <v>0</v>
      </c>
      <c r="I874" s="69">
        <f t="shared" si="197"/>
        <v>72.7</v>
      </c>
      <c r="J874" s="69">
        <f>J875</f>
        <v>0</v>
      </c>
      <c r="K874" s="84">
        <f t="shared" si="193"/>
        <v>72.7</v>
      </c>
      <c r="L874" s="13">
        <f>L875</f>
        <v>0</v>
      </c>
      <c r="M874" s="84">
        <f t="shared" ref="M874:M945" si="199">K874+L874</f>
        <v>72.7</v>
      </c>
      <c r="N874" s="13">
        <f>N875</f>
        <v>0</v>
      </c>
      <c r="O874" s="84">
        <f t="shared" ref="O874:O945" si="200">M874+N874</f>
        <v>72.7</v>
      </c>
      <c r="P874" s="13">
        <f>P875</f>
        <v>0</v>
      </c>
      <c r="Q874" s="84">
        <f t="shared" si="191"/>
        <v>72.7</v>
      </c>
      <c r="R874" s="13">
        <f>R875</f>
        <v>0</v>
      </c>
      <c r="S874" s="84">
        <f t="shared" si="189"/>
        <v>72.7</v>
      </c>
      <c r="T874" s="13">
        <f>T875</f>
        <v>0</v>
      </c>
      <c r="U874" s="84">
        <f t="shared" si="198"/>
        <v>72.7</v>
      </c>
    </row>
    <row r="875" spans="1:21" ht="33">
      <c r="A875" s="61" t="str">
        <f t="shared" ca="1" si="196"/>
        <v>Иные закупки товаров, работ и услуг для обеспечения муниципальных нужд</v>
      </c>
      <c r="B875" s="126">
        <v>807</v>
      </c>
      <c r="C875" s="8" t="s">
        <v>211</v>
      </c>
      <c r="D875" s="8" t="s">
        <v>215</v>
      </c>
      <c r="E875" s="126" t="s">
        <v>302</v>
      </c>
      <c r="F875" s="126">
        <v>240</v>
      </c>
      <c r="G875" s="69">
        <f>G876</f>
        <v>72.7</v>
      </c>
      <c r="H875" s="69">
        <f>H876</f>
        <v>0</v>
      </c>
      <c r="I875" s="69">
        <f t="shared" si="197"/>
        <v>72.7</v>
      </c>
      <c r="J875" s="69">
        <f>J876</f>
        <v>0</v>
      </c>
      <c r="K875" s="84">
        <f t="shared" si="193"/>
        <v>72.7</v>
      </c>
      <c r="L875" s="13">
        <f>L876</f>
        <v>0</v>
      </c>
      <c r="M875" s="84">
        <f t="shared" si="199"/>
        <v>72.7</v>
      </c>
      <c r="N875" s="13">
        <f>N876</f>
        <v>0</v>
      </c>
      <c r="O875" s="84">
        <f t="shared" si="200"/>
        <v>72.7</v>
      </c>
      <c r="P875" s="13">
        <f>P876</f>
        <v>0</v>
      </c>
      <c r="Q875" s="84">
        <f t="shared" si="191"/>
        <v>72.7</v>
      </c>
      <c r="R875" s="13">
        <f>R876</f>
        <v>0</v>
      </c>
      <c r="S875" s="84">
        <f t="shared" si="189"/>
        <v>72.7</v>
      </c>
      <c r="T875" s="13">
        <f>T876</f>
        <v>0</v>
      </c>
      <c r="U875" s="84">
        <f t="shared" si="198"/>
        <v>72.7</v>
      </c>
    </row>
    <row r="876" spans="1:21" ht="33">
      <c r="A876" s="61" t="str">
        <f t="shared" ca="1" si="196"/>
        <v xml:space="preserve">Прочая закупка товаров, работ и услуг для обеспечения муниципальных нужд         </v>
      </c>
      <c r="B876" s="126">
        <v>807</v>
      </c>
      <c r="C876" s="8" t="s">
        <v>211</v>
      </c>
      <c r="D876" s="8" t="s">
        <v>215</v>
      </c>
      <c r="E876" s="126" t="s">
        <v>302</v>
      </c>
      <c r="F876" s="126">
        <v>244</v>
      </c>
      <c r="G876" s="69">
        <v>72.7</v>
      </c>
      <c r="H876" s="69"/>
      <c r="I876" s="69">
        <f t="shared" si="197"/>
        <v>72.7</v>
      </c>
      <c r="J876" s="69"/>
      <c r="K876" s="84">
        <f t="shared" si="193"/>
        <v>72.7</v>
      </c>
      <c r="L876" s="13"/>
      <c r="M876" s="84">
        <f t="shared" si="199"/>
        <v>72.7</v>
      </c>
      <c r="N876" s="13"/>
      <c r="O876" s="84">
        <f t="shared" si="200"/>
        <v>72.7</v>
      </c>
      <c r="P876" s="13"/>
      <c r="Q876" s="84">
        <f t="shared" si="191"/>
        <v>72.7</v>
      </c>
      <c r="R876" s="13"/>
      <c r="S876" s="84">
        <f t="shared" si="189"/>
        <v>72.7</v>
      </c>
      <c r="T876" s="13"/>
      <c r="U876" s="84">
        <f t="shared" si="198"/>
        <v>72.7</v>
      </c>
    </row>
    <row r="877" spans="1:21">
      <c r="A877" s="61" t="str">
        <f t="shared" ca="1" si="196"/>
        <v>Иные бюджетные ассигнования</v>
      </c>
      <c r="B877" s="126">
        <v>807</v>
      </c>
      <c r="C877" s="8" t="s">
        <v>211</v>
      </c>
      <c r="D877" s="8" t="s">
        <v>215</v>
      </c>
      <c r="E877" s="126" t="s">
        <v>302</v>
      </c>
      <c r="F877" s="126">
        <v>800</v>
      </c>
      <c r="G877" s="69">
        <f>G878</f>
        <v>1.5</v>
      </c>
      <c r="H877" s="69">
        <f>H878</f>
        <v>0</v>
      </c>
      <c r="I877" s="69">
        <f t="shared" si="197"/>
        <v>1.5</v>
      </c>
      <c r="J877" s="69">
        <f>J878</f>
        <v>0</v>
      </c>
      <c r="K877" s="84">
        <f t="shared" si="193"/>
        <v>1.5</v>
      </c>
      <c r="L877" s="13">
        <f>L878</f>
        <v>0</v>
      </c>
      <c r="M877" s="84">
        <f t="shared" si="199"/>
        <v>1.5</v>
      </c>
      <c r="N877" s="13">
        <f>N878</f>
        <v>0</v>
      </c>
      <c r="O877" s="84">
        <f t="shared" si="200"/>
        <v>1.5</v>
      </c>
      <c r="P877" s="13">
        <f>P878</f>
        <v>0</v>
      </c>
      <c r="Q877" s="84">
        <f t="shared" si="191"/>
        <v>1.5</v>
      </c>
      <c r="R877" s="13">
        <f>R878</f>
        <v>0</v>
      </c>
      <c r="S877" s="84">
        <f t="shared" si="189"/>
        <v>1.5</v>
      </c>
      <c r="T877" s="13">
        <f>T878</f>
        <v>0</v>
      </c>
      <c r="U877" s="84">
        <f t="shared" si="198"/>
        <v>1.5</v>
      </c>
    </row>
    <row r="878" spans="1:21">
      <c r="A878" s="61" t="str">
        <f t="shared" ca="1" si="196"/>
        <v>Уплата налогов, сборов и иных платежей</v>
      </c>
      <c r="B878" s="126">
        <v>807</v>
      </c>
      <c r="C878" s="8" t="s">
        <v>211</v>
      </c>
      <c r="D878" s="8" t="s">
        <v>215</v>
      </c>
      <c r="E878" s="126" t="s">
        <v>302</v>
      </c>
      <c r="F878" s="126">
        <v>850</v>
      </c>
      <c r="G878" s="69">
        <f>G879</f>
        <v>1.5</v>
      </c>
      <c r="H878" s="69">
        <f>H879</f>
        <v>0</v>
      </c>
      <c r="I878" s="69">
        <f t="shared" si="197"/>
        <v>1.5</v>
      </c>
      <c r="J878" s="69">
        <f>J879</f>
        <v>0</v>
      </c>
      <c r="K878" s="84">
        <f t="shared" si="193"/>
        <v>1.5</v>
      </c>
      <c r="L878" s="13">
        <f>L879</f>
        <v>0</v>
      </c>
      <c r="M878" s="84">
        <f t="shared" si="199"/>
        <v>1.5</v>
      </c>
      <c r="N878" s="13">
        <f>N879</f>
        <v>0</v>
      </c>
      <c r="O878" s="84">
        <f t="shared" si="200"/>
        <v>1.5</v>
      </c>
      <c r="P878" s="13">
        <f>P879</f>
        <v>0</v>
      </c>
      <c r="Q878" s="84">
        <f t="shared" si="191"/>
        <v>1.5</v>
      </c>
      <c r="R878" s="13">
        <f>R879</f>
        <v>0</v>
      </c>
      <c r="S878" s="84">
        <f t="shared" si="189"/>
        <v>1.5</v>
      </c>
      <c r="T878" s="13">
        <f>T879</f>
        <v>0</v>
      </c>
      <c r="U878" s="84">
        <f t="shared" si="198"/>
        <v>1.5</v>
      </c>
    </row>
    <row r="879" spans="1:21">
      <c r="A879" s="61" t="str">
        <f ca="1">IF(ISERROR(MATCH(F879,Код_КВР,0)),"",INDIRECT(ADDRESS(MATCH(F879,Код_КВР,0)+1,2,,,"КВР")))</f>
        <v>Уплата прочих налогов, сборов и иных платежей</v>
      </c>
      <c r="B879" s="126">
        <v>807</v>
      </c>
      <c r="C879" s="8" t="s">
        <v>211</v>
      </c>
      <c r="D879" s="8" t="s">
        <v>215</v>
      </c>
      <c r="E879" s="126" t="s">
        <v>302</v>
      </c>
      <c r="F879" s="126">
        <v>852</v>
      </c>
      <c r="G879" s="69">
        <v>1.5</v>
      </c>
      <c r="H879" s="69"/>
      <c r="I879" s="69">
        <f t="shared" si="197"/>
        <v>1.5</v>
      </c>
      <c r="J879" s="69"/>
      <c r="K879" s="84">
        <f t="shared" si="193"/>
        <v>1.5</v>
      </c>
      <c r="L879" s="13"/>
      <c r="M879" s="84">
        <f t="shared" si="199"/>
        <v>1.5</v>
      </c>
      <c r="N879" s="13"/>
      <c r="O879" s="84">
        <f t="shared" si="200"/>
        <v>1.5</v>
      </c>
      <c r="P879" s="13"/>
      <c r="Q879" s="84">
        <f t="shared" si="191"/>
        <v>1.5</v>
      </c>
      <c r="R879" s="13"/>
      <c r="S879" s="84">
        <f t="shared" si="189"/>
        <v>1.5</v>
      </c>
      <c r="T879" s="13"/>
      <c r="U879" s="84">
        <f t="shared" si="198"/>
        <v>1.5</v>
      </c>
    </row>
    <row r="880" spans="1:21" ht="99.75" customHeight="1">
      <c r="A880" s="61" t="str">
        <f ca="1">IF(ISERROR(MATCH(E880,Код_КЦСР,0)),"",INDIRECT(ADDRESS(MATCH(E880,Код_КЦСР,0)+1,2,,,"КЦСР")))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880" s="126">
        <v>807</v>
      </c>
      <c r="C880" s="8" t="s">
        <v>211</v>
      </c>
      <c r="D880" s="8" t="s">
        <v>215</v>
      </c>
      <c r="E880" s="126" t="s">
        <v>388</v>
      </c>
      <c r="F880" s="126"/>
      <c r="G880" s="69">
        <f>G881</f>
        <v>247.7</v>
      </c>
      <c r="H880" s="69">
        <f>H881</f>
        <v>0</v>
      </c>
      <c r="I880" s="69">
        <f t="shared" si="197"/>
        <v>247.7</v>
      </c>
      <c r="J880" s="69">
        <f>J881</f>
        <v>0</v>
      </c>
      <c r="K880" s="84">
        <f t="shared" si="193"/>
        <v>247.7</v>
      </c>
      <c r="L880" s="13">
        <f>L881</f>
        <v>0</v>
      </c>
      <c r="M880" s="84">
        <f t="shared" si="199"/>
        <v>247.7</v>
      </c>
      <c r="N880" s="13">
        <f>N881</f>
        <v>0</v>
      </c>
      <c r="O880" s="84">
        <f t="shared" si="200"/>
        <v>247.7</v>
      </c>
      <c r="P880" s="13">
        <f>P881</f>
        <v>0</v>
      </c>
      <c r="Q880" s="84">
        <f t="shared" si="191"/>
        <v>247.7</v>
      </c>
      <c r="R880" s="13">
        <f>R881</f>
        <v>0</v>
      </c>
      <c r="S880" s="84">
        <f t="shared" si="189"/>
        <v>247.7</v>
      </c>
      <c r="T880" s="13">
        <f>T881</f>
        <v>0</v>
      </c>
      <c r="U880" s="84">
        <f t="shared" si="198"/>
        <v>247.7</v>
      </c>
    </row>
    <row r="881" spans="1:21" ht="33">
      <c r="A881" s="61" t="str">
        <f ca="1">IF(ISERROR(MATCH(F881,Код_КВР,0)),"",INDIRECT(ADDRESS(MATCH(F881,Код_КВР,0)+1,2,,,"КВР")))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81" s="126">
        <v>807</v>
      </c>
      <c r="C881" s="8" t="s">
        <v>211</v>
      </c>
      <c r="D881" s="8" t="s">
        <v>215</v>
      </c>
      <c r="E881" s="126" t="s">
        <v>388</v>
      </c>
      <c r="F881" s="126">
        <v>100</v>
      </c>
      <c r="G881" s="69">
        <f>G882</f>
        <v>247.7</v>
      </c>
      <c r="H881" s="69">
        <f>H882</f>
        <v>0</v>
      </c>
      <c r="I881" s="69">
        <f t="shared" si="197"/>
        <v>247.7</v>
      </c>
      <c r="J881" s="69">
        <f>J882</f>
        <v>0</v>
      </c>
      <c r="K881" s="84">
        <f t="shared" si="193"/>
        <v>247.7</v>
      </c>
      <c r="L881" s="13">
        <f>L882</f>
        <v>0</v>
      </c>
      <c r="M881" s="84">
        <f t="shared" si="199"/>
        <v>247.7</v>
      </c>
      <c r="N881" s="13">
        <f>N882</f>
        <v>0</v>
      </c>
      <c r="O881" s="84">
        <f t="shared" si="200"/>
        <v>247.7</v>
      </c>
      <c r="P881" s="13">
        <f>P882</f>
        <v>0</v>
      </c>
      <c r="Q881" s="84">
        <f t="shared" si="191"/>
        <v>247.7</v>
      </c>
      <c r="R881" s="13">
        <f>R882</f>
        <v>0</v>
      </c>
      <c r="S881" s="84">
        <f t="shared" si="189"/>
        <v>247.7</v>
      </c>
      <c r="T881" s="13">
        <f>T882</f>
        <v>0</v>
      </c>
      <c r="U881" s="84">
        <f t="shared" si="198"/>
        <v>247.7</v>
      </c>
    </row>
    <row r="882" spans="1:21">
      <c r="A882" s="61" t="str">
        <f ca="1">IF(ISERROR(MATCH(F882,Код_КВР,0)),"",INDIRECT(ADDRESS(MATCH(F882,Код_КВР,0)+1,2,,,"КВР")))</f>
        <v>Расходы на выплаты персоналу муниципальных органов</v>
      </c>
      <c r="B882" s="126">
        <v>807</v>
      </c>
      <c r="C882" s="8" t="s">
        <v>211</v>
      </c>
      <c r="D882" s="8" t="s">
        <v>215</v>
      </c>
      <c r="E882" s="126" t="s">
        <v>388</v>
      </c>
      <c r="F882" s="126">
        <v>120</v>
      </c>
      <c r="G882" s="69">
        <v>247.7</v>
      </c>
      <c r="H882" s="69"/>
      <c r="I882" s="69">
        <f t="shared" si="197"/>
        <v>247.7</v>
      </c>
      <c r="J882" s="69"/>
      <c r="K882" s="84">
        <f t="shared" si="193"/>
        <v>247.7</v>
      </c>
      <c r="L882" s="13"/>
      <c r="M882" s="84">
        <f t="shared" si="199"/>
        <v>247.7</v>
      </c>
      <c r="N882" s="13"/>
      <c r="O882" s="84">
        <f t="shared" si="200"/>
        <v>247.7</v>
      </c>
      <c r="P882" s="13"/>
      <c r="Q882" s="84">
        <f t="shared" si="191"/>
        <v>247.7</v>
      </c>
      <c r="R882" s="13"/>
      <c r="S882" s="84">
        <f t="shared" si="189"/>
        <v>247.7</v>
      </c>
      <c r="T882" s="13"/>
      <c r="U882" s="84">
        <f t="shared" si="198"/>
        <v>247.7</v>
      </c>
    </row>
    <row r="883" spans="1:21">
      <c r="A883" s="12" t="s">
        <v>198</v>
      </c>
      <c r="B883" s="126">
        <v>807</v>
      </c>
      <c r="C883" s="8" t="s">
        <v>211</v>
      </c>
      <c r="D883" s="8" t="s">
        <v>222</v>
      </c>
      <c r="E883" s="126"/>
      <c r="F883" s="126"/>
      <c r="G883" s="69">
        <f t="shared" ref="G883:T888" si="201">G884</f>
        <v>69251.3</v>
      </c>
      <c r="H883" s="69">
        <f t="shared" si="201"/>
        <v>-9691.9</v>
      </c>
      <c r="I883" s="69">
        <f t="shared" si="197"/>
        <v>59559.4</v>
      </c>
      <c r="J883" s="69">
        <f t="shared" si="201"/>
        <v>-630.1</v>
      </c>
      <c r="K883" s="84">
        <f t="shared" si="193"/>
        <v>58929.3</v>
      </c>
      <c r="L883" s="13">
        <f t="shared" si="201"/>
        <v>-42706.7</v>
      </c>
      <c r="M883" s="84">
        <f t="shared" si="199"/>
        <v>16222.600000000006</v>
      </c>
      <c r="N883" s="13">
        <f t="shared" si="201"/>
        <v>-4163</v>
      </c>
      <c r="O883" s="84">
        <f t="shared" si="200"/>
        <v>12059.600000000006</v>
      </c>
      <c r="P883" s="13">
        <f t="shared" si="201"/>
        <v>0</v>
      </c>
      <c r="Q883" s="84">
        <f t="shared" si="191"/>
        <v>12059.600000000006</v>
      </c>
      <c r="R883" s="13">
        <f t="shared" si="201"/>
        <v>-310.09999999999991</v>
      </c>
      <c r="S883" s="84">
        <f t="shared" si="189"/>
        <v>11749.500000000005</v>
      </c>
      <c r="T883" s="13">
        <f t="shared" si="201"/>
        <v>0</v>
      </c>
      <c r="U883" s="84">
        <f t="shared" si="198"/>
        <v>11749.500000000005</v>
      </c>
    </row>
    <row r="884" spans="1:21" ht="33">
      <c r="A884" s="61" t="str">
        <f ca="1">IF(ISERROR(MATCH(E884,Код_КЦСР,0)),"",INDIRECT(ADDRESS(MATCH(E884,Код_КЦСР,0)+1,2,,,"КЦСР")))</f>
        <v>Непрограммные направления деятельности органов местного самоуправления</v>
      </c>
      <c r="B884" s="126">
        <v>807</v>
      </c>
      <c r="C884" s="8" t="s">
        <v>211</v>
      </c>
      <c r="D884" s="8" t="s">
        <v>222</v>
      </c>
      <c r="E884" s="126" t="s">
        <v>295</v>
      </c>
      <c r="F884" s="126"/>
      <c r="G884" s="69">
        <f t="shared" si="201"/>
        <v>69251.3</v>
      </c>
      <c r="H884" s="69">
        <f t="shared" si="201"/>
        <v>-9691.9</v>
      </c>
      <c r="I884" s="69">
        <f t="shared" si="197"/>
        <v>59559.4</v>
      </c>
      <c r="J884" s="69">
        <f t="shared" si="201"/>
        <v>-630.1</v>
      </c>
      <c r="K884" s="84">
        <f t="shared" si="193"/>
        <v>58929.3</v>
      </c>
      <c r="L884" s="13">
        <f t="shared" si="201"/>
        <v>-42706.7</v>
      </c>
      <c r="M884" s="84">
        <f t="shared" si="199"/>
        <v>16222.600000000006</v>
      </c>
      <c r="N884" s="13">
        <f t="shared" si="201"/>
        <v>-4163</v>
      </c>
      <c r="O884" s="84">
        <f t="shared" si="200"/>
        <v>12059.600000000006</v>
      </c>
      <c r="P884" s="13">
        <f t="shared" si="201"/>
        <v>0</v>
      </c>
      <c r="Q884" s="84">
        <f t="shared" si="191"/>
        <v>12059.600000000006</v>
      </c>
      <c r="R884" s="13">
        <f t="shared" si="201"/>
        <v>-310.09999999999991</v>
      </c>
      <c r="S884" s="84">
        <f t="shared" si="189"/>
        <v>11749.500000000005</v>
      </c>
      <c r="T884" s="13">
        <f t="shared" si="201"/>
        <v>0</v>
      </c>
      <c r="U884" s="84">
        <f t="shared" si="198"/>
        <v>11749.500000000005</v>
      </c>
    </row>
    <row r="885" spans="1:21">
      <c r="A885" s="61" t="str">
        <f ca="1">IF(ISERROR(MATCH(E885,Код_КЦСР,0)),"",INDIRECT(ADDRESS(MATCH(E885,Код_КЦСР,0)+1,2,,,"КЦСР")))</f>
        <v>Расходы, не включенные в муниципальные программы города Череповца</v>
      </c>
      <c r="B885" s="126">
        <v>807</v>
      </c>
      <c r="C885" s="8" t="s">
        <v>211</v>
      </c>
      <c r="D885" s="8" t="s">
        <v>222</v>
      </c>
      <c r="E885" s="126" t="s">
        <v>297</v>
      </c>
      <c r="F885" s="126"/>
      <c r="G885" s="69">
        <f t="shared" si="201"/>
        <v>69251.3</v>
      </c>
      <c r="H885" s="69">
        <f t="shared" si="201"/>
        <v>-9691.9</v>
      </c>
      <c r="I885" s="69">
        <f t="shared" si="197"/>
        <v>59559.4</v>
      </c>
      <c r="J885" s="69">
        <f t="shared" si="201"/>
        <v>-630.1</v>
      </c>
      <c r="K885" s="84">
        <f t="shared" si="193"/>
        <v>58929.3</v>
      </c>
      <c r="L885" s="13">
        <f t="shared" si="201"/>
        <v>-42706.7</v>
      </c>
      <c r="M885" s="84">
        <f t="shared" si="199"/>
        <v>16222.600000000006</v>
      </c>
      <c r="N885" s="13">
        <f t="shared" si="201"/>
        <v>-4163</v>
      </c>
      <c r="O885" s="84">
        <f t="shared" si="200"/>
        <v>12059.600000000006</v>
      </c>
      <c r="P885" s="13">
        <f t="shared" si="201"/>
        <v>0</v>
      </c>
      <c r="Q885" s="84">
        <f t="shared" si="191"/>
        <v>12059.600000000006</v>
      </c>
      <c r="R885" s="13">
        <f t="shared" si="201"/>
        <v>-310.09999999999991</v>
      </c>
      <c r="S885" s="84">
        <f t="shared" si="189"/>
        <v>11749.500000000005</v>
      </c>
      <c r="T885" s="13">
        <f t="shared" si="201"/>
        <v>0</v>
      </c>
      <c r="U885" s="84">
        <f t="shared" si="198"/>
        <v>11749.500000000005</v>
      </c>
    </row>
    <row r="886" spans="1:21">
      <c r="A886" s="61" t="str">
        <f ca="1">IF(ISERROR(MATCH(E886,Код_КЦСР,0)),"",INDIRECT(ADDRESS(MATCH(E886,Код_КЦСР,0)+1,2,,,"КЦСР")))</f>
        <v>Резервные фонды</v>
      </c>
      <c r="B886" s="126">
        <v>807</v>
      </c>
      <c r="C886" s="8" t="s">
        <v>211</v>
      </c>
      <c r="D886" s="8" t="s">
        <v>222</v>
      </c>
      <c r="E886" s="126" t="s">
        <v>438</v>
      </c>
      <c r="F886" s="126"/>
      <c r="G886" s="69">
        <f t="shared" si="201"/>
        <v>69251.3</v>
      </c>
      <c r="H886" s="69">
        <f t="shared" si="201"/>
        <v>-9691.9</v>
      </c>
      <c r="I886" s="69">
        <f t="shared" si="197"/>
        <v>59559.4</v>
      </c>
      <c r="J886" s="69">
        <f t="shared" si="201"/>
        <v>-630.1</v>
      </c>
      <c r="K886" s="84">
        <f t="shared" si="193"/>
        <v>58929.3</v>
      </c>
      <c r="L886" s="13">
        <f t="shared" si="201"/>
        <v>-42706.7</v>
      </c>
      <c r="M886" s="84">
        <f t="shared" si="199"/>
        <v>16222.600000000006</v>
      </c>
      <c r="N886" s="13">
        <f t="shared" si="201"/>
        <v>-4163</v>
      </c>
      <c r="O886" s="84">
        <f t="shared" si="200"/>
        <v>12059.600000000006</v>
      </c>
      <c r="P886" s="13">
        <f t="shared" si="201"/>
        <v>0</v>
      </c>
      <c r="Q886" s="84">
        <f t="shared" si="191"/>
        <v>12059.600000000006</v>
      </c>
      <c r="R886" s="13">
        <f t="shared" si="201"/>
        <v>-310.09999999999991</v>
      </c>
      <c r="S886" s="84">
        <f t="shared" si="189"/>
        <v>11749.500000000005</v>
      </c>
      <c r="T886" s="13">
        <f t="shared" si="201"/>
        <v>0</v>
      </c>
      <c r="U886" s="84">
        <f t="shared" si="198"/>
        <v>11749.500000000005</v>
      </c>
    </row>
    <row r="887" spans="1:21">
      <c r="A887" s="61" t="str">
        <f ca="1">IF(ISERROR(MATCH(E887,Код_КЦСР,0)),"",INDIRECT(ADDRESS(MATCH(E887,Код_КЦСР,0)+1,2,,,"КЦСР")))</f>
        <v>Резервные фонды мэрии города</v>
      </c>
      <c r="B887" s="126">
        <v>807</v>
      </c>
      <c r="C887" s="8" t="s">
        <v>211</v>
      </c>
      <c r="D887" s="8" t="s">
        <v>222</v>
      </c>
      <c r="E887" s="126" t="s">
        <v>439</v>
      </c>
      <c r="F887" s="126"/>
      <c r="G887" s="69">
        <f t="shared" si="201"/>
        <v>69251.3</v>
      </c>
      <c r="H887" s="69">
        <f t="shared" si="201"/>
        <v>-9691.9</v>
      </c>
      <c r="I887" s="69">
        <f t="shared" si="197"/>
        <v>59559.4</v>
      </c>
      <c r="J887" s="69">
        <f t="shared" si="201"/>
        <v>-630.1</v>
      </c>
      <c r="K887" s="84">
        <f t="shared" si="193"/>
        <v>58929.3</v>
      </c>
      <c r="L887" s="13">
        <f t="shared" si="201"/>
        <v>-42706.7</v>
      </c>
      <c r="M887" s="84">
        <f t="shared" si="199"/>
        <v>16222.600000000006</v>
      </c>
      <c r="N887" s="13">
        <f t="shared" si="201"/>
        <v>-4163</v>
      </c>
      <c r="O887" s="84">
        <f t="shared" si="200"/>
        <v>12059.600000000006</v>
      </c>
      <c r="P887" s="13">
        <f t="shared" si="201"/>
        <v>0</v>
      </c>
      <c r="Q887" s="84">
        <f t="shared" si="191"/>
        <v>12059.600000000006</v>
      </c>
      <c r="R887" s="13">
        <f t="shared" si="201"/>
        <v>-310.09999999999991</v>
      </c>
      <c r="S887" s="84">
        <f t="shared" si="189"/>
        <v>11749.500000000005</v>
      </c>
      <c r="T887" s="13">
        <f t="shared" si="201"/>
        <v>0</v>
      </c>
      <c r="U887" s="84">
        <f t="shared" si="198"/>
        <v>11749.500000000005</v>
      </c>
    </row>
    <row r="888" spans="1:21">
      <c r="A888" s="61" t="str">
        <f ca="1">IF(ISERROR(MATCH(F888,Код_КВР,0)),"",INDIRECT(ADDRESS(MATCH(F888,Код_КВР,0)+1,2,,,"КВР")))</f>
        <v>Иные бюджетные ассигнования</v>
      </c>
      <c r="B888" s="126">
        <v>807</v>
      </c>
      <c r="C888" s="8" t="s">
        <v>211</v>
      </c>
      <c r="D888" s="8" t="s">
        <v>222</v>
      </c>
      <c r="E888" s="126" t="s">
        <v>439</v>
      </c>
      <c r="F888" s="126">
        <v>800</v>
      </c>
      <c r="G888" s="69">
        <f t="shared" si="201"/>
        <v>69251.3</v>
      </c>
      <c r="H888" s="69">
        <f t="shared" si="201"/>
        <v>-9691.9</v>
      </c>
      <c r="I888" s="69">
        <f t="shared" si="197"/>
        <v>59559.4</v>
      </c>
      <c r="J888" s="69">
        <f t="shared" si="201"/>
        <v>-630.1</v>
      </c>
      <c r="K888" s="84">
        <f t="shared" si="193"/>
        <v>58929.3</v>
      </c>
      <c r="L888" s="13">
        <f t="shared" si="201"/>
        <v>-42706.7</v>
      </c>
      <c r="M888" s="84">
        <f t="shared" si="199"/>
        <v>16222.600000000006</v>
      </c>
      <c r="N888" s="13">
        <f t="shared" si="201"/>
        <v>-4163</v>
      </c>
      <c r="O888" s="84">
        <f t="shared" si="200"/>
        <v>12059.600000000006</v>
      </c>
      <c r="P888" s="13">
        <f t="shared" si="201"/>
        <v>0</v>
      </c>
      <c r="Q888" s="84">
        <f t="shared" si="191"/>
        <v>12059.600000000006</v>
      </c>
      <c r="R888" s="13">
        <f t="shared" si="201"/>
        <v>-310.09999999999991</v>
      </c>
      <c r="S888" s="84">
        <f t="shared" si="189"/>
        <v>11749.500000000005</v>
      </c>
      <c r="T888" s="13">
        <f t="shared" si="201"/>
        <v>0</v>
      </c>
      <c r="U888" s="84">
        <f t="shared" si="198"/>
        <v>11749.500000000005</v>
      </c>
    </row>
    <row r="889" spans="1:21">
      <c r="A889" s="61" t="str">
        <f ca="1">IF(ISERROR(MATCH(F889,Код_КВР,0)),"",INDIRECT(ADDRESS(MATCH(F889,Код_КВР,0)+1,2,,,"КВР")))</f>
        <v>Резервные средства</v>
      </c>
      <c r="B889" s="126">
        <v>807</v>
      </c>
      <c r="C889" s="8" t="s">
        <v>211</v>
      </c>
      <c r="D889" s="8" t="s">
        <v>222</v>
      </c>
      <c r="E889" s="126" t="s">
        <v>439</v>
      </c>
      <c r="F889" s="126">
        <v>870</v>
      </c>
      <c r="G889" s="69">
        <f>106472.7-363.9-35000-1857.5</f>
        <v>69251.3</v>
      </c>
      <c r="H889" s="69">
        <f>-8478.6-1213.3</f>
        <v>-9691.9</v>
      </c>
      <c r="I889" s="69">
        <f t="shared" si="197"/>
        <v>59559.4</v>
      </c>
      <c r="J889" s="69">
        <f>-504.7-134+8.6</f>
        <v>-630.1</v>
      </c>
      <c r="K889" s="84">
        <f t="shared" si="193"/>
        <v>58929.3</v>
      </c>
      <c r="L889" s="13">
        <v>-42706.7</v>
      </c>
      <c r="M889" s="84">
        <f t="shared" si="199"/>
        <v>16222.600000000006</v>
      </c>
      <c r="N889" s="13">
        <f>-3091-1072</f>
        <v>-4163</v>
      </c>
      <c r="O889" s="84">
        <f t="shared" si="200"/>
        <v>12059.600000000006</v>
      </c>
      <c r="P889" s="13"/>
      <c r="Q889" s="84">
        <f t="shared" si="191"/>
        <v>12059.600000000006</v>
      </c>
      <c r="R889" s="13">
        <f>36.2+653.7-1000</f>
        <v>-310.09999999999991</v>
      </c>
      <c r="S889" s="84">
        <f t="shared" si="189"/>
        <v>11749.500000000005</v>
      </c>
      <c r="T889" s="13"/>
      <c r="U889" s="84">
        <f t="shared" si="198"/>
        <v>11749.500000000005</v>
      </c>
    </row>
    <row r="890" spans="1:21">
      <c r="A890" s="12" t="s">
        <v>235</v>
      </c>
      <c r="B890" s="126">
        <v>807</v>
      </c>
      <c r="C890" s="8" t="s">
        <v>211</v>
      </c>
      <c r="D890" s="8" t="s">
        <v>188</v>
      </c>
      <c r="E890" s="126"/>
      <c r="F890" s="126"/>
      <c r="G890" s="69">
        <f t="shared" ref="G890:T896" si="202">G891</f>
        <v>300</v>
      </c>
      <c r="H890" s="69">
        <f t="shared" si="202"/>
        <v>0</v>
      </c>
      <c r="I890" s="69">
        <f t="shared" si="197"/>
        <v>300</v>
      </c>
      <c r="J890" s="69">
        <f t="shared" si="202"/>
        <v>0</v>
      </c>
      <c r="K890" s="84">
        <f t="shared" si="193"/>
        <v>300</v>
      </c>
      <c r="L890" s="13">
        <f t="shared" si="202"/>
        <v>0</v>
      </c>
      <c r="M890" s="84">
        <f t="shared" si="199"/>
        <v>300</v>
      </c>
      <c r="N890" s="13">
        <f t="shared" si="202"/>
        <v>0</v>
      </c>
      <c r="O890" s="84">
        <f t="shared" si="200"/>
        <v>300</v>
      </c>
      <c r="P890" s="13">
        <f t="shared" si="202"/>
        <v>0</v>
      </c>
      <c r="Q890" s="84">
        <f t="shared" si="191"/>
        <v>300</v>
      </c>
      <c r="R890" s="13">
        <f t="shared" si="202"/>
        <v>0</v>
      </c>
      <c r="S890" s="84">
        <f t="shared" si="189"/>
        <v>300</v>
      </c>
      <c r="T890" s="13">
        <f t="shared" si="202"/>
        <v>0</v>
      </c>
      <c r="U890" s="84">
        <f t="shared" si="198"/>
        <v>300</v>
      </c>
    </row>
    <row r="891" spans="1:21" ht="33">
      <c r="A891" s="61" t="str">
        <f ca="1">IF(ISERROR(MATCH(E891,Код_КЦСР,0)),"",INDIRECT(ADDRESS(MATCH(E891,Код_КЦСР,0)+1,2,,,"КЦСР")))</f>
        <v>Непрограммные направления деятельности органов местного самоуправления</v>
      </c>
      <c r="B891" s="126">
        <v>807</v>
      </c>
      <c r="C891" s="8" t="s">
        <v>211</v>
      </c>
      <c r="D891" s="8" t="s">
        <v>188</v>
      </c>
      <c r="E891" s="126" t="s">
        <v>295</v>
      </c>
      <c r="F891" s="126"/>
      <c r="G891" s="69">
        <f t="shared" si="202"/>
        <v>300</v>
      </c>
      <c r="H891" s="69">
        <f t="shared" si="202"/>
        <v>0</v>
      </c>
      <c r="I891" s="69">
        <f t="shared" si="197"/>
        <v>300</v>
      </c>
      <c r="J891" s="69">
        <f t="shared" si="202"/>
        <v>0</v>
      </c>
      <c r="K891" s="84">
        <f t="shared" si="193"/>
        <v>300</v>
      </c>
      <c r="L891" s="13">
        <f t="shared" si="202"/>
        <v>0</v>
      </c>
      <c r="M891" s="84">
        <f t="shared" si="199"/>
        <v>300</v>
      </c>
      <c r="N891" s="13">
        <f t="shared" si="202"/>
        <v>0</v>
      </c>
      <c r="O891" s="84">
        <f t="shared" si="200"/>
        <v>300</v>
      </c>
      <c r="P891" s="13">
        <f t="shared" si="202"/>
        <v>0</v>
      </c>
      <c r="Q891" s="84">
        <f t="shared" si="191"/>
        <v>300</v>
      </c>
      <c r="R891" s="13">
        <f t="shared" si="202"/>
        <v>0</v>
      </c>
      <c r="S891" s="84">
        <f t="shared" si="189"/>
        <v>300</v>
      </c>
      <c r="T891" s="13">
        <f t="shared" si="202"/>
        <v>0</v>
      </c>
      <c r="U891" s="84">
        <f t="shared" si="198"/>
        <v>300</v>
      </c>
    </row>
    <row r="892" spans="1:21">
      <c r="A892" s="61" t="str">
        <f ca="1">IF(ISERROR(MATCH(E892,Код_КЦСР,0)),"",INDIRECT(ADDRESS(MATCH(E892,Код_КЦСР,0)+1,2,,,"КЦСР")))</f>
        <v>Расходы, не включенные в муниципальные программы города Череповца</v>
      </c>
      <c r="B892" s="126">
        <v>807</v>
      </c>
      <c r="C892" s="8" t="s">
        <v>211</v>
      </c>
      <c r="D892" s="8" t="s">
        <v>188</v>
      </c>
      <c r="E892" s="126" t="s">
        <v>297</v>
      </c>
      <c r="F892" s="126"/>
      <c r="G892" s="69">
        <f t="shared" si="202"/>
        <v>300</v>
      </c>
      <c r="H892" s="69">
        <f t="shared" si="202"/>
        <v>0</v>
      </c>
      <c r="I892" s="69">
        <f t="shared" si="197"/>
        <v>300</v>
      </c>
      <c r="J892" s="69">
        <f t="shared" si="202"/>
        <v>0</v>
      </c>
      <c r="K892" s="84">
        <f t="shared" si="193"/>
        <v>300</v>
      </c>
      <c r="L892" s="13">
        <f t="shared" si="202"/>
        <v>0</v>
      </c>
      <c r="M892" s="84">
        <f t="shared" si="199"/>
        <v>300</v>
      </c>
      <c r="N892" s="13">
        <f t="shared" si="202"/>
        <v>0</v>
      </c>
      <c r="O892" s="84">
        <f t="shared" si="200"/>
        <v>300</v>
      </c>
      <c r="P892" s="13">
        <f t="shared" si="202"/>
        <v>0</v>
      </c>
      <c r="Q892" s="84">
        <f t="shared" si="191"/>
        <v>300</v>
      </c>
      <c r="R892" s="13">
        <f t="shared" si="202"/>
        <v>0</v>
      </c>
      <c r="S892" s="84">
        <f t="shared" si="189"/>
        <v>300</v>
      </c>
      <c r="T892" s="13">
        <f t="shared" si="202"/>
        <v>0</v>
      </c>
      <c r="U892" s="84">
        <f t="shared" si="198"/>
        <v>300</v>
      </c>
    </row>
    <row r="893" spans="1:21" ht="33">
      <c r="A893" s="61" t="str">
        <f ca="1">IF(ISERROR(MATCH(E893,Код_КЦСР,0)),"",INDIRECT(ADDRESS(MATCH(E893,Код_КЦСР,0)+1,2,,,"КЦСР")))</f>
        <v>Реализация функций органов местного самоуправления города, связанных с общегородским управлением</v>
      </c>
      <c r="B893" s="126">
        <v>807</v>
      </c>
      <c r="C893" s="8" t="s">
        <v>211</v>
      </c>
      <c r="D893" s="8" t="s">
        <v>188</v>
      </c>
      <c r="E893" s="126" t="s">
        <v>305</v>
      </c>
      <c r="F893" s="126"/>
      <c r="G893" s="69">
        <f t="shared" si="202"/>
        <v>300</v>
      </c>
      <c r="H893" s="69">
        <f t="shared" si="202"/>
        <v>0</v>
      </c>
      <c r="I893" s="69">
        <f t="shared" si="197"/>
        <v>300</v>
      </c>
      <c r="J893" s="69">
        <f t="shared" si="202"/>
        <v>0</v>
      </c>
      <c r="K893" s="84">
        <f t="shared" si="193"/>
        <v>300</v>
      </c>
      <c r="L893" s="13">
        <f t="shared" si="202"/>
        <v>0</v>
      </c>
      <c r="M893" s="84">
        <f t="shared" si="199"/>
        <v>300</v>
      </c>
      <c r="N893" s="13">
        <f t="shared" si="202"/>
        <v>0</v>
      </c>
      <c r="O893" s="84">
        <f t="shared" si="200"/>
        <v>300</v>
      </c>
      <c r="P893" s="13">
        <f t="shared" si="202"/>
        <v>0</v>
      </c>
      <c r="Q893" s="84">
        <f t="shared" si="191"/>
        <v>300</v>
      </c>
      <c r="R893" s="13">
        <f t="shared" si="202"/>
        <v>0</v>
      </c>
      <c r="S893" s="84">
        <f t="shared" si="189"/>
        <v>300</v>
      </c>
      <c r="T893" s="13">
        <f t="shared" si="202"/>
        <v>0</v>
      </c>
      <c r="U893" s="84">
        <f t="shared" si="198"/>
        <v>300</v>
      </c>
    </row>
    <row r="894" spans="1:21">
      <c r="A894" s="61" t="str">
        <f ca="1">IF(ISERROR(MATCH(E894,Код_КЦСР,0)),"",INDIRECT(ADDRESS(MATCH(E894,Код_КЦСР,0)+1,2,,,"КЦСР")))</f>
        <v>Расходы на судебные издержки и исполнение судебных решений</v>
      </c>
      <c r="B894" s="126">
        <v>807</v>
      </c>
      <c r="C894" s="8" t="s">
        <v>211</v>
      </c>
      <c r="D894" s="8" t="s">
        <v>188</v>
      </c>
      <c r="E894" s="126" t="s">
        <v>307</v>
      </c>
      <c r="F894" s="126"/>
      <c r="G894" s="69">
        <f t="shared" si="202"/>
        <v>300</v>
      </c>
      <c r="H894" s="69">
        <f t="shared" si="202"/>
        <v>0</v>
      </c>
      <c r="I894" s="69">
        <f t="shared" si="197"/>
        <v>300</v>
      </c>
      <c r="J894" s="69">
        <f t="shared" si="202"/>
        <v>0</v>
      </c>
      <c r="K894" s="84">
        <f t="shared" si="193"/>
        <v>300</v>
      </c>
      <c r="L894" s="13">
        <f t="shared" si="202"/>
        <v>0</v>
      </c>
      <c r="M894" s="84">
        <f t="shared" si="199"/>
        <v>300</v>
      </c>
      <c r="N894" s="13">
        <f t="shared" si="202"/>
        <v>0</v>
      </c>
      <c r="O894" s="84">
        <f t="shared" si="200"/>
        <v>300</v>
      </c>
      <c r="P894" s="13">
        <f t="shared" si="202"/>
        <v>0</v>
      </c>
      <c r="Q894" s="84">
        <f t="shared" si="191"/>
        <v>300</v>
      </c>
      <c r="R894" s="13">
        <f t="shared" si="202"/>
        <v>0</v>
      </c>
      <c r="S894" s="84">
        <f t="shared" si="189"/>
        <v>300</v>
      </c>
      <c r="T894" s="13">
        <f t="shared" si="202"/>
        <v>0</v>
      </c>
      <c r="U894" s="84">
        <f t="shared" si="198"/>
        <v>300</v>
      </c>
    </row>
    <row r="895" spans="1:21">
      <c r="A895" s="61" t="str">
        <f ca="1">IF(ISERROR(MATCH(F895,Код_КВР,0)),"",INDIRECT(ADDRESS(MATCH(F895,Код_КВР,0)+1,2,,,"КВР")))</f>
        <v>Иные бюджетные ассигнования</v>
      </c>
      <c r="B895" s="126">
        <v>807</v>
      </c>
      <c r="C895" s="8" t="s">
        <v>211</v>
      </c>
      <c r="D895" s="8" t="s">
        <v>188</v>
      </c>
      <c r="E895" s="126" t="s">
        <v>307</v>
      </c>
      <c r="F895" s="126">
        <v>800</v>
      </c>
      <c r="G895" s="69">
        <f t="shared" si="202"/>
        <v>300</v>
      </c>
      <c r="H895" s="69">
        <f t="shared" si="202"/>
        <v>0</v>
      </c>
      <c r="I895" s="69">
        <f t="shared" si="197"/>
        <v>300</v>
      </c>
      <c r="J895" s="69">
        <f t="shared" si="202"/>
        <v>0</v>
      </c>
      <c r="K895" s="84">
        <f t="shared" si="193"/>
        <v>300</v>
      </c>
      <c r="L895" s="13">
        <f t="shared" si="202"/>
        <v>0</v>
      </c>
      <c r="M895" s="84">
        <f t="shared" si="199"/>
        <v>300</v>
      </c>
      <c r="N895" s="13">
        <f t="shared" si="202"/>
        <v>0</v>
      </c>
      <c r="O895" s="84">
        <f t="shared" si="200"/>
        <v>300</v>
      </c>
      <c r="P895" s="13">
        <f t="shared" si="202"/>
        <v>0</v>
      </c>
      <c r="Q895" s="84">
        <f t="shared" si="191"/>
        <v>300</v>
      </c>
      <c r="R895" s="13">
        <f t="shared" si="202"/>
        <v>0</v>
      </c>
      <c r="S895" s="84">
        <f t="shared" si="189"/>
        <v>300</v>
      </c>
      <c r="T895" s="13">
        <f t="shared" si="202"/>
        <v>0</v>
      </c>
      <c r="U895" s="84">
        <f t="shared" si="198"/>
        <v>300</v>
      </c>
    </row>
    <row r="896" spans="1:21">
      <c r="A896" s="61" t="str">
        <f ca="1">IF(ISERROR(MATCH(F896,Код_КВР,0)),"",INDIRECT(ADDRESS(MATCH(F896,Код_КВР,0)+1,2,,,"КВР")))</f>
        <v>Исполнение судебных актов</v>
      </c>
      <c r="B896" s="126">
        <v>807</v>
      </c>
      <c r="C896" s="8" t="s">
        <v>211</v>
      </c>
      <c r="D896" s="8" t="s">
        <v>188</v>
      </c>
      <c r="E896" s="126" t="s">
        <v>307</v>
      </c>
      <c r="F896" s="126">
        <v>830</v>
      </c>
      <c r="G896" s="69">
        <f t="shared" si="202"/>
        <v>300</v>
      </c>
      <c r="H896" s="69">
        <f t="shared" si="202"/>
        <v>0</v>
      </c>
      <c r="I896" s="69">
        <f t="shared" si="197"/>
        <v>300</v>
      </c>
      <c r="J896" s="69">
        <f t="shared" si="202"/>
        <v>0</v>
      </c>
      <c r="K896" s="84">
        <f t="shared" si="193"/>
        <v>300</v>
      </c>
      <c r="L896" s="13">
        <f t="shared" si="202"/>
        <v>0</v>
      </c>
      <c r="M896" s="84">
        <f t="shared" si="199"/>
        <v>300</v>
      </c>
      <c r="N896" s="13">
        <f t="shared" si="202"/>
        <v>0</v>
      </c>
      <c r="O896" s="84">
        <f t="shared" si="200"/>
        <v>300</v>
      </c>
      <c r="P896" s="13">
        <f t="shared" si="202"/>
        <v>0</v>
      </c>
      <c r="Q896" s="84">
        <f t="shared" si="191"/>
        <v>300</v>
      </c>
      <c r="R896" s="13">
        <f t="shared" si="202"/>
        <v>0</v>
      </c>
      <c r="S896" s="84">
        <f t="shared" si="189"/>
        <v>300</v>
      </c>
      <c r="T896" s="13">
        <f t="shared" si="202"/>
        <v>0</v>
      </c>
      <c r="U896" s="84">
        <f t="shared" si="198"/>
        <v>300</v>
      </c>
    </row>
    <row r="897" spans="1:21" ht="87" customHeight="1">
      <c r="A897" s="61" t="str">
        <f ca="1">IF(ISERROR(MATCH(F897,Код_КВР,0)),"",INDIRECT(ADDRESS(MATCH(F897,Код_КВР,0)+1,2,,,"КВР")))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897" s="126">
        <v>807</v>
      </c>
      <c r="C897" s="8" t="s">
        <v>211</v>
      </c>
      <c r="D897" s="8" t="s">
        <v>188</v>
      </c>
      <c r="E897" s="126" t="s">
        <v>307</v>
      </c>
      <c r="F897" s="126">
        <v>831</v>
      </c>
      <c r="G897" s="69">
        <v>300</v>
      </c>
      <c r="H897" s="69"/>
      <c r="I897" s="69">
        <f t="shared" si="197"/>
        <v>300</v>
      </c>
      <c r="J897" s="69"/>
      <c r="K897" s="84">
        <f t="shared" si="193"/>
        <v>300</v>
      </c>
      <c r="L897" s="13"/>
      <c r="M897" s="84">
        <f t="shared" si="199"/>
        <v>300</v>
      </c>
      <c r="N897" s="13"/>
      <c r="O897" s="84">
        <f t="shared" si="200"/>
        <v>300</v>
      </c>
      <c r="P897" s="13"/>
      <c r="Q897" s="84">
        <f t="shared" si="191"/>
        <v>300</v>
      </c>
      <c r="R897" s="13"/>
      <c r="S897" s="84">
        <f t="shared" si="189"/>
        <v>300</v>
      </c>
      <c r="T897" s="13"/>
      <c r="U897" s="84">
        <f t="shared" si="198"/>
        <v>300</v>
      </c>
    </row>
    <row r="898" spans="1:21">
      <c r="A898" s="61" t="str">
        <f ca="1">IF(ISERROR(MATCH(C898,Код_Раздел,0)),"",INDIRECT(ADDRESS(MATCH(C898,Код_Раздел,0)+1,2,,,"Раздел")))</f>
        <v>Национальная экономика</v>
      </c>
      <c r="B898" s="126">
        <v>807</v>
      </c>
      <c r="C898" s="8" t="s">
        <v>214</v>
      </c>
      <c r="D898" s="8"/>
      <c r="E898" s="126"/>
      <c r="F898" s="126"/>
      <c r="G898" s="69">
        <f t="shared" ref="G898:T903" si="203">G899</f>
        <v>117199.6</v>
      </c>
      <c r="H898" s="69">
        <f t="shared" si="203"/>
        <v>-64000</v>
      </c>
      <c r="I898" s="69">
        <f t="shared" si="197"/>
        <v>53199.600000000006</v>
      </c>
      <c r="J898" s="69">
        <f t="shared" si="203"/>
        <v>-50171.199999999997</v>
      </c>
      <c r="K898" s="84">
        <f t="shared" si="193"/>
        <v>3028.4000000000087</v>
      </c>
      <c r="L898" s="13">
        <f t="shared" si="203"/>
        <v>-3020</v>
      </c>
      <c r="M898" s="84">
        <f t="shared" si="199"/>
        <v>8.4000000000087311</v>
      </c>
      <c r="N898" s="13">
        <f t="shared" si="203"/>
        <v>0</v>
      </c>
      <c r="O898" s="84">
        <f t="shared" si="200"/>
        <v>8.4000000000087311</v>
      </c>
      <c r="P898" s="13">
        <f t="shared" si="203"/>
        <v>0</v>
      </c>
      <c r="Q898" s="84">
        <f t="shared" si="191"/>
        <v>8.4000000000087311</v>
      </c>
      <c r="R898" s="13">
        <f t="shared" si="203"/>
        <v>0</v>
      </c>
      <c r="S898" s="84">
        <f t="shared" si="189"/>
        <v>8.4000000000087311</v>
      </c>
      <c r="T898" s="13">
        <f t="shared" si="203"/>
        <v>0</v>
      </c>
      <c r="U898" s="84">
        <f t="shared" si="198"/>
        <v>8.4000000000087311</v>
      </c>
    </row>
    <row r="899" spans="1:21" ht="21" customHeight="1">
      <c r="A899" s="12" t="s">
        <v>221</v>
      </c>
      <c r="B899" s="126">
        <v>807</v>
      </c>
      <c r="C899" s="8" t="s">
        <v>214</v>
      </c>
      <c r="D899" s="8" t="s">
        <v>194</v>
      </c>
      <c r="E899" s="126"/>
      <c r="F899" s="126"/>
      <c r="G899" s="69">
        <f t="shared" si="203"/>
        <v>117199.6</v>
      </c>
      <c r="H899" s="69">
        <f t="shared" si="203"/>
        <v>-64000</v>
      </c>
      <c r="I899" s="69">
        <f t="shared" si="197"/>
        <v>53199.600000000006</v>
      </c>
      <c r="J899" s="69">
        <f t="shared" si="203"/>
        <v>-50171.199999999997</v>
      </c>
      <c r="K899" s="84">
        <f t="shared" si="193"/>
        <v>3028.4000000000087</v>
      </c>
      <c r="L899" s="13">
        <f t="shared" si="203"/>
        <v>-3020</v>
      </c>
      <c r="M899" s="84">
        <f t="shared" si="199"/>
        <v>8.4000000000087311</v>
      </c>
      <c r="N899" s="13">
        <f t="shared" si="203"/>
        <v>0</v>
      </c>
      <c r="O899" s="84">
        <f t="shared" si="200"/>
        <v>8.4000000000087311</v>
      </c>
      <c r="P899" s="13">
        <f t="shared" si="203"/>
        <v>0</v>
      </c>
      <c r="Q899" s="84">
        <f t="shared" si="191"/>
        <v>8.4000000000087311</v>
      </c>
      <c r="R899" s="13">
        <f t="shared" si="203"/>
        <v>0</v>
      </c>
      <c r="S899" s="84">
        <f t="shared" si="189"/>
        <v>8.4000000000087311</v>
      </c>
      <c r="T899" s="13">
        <f t="shared" si="203"/>
        <v>0</v>
      </c>
      <c r="U899" s="84">
        <f t="shared" si="198"/>
        <v>8.4000000000087311</v>
      </c>
    </row>
    <row r="900" spans="1:21" ht="33">
      <c r="A900" s="61" t="str">
        <f ca="1">IF(ISERROR(MATCH(E900,Код_КЦСР,0)),"",INDIRECT(ADDRESS(MATCH(E900,Код_КЦСР,0)+1,2,,,"КЦСР")))</f>
        <v>Непрограммные направления деятельности органов местного самоуправления</v>
      </c>
      <c r="B900" s="126">
        <v>807</v>
      </c>
      <c r="C900" s="8" t="s">
        <v>214</v>
      </c>
      <c r="D900" s="8" t="s">
        <v>194</v>
      </c>
      <c r="E900" s="126" t="s">
        <v>295</v>
      </c>
      <c r="F900" s="126"/>
      <c r="G900" s="69">
        <f t="shared" si="203"/>
        <v>117199.6</v>
      </c>
      <c r="H900" s="69">
        <f t="shared" si="203"/>
        <v>-64000</v>
      </c>
      <c r="I900" s="69">
        <f t="shared" si="197"/>
        <v>53199.600000000006</v>
      </c>
      <c r="J900" s="69">
        <f t="shared" si="203"/>
        <v>-50171.199999999997</v>
      </c>
      <c r="K900" s="84">
        <f t="shared" si="193"/>
        <v>3028.4000000000087</v>
      </c>
      <c r="L900" s="13">
        <f t="shared" si="203"/>
        <v>-3020</v>
      </c>
      <c r="M900" s="84">
        <f t="shared" si="199"/>
        <v>8.4000000000087311</v>
      </c>
      <c r="N900" s="13">
        <f t="shared" si="203"/>
        <v>0</v>
      </c>
      <c r="O900" s="84">
        <f t="shared" si="200"/>
        <v>8.4000000000087311</v>
      </c>
      <c r="P900" s="13">
        <f t="shared" si="203"/>
        <v>0</v>
      </c>
      <c r="Q900" s="84">
        <f t="shared" si="191"/>
        <v>8.4000000000087311</v>
      </c>
      <c r="R900" s="13">
        <f t="shared" si="203"/>
        <v>0</v>
      </c>
      <c r="S900" s="84">
        <f t="shared" si="189"/>
        <v>8.4000000000087311</v>
      </c>
      <c r="T900" s="13">
        <f t="shared" si="203"/>
        <v>0</v>
      </c>
      <c r="U900" s="84">
        <f t="shared" si="198"/>
        <v>8.4000000000087311</v>
      </c>
    </row>
    <row r="901" spans="1:21" ht="22.5" customHeight="1">
      <c r="A901" s="61" t="str">
        <f ca="1">IF(ISERROR(MATCH(E901,Код_КЦСР,0)),"",INDIRECT(ADDRESS(MATCH(E901,Код_КЦСР,0)+1,2,,,"КЦСР")))</f>
        <v>Расходы, не включенные в муниципальные программы города Череповца</v>
      </c>
      <c r="B901" s="126">
        <v>807</v>
      </c>
      <c r="C901" s="8" t="s">
        <v>214</v>
      </c>
      <c r="D901" s="8" t="s">
        <v>194</v>
      </c>
      <c r="E901" s="126" t="s">
        <v>297</v>
      </c>
      <c r="F901" s="126"/>
      <c r="G901" s="69">
        <f t="shared" si="203"/>
        <v>117199.6</v>
      </c>
      <c r="H901" s="69">
        <f t="shared" si="203"/>
        <v>-64000</v>
      </c>
      <c r="I901" s="69">
        <f t="shared" si="197"/>
        <v>53199.600000000006</v>
      </c>
      <c r="J901" s="69">
        <f t="shared" si="203"/>
        <v>-50171.199999999997</v>
      </c>
      <c r="K901" s="84">
        <f t="shared" si="193"/>
        <v>3028.4000000000087</v>
      </c>
      <c r="L901" s="13">
        <f t="shared" si="203"/>
        <v>-3020</v>
      </c>
      <c r="M901" s="84">
        <f t="shared" si="199"/>
        <v>8.4000000000087311</v>
      </c>
      <c r="N901" s="13">
        <f t="shared" si="203"/>
        <v>0</v>
      </c>
      <c r="O901" s="84">
        <f t="shared" si="200"/>
        <v>8.4000000000087311</v>
      </c>
      <c r="P901" s="13">
        <f t="shared" si="203"/>
        <v>0</v>
      </c>
      <c r="Q901" s="84">
        <f t="shared" si="191"/>
        <v>8.4000000000087311</v>
      </c>
      <c r="R901" s="13">
        <f t="shared" si="203"/>
        <v>0</v>
      </c>
      <c r="S901" s="84">
        <f t="shared" si="189"/>
        <v>8.4000000000087311</v>
      </c>
      <c r="T901" s="13">
        <f t="shared" si="203"/>
        <v>0</v>
      </c>
      <c r="U901" s="84">
        <f t="shared" si="198"/>
        <v>8.4000000000087311</v>
      </c>
    </row>
    <row r="902" spans="1:21" ht="19.5" customHeight="1">
      <c r="A902" s="61" t="str">
        <f ca="1">IF(ISERROR(MATCH(E902,Код_КЦСР,0)),"",INDIRECT(ADDRESS(MATCH(E902,Код_КЦСР,0)+1,2,,,"КЦСР")))</f>
        <v>Кредиторская задолженность, сложившаяся по итогам 2013 года</v>
      </c>
      <c r="B902" s="126">
        <v>807</v>
      </c>
      <c r="C902" s="8" t="s">
        <v>214</v>
      </c>
      <c r="D902" s="8" t="s">
        <v>194</v>
      </c>
      <c r="E902" s="126" t="s">
        <v>367</v>
      </c>
      <c r="F902" s="126"/>
      <c r="G902" s="69">
        <f t="shared" si="203"/>
        <v>117199.6</v>
      </c>
      <c r="H902" s="69">
        <f t="shared" si="203"/>
        <v>-64000</v>
      </c>
      <c r="I902" s="69">
        <f t="shared" si="197"/>
        <v>53199.600000000006</v>
      </c>
      <c r="J902" s="69">
        <f t="shared" si="203"/>
        <v>-50171.199999999997</v>
      </c>
      <c r="K902" s="84">
        <f t="shared" si="193"/>
        <v>3028.4000000000087</v>
      </c>
      <c r="L902" s="13">
        <f t="shared" si="203"/>
        <v>-3020</v>
      </c>
      <c r="M902" s="84">
        <f t="shared" si="199"/>
        <v>8.4000000000087311</v>
      </c>
      <c r="N902" s="13">
        <f t="shared" si="203"/>
        <v>0</v>
      </c>
      <c r="O902" s="84">
        <f t="shared" si="200"/>
        <v>8.4000000000087311</v>
      </c>
      <c r="P902" s="13">
        <f t="shared" si="203"/>
        <v>0</v>
      </c>
      <c r="Q902" s="84">
        <f t="shared" si="191"/>
        <v>8.4000000000087311</v>
      </c>
      <c r="R902" s="13">
        <f t="shared" si="203"/>
        <v>0</v>
      </c>
      <c r="S902" s="84">
        <f t="shared" si="189"/>
        <v>8.4000000000087311</v>
      </c>
      <c r="T902" s="13">
        <f t="shared" si="203"/>
        <v>0</v>
      </c>
      <c r="U902" s="84">
        <f t="shared" si="198"/>
        <v>8.4000000000087311</v>
      </c>
    </row>
    <row r="903" spans="1:21" ht="17.25" customHeight="1">
      <c r="A903" s="61" t="str">
        <f ca="1">IF(ISERROR(MATCH(F903,Код_КВР,0)),"",INDIRECT(ADDRESS(MATCH(F903,Код_КВР,0)+1,2,,,"КВР")))</f>
        <v>Закупка товаров, работ и услуг для муниципальных нужд</v>
      </c>
      <c r="B903" s="126">
        <v>807</v>
      </c>
      <c r="C903" s="8" t="s">
        <v>214</v>
      </c>
      <c r="D903" s="8" t="s">
        <v>194</v>
      </c>
      <c r="E903" s="126" t="s">
        <v>367</v>
      </c>
      <c r="F903" s="126">
        <v>200</v>
      </c>
      <c r="G903" s="69">
        <f t="shared" si="203"/>
        <v>117199.6</v>
      </c>
      <c r="H903" s="69">
        <f t="shared" si="203"/>
        <v>-64000</v>
      </c>
      <c r="I903" s="69">
        <f t="shared" si="197"/>
        <v>53199.600000000006</v>
      </c>
      <c r="J903" s="69">
        <f t="shared" si="203"/>
        <v>-50171.199999999997</v>
      </c>
      <c r="K903" s="84">
        <f t="shared" si="193"/>
        <v>3028.4000000000087</v>
      </c>
      <c r="L903" s="13">
        <f t="shared" si="203"/>
        <v>-3020</v>
      </c>
      <c r="M903" s="84">
        <f t="shared" si="199"/>
        <v>8.4000000000087311</v>
      </c>
      <c r="N903" s="13">
        <f t="shared" si="203"/>
        <v>0</v>
      </c>
      <c r="O903" s="84">
        <f t="shared" si="200"/>
        <v>8.4000000000087311</v>
      </c>
      <c r="P903" s="13">
        <f t="shared" si="203"/>
        <v>0</v>
      </c>
      <c r="Q903" s="84">
        <f t="shared" si="191"/>
        <v>8.4000000000087311</v>
      </c>
      <c r="R903" s="13">
        <f t="shared" si="203"/>
        <v>0</v>
      </c>
      <c r="S903" s="84">
        <f t="shared" si="189"/>
        <v>8.4000000000087311</v>
      </c>
      <c r="T903" s="13">
        <f t="shared" si="203"/>
        <v>0</v>
      </c>
      <c r="U903" s="84">
        <f t="shared" si="198"/>
        <v>8.4000000000087311</v>
      </c>
    </row>
    <row r="904" spans="1:21" ht="33">
      <c r="A904" s="61" t="str">
        <f ca="1">IF(ISERROR(MATCH(F904,Код_КВР,0)),"",INDIRECT(ADDRESS(MATCH(F904,Код_КВР,0)+1,2,,,"КВР")))</f>
        <v>Иные закупки товаров, работ и услуг для обеспечения муниципальных нужд</v>
      </c>
      <c r="B904" s="126">
        <v>807</v>
      </c>
      <c r="C904" s="8" t="s">
        <v>214</v>
      </c>
      <c r="D904" s="8" t="s">
        <v>194</v>
      </c>
      <c r="E904" s="126" t="s">
        <v>367</v>
      </c>
      <c r="F904" s="126">
        <v>240</v>
      </c>
      <c r="G904" s="69">
        <f>G905</f>
        <v>117199.6</v>
      </c>
      <c r="H904" s="69">
        <f>H905</f>
        <v>-64000</v>
      </c>
      <c r="I904" s="69">
        <f t="shared" si="197"/>
        <v>53199.600000000006</v>
      </c>
      <c r="J904" s="69">
        <f>J905</f>
        <v>-50171.199999999997</v>
      </c>
      <c r="K904" s="84">
        <f t="shared" si="193"/>
        <v>3028.4000000000087</v>
      </c>
      <c r="L904" s="13">
        <f>L905</f>
        <v>-3020</v>
      </c>
      <c r="M904" s="84">
        <f t="shared" si="199"/>
        <v>8.4000000000087311</v>
      </c>
      <c r="N904" s="13">
        <f>N905</f>
        <v>0</v>
      </c>
      <c r="O904" s="84">
        <f t="shared" si="200"/>
        <v>8.4000000000087311</v>
      </c>
      <c r="P904" s="13">
        <f>P905</f>
        <v>0</v>
      </c>
      <c r="Q904" s="84">
        <f t="shared" si="191"/>
        <v>8.4000000000087311</v>
      </c>
      <c r="R904" s="13">
        <f>R905</f>
        <v>0</v>
      </c>
      <c r="S904" s="84">
        <f t="shared" si="189"/>
        <v>8.4000000000087311</v>
      </c>
      <c r="T904" s="13">
        <f>T905</f>
        <v>0</v>
      </c>
      <c r="U904" s="84">
        <f t="shared" si="198"/>
        <v>8.4000000000087311</v>
      </c>
    </row>
    <row r="905" spans="1:21" ht="33">
      <c r="A905" s="61" t="str">
        <f ca="1">IF(ISERROR(MATCH(F905,Код_КВР,0)),"",INDIRECT(ADDRESS(MATCH(F905,Код_КВР,0)+1,2,,,"КВР")))</f>
        <v xml:space="preserve">Прочая закупка товаров, работ и услуг для обеспечения муниципальных нужд         </v>
      </c>
      <c r="B905" s="126">
        <v>807</v>
      </c>
      <c r="C905" s="8" t="s">
        <v>214</v>
      </c>
      <c r="D905" s="8" t="s">
        <v>194</v>
      </c>
      <c r="E905" s="126" t="s">
        <v>367</v>
      </c>
      <c r="F905" s="126">
        <v>244</v>
      </c>
      <c r="G905" s="69">
        <v>117199.6</v>
      </c>
      <c r="H905" s="69">
        <v>-64000</v>
      </c>
      <c r="I905" s="69">
        <f t="shared" si="197"/>
        <v>53199.600000000006</v>
      </c>
      <c r="J905" s="69">
        <f>-52847.5+2746-69-0.7</f>
        <v>-50171.199999999997</v>
      </c>
      <c r="K905" s="84">
        <f t="shared" si="193"/>
        <v>3028.4000000000087</v>
      </c>
      <c r="L905" s="13">
        <v>-3020</v>
      </c>
      <c r="M905" s="84">
        <f t="shared" si="199"/>
        <v>8.4000000000087311</v>
      </c>
      <c r="N905" s="13"/>
      <c r="O905" s="84">
        <f t="shared" si="200"/>
        <v>8.4000000000087311</v>
      </c>
      <c r="P905" s="13"/>
      <c r="Q905" s="84">
        <f t="shared" si="191"/>
        <v>8.4000000000087311</v>
      </c>
      <c r="R905" s="13"/>
      <c r="S905" s="84">
        <f t="shared" si="189"/>
        <v>8.4000000000087311</v>
      </c>
      <c r="T905" s="13"/>
      <c r="U905" s="84">
        <f t="shared" si="198"/>
        <v>8.4000000000087311</v>
      </c>
    </row>
    <row r="906" spans="1:21">
      <c r="A906" s="61" t="str">
        <f ca="1">IF(ISERROR(MATCH(C906,Код_Раздел,0)),"",INDIRECT(ADDRESS(MATCH(C906,Код_Раздел,0)+1,2,,,"Раздел")))</f>
        <v>Обслуживание государственного и муниципального долга</v>
      </c>
      <c r="B906" s="126">
        <v>807</v>
      </c>
      <c r="C906" s="8" t="s">
        <v>188</v>
      </c>
      <c r="D906" s="8"/>
      <c r="E906" s="126"/>
      <c r="F906" s="126"/>
      <c r="G906" s="69">
        <f t="shared" ref="G906:T912" si="204">G907</f>
        <v>46394.2</v>
      </c>
      <c r="H906" s="69">
        <f t="shared" si="204"/>
        <v>0</v>
      </c>
      <c r="I906" s="69">
        <f t="shared" si="197"/>
        <v>46394.2</v>
      </c>
      <c r="J906" s="69">
        <f t="shared" si="204"/>
        <v>0</v>
      </c>
      <c r="K906" s="84">
        <f t="shared" si="193"/>
        <v>46394.2</v>
      </c>
      <c r="L906" s="13">
        <f t="shared" si="204"/>
        <v>0</v>
      </c>
      <c r="M906" s="84">
        <f t="shared" si="199"/>
        <v>46394.2</v>
      </c>
      <c r="N906" s="13">
        <f t="shared" si="204"/>
        <v>0</v>
      </c>
      <c r="O906" s="84">
        <f t="shared" si="200"/>
        <v>46394.2</v>
      </c>
      <c r="P906" s="13">
        <f t="shared" si="204"/>
        <v>0</v>
      </c>
      <c r="Q906" s="84">
        <f t="shared" si="191"/>
        <v>46394.2</v>
      </c>
      <c r="R906" s="13">
        <f t="shared" si="204"/>
        <v>0</v>
      </c>
      <c r="S906" s="84">
        <f t="shared" si="189"/>
        <v>46394.2</v>
      </c>
      <c r="T906" s="13">
        <f t="shared" si="204"/>
        <v>0</v>
      </c>
      <c r="U906" s="84">
        <f t="shared" si="198"/>
        <v>46394.2</v>
      </c>
    </row>
    <row r="907" spans="1:21">
      <c r="A907" s="12" t="s">
        <v>258</v>
      </c>
      <c r="B907" s="126">
        <v>807</v>
      </c>
      <c r="C907" s="8" t="s">
        <v>188</v>
      </c>
      <c r="D907" s="8" t="s">
        <v>211</v>
      </c>
      <c r="E907" s="126"/>
      <c r="F907" s="126"/>
      <c r="G907" s="69">
        <f t="shared" si="204"/>
        <v>46394.2</v>
      </c>
      <c r="H907" s="69">
        <f t="shared" si="204"/>
        <v>0</v>
      </c>
      <c r="I907" s="69">
        <f t="shared" si="197"/>
        <v>46394.2</v>
      </c>
      <c r="J907" s="69">
        <f t="shared" si="204"/>
        <v>0</v>
      </c>
      <c r="K907" s="84">
        <f t="shared" si="193"/>
        <v>46394.2</v>
      </c>
      <c r="L907" s="13">
        <f t="shared" si="204"/>
        <v>0</v>
      </c>
      <c r="M907" s="84">
        <f t="shared" si="199"/>
        <v>46394.2</v>
      </c>
      <c r="N907" s="13">
        <f t="shared" si="204"/>
        <v>0</v>
      </c>
      <c r="O907" s="84">
        <f t="shared" si="200"/>
        <v>46394.2</v>
      </c>
      <c r="P907" s="13">
        <f t="shared" si="204"/>
        <v>0</v>
      </c>
      <c r="Q907" s="84">
        <f t="shared" si="191"/>
        <v>46394.2</v>
      </c>
      <c r="R907" s="13">
        <f t="shared" si="204"/>
        <v>0</v>
      </c>
      <c r="S907" s="84">
        <f t="shared" si="189"/>
        <v>46394.2</v>
      </c>
      <c r="T907" s="13">
        <f t="shared" si="204"/>
        <v>0</v>
      </c>
      <c r="U907" s="84">
        <f t="shared" si="198"/>
        <v>46394.2</v>
      </c>
    </row>
    <row r="908" spans="1:21" ht="33">
      <c r="A908" s="61" t="str">
        <f ca="1">IF(ISERROR(MATCH(E908,Код_КЦСР,0)),"",INDIRECT(ADDRESS(MATCH(E908,Код_КЦСР,0)+1,2,,,"КЦСР")))</f>
        <v>Непрограммные направления деятельности органов местного самоуправления</v>
      </c>
      <c r="B908" s="126">
        <v>807</v>
      </c>
      <c r="C908" s="8" t="s">
        <v>188</v>
      </c>
      <c r="D908" s="8" t="s">
        <v>211</v>
      </c>
      <c r="E908" s="126" t="s">
        <v>295</v>
      </c>
      <c r="F908" s="126"/>
      <c r="G908" s="69">
        <f t="shared" si="204"/>
        <v>46394.2</v>
      </c>
      <c r="H908" s="69">
        <f t="shared" si="204"/>
        <v>0</v>
      </c>
      <c r="I908" s="69">
        <f t="shared" si="197"/>
        <v>46394.2</v>
      </c>
      <c r="J908" s="69">
        <f t="shared" si="204"/>
        <v>0</v>
      </c>
      <c r="K908" s="84">
        <f t="shared" si="193"/>
        <v>46394.2</v>
      </c>
      <c r="L908" s="13">
        <f t="shared" si="204"/>
        <v>0</v>
      </c>
      <c r="M908" s="84">
        <f t="shared" si="199"/>
        <v>46394.2</v>
      </c>
      <c r="N908" s="13">
        <f t="shared" si="204"/>
        <v>0</v>
      </c>
      <c r="O908" s="84">
        <f t="shared" si="200"/>
        <v>46394.2</v>
      </c>
      <c r="P908" s="13">
        <f t="shared" si="204"/>
        <v>0</v>
      </c>
      <c r="Q908" s="84">
        <f t="shared" si="191"/>
        <v>46394.2</v>
      </c>
      <c r="R908" s="13">
        <f t="shared" si="204"/>
        <v>0</v>
      </c>
      <c r="S908" s="84">
        <f t="shared" si="189"/>
        <v>46394.2</v>
      </c>
      <c r="T908" s="13">
        <f t="shared" si="204"/>
        <v>0</v>
      </c>
      <c r="U908" s="84">
        <f t="shared" si="198"/>
        <v>46394.2</v>
      </c>
    </row>
    <row r="909" spans="1:21">
      <c r="A909" s="61" t="str">
        <f ca="1">IF(ISERROR(MATCH(E909,Код_КЦСР,0)),"",INDIRECT(ADDRESS(MATCH(E909,Код_КЦСР,0)+1,2,,,"КЦСР")))</f>
        <v>Расходы, не включенные в муниципальные программы города Череповца</v>
      </c>
      <c r="B909" s="126">
        <v>807</v>
      </c>
      <c r="C909" s="8" t="s">
        <v>188</v>
      </c>
      <c r="D909" s="8" t="s">
        <v>211</v>
      </c>
      <c r="E909" s="126" t="s">
        <v>297</v>
      </c>
      <c r="F909" s="126"/>
      <c r="G909" s="69">
        <f t="shared" si="204"/>
        <v>46394.2</v>
      </c>
      <c r="H909" s="69">
        <f t="shared" si="204"/>
        <v>0</v>
      </c>
      <c r="I909" s="69">
        <f t="shared" si="197"/>
        <v>46394.2</v>
      </c>
      <c r="J909" s="69">
        <f t="shared" si="204"/>
        <v>0</v>
      </c>
      <c r="K909" s="84">
        <f t="shared" si="193"/>
        <v>46394.2</v>
      </c>
      <c r="L909" s="13">
        <f t="shared" si="204"/>
        <v>0</v>
      </c>
      <c r="M909" s="84">
        <f t="shared" si="199"/>
        <v>46394.2</v>
      </c>
      <c r="N909" s="13">
        <f t="shared" si="204"/>
        <v>0</v>
      </c>
      <c r="O909" s="84">
        <f t="shared" si="200"/>
        <v>46394.2</v>
      </c>
      <c r="P909" s="13">
        <f t="shared" si="204"/>
        <v>0</v>
      </c>
      <c r="Q909" s="84">
        <f t="shared" si="191"/>
        <v>46394.2</v>
      </c>
      <c r="R909" s="13">
        <f t="shared" si="204"/>
        <v>0</v>
      </c>
      <c r="S909" s="84">
        <f t="shared" ref="S909:S993" si="205">Q909+R909</f>
        <v>46394.2</v>
      </c>
      <c r="T909" s="13">
        <f t="shared" si="204"/>
        <v>0</v>
      </c>
      <c r="U909" s="84">
        <f t="shared" si="198"/>
        <v>46394.2</v>
      </c>
    </row>
    <row r="910" spans="1:21">
      <c r="A910" s="61" t="str">
        <f ca="1">IF(ISERROR(MATCH(E910,Код_КЦСР,0)),"",INDIRECT(ADDRESS(MATCH(E910,Код_КЦСР,0)+1,2,,,"КЦСР")))</f>
        <v>Процентные платежи по долговым обязательствам</v>
      </c>
      <c r="B910" s="126">
        <v>807</v>
      </c>
      <c r="C910" s="8" t="s">
        <v>188</v>
      </c>
      <c r="D910" s="8" t="s">
        <v>211</v>
      </c>
      <c r="E910" s="126" t="s">
        <v>310</v>
      </c>
      <c r="F910" s="126"/>
      <c r="G910" s="69">
        <f t="shared" si="204"/>
        <v>46394.2</v>
      </c>
      <c r="H910" s="69">
        <f t="shared" si="204"/>
        <v>0</v>
      </c>
      <c r="I910" s="69">
        <f t="shared" si="197"/>
        <v>46394.2</v>
      </c>
      <c r="J910" s="69">
        <f t="shared" si="204"/>
        <v>0</v>
      </c>
      <c r="K910" s="84">
        <f t="shared" si="193"/>
        <v>46394.2</v>
      </c>
      <c r="L910" s="13">
        <f t="shared" si="204"/>
        <v>0</v>
      </c>
      <c r="M910" s="84">
        <f t="shared" si="199"/>
        <v>46394.2</v>
      </c>
      <c r="N910" s="13">
        <f t="shared" si="204"/>
        <v>0</v>
      </c>
      <c r="O910" s="84">
        <f t="shared" si="200"/>
        <v>46394.2</v>
      </c>
      <c r="P910" s="13">
        <f t="shared" si="204"/>
        <v>0</v>
      </c>
      <c r="Q910" s="84">
        <f t="shared" si="191"/>
        <v>46394.2</v>
      </c>
      <c r="R910" s="13">
        <f t="shared" si="204"/>
        <v>0</v>
      </c>
      <c r="S910" s="84">
        <f t="shared" si="205"/>
        <v>46394.2</v>
      </c>
      <c r="T910" s="13">
        <f t="shared" si="204"/>
        <v>0</v>
      </c>
      <c r="U910" s="84">
        <f t="shared" si="198"/>
        <v>46394.2</v>
      </c>
    </row>
    <row r="911" spans="1:21">
      <c r="A911" s="61" t="str">
        <f ca="1">IF(ISERROR(MATCH(E911,Код_КЦСР,0)),"",INDIRECT(ADDRESS(MATCH(E911,Код_КЦСР,0)+1,2,,,"КЦСР")))</f>
        <v>Процентные платежи по муниципальному долгу</v>
      </c>
      <c r="B911" s="126">
        <v>807</v>
      </c>
      <c r="C911" s="8" t="s">
        <v>188</v>
      </c>
      <c r="D911" s="8" t="s">
        <v>211</v>
      </c>
      <c r="E911" s="126" t="s">
        <v>311</v>
      </c>
      <c r="F911" s="126"/>
      <c r="G911" s="69">
        <f t="shared" si="204"/>
        <v>46394.2</v>
      </c>
      <c r="H911" s="69">
        <f t="shared" si="204"/>
        <v>0</v>
      </c>
      <c r="I911" s="69">
        <f t="shared" si="197"/>
        <v>46394.2</v>
      </c>
      <c r="J911" s="69">
        <f t="shared" si="204"/>
        <v>0</v>
      </c>
      <c r="K911" s="84">
        <f t="shared" si="193"/>
        <v>46394.2</v>
      </c>
      <c r="L911" s="13">
        <f t="shared" si="204"/>
        <v>0</v>
      </c>
      <c r="M911" s="84">
        <f t="shared" si="199"/>
        <v>46394.2</v>
      </c>
      <c r="N911" s="13">
        <f t="shared" si="204"/>
        <v>0</v>
      </c>
      <c r="O911" s="84">
        <f t="shared" si="200"/>
        <v>46394.2</v>
      </c>
      <c r="P911" s="13">
        <f t="shared" si="204"/>
        <v>0</v>
      </c>
      <c r="Q911" s="84">
        <f t="shared" si="191"/>
        <v>46394.2</v>
      </c>
      <c r="R911" s="13">
        <f t="shared" si="204"/>
        <v>0</v>
      </c>
      <c r="S911" s="84">
        <f t="shared" si="205"/>
        <v>46394.2</v>
      </c>
      <c r="T911" s="13">
        <f t="shared" si="204"/>
        <v>0</v>
      </c>
      <c r="U911" s="84">
        <f t="shared" si="198"/>
        <v>46394.2</v>
      </c>
    </row>
    <row r="912" spans="1:21">
      <c r="A912" s="61" t="str">
        <f ca="1">IF(ISERROR(MATCH(F912,Код_КВР,0)),"",INDIRECT(ADDRESS(MATCH(F912,Код_КВР,0)+1,2,,,"КВР")))</f>
        <v>Обслуживание государственного (муниципального) долга</v>
      </c>
      <c r="B912" s="126">
        <v>807</v>
      </c>
      <c r="C912" s="8" t="s">
        <v>188</v>
      </c>
      <c r="D912" s="8" t="s">
        <v>211</v>
      </c>
      <c r="E912" s="126" t="s">
        <v>311</v>
      </c>
      <c r="F912" s="126">
        <v>700</v>
      </c>
      <c r="G912" s="69">
        <f t="shared" si="204"/>
        <v>46394.2</v>
      </c>
      <c r="H912" s="69">
        <f t="shared" si="204"/>
        <v>0</v>
      </c>
      <c r="I912" s="69">
        <f t="shared" si="197"/>
        <v>46394.2</v>
      </c>
      <c r="J912" s="69">
        <f t="shared" si="204"/>
        <v>0</v>
      </c>
      <c r="K912" s="84">
        <f t="shared" si="193"/>
        <v>46394.2</v>
      </c>
      <c r="L912" s="13">
        <f t="shared" si="204"/>
        <v>0</v>
      </c>
      <c r="M912" s="84">
        <f t="shared" si="199"/>
        <v>46394.2</v>
      </c>
      <c r="N912" s="13">
        <f t="shared" si="204"/>
        <v>0</v>
      </c>
      <c r="O912" s="84">
        <f t="shared" si="200"/>
        <v>46394.2</v>
      </c>
      <c r="P912" s="13">
        <f t="shared" si="204"/>
        <v>0</v>
      </c>
      <c r="Q912" s="84">
        <f t="shared" si="191"/>
        <v>46394.2</v>
      </c>
      <c r="R912" s="13">
        <f t="shared" si="204"/>
        <v>0</v>
      </c>
      <c r="S912" s="84">
        <f t="shared" si="205"/>
        <v>46394.2</v>
      </c>
      <c r="T912" s="13">
        <f t="shared" si="204"/>
        <v>0</v>
      </c>
      <c r="U912" s="84">
        <f t="shared" si="198"/>
        <v>46394.2</v>
      </c>
    </row>
    <row r="913" spans="1:22">
      <c r="A913" s="61" t="str">
        <f ca="1">IF(ISERROR(MATCH(F913,Код_КВР,0)),"",INDIRECT(ADDRESS(MATCH(F913,Код_КВР,0)+1,2,,,"КВР")))</f>
        <v>Обслуживание муниципального долга</v>
      </c>
      <c r="B913" s="126">
        <v>807</v>
      </c>
      <c r="C913" s="8" t="s">
        <v>188</v>
      </c>
      <c r="D913" s="8" t="s">
        <v>211</v>
      </c>
      <c r="E913" s="126" t="s">
        <v>311</v>
      </c>
      <c r="F913" s="126">
        <v>730</v>
      </c>
      <c r="G913" s="69">
        <v>46394.2</v>
      </c>
      <c r="H913" s="69"/>
      <c r="I913" s="69">
        <f t="shared" si="197"/>
        <v>46394.2</v>
      </c>
      <c r="J913" s="69"/>
      <c r="K913" s="84">
        <f t="shared" si="193"/>
        <v>46394.2</v>
      </c>
      <c r="L913" s="13"/>
      <c r="M913" s="84">
        <f t="shared" si="199"/>
        <v>46394.2</v>
      </c>
      <c r="N913" s="13"/>
      <c r="O913" s="84">
        <f t="shared" si="200"/>
        <v>46394.2</v>
      </c>
      <c r="P913" s="13"/>
      <c r="Q913" s="84">
        <f t="shared" si="191"/>
        <v>46394.2</v>
      </c>
      <c r="R913" s="13"/>
      <c r="S913" s="84">
        <f t="shared" si="205"/>
        <v>46394.2</v>
      </c>
      <c r="T913" s="13"/>
      <c r="U913" s="84">
        <f t="shared" si="198"/>
        <v>46394.2</v>
      </c>
    </row>
    <row r="914" spans="1:22">
      <c r="A914" s="61" t="str">
        <f ca="1">IF(ISERROR(MATCH(B914,Код_ППП,0)),"",INDIRECT(ADDRESS(MATCH(B914,Код_ППП,0)+1,2,,,"ППП")))</f>
        <v>УПРАВЛЕНИЕ ПО ДЕЛАМ КУЛЬТУРЫ МЭРИИ ГОРОДА</v>
      </c>
      <c r="B914" s="126">
        <v>808</v>
      </c>
      <c r="C914" s="8"/>
      <c r="D914" s="8"/>
      <c r="E914" s="126"/>
      <c r="F914" s="126"/>
      <c r="G914" s="69">
        <f>G915+G924+G972</f>
        <v>321679.5</v>
      </c>
      <c r="H914" s="69">
        <f>H915+H924+H972</f>
        <v>0</v>
      </c>
      <c r="I914" s="69">
        <f t="shared" si="197"/>
        <v>321679.5</v>
      </c>
      <c r="J914" s="69">
        <f>J915+J924+J972</f>
        <v>-370.69999999999993</v>
      </c>
      <c r="K914" s="84">
        <f t="shared" si="193"/>
        <v>321308.79999999999</v>
      </c>
      <c r="L914" s="13">
        <f>L915+L924+L972</f>
        <v>-237.10000000000002</v>
      </c>
      <c r="M914" s="84">
        <f t="shared" si="199"/>
        <v>321071.7</v>
      </c>
      <c r="N914" s="13">
        <f>N915+N924+N972</f>
        <v>0</v>
      </c>
      <c r="O914" s="84">
        <f t="shared" si="200"/>
        <v>321071.7</v>
      </c>
      <c r="P914" s="13">
        <f>P915+P924+P972</f>
        <v>140.19999999999999</v>
      </c>
      <c r="Q914" s="84">
        <f t="shared" si="191"/>
        <v>321211.90000000002</v>
      </c>
      <c r="R914" s="13">
        <f>R915+R924+R972</f>
        <v>24156.600000000002</v>
      </c>
      <c r="S914" s="84">
        <f t="shared" si="205"/>
        <v>345368.5</v>
      </c>
      <c r="T914" s="13">
        <f>T915+T924+T972</f>
        <v>199.99999999999972</v>
      </c>
      <c r="U914" s="84">
        <f t="shared" si="198"/>
        <v>345568.5</v>
      </c>
    </row>
    <row r="915" spans="1:22">
      <c r="A915" s="61" t="str">
        <f ca="1">IF(ISERROR(MATCH(C915,Код_Раздел,0)),"",INDIRECT(ADDRESS(MATCH(C915,Код_Раздел,0)+1,2,,,"Раздел")))</f>
        <v>Национальная экономика</v>
      </c>
      <c r="B915" s="126">
        <v>808</v>
      </c>
      <c r="C915" s="8" t="s">
        <v>214</v>
      </c>
      <c r="D915" s="8"/>
      <c r="E915" s="126"/>
      <c r="F915" s="126"/>
      <c r="G915" s="69">
        <f t="shared" ref="G915:T922" si="206">G916</f>
        <v>41.4</v>
      </c>
      <c r="H915" s="69">
        <f t="shared" si="206"/>
        <v>0</v>
      </c>
      <c r="I915" s="69">
        <f t="shared" si="197"/>
        <v>41.4</v>
      </c>
      <c r="J915" s="69">
        <f t="shared" si="206"/>
        <v>0</v>
      </c>
      <c r="K915" s="84">
        <f t="shared" si="193"/>
        <v>41.4</v>
      </c>
      <c r="L915" s="13">
        <f t="shared" si="206"/>
        <v>0</v>
      </c>
      <c r="M915" s="84">
        <f t="shared" si="199"/>
        <v>41.4</v>
      </c>
      <c r="N915" s="13">
        <f t="shared" si="206"/>
        <v>0</v>
      </c>
      <c r="O915" s="84">
        <f t="shared" si="200"/>
        <v>41.4</v>
      </c>
      <c r="P915" s="13">
        <f t="shared" si="206"/>
        <v>0</v>
      </c>
      <c r="Q915" s="84">
        <f t="shared" ref="Q915:Q999" si="207">O915+P915</f>
        <v>41.4</v>
      </c>
      <c r="R915" s="13">
        <f t="shared" si="206"/>
        <v>0</v>
      </c>
      <c r="S915" s="84">
        <f t="shared" si="205"/>
        <v>41.4</v>
      </c>
      <c r="T915" s="13">
        <f t="shared" si="206"/>
        <v>0</v>
      </c>
      <c r="U915" s="84">
        <f t="shared" si="198"/>
        <v>41.4</v>
      </c>
    </row>
    <row r="916" spans="1:22">
      <c r="A916" s="12" t="s">
        <v>221</v>
      </c>
      <c r="B916" s="126">
        <v>808</v>
      </c>
      <c r="C916" s="8" t="s">
        <v>214</v>
      </c>
      <c r="D916" s="8" t="s">
        <v>194</v>
      </c>
      <c r="E916" s="126"/>
      <c r="F916" s="126"/>
      <c r="G916" s="69">
        <f t="shared" si="206"/>
        <v>41.4</v>
      </c>
      <c r="H916" s="69">
        <f t="shared" si="206"/>
        <v>0</v>
      </c>
      <c r="I916" s="69">
        <f t="shared" si="197"/>
        <v>41.4</v>
      </c>
      <c r="J916" s="69">
        <f t="shared" si="206"/>
        <v>0</v>
      </c>
      <c r="K916" s="84">
        <f t="shared" si="193"/>
        <v>41.4</v>
      </c>
      <c r="L916" s="13">
        <f t="shared" si="206"/>
        <v>0</v>
      </c>
      <c r="M916" s="84">
        <f t="shared" si="199"/>
        <v>41.4</v>
      </c>
      <c r="N916" s="13">
        <f t="shared" si="206"/>
        <v>0</v>
      </c>
      <c r="O916" s="84">
        <f t="shared" si="200"/>
        <v>41.4</v>
      </c>
      <c r="P916" s="13">
        <f t="shared" si="206"/>
        <v>0</v>
      </c>
      <c r="Q916" s="84">
        <f t="shared" si="207"/>
        <v>41.4</v>
      </c>
      <c r="R916" s="13">
        <f t="shared" si="206"/>
        <v>0</v>
      </c>
      <c r="S916" s="84">
        <f t="shared" si="205"/>
        <v>41.4</v>
      </c>
      <c r="T916" s="13">
        <f t="shared" si="206"/>
        <v>0</v>
      </c>
      <c r="U916" s="84">
        <f t="shared" si="198"/>
        <v>41.4</v>
      </c>
    </row>
    <row r="917" spans="1:22" ht="33">
      <c r="A917" s="61" t="str">
        <f ca="1">IF(ISERROR(MATCH(E917,Код_КЦСР,0)),"",INDIRECT(ADDRESS(MATCH(E917,Код_КЦСР,0)+1,2,,,"КЦСР")))</f>
        <v>Муниципальная программа «Развитие внутреннего и въездного туризма в г. Череповце» на 2014-2022 годы</v>
      </c>
      <c r="B917" s="126">
        <v>808</v>
      </c>
      <c r="C917" s="8" t="s">
        <v>214</v>
      </c>
      <c r="D917" s="8" t="s">
        <v>194</v>
      </c>
      <c r="E917" s="126" t="s">
        <v>1</v>
      </c>
      <c r="F917" s="126"/>
      <c r="G917" s="69">
        <f t="shared" si="206"/>
        <v>41.4</v>
      </c>
      <c r="H917" s="69">
        <f t="shared" si="206"/>
        <v>0</v>
      </c>
      <c r="I917" s="69">
        <f t="shared" si="197"/>
        <v>41.4</v>
      </c>
      <c r="J917" s="69">
        <f t="shared" si="206"/>
        <v>0</v>
      </c>
      <c r="K917" s="84">
        <f t="shared" si="193"/>
        <v>41.4</v>
      </c>
      <c r="L917" s="13">
        <f t="shared" si="206"/>
        <v>0</v>
      </c>
      <c r="M917" s="84">
        <f t="shared" si="199"/>
        <v>41.4</v>
      </c>
      <c r="N917" s="13">
        <f t="shared" si="206"/>
        <v>0</v>
      </c>
      <c r="O917" s="84">
        <f t="shared" si="200"/>
        <v>41.4</v>
      </c>
      <c r="P917" s="13">
        <f t="shared" si="206"/>
        <v>0</v>
      </c>
      <c r="Q917" s="84">
        <f t="shared" si="207"/>
        <v>41.4</v>
      </c>
      <c r="R917" s="13">
        <f t="shared" si="206"/>
        <v>0</v>
      </c>
      <c r="S917" s="84">
        <f t="shared" si="205"/>
        <v>41.4</v>
      </c>
      <c r="T917" s="13">
        <f t="shared" si="206"/>
        <v>0</v>
      </c>
      <c r="U917" s="84">
        <f t="shared" si="198"/>
        <v>41.4</v>
      </c>
    </row>
    <row r="918" spans="1:22">
      <c r="A918" s="61" t="str">
        <f ca="1">IF(ISERROR(MATCH(E918,Код_КЦСР,0)),"",INDIRECT(ADDRESS(MATCH(E918,Код_КЦСР,0)+1,2,,,"КЦСР")))</f>
        <v>Продвижение городского туристского продукта на российском рынке</v>
      </c>
      <c r="B918" s="126">
        <v>808</v>
      </c>
      <c r="C918" s="8" t="s">
        <v>214</v>
      </c>
      <c r="D918" s="8" t="s">
        <v>194</v>
      </c>
      <c r="E918" s="126" t="s">
        <v>2</v>
      </c>
      <c r="F918" s="126"/>
      <c r="G918" s="69">
        <f>G919+G921</f>
        <v>41.4</v>
      </c>
      <c r="H918" s="69">
        <f>H919+H921</f>
        <v>0</v>
      </c>
      <c r="I918" s="69">
        <f t="shared" si="197"/>
        <v>41.4</v>
      </c>
      <c r="J918" s="69">
        <f>J919+J921</f>
        <v>0</v>
      </c>
      <c r="K918" s="84">
        <f t="shared" si="193"/>
        <v>41.4</v>
      </c>
      <c r="L918" s="13">
        <f>L919+L921</f>
        <v>0</v>
      </c>
      <c r="M918" s="84">
        <f t="shared" si="199"/>
        <v>41.4</v>
      </c>
      <c r="N918" s="13">
        <f>N919+N921</f>
        <v>0</v>
      </c>
      <c r="O918" s="84">
        <f t="shared" si="200"/>
        <v>41.4</v>
      </c>
      <c r="P918" s="13">
        <f>P919+P921</f>
        <v>0</v>
      </c>
      <c r="Q918" s="84">
        <f t="shared" si="207"/>
        <v>41.4</v>
      </c>
      <c r="R918" s="13">
        <f>R919+R921</f>
        <v>0</v>
      </c>
      <c r="S918" s="84">
        <f t="shared" si="205"/>
        <v>41.4</v>
      </c>
      <c r="T918" s="13">
        <f>T919+T921</f>
        <v>0</v>
      </c>
      <c r="U918" s="84">
        <f t="shared" si="198"/>
        <v>41.4</v>
      </c>
    </row>
    <row r="919" spans="1:22" ht="33">
      <c r="A919" s="61" t="str">
        <f ca="1">IF(ISERROR(MATCH(F919,Код_КВР,0)),"",INDIRECT(ADDRESS(MATCH(F919,Код_КВР,0)+1,2,,,"КВР")))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19" s="126">
        <v>808</v>
      </c>
      <c r="C919" s="8" t="s">
        <v>214</v>
      </c>
      <c r="D919" s="8" t="s">
        <v>194</v>
      </c>
      <c r="E919" s="126" t="s">
        <v>2</v>
      </c>
      <c r="F919" s="126">
        <v>100</v>
      </c>
      <c r="G919" s="69">
        <f>G920</f>
        <v>11</v>
      </c>
      <c r="H919" s="69">
        <f>H920</f>
        <v>0</v>
      </c>
      <c r="I919" s="69">
        <f t="shared" si="197"/>
        <v>11</v>
      </c>
      <c r="J919" s="69">
        <f>J920</f>
        <v>0</v>
      </c>
      <c r="K919" s="84">
        <f t="shared" si="193"/>
        <v>11</v>
      </c>
      <c r="L919" s="13">
        <f>L920</f>
        <v>0</v>
      </c>
      <c r="M919" s="84">
        <f t="shared" si="199"/>
        <v>11</v>
      </c>
      <c r="N919" s="13">
        <f>N920</f>
        <v>0</v>
      </c>
      <c r="O919" s="84">
        <f t="shared" si="200"/>
        <v>11</v>
      </c>
      <c r="P919" s="13">
        <f>P920</f>
        <v>0</v>
      </c>
      <c r="Q919" s="84">
        <f t="shared" si="207"/>
        <v>11</v>
      </c>
      <c r="R919" s="13">
        <f>R920</f>
        <v>0</v>
      </c>
      <c r="S919" s="84">
        <f t="shared" si="205"/>
        <v>11</v>
      </c>
      <c r="T919" s="13">
        <f>T920</f>
        <v>0</v>
      </c>
      <c r="U919" s="84">
        <f t="shared" si="198"/>
        <v>11</v>
      </c>
    </row>
    <row r="920" spans="1:22">
      <c r="A920" s="61" t="str">
        <f ca="1">IF(ISERROR(MATCH(F920,Код_КВР,0)),"",INDIRECT(ADDRESS(MATCH(F920,Код_КВР,0)+1,2,,,"КВР")))</f>
        <v>Расходы на выплаты персоналу муниципальных органов</v>
      </c>
      <c r="B920" s="126">
        <v>808</v>
      </c>
      <c r="C920" s="8" t="s">
        <v>214</v>
      </c>
      <c r="D920" s="8" t="s">
        <v>194</v>
      </c>
      <c r="E920" s="126" t="s">
        <v>2</v>
      </c>
      <c r="F920" s="126">
        <v>120</v>
      </c>
      <c r="G920" s="69">
        <v>11</v>
      </c>
      <c r="H920" s="69"/>
      <c r="I920" s="69">
        <f t="shared" si="197"/>
        <v>11</v>
      </c>
      <c r="J920" s="69"/>
      <c r="K920" s="84">
        <f t="shared" si="193"/>
        <v>11</v>
      </c>
      <c r="L920" s="13"/>
      <c r="M920" s="84">
        <f t="shared" si="199"/>
        <v>11</v>
      </c>
      <c r="N920" s="13"/>
      <c r="O920" s="84">
        <f t="shared" si="200"/>
        <v>11</v>
      </c>
      <c r="P920" s="13"/>
      <c r="Q920" s="84">
        <f t="shared" si="207"/>
        <v>11</v>
      </c>
      <c r="R920" s="13"/>
      <c r="S920" s="84">
        <f t="shared" si="205"/>
        <v>11</v>
      </c>
      <c r="T920" s="13"/>
      <c r="U920" s="84">
        <f t="shared" si="198"/>
        <v>11</v>
      </c>
    </row>
    <row r="921" spans="1:22" ht="33">
      <c r="A921" s="61" t="str">
        <f ca="1">IF(ISERROR(MATCH(F921,Код_КВР,0)),"",INDIRECT(ADDRESS(MATCH(F921,Код_КВР,0)+1,2,,,"КВР")))</f>
        <v>Предоставление субсидий бюджетным, автономным учреждениям и иным некоммерческим организациям</v>
      </c>
      <c r="B921" s="126">
        <v>808</v>
      </c>
      <c r="C921" s="8" t="s">
        <v>214</v>
      </c>
      <c r="D921" s="8" t="s">
        <v>194</v>
      </c>
      <c r="E921" s="126" t="s">
        <v>2</v>
      </c>
      <c r="F921" s="126">
        <v>600</v>
      </c>
      <c r="G921" s="69">
        <f t="shared" si="206"/>
        <v>30.4</v>
      </c>
      <c r="H921" s="69">
        <f t="shared" si="206"/>
        <v>0</v>
      </c>
      <c r="I921" s="69">
        <f t="shared" si="197"/>
        <v>30.4</v>
      </c>
      <c r="J921" s="69">
        <f t="shared" si="206"/>
        <v>0</v>
      </c>
      <c r="K921" s="84">
        <f t="shared" ref="K921:K1018" si="208">I921+J921</f>
        <v>30.4</v>
      </c>
      <c r="L921" s="13">
        <f t="shared" si="206"/>
        <v>0</v>
      </c>
      <c r="M921" s="84">
        <f t="shared" si="199"/>
        <v>30.4</v>
      </c>
      <c r="N921" s="13">
        <f t="shared" si="206"/>
        <v>0</v>
      </c>
      <c r="O921" s="84">
        <f t="shared" si="200"/>
        <v>30.4</v>
      </c>
      <c r="P921" s="13">
        <f t="shared" si="206"/>
        <v>0</v>
      </c>
      <c r="Q921" s="84">
        <f t="shared" si="207"/>
        <v>30.4</v>
      </c>
      <c r="R921" s="13">
        <f t="shared" si="206"/>
        <v>0</v>
      </c>
      <c r="S921" s="84">
        <f t="shared" si="205"/>
        <v>30.4</v>
      </c>
      <c r="T921" s="13">
        <f t="shared" si="206"/>
        <v>0</v>
      </c>
      <c r="U921" s="84">
        <f t="shared" si="198"/>
        <v>30.4</v>
      </c>
    </row>
    <row r="922" spans="1:22">
      <c r="A922" s="61" t="str">
        <f ca="1">IF(ISERROR(MATCH(F922,Код_КВР,0)),"",INDIRECT(ADDRESS(MATCH(F922,Код_КВР,0)+1,2,,,"КВР")))</f>
        <v>Субсидии бюджетным учреждениям</v>
      </c>
      <c r="B922" s="126">
        <v>808</v>
      </c>
      <c r="C922" s="8" t="s">
        <v>214</v>
      </c>
      <c r="D922" s="8" t="s">
        <v>194</v>
      </c>
      <c r="E922" s="126" t="s">
        <v>2</v>
      </c>
      <c r="F922" s="126">
        <v>610</v>
      </c>
      <c r="G922" s="69">
        <f t="shared" si="206"/>
        <v>30.4</v>
      </c>
      <c r="H922" s="69">
        <f t="shared" si="206"/>
        <v>0</v>
      </c>
      <c r="I922" s="69">
        <f t="shared" si="197"/>
        <v>30.4</v>
      </c>
      <c r="J922" s="69">
        <f t="shared" si="206"/>
        <v>0</v>
      </c>
      <c r="K922" s="84">
        <f t="shared" si="208"/>
        <v>30.4</v>
      </c>
      <c r="L922" s="13">
        <f t="shared" si="206"/>
        <v>0</v>
      </c>
      <c r="M922" s="84">
        <f t="shared" si="199"/>
        <v>30.4</v>
      </c>
      <c r="N922" s="13">
        <f t="shared" si="206"/>
        <v>0</v>
      </c>
      <c r="O922" s="84">
        <f t="shared" si="200"/>
        <v>30.4</v>
      </c>
      <c r="P922" s="13">
        <f t="shared" si="206"/>
        <v>0</v>
      </c>
      <c r="Q922" s="84">
        <f t="shared" si="207"/>
        <v>30.4</v>
      </c>
      <c r="R922" s="13">
        <f t="shared" si="206"/>
        <v>0</v>
      </c>
      <c r="S922" s="84">
        <f t="shared" si="205"/>
        <v>30.4</v>
      </c>
      <c r="T922" s="13">
        <f t="shared" si="206"/>
        <v>0</v>
      </c>
      <c r="U922" s="84">
        <f t="shared" si="198"/>
        <v>30.4</v>
      </c>
    </row>
    <row r="923" spans="1:22">
      <c r="A923" s="61" t="str">
        <f ca="1">IF(ISERROR(MATCH(F923,Код_КВР,0)),"",INDIRECT(ADDRESS(MATCH(F923,Код_КВР,0)+1,2,,,"КВР")))</f>
        <v>Субсидии бюджетным учреждениям на иные цели</v>
      </c>
      <c r="B923" s="126">
        <v>808</v>
      </c>
      <c r="C923" s="8" t="s">
        <v>214</v>
      </c>
      <c r="D923" s="8" t="s">
        <v>194</v>
      </c>
      <c r="E923" s="126" t="s">
        <v>2</v>
      </c>
      <c r="F923" s="126">
        <v>612</v>
      </c>
      <c r="G923" s="69">
        <v>30.4</v>
      </c>
      <c r="H923" s="69"/>
      <c r="I923" s="69">
        <f t="shared" si="197"/>
        <v>30.4</v>
      </c>
      <c r="J923" s="69"/>
      <c r="K923" s="84">
        <f t="shared" si="208"/>
        <v>30.4</v>
      </c>
      <c r="L923" s="13"/>
      <c r="M923" s="84">
        <f t="shared" si="199"/>
        <v>30.4</v>
      </c>
      <c r="N923" s="13"/>
      <c r="O923" s="84">
        <f t="shared" si="200"/>
        <v>30.4</v>
      </c>
      <c r="P923" s="13"/>
      <c r="Q923" s="84">
        <f t="shared" si="207"/>
        <v>30.4</v>
      </c>
      <c r="R923" s="13"/>
      <c r="S923" s="84">
        <f t="shared" si="205"/>
        <v>30.4</v>
      </c>
      <c r="T923" s="13"/>
      <c r="U923" s="84">
        <f t="shared" si="198"/>
        <v>30.4</v>
      </c>
    </row>
    <row r="924" spans="1:22">
      <c r="A924" s="61" t="str">
        <f ca="1">IF(ISERROR(MATCH(C924,Код_Раздел,0)),"",INDIRECT(ADDRESS(MATCH(C924,Код_Раздел,0)+1,2,,,"Раздел")))</f>
        <v>Образование</v>
      </c>
      <c r="B924" s="126">
        <v>808</v>
      </c>
      <c r="C924" s="8" t="s">
        <v>193</v>
      </c>
      <c r="D924" s="8"/>
      <c r="E924" s="126"/>
      <c r="F924" s="126"/>
      <c r="G924" s="69">
        <f>G925+G946</f>
        <v>61155.1</v>
      </c>
      <c r="H924" s="69">
        <f>H925+H946</f>
        <v>0</v>
      </c>
      <c r="I924" s="69">
        <f t="shared" si="197"/>
        <v>61155.1</v>
      </c>
      <c r="J924" s="69">
        <f>J925+J940+J946</f>
        <v>73.099999999999994</v>
      </c>
      <c r="K924" s="84">
        <f t="shared" si="208"/>
        <v>61228.2</v>
      </c>
      <c r="L924" s="13">
        <f>L925+L940+L946</f>
        <v>-50.9</v>
      </c>
      <c r="M924" s="84">
        <f t="shared" si="199"/>
        <v>61177.299999999996</v>
      </c>
      <c r="N924" s="13">
        <f>N925+N940+N946</f>
        <v>0</v>
      </c>
      <c r="O924" s="84">
        <f t="shared" si="200"/>
        <v>61177.299999999996</v>
      </c>
      <c r="P924" s="13">
        <f>P925+P940+P946</f>
        <v>0</v>
      </c>
      <c r="Q924" s="84">
        <f t="shared" si="207"/>
        <v>61177.299999999996</v>
      </c>
      <c r="R924" s="13">
        <f>R925+R940+R946</f>
        <v>488.5</v>
      </c>
      <c r="S924" s="84">
        <f t="shared" si="205"/>
        <v>61665.799999999996</v>
      </c>
      <c r="T924" s="13">
        <f>T925+T940+T946</f>
        <v>266.89999999999998</v>
      </c>
      <c r="U924" s="84">
        <f t="shared" si="198"/>
        <v>61932.7</v>
      </c>
    </row>
    <row r="925" spans="1:22">
      <c r="A925" s="12" t="s">
        <v>248</v>
      </c>
      <c r="B925" s="126">
        <v>808</v>
      </c>
      <c r="C925" s="8" t="s">
        <v>193</v>
      </c>
      <c r="D925" s="8" t="s">
        <v>212</v>
      </c>
      <c r="E925" s="126"/>
      <c r="F925" s="126"/>
      <c r="G925" s="69">
        <f t="shared" ref="G925:T934" si="209">G926</f>
        <v>60888.1</v>
      </c>
      <c r="H925" s="69">
        <f t="shared" si="209"/>
        <v>0</v>
      </c>
      <c r="I925" s="69">
        <f t="shared" si="197"/>
        <v>60888.1</v>
      </c>
      <c r="J925" s="69">
        <f t="shared" si="209"/>
        <v>0</v>
      </c>
      <c r="K925" s="84">
        <f t="shared" si="208"/>
        <v>60888.1</v>
      </c>
      <c r="L925" s="13">
        <f t="shared" si="209"/>
        <v>-50.9</v>
      </c>
      <c r="M925" s="84">
        <f t="shared" si="199"/>
        <v>60837.2</v>
      </c>
      <c r="N925" s="13">
        <f t="shared" si="209"/>
        <v>0</v>
      </c>
      <c r="O925" s="84">
        <f t="shared" si="200"/>
        <v>60837.2</v>
      </c>
      <c r="P925" s="13">
        <f t="shared" si="209"/>
        <v>0</v>
      </c>
      <c r="Q925" s="84">
        <f t="shared" si="207"/>
        <v>60837.2</v>
      </c>
      <c r="R925" s="13">
        <f t="shared" si="209"/>
        <v>330.6</v>
      </c>
      <c r="S925" s="84">
        <f t="shared" si="205"/>
        <v>61167.799999999996</v>
      </c>
      <c r="T925" s="13">
        <f t="shared" si="209"/>
        <v>216.9</v>
      </c>
      <c r="U925" s="84">
        <f t="shared" si="198"/>
        <v>61384.7</v>
      </c>
    </row>
    <row r="926" spans="1:22" ht="33">
      <c r="A926" s="61" t="str">
        <f ca="1">IF(ISERROR(MATCH(E926,Код_КЦСР,0)),"",INDIRECT(ADDRESS(MATCH(E926,Код_КЦСР,0)+1,2,,,"КЦСР")))</f>
        <v>Муниципальная программа «Культура, традиции и народное творчество в городе Череповце» на 2013-2018 годы</v>
      </c>
      <c r="B926" s="126">
        <v>808</v>
      </c>
      <c r="C926" s="8" t="s">
        <v>193</v>
      </c>
      <c r="D926" s="8" t="s">
        <v>212</v>
      </c>
      <c r="E926" s="126" t="s">
        <v>460</v>
      </c>
      <c r="F926" s="126"/>
      <c r="G926" s="69">
        <f t="shared" si="209"/>
        <v>60888.1</v>
      </c>
      <c r="H926" s="69">
        <f t="shared" si="209"/>
        <v>0</v>
      </c>
      <c r="I926" s="69">
        <f t="shared" si="197"/>
        <v>60888.1</v>
      </c>
      <c r="J926" s="69">
        <f t="shared" si="209"/>
        <v>0</v>
      </c>
      <c r="K926" s="84">
        <f t="shared" si="208"/>
        <v>60888.1</v>
      </c>
      <c r="L926" s="13">
        <f t="shared" si="209"/>
        <v>-50.9</v>
      </c>
      <c r="M926" s="84">
        <f t="shared" si="199"/>
        <v>60837.2</v>
      </c>
      <c r="N926" s="13">
        <f t="shared" si="209"/>
        <v>0</v>
      </c>
      <c r="O926" s="84">
        <f t="shared" si="200"/>
        <v>60837.2</v>
      </c>
      <c r="P926" s="13">
        <f t="shared" si="209"/>
        <v>0</v>
      </c>
      <c r="Q926" s="84">
        <f t="shared" si="207"/>
        <v>60837.2</v>
      </c>
      <c r="R926" s="13">
        <f t="shared" si="209"/>
        <v>330.6</v>
      </c>
      <c r="S926" s="84">
        <f t="shared" si="205"/>
        <v>61167.799999999996</v>
      </c>
      <c r="T926" s="13">
        <f t="shared" si="209"/>
        <v>216.9</v>
      </c>
      <c r="U926" s="84">
        <f t="shared" si="198"/>
        <v>61384.7</v>
      </c>
    </row>
    <row r="927" spans="1:22" ht="33">
      <c r="A927" s="61" t="str">
        <f ca="1">IF(ISERROR(MATCH(E927,Код_КЦСР,0)),"",INDIRECT(ADDRESS(MATCH(E927,Код_КЦСР,0)+1,2,,,"КЦСР")))</f>
        <v>Дополнительное образование в сфере культуры и искусства, поддержка юных дарований</v>
      </c>
      <c r="B927" s="126">
        <v>808</v>
      </c>
      <c r="C927" s="8" t="s">
        <v>193</v>
      </c>
      <c r="D927" s="8" t="s">
        <v>212</v>
      </c>
      <c r="E927" s="126" t="s">
        <v>514</v>
      </c>
      <c r="F927" s="126"/>
      <c r="G927" s="69">
        <f>G932</f>
        <v>60888.1</v>
      </c>
      <c r="H927" s="69">
        <f>H932</f>
        <v>0</v>
      </c>
      <c r="I927" s="69">
        <f t="shared" si="197"/>
        <v>60888.1</v>
      </c>
      <c r="J927" s="69">
        <f>J932</f>
        <v>0</v>
      </c>
      <c r="K927" s="84">
        <f t="shared" si="208"/>
        <v>60888.1</v>
      </c>
      <c r="L927" s="13">
        <f>L932</f>
        <v>-50.9</v>
      </c>
      <c r="M927" s="84">
        <f t="shared" si="199"/>
        <v>60837.2</v>
      </c>
      <c r="N927" s="13">
        <f>N932</f>
        <v>0</v>
      </c>
      <c r="O927" s="84">
        <f t="shared" si="200"/>
        <v>60837.2</v>
      </c>
      <c r="P927" s="13">
        <f>P932</f>
        <v>0</v>
      </c>
      <c r="Q927" s="84">
        <f t="shared" si="207"/>
        <v>60837.2</v>
      </c>
      <c r="R927" s="13">
        <f>R932+R936+R928</f>
        <v>330.6</v>
      </c>
      <c r="S927" s="84">
        <f t="shared" si="205"/>
        <v>61167.799999999996</v>
      </c>
      <c r="T927" s="13">
        <f>T932+T936+T928</f>
        <v>216.9</v>
      </c>
      <c r="U927" s="84">
        <f t="shared" si="198"/>
        <v>61384.7</v>
      </c>
    </row>
    <row r="928" spans="1:22" ht="57.95" hidden="1" customHeight="1">
      <c r="A928" s="61" t="str">
        <f ca="1">IF(ISERROR(MATCH(E928,Код_КЦСР,0)),"",INDIRECT(ADDRESS(MATCH(E928,Код_КЦСР,0)+1,2,,,"КЦСР")))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28" s="100">
        <v>808</v>
      </c>
      <c r="C928" s="8" t="s">
        <v>193</v>
      </c>
      <c r="D928" s="8" t="s">
        <v>212</v>
      </c>
      <c r="E928" s="100" t="s">
        <v>516</v>
      </c>
      <c r="F928" s="100"/>
      <c r="G928" s="69"/>
      <c r="H928" s="69"/>
      <c r="I928" s="69"/>
      <c r="J928" s="69"/>
      <c r="K928" s="84"/>
      <c r="L928" s="13"/>
      <c r="M928" s="84"/>
      <c r="N928" s="13"/>
      <c r="O928" s="84"/>
      <c r="P928" s="13"/>
      <c r="Q928" s="84"/>
      <c r="R928" s="13">
        <f>R929</f>
        <v>0</v>
      </c>
      <c r="S928" s="84">
        <f t="shared" si="205"/>
        <v>0</v>
      </c>
      <c r="T928" s="13">
        <f>T929</f>
        <v>0</v>
      </c>
      <c r="U928" s="84">
        <f t="shared" si="198"/>
        <v>0</v>
      </c>
      <c r="V928" s="142" t="s">
        <v>706</v>
      </c>
    </row>
    <row r="929" spans="1:22" ht="33" hidden="1">
      <c r="A929" s="61" t="str">
        <f ca="1">IF(ISERROR(MATCH(F929,Код_КВР,0)),"",INDIRECT(ADDRESS(MATCH(F929,Код_КВР,0)+1,2,,,"КВР")))</f>
        <v>Предоставление субсидий бюджетным, автономным учреждениям и иным некоммерческим организациям</v>
      </c>
      <c r="B929" s="100">
        <v>808</v>
      </c>
      <c r="C929" s="8" t="s">
        <v>193</v>
      </c>
      <c r="D929" s="8" t="s">
        <v>212</v>
      </c>
      <c r="E929" s="100" t="s">
        <v>516</v>
      </c>
      <c r="F929" s="100">
        <v>600</v>
      </c>
      <c r="G929" s="69"/>
      <c r="H929" s="69"/>
      <c r="I929" s="69"/>
      <c r="J929" s="69"/>
      <c r="K929" s="84"/>
      <c r="L929" s="13"/>
      <c r="M929" s="84"/>
      <c r="N929" s="13"/>
      <c r="O929" s="84"/>
      <c r="P929" s="13"/>
      <c r="Q929" s="84"/>
      <c r="R929" s="13">
        <f>R930</f>
        <v>0</v>
      </c>
      <c r="S929" s="84">
        <f t="shared" si="205"/>
        <v>0</v>
      </c>
      <c r="T929" s="13">
        <f>T930</f>
        <v>0</v>
      </c>
      <c r="U929" s="84">
        <f t="shared" si="198"/>
        <v>0</v>
      </c>
      <c r="V929" s="142" t="s">
        <v>706</v>
      </c>
    </row>
    <row r="930" spans="1:22" hidden="1">
      <c r="A930" s="61" t="str">
        <f ca="1">IF(ISERROR(MATCH(F930,Код_КВР,0)),"",INDIRECT(ADDRESS(MATCH(F930,Код_КВР,0)+1,2,,,"КВР")))</f>
        <v>Субсидии бюджетным учреждениям</v>
      </c>
      <c r="B930" s="100">
        <v>808</v>
      </c>
      <c r="C930" s="8" t="s">
        <v>193</v>
      </c>
      <c r="D930" s="8" t="s">
        <v>212</v>
      </c>
      <c r="E930" s="100" t="s">
        <v>516</v>
      </c>
      <c r="F930" s="100">
        <v>610</v>
      </c>
      <c r="G930" s="69"/>
      <c r="H930" s="69"/>
      <c r="I930" s="69"/>
      <c r="J930" s="69"/>
      <c r="K930" s="84"/>
      <c r="L930" s="13"/>
      <c r="M930" s="84"/>
      <c r="N930" s="13"/>
      <c r="O930" s="84"/>
      <c r="P930" s="13"/>
      <c r="Q930" s="84"/>
      <c r="R930" s="13">
        <f>R931</f>
        <v>0</v>
      </c>
      <c r="S930" s="84">
        <f t="shared" si="205"/>
        <v>0</v>
      </c>
      <c r="T930" s="13">
        <f>T931</f>
        <v>0</v>
      </c>
      <c r="U930" s="84">
        <f t="shared" si="198"/>
        <v>0</v>
      </c>
      <c r="V930" s="142" t="s">
        <v>706</v>
      </c>
    </row>
    <row r="931" spans="1:22" ht="21.95" hidden="1" customHeight="1">
      <c r="A931" s="61" t="str">
        <f ca="1">IF(ISERROR(MATCH(F931,Код_КВР,0)),"",INDIRECT(ADDRESS(MATCH(F931,Код_КВР,0)+1,2,,,"КВР")))</f>
        <v>Субсидии бюджетным учреждениям на иные цели</v>
      </c>
      <c r="B931" s="100">
        <v>808</v>
      </c>
      <c r="C931" s="8" t="s">
        <v>193</v>
      </c>
      <c r="D931" s="8" t="s">
        <v>212</v>
      </c>
      <c r="E931" s="100" t="s">
        <v>516</v>
      </c>
      <c r="F931" s="100">
        <v>612</v>
      </c>
      <c r="G931" s="69"/>
      <c r="H931" s="69"/>
      <c r="I931" s="69"/>
      <c r="J931" s="69"/>
      <c r="K931" s="84"/>
      <c r="L931" s="13"/>
      <c r="M931" s="84"/>
      <c r="N931" s="13"/>
      <c r="O931" s="84"/>
      <c r="P931" s="13"/>
      <c r="Q931" s="84"/>
      <c r="R931" s="13"/>
      <c r="S931" s="84">
        <f t="shared" si="205"/>
        <v>0</v>
      </c>
      <c r="T931" s="13"/>
      <c r="U931" s="84">
        <f t="shared" si="198"/>
        <v>0</v>
      </c>
      <c r="V931" s="142" t="s">
        <v>706</v>
      </c>
    </row>
    <row r="932" spans="1:22">
      <c r="A932" s="61" t="str">
        <f ca="1">IF(ISERROR(MATCH(E932,Код_КЦСР,0)),"",INDIRECT(ADDRESS(MATCH(E932,Код_КЦСР,0)+1,2,,,"КЦСР")))</f>
        <v>Оказание муниципальных услуг</v>
      </c>
      <c r="B932" s="126">
        <v>808</v>
      </c>
      <c r="C932" s="8" t="s">
        <v>193</v>
      </c>
      <c r="D932" s="8" t="s">
        <v>212</v>
      </c>
      <c r="E932" s="126" t="s">
        <v>517</v>
      </c>
      <c r="F932" s="126"/>
      <c r="G932" s="69">
        <f t="shared" si="209"/>
        <v>60888.1</v>
      </c>
      <c r="H932" s="69">
        <f t="shared" si="209"/>
        <v>0</v>
      </c>
      <c r="I932" s="69">
        <f t="shared" si="197"/>
        <v>60888.1</v>
      </c>
      <c r="J932" s="69">
        <f t="shared" si="209"/>
        <v>0</v>
      </c>
      <c r="K932" s="84">
        <f t="shared" si="208"/>
        <v>60888.1</v>
      </c>
      <c r="L932" s="13">
        <f t="shared" si="209"/>
        <v>-50.9</v>
      </c>
      <c r="M932" s="84">
        <f t="shared" si="199"/>
        <v>60837.2</v>
      </c>
      <c r="N932" s="13">
        <f t="shared" si="209"/>
        <v>0</v>
      </c>
      <c r="O932" s="84">
        <f t="shared" si="200"/>
        <v>60837.2</v>
      </c>
      <c r="P932" s="13">
        <f t="shared" si="209"/>
        <v>0</v>
      </c>
      <c r="Q932" s="84">
        <f t="shared" si="207"/>
        <v>60837.2</v>
      </c>
      <c r="R932" s="13">
        <f t="shared" si="209"/>
        <v>330.6</v>
      </c>
      <c r="S932" s="84">
        <f t="shared" si="205"/>
        <v>61167.799999999996</v>
      </c>
      <c r="T932" s="13">
        <f t="shared" si="209"/>
        <v>216.9</v>
      </c>
      <c r="U932" s="84">
        <f t="shared" si="198"/>
        <v>61384.7</v>
      </c>
    </row>
    <row r="933" spans="1:22" ht="33">
      <c r="A933" s="61" t="str">
        <f ca="1">IF(ISERROR(MATCH(F933,Код_КВР,0)),"",INDIRECT(ADDRESS(MATCH(F933,Код_КВР,0)+1,2,,,"КВР")))</f>
        <v>Предоставление субсидий бюджетным, автономным учреждениям и иным некоммерческим организациям</v>
      </c>
      <c r="B933" s="126">
        <v>808</v>
      </c>
      <c r="C933" s="8" t="s">
        <v>193</v>
      </c>
      <c r="D933" s="8" t="s">
        <v>212</v>
      </c>
      <c r="E933" s="126" t="s">
        <v>517</v>
      </c>
      <c r="F933" s="126">
        <v>600</v>
      </c>
      <c r="G933" s="69">
        <f t="shared" si="209"/>
        <v>60888.1</v>
      </c>
      <c r="H933" s="69">
        <f t="shared" si="209"/>
        <v>0</v>
      </c>
      <c r="I933" s="69">
        <f t="shared" si="197"/>
        <v>60888.1</v>
      </c>
      <c r="J933" s="69">
        <f t="shared" si="209"/>
        <v>0</v>
      </c>
      <c r="K933" s="84">
        <f t="shared" si="208"/>
        <v>60888.1</v>
      </c>
      <c r="L933" s="13">
        <f t="shared" si="209"/>
        <v>-50.9</v>
      </c>
      <c r="M933" s="84">
        <f t="shared" si="199"/>
        <v>60837.2</v>
      </c>
      <c r="N933" s="13">
        <f t="shared" si="209"/>
        <v>0</v>
      </c>
      <c r="O933" s="84">
        <f t="shared" si="200"/>
        <v>60837.2</v>
      </c>
      <c r="P933" s="13">
        <f t="shared" si="209"/>
        <v>0</v>
      </c>
      <c r="Q933" s="84">
        <f t="shared" si="207"/>
        <v>60837.2</v>
      </c>
      <c r="R933" s="13">
        <f t="shared" si="209"/>
        <v>330.6</v>
      </c>
      <c r="S933" s="84">
        <f t="shared" si="205"/>
        <v>61167.799999999996</v>
      </c>
      <c r="T933" s="13">
        <f t="shared" si="209"/>
        <v>216.9</v>
      </c>
      <c r="U933" s="84">
        <f t="shared" si="198"/>
        <v>61384.7</v>
      </c>
    </row>
    <row r="934" spans="1:22">
      <c r="A934" s="61" t="str">
        <f ca="1">IF(ISERROR(MATCH(F934,Код_КВР,0)),"",INDIRECT(ADDRESS(MATCH(F934,Код_КВР,0)+1,2,,,"КВР")))</f>
        <v>Субсидии бюджетным учреждениям</v>
      </c>
      <c r="B934" s="126">
        <v>808</v>
      </c>
      <c r="C934" s="8" t="s">
        <v>193</v>
      </c>
      <c r="D934" s="8" t="s">
        <v>212</v>
      </c>
      <c r="E934" s="126" t="s">
        <v>517</v>
      </c>
      <c r="F934" s="126">
        <v>610</v>
      </c>
      <c r="G934" s="69">
        <f t="shared" si="209"/>
        <v>60888.1</v>
      </c>
      <c r="H934" s="69">
        <f t="shared" si="209"/>
        <v>0</v>
      </c>
      <c r="I934" s="69">
        <f t="shared" si="197"/>
        <v>60888.1</v>
      </c>
      <c r="J934" s="69">
        <f t="shared" si="209"/>
        <v>0</v>
      </c>
      <c r="K934" s="84">
        <f t="shared" si="208"/>
        <v>60888.1</v>
      </c>
      <c r="L934" s="13">
        <f t="shared" si="209"/>
        <v>-50.9</v>
      </c>
      <c r="M934" s="84">
        <f t="shared" si="199"/>
        <v>60837.2</v>
      </c>
      <c r="N934" s="13">
        <f t="shared" si="209"/>
        <v>0</v>
      </c>
      <c r="O934" s="84">
        <f t="shared" si="200"/>
        <v>60837.2</v>
      </c>
      <c r="P934" s="13">
        <f t="shared" si="209"/>
        <v>0</v>
      </c>
      <c r="Q934" s="84">
        <f t="shared" si="207"/>
        <v>60837.2</v>
      </c>
      <c r="R934" s="13">
        <f t="shared" si="209"/>
        <v>330.6</v>
      </c>
      <c r="S934" s="84">
        <f t="shared" si="205"/>
        <v>61167.799999999996</v>
      </c>
      <c r="T934" s="13">
        <f t="shared" si="209"/>
        <v>216.9</v>
      </c>
      <c r="U934" s="84">
        <f t="shared" si="198"/>
        <v>61384.7</v>
      </c>
    </row>
    <row r="935" spans="1:22" ht="49.5">
      <c r="A935" s="61" t="str">
        <f ca="1">IF(ISERROR(MATCH(F935,Код_КВР,0)),"",INDIRECT(ADDRESS(MATCH(F935,Код_КВР,0)+1,2,,,"КВР")))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35" s="126">
        <v>808</v>
      </c>
      <c r="C935" s="8" t="s">
        <v>193</v>
      </c>
      <c r="D935" s="8" t="s">
        <v>212</v>
      </c>
      <c r="E935" s="126" t="s">
        <v>517</v>
      </c>
      <c r="F935" s="126">
        <v>611</v>
      </c>
      <c r="G935" s="69">
        <v>60888.1</v>
      </c>
      <c r="H935" s="69"/>
      <c r="I935" s="69">
        <f t="shared" si="197"/>
        <v>60888.1</v>
      </c>
      <c r="J935" s="69"/>
      <c r="K935" s="84">
        <f t="shared" si="208"/>
        <v>60888.1</v>
      </c>
      <c r="L935" s="13">
        <v>-50.9</v>
      </c>
      <c r="M935" s="84">
        <f t="shared" si="199"/>
        <v>60837.2</v>
      </c>
      <c r="N935" s="13"/>
      <c r="O935" s="84">
        <f t="shared" si="200"/>
        <v>60837.2</v>
      </c>
      <c r="P935" s="13"/>
      <c r="Q935" s="84">
        <f t="shared" si="207"/>
        <v>60837.2</v>
      </c>
      <c r="R935" s="13">
        <f>338.5-7.9</f>
        <v>330.6</v>
      </c>
      <c r="S935" s="84">
        <f t="shared" si="205"/>
        <v>61167.799999999996</v>
      </c>
      <c r="T935" s="13">
        <v>216.9</v>
      </c>
      <c r="U935" s="84">
        <f t="shared" si="198"/>
        <v>61384.7</v>
      </c>
    </row>
    <row r="936" spans="1:22" ht="41.25" hidden="1" customHeight="1">
      <c r="A936" s="61" t="str">
        <f ca="1">IF(ISERROR(MATCH(E936,Код_КЦСР,0)),"",INDIRECT(ADDRESS(MATCH(E936,Код_КЦСР,0)+1,2,,,"КЦСР")))</f>
        <v>Реализация мероприятий федеральной целевой программы «Культура России» (2012-2018 годы) за счет субсидий из федерального бюджета</v>
      </c>
      <c r="B936" s="100">
        <v>808</v>
      </c>
      <c r="C936" s="8" t="s">
        <v>193</v>
      </c>
      <c r="D936" s="8" t="s">
        <v>212</v>
      </c>
      <c r="E936" s="100" t="s">
        <v>640</v>
      </c>
      <c r="F936" s="100"/>
      <c r="G936" s="69"/>
      <c r="H936" s="69"/>
      <c r="I936" s="69"/>
      <c r="J936" s="69"/>
      <c r="K936" s="84"/>
      <c r="L936" s="13"/>
      <c r="M936" s="84"/>
      <c r="N936" s="13"/>
      <c r="O936" s="84"/>
      <c r="P936" s="13"/>
      <c r="Q936" s="84"/>
      <c r="R936" s="13">
        <f>R937</f>
        <v>0</v>
      </c>
      <c r="S936" s="84">
        <f t="shared" si="205"/>
        <v>0</v>
      </c>
      <c r="T936" s="13">
        <f>T937</f>
        <v>0</v>
      </c>
      <c r="U936" s="84">
        <f t="shared" si="198"/>
        <v>0</v>
      </c>
      <c r="V936" s="142" t="s">
        <v>706</v>
      </c>
    </row>
    <row r="937" spans="1:22" ht="33" hidden="1">
      <c r="A937" s="61" t="str">
        <f ca="1">IF(ISERROR(MATCH(F937,Код_КВР,0)),"",INDIRECT(ADDRESS(MATCH(F937,Код_КВР,0)+1,2,,,"КВР")))</f>
        <v>Предоставление субсидий бюджетным, автономным учреждениям и иным некоммерческим организациям</v>
      </c>
      <c r="B937" s="100">
        <v>808</v>
      </c>
      <c r="C937" s="8" t="s">
        <v>193</v>
      </c>
      <c r="D937" s="8" t="s">
        <v>212</v>
      </c>
      <c r="E937" s="100" t="s">
        <v>640</v>
      </c>
      <c r="F937" s="100">
        <v>600</v>
      </c>
      <c r="G937" s="69"/>
      <c r="H937" s="69"/>
      <c r="I937" s="69"/>
      <c r="J937" s="69"/>
      <c r="K937" s="84"/>
      <c r="L937" s="13"/>
      <c r="M937" s="84"/>
      <c r="N937" s="13"/>
      <c r="O937" s="84"/>
      <c r="P937" s="13"/>
      <c r="Q937" s="84"/>
      <c r="R937" s="13">
        <f>R938</f>
        <v>0</v>
      </c>
      <c r="S937" s="84">
        <f t="shared" si="205"/>
        <v>0</v>
      </c>
      <c r="T937" s="13">
        <f>T938</f>
        <v>0</v>
      </c>
      <c r="U937" s="84">
        <f t="shared" ref="U937:U1004" si="210">S937+T937</f>
        <v>0</v>
      </c>
      <c r="V937" s="142" t="s">
        <v>706</v>
      </c>
    </row>
    <row r="938" spans="1:22" hidden="1">
      <c r="A938" s="61" t="str">
        <f ca="1">IF(ISERROR(MATCH(F938,Код_КВР,0)),"",INDIRECT(ADDRESS(MATCH(F938,Код_КВР,0)+1,2,,,"КВР")))</f>
        <v>Субсидии бюджетным учреждениям</v>
      </c>
      <c r="B938" s="100">
        <v>808</v>
      </c>
      <c r="C938" s="8" t="s">
        <v>193</v>
      </c>
      <c r="D938" s="8" t="s">
        <v>212</v>
      </c>
      <c r="E938" s="100" t="s">
        <v>640</v>
      </c>
      <c r="F938" s="100">
        <v>610</v>
      </c>
      <c r="G938" s="69"/>
      <c r="H938" s="69"/>
      <c r="I938" s="69"/>
      <c r="J938" s="69"/>
      <c r="K938" s="84"/>
      <c r="L938" s="13"/>
      <c r="M938" s="84"/>
      <c r="N938" s="13"/>
      <c r="O938" s="84"/>
      <c r="P938" s="13"/>
      <c r="Q938" s="84"/>
      <c r="R938" s="13">
        <f>R939</f>
        <v>0</v>
      </c>
      <c r="S938" s="84">
        <f t="shared" si="205"/>
        <v>0</v>
      </c>
      <c r="T938" s="13">
        <f>T939</f>
        <v>0</v>
      </c>
      <c r="U938" s="84">
        <f t="shared" si="210"/>
        <v>0</v>
      </c>
      <c r="V938" s="142" t="s">
        <v>706</v>
      </c>
    </row>
    <row r="939" spans="1:22" ht="24.75" hidden="1" customHeight="1">
      <c r="A939" s="61" t="str">
        <f ca="1">IF(ISERROR(MATCH(F939,Код_КВР,0)),"",INDIRECT(ADDRESS(MATCH(F939,Код_КВР,0)+1,2,,,"КВР")))</f>
        <v>Субсидии бюджетным учреждениям на иные цели</v>
      </c>
      <c r="B939" s="100">
        <v>808</v>
      </c>
      <c r="C939" s="8" t="s">
        <v>193</v>
      </c>
      <c r="D939" s="8" t="s">
        <v>212</v>
      </c>
      <c r="E939" s="100" t="s">
        <v>640</v>
      </c>
      <c r="F939" s="100">
        <v>612</v>
      </c>
      <c r="G939" s="69"/>
      <c r="H939" s="69"/>
      <c r="I939" s="69"/>
      <c r="J939" s="69"/>
      <c r="K939" s="84"/>
      <c r="L939" s="13"/>
      <c r="M939" s="84"/>
      <c r="N939" s="13"/>
      <c r="O939" s="84"/>
      <c r="P939" s="13"/>
      <c r="Q939" s="84"/>
      <c r="R939" s="13"/>
      <c r="S939" s="84">
        <f t="shared" si="205"/>
        <v>0</v>
      </c>
      <c r="T939" s="13"/>
      <c r="U939" s="84">
        <f t="shared" si="210"/>
        <v>0</v>
      </c>
      <c r="V939" s="142" t="s">
        <v>706</v>
      </c>
    </row>
    <row r="940" spans="1:22">
      <c r="A940" s="12" t="s">
        <v>197</v>
      </c>
      <c r="B940" s="126">
        <v>808</v>
      </c>
      <c r="C940" s="8" t="s">
        <v>193</v>
      </c>
      <c r="D940" s="8" t="s">
        <v>193</v>
      </c>
      <c r="E940" s="126"/>
      <c r="F940" s="126"/>
      <c r="G940" s="69"/>
      <c r="H940" s="69"/>
      <c r="I940" s="69"/>
      <c r="J940" s="69">
        <f>J941</f>
        <v>73.099999999999994</v>
      </c>
      <c r="K940" s="84">
        <f t="shared" si="208"/>
        <v>73.099999999999994</v>
      </c>
      <c r="L940" s="13">
        <f>L941</f>
        <v>0</v>
      </c>
      <c r="M940" s="84">
        <f t="shared" si="199"/>
        <v>73.099999999999994</v>
      </c>
      <c r="N940" s="13">
        <f>N941</f>
        <v>0</v>
      </c>
      <c r="O940" s="84">
        <f t="shared" si="200"/>
        <v>73.099999999999994</v>
      </c>
      <c r="P940" s="13">
        <f>P941</f>
        <v>0</v>
      </c>
      <c r="Q940" s="84">
        <f t="shared" si="207"/>
        <v>73.099999999999994</v>
      </c>
      <c r="R940" s="13">
        <f>R941</f>
        <v>0</v>
      </c>
      <c r="S940" s="84">
        <f t="shared" si="205"/>
        <v>73.099999999999994</v>
      </c>
      <c r="T940" s="13">
        <f>T941</f>
        <v>0</v>
      </c>
      <c r="U940" s="84">
        <f t="shared" si="210"/>
        <v>73.099999999999994</v>
      </c>
    </row>
    <row r="941" spans="1:22" ht="33">
      <c r="A941" s="61" t="str">
        <f ca="1">IF(ISERROR(MATCH(E941,Код_КЦСР,0)),"",INDIRECT(ADDRESS(MATCH(E941,Код_КЦСР,0)+1,2,,,"КЦСР")))</f>
        <v>Муниципальная программа «Социальная поддержка граждан» на 2014-2018 годы</v>
      </c>
      <c r="B941" s="126">
        <v>808</v>
      </c>
      <c r="C941" s="8" t="s">
        <v>193</v>
      </c>
      <c r="D941" s="8" t="s">
        <v>193</v>
      </c>
      <c r="E941" s="126" t="s">
        <v>5</v>
      </c>
      <c r="F941" s="126"/>
      <c r="G941" s="69"/>
      <c r="H941" s="69"/>
      <c r="I941" s="69"/>
      <c r="J941" s="69">
        <f>J942</f>
        <v>73.099999999999994</v>
      </c>
      <c r="K941" s="84">
        <f t="shared" si="208"/>
        <v>73.099999999999994</v>
      </c>
      <c r="L941" s="13">
        <f>L942</f>
        <v>0</v>
      </c>
      <c r="M941" s="84">
        <f t="shared" si="199"/>
        <v>73.099999999999994</v>
      </c>
      <c r="N941" s="13">
        <f>N942</f>
        <v>0</v>
      </c>
      <c r="O941" s="84">
        <f t="shared" si="200"/>
        <v>73.099999999999994</v>
      </c>
      <c r="P941" s="13">
        <f>P942</f>
        <v>0</v>
      </c>
      <c r="Q941" s="84">
        <f t="shared" si="207"/>
        <v>73.099999999999994</v>
      </c>
      <c r="R941" s="13">
        <f>R942</f>
        <v>0</v>
      </c>
      <c r="S941" s="84">
        <f t="shared" si="205"/>
        <v>73.099999999999994</v>
      </c>
      <c r="T941" s="13">
        <f>T942</f>
        <v>0</v>
      </c>
      <c r="U941" s="84">
        <f t="shared" si="210"/>
        <v>73.099999999999994</v>
      </c>
    </row>
    <row r="942" spans="1:22" ht="89.25" customHeight="1">
      <c r="A942" s="61" t="str">
        <f ca="1">IF(ISERROR(MATCH(E942,Код_КЦСР,0)),"",INDIRECT(ADDRESS(MATCH(E942,Код_КЦСР,0)+1,2,,,"КЦСР")))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42" s="126">
        <v>808</v>
      </c>
      <c r="C942" s="8" t="s">
        <v>193</v>
      </c>
      <c r="D942" s="8" t="s">
        <v>193</v>
      </c>
      <c r="E942" s="126" t="s">
        <v>402</v>
      </c>
      <c r="F942" s="126"/>
      <c r="G942" s="69"/>
      <c r="H942" s="69"/>
      <c r="I942" s="69"/>
      <c r="J942" s="69">
        <f>J943</f>
        <v>73.099999999999994</v>
      </c>
      <c r="K942" s="84">
        <f>I942+J942</f>
        <v>73.099999999999994</v>
      </c>
      <c r="L942" s="13">
        <f>L943</f>
        <v>0</v>
      </c>
      <c r="M942" s="84">
        <f t="shared" si="199"/>
        <v>73.099999999999994</v>
      </c>
      <c r="N942" s="13">
        <f>N943</f>
        <v>0</v>
      </c>
      <c r="O942" s="84">
        <f t="shared" si="200"/>
        <v>73.099999999999994</v>
      </c>
      <c r="P942" s="13">
        <f>P943</f>
        <v>0</v>
      </c>
      <c r="Q942" s="84">
        <f t="shared" si="207"/>
        <v>73.099999999999994</v>
      </c>
      <c r="R942" s="13">
        <f>R943</f>
        <v>0</v>
      </c>
      <c r="S942" s="84">
        <f t="shared" si="205"/>
        <v>73.099999999999994</v>
      </c>
      <c r="T942" s="13">
        <f>T943</f>
        <v>0</v>
      </c>
      <c r="U942" s="84">
        <f t="shared" si="210"/>
        <v>73.099999999999994</v>
      </c>
    </row>
    <row r="943" spans="1:22" ht="33">
      <c r="A943" s="61" t="str">
        <f ca="1">IF(ISERROR(MATCH(F943,Код_КВР,0)),"",INDIRECT(ADDRESS(MATCH(F943,Код_КВР,0)+1,2,,,"КВР")))</f>
        <v>Предоставление субсидий бюджетным, автономным учреждениям и иным некоммерческим организациям</v>
      </c>
      <c r="B943" s="126">
        <v>808</v>
      </c>
      <c r="C943" s="8" t="s">
        <v>193</v>
      </c>
      <c r="D943" s="8" t="s">
        <v>193</v>
      </c>
      <c r="E943" s="126" t="s">
        <v>402</v>
      </c>
      <c r="F943" s="126">
        <v>600</v>
      </c>
      <c r="G943" s="69"/>
      <c r="H943" s="69"/>
      <c r="I943" s="69"/>
      <c r="J943" s="69">
        <f>J944</f>
        <v>73.099999999999994</v>
      </c>
      <c r="K943" s="84">
        <f>I943+J943</f>
        <v>73.099999999999994</v>
      </c>
      <c r="L943" s="13">
        <f>L944</f>
        <v>0</v>
      </c>
      <c r="M943" s="84">
        <f t="shared" si="199"/>
        <v>73.099999999999994</v>
      </c>
      <c r="N943" s="13">
        <f>N944</f>
        <v>0</v>
      </c>
      <c r="O943" s="84">
        <f t="shared" si="200"/>
        <v>73.099999999999994</v>
      </c>
      <c r="P943" s="13">
        <f>P944</f>
        <v>0</v>
      </c>
      <c r="Q943" s="84">
        <f t="shared" si="207"/>
        <v>73.099999999999994</v>
      </c>
      <c r="R943" s="13">
        <f>R944</f>
        <v>0</v>
      </c>
      <c r="S943" s="84">
        <f t="shared" si="205"/>
        <v>73.099999999999994</v>
      </c>
      <c r="T943" s="13">
        <f>T944</f>
        <v>0</v>
      </c>
      <c r="U943" s="84">
        <f t="shared" si="210"/>
        <v>73.099999999999994</v>
      </c>
    </row>
    <row r="944" spans="1:22">
      <c r="A944" s="61" t="str">
        <f ca="1">IF(ISERROR(MATCH(F944,Код_КВР,0)),"",INDIRECT(ADDRESS(MATCH(F944,Код_КВР,0)+1,2,,,"КВР")))</f>
        <v>Субсидии бюджетным учреждениям</v>
      </c>
      <c r="B944" s="126">
        <v>808</v>
      </c>
      <c r="C944" s="8" t="s">
        <v>193</v>
      </c>
      <c r="D944" s="8" t="s">
        <v>193</v>
      </c>
      <c r="E944" s="126" t="s">
        <v>402</v>
      </c>
      <c r="F944" s="126">
        <v>610</v>
      </c>
      <c r="G944" s="69"/>
      <c r="H944" s="69"/>
      <c r="I944" s="69"/>
      <c r="J944" s="69">
        <f>J945</f>
        <v>73.099999999999994</v>
      </c>
      <c r="K944" s="84">
        <f>I944+J944</f>
        <v>73.099999999999994</v>
      </c>
      <c r="L944" s="13">
        <f>L945</f>
        <v>0</v>
      </c>
      <c r="M944" s="84">
        <f t="shared" si="199"/>
        <v>73.099999999999994</v>
      </c>
      <c r="N944" s="13">
        <f>N945</f>
        <v>0</v>
      </c>
      <c r="O944" s="84">
        <f t="shared" si="200"/>
        <v>73.099999999999994</v>
      </c>
      <c r="P944" s="13">
        <f>P945</f>
        <v>0</v>
      </c>
      <c r="Q944" s="84">
        <f t="shared" si="207"/>
        <v>73.099999999999994</v>
      </c>
      <c r="R944" s="13">
        <f>R945</f>
        <v>0</v>
      </c>
      <c r="S944" s="84">
        <f t="shared" si="205"/>
        <v>73.099999999999994</v>
      </c>
      <c r="T944" s="13">
        <f>T945</f>
        <v>0</v>
      </c>
      <c r="U944" s="84">
        <f t="shared" si="210"/>
        <v>73.099999999999994</v>
      </c>
    </row>
    <row r="945" spans="1:21">
      <c r="A945" s="61" t="str">
        <f ca="1">IF(ISERROR(MATCH(F945,Код_КВР,0)),"",INDIRECT(ADDRESS(MATCH(F945,Код_КВР,0)+1,2,,,"КВР")))</f>
        <v>Субсидии бюджетным учреждениям на иные цели</v>
      </c>
      <c r="B945" s="126">
        <v>808</v>
      </c>
      <c r="C945" s="8" t="s">
        <v>193</v>
      </c>
      <c r="D945" s="8" t="s">
        <v>193</v>
      </c>
      <c r="E945" s="126" t="s">
        <v>402</v>
      </c>
      <c r="F945" s="126">
        <v>612</v>
      </c>
      <c r="G945" s="69"/>
      <c r="H945" s="69"/>
      <c r="I945" s="69"/>
      <c r="J945" s="69">
        <v>73.099999999999994</v>
      </c>
      <c r="K945" s="84">
        <f>I945+J945</f>
        <v>73.099999999999994</v>
      </c>
      <c r="L945" s="13"/>
      <c r="M945" s="84">
        <f t="shared" si="199"/>
        <v>73.099999999999994</v>
      </c>
      <c r="N945" s="13"/>
      <c r="O945" s="84">
        <f t="shared" si="200"/>
        <v>73.099999999999994</v>
      </c>
      <c r="P945" s="13"/>
      <c r="Q945" s="84">
        <f t="shared" si="207"/>
        <v>73.099999999999994</v>
      </c>
      <c r="R945" s="13"/>
      <c r="S945" s="84">
        <f t="shared" si="205"/>
        <v>73.099999999999994</v>
      </c>
      <c r="T945" s="13"/>
      <c r="U945" s="84">
        <f t="shared" si="210"/>
        <v>73.099999999999994</v>
      </c>
    </row>
    <row r="946" spans="1:21">
      <c r="A946" s="12" t="s">
        <v>249</v>
      </c>
      <c r="B946" s="126">
        <v>808</v>
      </c>
      <c r="C946" s="8" t="s">
        <v>193</v>
      </c>
      <c r="D946" s="8" t="s">
        <v>217</v>
      </c>
      <c r="E946" s="126"/>
      <c r="F946" s="126"/>
      <c r="G946" s="69">
        <f>G947+G962</f>
        <v>267</v>
      </c>
      <c r="H946" s="69">
        <f>H947+H962</f>
        <v>0</v>
      </c>
      <c r="I946" s="69">
        <f t="shared" si="197"/>
        <v>267</v>
      </c>
      <c r="J946" s="69">
        <f>J947+J962</f>
        <v>0</v>
      </c>
      <c r="K946" s="84">
        <f t="shared" si="208"/>
        <v>267</v>
      </c>
      <c r="L946" s="13">
        <f>L947+L962</f>
        <v>0</v>
      </c>
      <c r="M946" s="84">
        <f t="shared" ref="M946:M1033" si="211">K946+L946</f>
        <v>267</v>
      </c>
      <c r="N946" s="13">
        <f>N947+N962</f>
        <v>0</v>
      </c>
      <c r="O946" s="84">
        <f t="shared" ref="O946:O1033" si="212">M946+N946</f>
        <v>267</v>
      </c>
      <c r="P946" s="13">
        <f>P947+P962</f>
        <v>0</v>
      </c>
      <c r="Q946" s="84">
        <f t="shared" si="207"/>
        <v>267</v>
      </c>
      <c r="R946" s="13">
        <f>R947+R962</f>
        <v>157.9</v>
      </c>
      <c r="S946" s="84">
        <f t="shared" si="205"/>
        <v>424.9</v>
      </c>
      <c r="T946" s="13">
        <f>T947+T962</f>
        <v>50</v>
      </c>
      <c r="U946" s="84">
        <f t="shared" si="210"/>
        <v>474.9</v>
      </c>
    </row>
    <row r="947" spans="1:21" ht="33">
      <c r="A947" s="61" t="str">
        <f ca="1">IF(ISERROR(MATCH(E947,Код_КЦСР,0)),"",INDIRECT(ADDRESS(MATCH(E947,Код_КЦСР,0)+1,2,,,"КЦСР")))</f>
        <v>Муниципальная программа «Культура, традиции и народное творчество в городе Череповце» на 2013-2018 годы</v>
      </c>
      <c r="B947" s="126">
        <v>808</v>
      </c>
      <c r="C947" s="8" t="s">
        <v>193</v>
      </c>
      <c r="D947" s="8" t="s">
        <v>217</v>
      </c>
      <c r="E947" s="126" t="s">
        <v>460</v>
      </c>
      <c r="F947" s="126"/>
      <c r="G947" s="69">
        <f t="shared" ref="G947:T951" si="213">G948</f>
        <v>76</v>
      </c>
      <c r="H947" s="69">
        <f t="shared" si="213"/>
        <v>0</v>
      </c>
      <c r="I947" s="69">
        <f t="shared" si="197"/>
        <v>76</v>
      </c>
      <c r="J947" s="69">
        <f t="shared" si="213"/>
        <v>0</v>
      </c>
      <c r="K947" s="84">
        <f t="shared" si="208"/>
        <v>76</v>
      </c>
      <c r="L947" s="13">
        <f t="shared" si="213"/>
        <v>0</v>
      </c>
      <c r="M947" s="84">
        <f t="shared" si="211"/>
        <v>76</v>
      </c>
      <c r="N947" s="13">
        <f t="shared" si="213"/>
        <v>0</v>
      </c>
      <c r="O947" s="84">
        <f t="shared" si="212"/>
        <v>76</v>
      </c>
      <c r="P947" s="13">
        <f t="shared" si="213"/>
        <v>0</v>
      </c>
      <c r="Q947" s="84">
        <f t="shared" si="207"/>
        <v>76</v>
      </c>
      <c r="R947" s="13">
        <f>R948+R953</f>
        <v>157.9</v>
      </c>
      <c r="S947" s="84">
        <f t="shared" si="205"/>
        <v>233.9</v>
      </c>
      <c r="T947" s="13">
        <f>T948+T953</f>
        <v>0</v>
      </c>
      <c r="U947" s="84">
        <f t="shared" si="210"/>
        <v>233.9</v>
      </c>
    </row>
    <row r="948" spans="1:21">
      <c r="A948" s="61" t="str">
        <f ca="1">IF(ISERROR(MATCH(E948,Код_КЦСР,0)),"",INDIRECT(ADDRESS(MATCH(E948,Код_КЦСР,0)+1,2,,,"КЦСР")))</f>
        <v>Совершенствование культурно-досуговой деятельности</v>
      </c>
      <c r="B948" s="126">
        <v>808</v>
      </c>
      <c r="C948" s="8" t="s">
        <v>193</v>
      </c>
      <c r="D948" s="8" t="s">
        <v>217</v>
      </c>
      <c r="E948" s="126" t="s">
        <v>489</v>
      </c>
      <c r="F948" s="126"/>
      <c r="G948" s="69">
        <f t="shared" si="213"/>
        <v>76</v>
      </c>
      <c r="H948" s="69">
        <f t="shared" si="213"/>
        <v>0</v>
      </c>
      <c r="I948" s="69">
        <f t="shared" si="197"/>
        <v>76</v>
      </c>
      <c r="J948" s="69">
        <f t="shared" si="213"/>
        <v>0</v>
      </c>
      <c r="K948" s="84">
        <f t="shared" si="208"/>
        <v>76</v>
      </c>
      <c r="L948" s="13">
        <f t="shared" si="213"/>
        <v>0</v>
      </c>
      <c r="M948" s="84">
        <f t="shared" si="211"/>
        <v>76</v>
      </c>
      <c r="N948" s="13">
        <f t="shared" si="213"/>
        <v>0</v>
      </c>
      <c r="O948" s="84">
        <f t="shared" si="212"/>
        <v>76</v>
      </c>
      <c r="P948" s="13">
        <f t="shared" si="213"/>
        <v>0</v>
      </c>
      <c r="Q948" s="84">
        <f t="shared" si="207"/>
        <v>76</v>
      </c>
      <c r="R948" s="13">
        <f t="shared" si="213"/>
        <v>0</v>
      </c>
      <c r="S948" s="84">
        <f t="shared" si="205"/>
        <v>76</v>
      </c>
      <c r="T948" s="13">
        <f t="shared" si="213"/>
        <v>0</v>
      </c>
      <c r="U948" s="84">
        <f t="shared" si="210"/>
        <v>76</v>
      </c>
    </row>
    <row r="949" spans="1:21" ht="90" customHeight="1">
      <c r="A949" s="61" t="str">
        <f ca="1">IF(ISERROR(MATCH(E949,Код_КЦСР,0)),"",INDIRECT(ADDRESS(MATCH(E949,Код_КЦСР,0)+1,2,,,"КЦСР")))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народа, организация и проведение конкурсов, фестивалей и смотров самодеятельного художественного творчества, выставок)</v>
      </c>
      <c r="B949" s="126">
        <v>808</v>
      </c>
      <c r="C949" s="8" t="s">
        <v>193</v>
      </c>
      <c r="D949" s="8" t="s">
        <v>217</v>
      </c>
      <c r="E949" s="126" t="s">
        <v>495</v>
      </c>
      <c r="F949" s="126"/>
      <c r="G949" s="69">
        <f t="shared" si="213"/>
        <v>76</v>
      </c>
      <c r="H949" s="69">
        <f t="shared" si="213"/>
        <v>0</v>
      </c>
      <c r="I949" s="69">
        <f t="shared" si="197"/>
        <v>76</v>
      </c>
      <c r="J949" s="69">
        <f t="shared" si="213"/>
        <v>0</v>
      </c>
      <c r="K949" s="84">
        <f t="shared" si="208"/>
        <v>76</v>
      </c>
      <c r="L949" s="13">
        <f t="shared" si="213"/>
        <v>0</v>
      </c>
      <c r="M949" s="84">
        <f t="shared" si="211"/>
        <v>76</v>
      </c>
      <c r="N949" s="13">
        <f t="shared" si="213"/>
        <v>0</v>
      </c>
      <c r="O949" s="84">
        <f t="shared" si="212"/>
        <v>76</v>
      </c>
      <c r="P949" s="13">
        <f t="shared" si="213"/>
        <v>0</v>
      </c>
      <c r="Q949" s="84">
        <f t="shared" si="207"/>
        <v>76</v>
      </c>
      <c r="R949" s="13">
        <f t="shared" si="213"/>
        <v>0</v>
      </c>
      <c r="S949" s="84">
        <f t="shared" si="205"/>
        <v>76</v>
      </c>
      <c r="T949" s="13">
        <f t="shared" si="213"/>
        <v>0</v>
      </c>
      <c r="U949" s="84">
        <f t="shared" si="210"/>
        <v>76</v>
      </c>
    </row>
    <row r="950" spans="1:21" ht="33">
      <c r="A950" s="61" t="str">
        <f ca="1">IF(ISERROR(MATCH(F950,Код_КВР,0)),"",INDIRECT(ADDRESS(MATCH(F950,Код_КВР,0)+1,2,,,"КВР")))</f>
        <v>Предоставление субсидий бюджетным, автономным учреждениям и иным некоммерческим организациям</v>
      </c>
      <c r="B950" s="126">
        <v>808</v>
      </c>
      <c r="C950" s="8" t="s">
        <v>193</v>
      </c>
      <c r="D950" s="8" t="s">
        <v>217</v>
      </c>
      <c r="E950" s="126" t="s">
        <v>495</v>
      </c>
      <c r="F950" s="126">
        <v>600</v>
      </c>
      <c r="G950" s="69">
        <f t="shared" si="213"/>
        <v>76</v>
      </c>
      <c r="H950" s="69">
        <f t="shared" si="213"/>
        <v>0</v>
      </c>
      <c r="I950" s="69">
        <f t="shared" ref="I950:I1041" si="214">G950+H950</f>
        <v>76</v>
      </c>
      <c r="J950" s="69">
        <f t="shared" si="213"/>
        <v>0</v>
      </c>
      <c r="K950" s="84">
        <f t="shared" si="208"/>
        <v>76</v>
      </c>
      <c r="L950" s="13">
        <f t="shared" si="213"/>
        <v>0</v>
      </c>
      <c r="M950" s="84">
        <f t="shared" si="211"/>
        <v>76</v>
      </c>
      <c r="N950" s="13">
        <f t="shared" si="213"/>
        <v>0</v>
      </c>
      <c r="O950" s="84">
        <f t="shared" si="212"/>
        <v>76</v>
      </c>
      <c r="P950" s="13">
        <f t="shared" si="213"/>
        <v>0</v>
      </c>
      <c r="Q950" s="84">
        <f t="shared" si="207"/>
        <v>76</v>
      </c>
      <c r="R950" s="13">
        <f t="shared" si="213"/>
        <v>0</v>
      </c>
      <c r="S950" s="84">
        <f t="shared" si="205"/>
        <v>76</v>
      </c>
      <c r="T950" s="13">
        <f t="shared" si="213"/>
        <v>0</v>
      </c>
      <c r="U950" s="84">
        <f t="shared" si="210"/>
        <v>76</v>
      </c>
    </row>
    <row r="951" spans="1:21">
      <c r="A951" s="61" t="str">
        <f ca="1">IF(ISERROR(MATCH(F951,Код_КВР,0)),"",INDIRECT(ADDRESS(MATCH(F951,Код_КВР,0)+1,2,,,"КВР")))</f>
        <v>Субсидии бюджетным учреждениям</v>
      </c>
      <c r="B951" s="126">
        <v>808</v>
      </c>
      <c r="C951" s="8" t="s">
        <v>193</v>
      </c>
      <c r="D951" s="8" t="s">
        <v>217</v>
      </c>
      <c r="E951" s="126" t="s">
        <v>495</v>
      </c>
      <c r="F951" s="126">
        <v>610</v>
      </c>
      <c r="G951" s="69">
        <f t="shared" si="213"/>
        <v>76</v>
      </c>
      <c r="H951" s="69">
        <f t="shared" si="213"/>
        <v>0</v>
      </c>
      <c r="I951" s="69">
        <f t="shared" si="214"/>
        <v>76</v>
      </c>
      <c r="J951" s="69">
        <f t="shared" si="213"/>
        <v>0</v>
      </c>
      <c r="K951" s="84">
        <f t="shared" si="208"/>
        <v>76</v>
      </c>
      <c r="L951" s="13">
        <f t="shared" si="213"/>
        <v>0</v>
      </c>
      <c r="M951" s="84">
        <f t="shared" si="211"/>
        <v>76</v>
      </c>
      <c r="N951" s="13">
        <f t="shared" si="213"/>
        <v>0</v>
      </c>
      <c r="O951" s="84">
        <f t="shared" si="212"/>
        <v>76</v>
      </c>
      <c r="P951" s="13">
        <f t="shared" si="213"/>
        <v>0</v>
      </c>
      <c r="Q951" s="84">
        <f t="shared" si="207"/>
        <v>76</v>
      </c>
      <c r="R951" s="13">
        <f t="shared" si="213"/>
        <v>0</v>
      </c>
      <c r="S951" s="84">
        <f t="shared" si="205"/>
        <v>76</v>
      </c>
      <c r="T951" s="13">
        <f t="shared" si="213"/>
        <v>0</v>
      </c>
      <c r="U951" s="84">
        <f t="shared" si="210"/>
        <v>76</v>
      </c>
    </row>
    <row r="952" spans="1:21">
      <c r="A952" s="61" t="str">
        <f ca="1">IF(ISERROR(MATCH(F952,Код_КВР,0)),"",INDIRECT(ADDRESS(MATCH(F952,Код_КВР,0)+1,2,,,"КВР")))</f>
        <v>Субсидии бюджетным учреждениям на иные цели</v>
      </c>
      <c r="B952" s="126">
        <v>808</v>
      </c>
      <c r="C952" s="8" t="s">
        <v>193</v>
      </c>
      <c r="D952" s="8" t="s">
        <v>217</v>
      </c>
      <c r="E952" s="126" t="s">
        <v>495</v>
      </c>
      <c r="F952" s="126">
        <v>612</v>
      </c>
      <c r="G952" s="69">
        <v>76</v>
      </c>
      <c r="H952" s="69"/>
      <c r="I952" s="69">
        <f t="shared" si="214"/>
        <v>76</v>
      </c>
      <c r="J952" s="69"/>
      <c r="K952" s="84">
        <f t="shared" si="208"/>
        <v>76</v>
      </c>
      <c r="L952" s="13"/>
      <c r="M952" s="84">
        <f t="shared" si="211"/>
        <v>76</v>
      </c>
      <c r="N952" s="13"/>
      <c r="O952" s="84">
        <f t="shared" si="212"/>
        <v>76</v>
      </c>
      <c r="P952" s="13"/>
      <c r="Q952" s="84">
        <f t="shared" si="207"/>
        <v>76</v>
      </c>
      <c r="R952" s="13"/>
      <c r="S952" s="84">
        <f t="shared" si="205"/>
        <v>76</v>
      </c>
      <c r="T952" s="13"/>
      <c r="U952" s="84">
        <f t="shared" si="210"/>
        <v>76</v>
      </c>
    </row>
    <row r="953" spans="1:21" ht="33">
      <c r="A953" s="61" t="str">
        <f ca="1">IF(ISERROR(MATCH(E953,Код_КЦСР,0)),"",INDIRECT(ADDRESS(MATCH(E953,Код_КЦСР,0)+1,2,,,"КЦСР")))</f>
        <v>Дополнительное образование в сфере культуры и искусства, поддержка юных дарований</v>
      </c>
      <c r="B953" s="126">
        <v>808</v>
      </c>
      <c r="C953" s="8" t="s">
        <v>193</v>
      </c>
      <c r="D953" s="8" t="s">
        <v>217</v>
      </c>
      <c r="E953" s="126" t="s">
        <v>514</v>
      </c>
      <c r="F953" s="126"/>
      <c r="G953" s="69"/>
      <c r="H953" s="69"/>
      <c r="I953" s="69"/>
      <c r="J953" s="69"/>
      <c r="K953" s="84"/>
      <c r="L953" s="13"/>
      <c r="M953" s="84"/>
      <c r="N953" s="13"/>
      <c r="O953" s="84"/>
      <c r="P953" s="13"/>
      <c r="Q953" s="84"/>
      <c r="R953" s="13">
        <f>R954+R958</f>
        <v>157.9</v>
      </c>
      <c r="S953" s="84">
        <f t="shared" si="205"/>
        <v>157.9</v>
      </c>
      <c r="T953" s="13">
        <f>T954+T958</f>
        <v>0</v>
      </c>
      <c r="U953" s="84">
        <f t="shared" si="210"/>
        <v>157.9</v>
      </c>
    </row>
    <row r="954" spans="1:21" ht="60.75" customHeight="1">
      <c r="A954" s="61" t="str">
        <f ca="1">IF(ISERROR(MATCH(E954,Код_КЦСР,0)),"",INDIRECT(ADDRESS(MATCH(E954,Код_КЦСР,0)+1,2,,,"КЦСР")))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54" s="126">
        <v>808</v>
      </c>
      <c r="C954" s="8" t="s">
        <v>193</v>
      </c>
      <c r="D954" s="8" t="s">
        <v>217</v>
      </c>
      <c r="E954" s="126" t="s">
        <v>516</v>
      </c>
      <c r="F954" s="126"/>
      <c r="G954" s="69"/>
      <c r="H954" s="69"/>
      <c r="I954" s="69"/>
      <c r="J954" s="69"/>
      <c r="K954" s="84"/>
      <c r="L954" s="13"/>
      <c r="M954" s="84"/>
      <c r="N954" s="13"/>
      <c r="O954" s="84"/>
      <c r="P954" s="13"/>
      <c r="Q954" s="84"/>
      <c r="R954" s="13">
        <f>R955</f>
        <v>7.9</v>
      </c>
      <c r="S954" s="84">
        <f t="shared" si="205"/>
        <v>7.9</v>
      </c>
      <c r="T954" s="13">
        <f>T955</f>
        <v>0</v>
      </c>
      <c r="U954" s="84">
        <f t="shared" si="210"/>
        <v>7.9</v>
      </c>
    </row>
    <row r="955" spans="1:21" ht="33">
      <c r="A955" s="61" t="str">
        <f ca="1">IF(ISERROR(MATCH(F955,Код_КВР,0)),"",INDIRECT(ADDRESS(MATCH(F955,Код_КВР,0)+1,2,,,"КВР")))</f>
        <v>Предоставление субсидий бюджетным, автономным учреждениям и иным некоммерческим организациям</v>
      </c>
      <c r="B955" s="126">
        <v>808</v>
      </c>
      <c r="C955" s="8" t="s">
        <v>193</v>
      </c>
      <c r="D955" s="8" t="s">
        <v>217</v>
      </c>
      <c r="E955" s="126" t="s">
        <v>516</v>
      </c>
      <c r="F955" s="126">
        <v>600</v>
      </c>
      <c r="G955" s="69"/>
      <c r="H955" s="69"/>
      <c r="I955" s="69"/>
      <c r="J955" s="69"/>
      <c r="K955" s="84"/>
      <c r="L955" s="13"/>
      <c r="M955" s="84"/>
      <c r="N955" s="13"/>
      <c r="O955" s="84"/>
      <c r="P955" s="13"/>
      <c r="Q955" s="84"/>
      <c r="R955" s="13">
        <f>R956</f>
        <v>7.9</v>
      </c>
      <c r="S955" s="84">
        <f t="shared" si="205"/>
        <v>7.9</v>
      </c>
      <c r="T955" s="13">
        <f>T956</f>
        <v>0</v>
      </c>
      <c r="U955" s="84">
        <f t="shared" si="210"/>
        <v>7.9</v>
      </c>
    </row>
    <row r="956" spans="1:21">
      <c r="A956" s="61" t="str">
        <f ca="1">IF(ISERROR(MATCH(F956,Код_КВР,0)),"",INDIRECT(ADDRESS(MATCH(F956,Код_КВР,0)+1,2,,,"КВР")))</f>
        <v>Субсидии бюджетным учреждениям</v>
      </c>
      <c r="B956" s="126">
        <v>808</v>
      </c>
      <c r="C956" s="8" t="s">
        <v>193</v>
      </c>
      <c r="D956" s="8" t="s">
        <v>217</v>
      </c>
      <c r="E956" s="126" t="s">
        <v>516</v>
      </c>
      <c r="F956" s="126">
        <v>610</v>
      </c>
      <c r="G956" s="69"/>
      <c r="H956" s="69"/>
      <c r="I956" s="69"/>
      <c r="J956" s="69"/>
      <c r="K956" s="84"/>
      <c r="L956" s="13"/>
      <c r="M956" s="84"/>
      <c r="N956" s="13"/>
      <c r="O956" s="84"/>
      <c r="P956" s="13"/>
      <c r="Q956" s="84"/>
      <c r="R956" s="13">
        <f>R957</f>
        <v>7.9</v>
      </c>
      <c r="S956" s="84">
        <f t="shared" si="205"/>
        <v>7.9</v>
      </c>
      <c r="T956" s="13">
        <f>T957</f>
        <v>0</v>
      </c>
      <c r="U956" s="84">
        <f t="shared" si="210"/>
        <v>7.9</v>
      </c>
    </row>
    <row r="957" spans="1:21">
      <c r="A957" s="61" t="str">
        <f ca="1">IF(ISERROR(MATCH(F957,Код_КВР,0)),"",INDIRECT(ADDRESS(MATCH(F957,Код_КВР,0)+1,2,,,"КВР")))</f>
        <v>Субсидии бюджетным учреждениям на иные цели</v>
      </c>
      <c r="B957" s="126">
        <v>808</v>
      </c>
      <c r="C957" s="8" t="s">
        <v>193</v>
      </c>
      <c r="D957" s="8" t="s">
        <v>217</v>
      </c>
      <c r="E957" s="126" t="s">
        <v>516</v>
      </c>
      <c r="F957" s="126">
        <v>612</v>
      </c>
      <c r="G957" s="69"/>
      <c r="H957" s="69"/>
      <c r="I957" s="69"/>
      <c r="J957" s="69"/>
      <c r="K957" s="84"/>
      <c r="L957" s="13"/>
      <c r="M957" s="84"/>
      <c r="N957" s="13"/>
      <c r="O957" s="84"/>
      <c r="P957" s="13"/>
      <c r="Q957" s="84"/>
      <c r="R957" s="13">
        <v>7.9</v>
      </c>
      <c r="S957" s="84">
        <f t="shared" si="205"/>
        <v>7.9</v>
      </c>
      <c r="T957" s="13"/>
      <c r="U957" s="84">
        <f t="shared" si="210"/>
        <v>7.9</v>
      </c>
    </row>
    <row r="958" spans="1:21" ht="33">
      <c r="A958" s="61" t="str">
        <f ca="1">IF(ISERROR(MATCH(E958,Код_КЦСР,0)),"",INDIRECT(ADDRESS(MATCH(E958,Код_КЦСР,0)+1,2,,,"КЦСР")))</f>
        <v>Реализация мероприятий федеральной целевой программы «Культура России» (2012-2018 годы) за счет субсидий из федерального бюджета</v>
      </c>
      <c r="B958" s="126">
        <v>808</v>
      </c>
      <c r="C958" s="8" t="s">
        <v>193</v>
      </c>
      <c r="D958" s="8" t="s">
        <v>217</v>
      </c>
      <c r="E958" s="126" t="s">
        <v>640</v>
      </c>
      <c r="F958" s="126"/>
      <c r="G958" s="69"/>
      <c r="H958" s="69"/>
      <c r="I958" s="69"/>
      <c r="J958" s="69"/>
      <c r="K958" s="84"/>
      <c r="L958" s="13"/>
      <c r="M958" s="84"/>
      <c r="N958" s="13"/>
      <c r="O958" s="84"/>
      <c r="P958" s="13"/>
      <c r="Q958" s="84"/>
      <c r="R958" s="13">
        <f>R959</f>
        <v>150</v>
      </c>
      <c r="S958" s="84">
        <f t="shared" si="205"/>
        <v>150</v>
      </c>
      <c r="T958" s="13">
        <f>T959</f>
        <v>0</v>
      </c>
      <c r="U958" s="84">
        <f t="shared" si="210"/>
        <v>150</v>
      </c>
    </row>
    <row r="959" spans="1:21" ht="33">
      <c r="A959" s="61" t="str">
        <f ca="1">IF(ISERROR(MATCH(F959,Код_КВР,0)),"",INDIRECT(ADDRESS(MATCH(F959,Код_КВР,0)+1,2,,,"КВР")))</f>
        <v>Предоставление субсидий бюджетным, автономным учреждениям и иным некоммерческим организациям</v>
      </c>
      <c r="B959" s="126">
        <v>808</v>
      </c>
      <c r="C959" s="8" t="s">
        <v>193</v>
      </c>
      <c r="D959" s="8" t="s">
        <v>217</v>
      </c>
      <c r="E959" s="126" t="s">
        <v>640</v>
      </c>
      <c r="F959" s="126">
        <v>600</v>
      </c>
      <c r="G959" s="69"/>
      <c r="H959" s="69"/>
      <c r="I959" s="69"/>
      <c r="J959" s="69"/>
      <c r="K959" s="84"/>
      <c r="L959" s="13"/>
      <c r="M959" s="84"/>
      <c r="N959" s="13"/>
      <c r="O959" s="84"/>
      <c r="P959" s="13"/>
      <c r="Q959" s="84"/>
      <c r="R959" s="13">
        <f>R960</f>
        <v>150</v>
      </c>
      <c r="S959" s="84">
        <f t="shared" si="205"/>
        <v>150</v>
      </c>
      <c r="T959" s="13">
        <f>T960</f>
        <v>0</v>
      </c>
      <c r="U959" s="84">
        <f t="shared" si="210"/>
        <v>150</v>
      </c>
    </row>
    <row r="960" spans="1:21">
      <c r="A960" s="61" t="str">
        <f ca="1">IF(ISERROR(MATCH(F960,Код_КВР,0)),"",INDIRECT(ADDRESS(MATCH(F960,Код_КВР,0)+1,2,,,"КВР")))</f>
        <v>Субсидии бюджетным учреждениям</v>
      </c>
      <c r="B960" s="126">
        <v>808</v>
      </c>
      <c r="C960" s="8" t="s">
        <v>193</v>
      </c>
      <c r="D960" s="8" t="s">
        <v>217</v>
      </c>
      <c r="E960" s="126" t="s">
        <v>640</v>
      </c>
      <c r="F960" s="126">
        <v>610</v>
      </c>
      <c r="G960" s="69"/>
      <c r="H960" s="69"/>
      <c r="I960" s="69"/>
      <c r="J960" s="69"/>
      <c r="K960" s="84"/>
      <c r="L960" s="13"/>
      <c r="M960" s="84"/>
      <c r="N960" s="13"/>
      <c r="O960" s="84"/>
      <c r="P960" s="13"/>
      <c r="Q960" s="84"/>
      <c r="R960" s="13">
        <f>R961</f>
        <v>150</v>
      </c>
      <c r="S960" s="84">
        <f t="shared" si="205"/>
        <v>150</v>
      </c>
      <c r="T960" s="13">
        <f>T961</f>
        <v>0</v>
      </c>
      <c r="U960" s="84">
        <f t="shared" si="210"/>
        <v>150</v>
      </c>
    </row>
    <row r="961" spans="1:22">
      <c r="A961" s="61" t="str">
        <f ca="1">IF(ISERROR(MATCH(F961,Код_КВР,0)),"",INDIRECT(ADDRESS(MATCH(F961,Код_КВР,0)+1,2,,,"КВР")))</f>
        <v>Субсидии бюджетным учреждениям на иные цели</v>
      </c>
      <c r="B961" s="126">
        <v>808</v>
      </c>
      <c r="C961" s="8" t="s">
        <v>193</v>
      </c>
      <c r="D961" s="8" t="s">
        <v>217</v>
      </c>
      <c r="E961" s="126" t="s">
        <v>640</v>
      </c>
      <c r="F961" s="126">
        <v>612</v>
      </c>
      <c r="G961" s="69"/>
      <c r="H961" s="69"/>
      <c r="I961" s="69"/>
      <c r="J961" s="69"/>
      <c r="K961" s="84"/>
      <c r="L961" s="13"/>
      <c r="M961" s="84"/>
      <c r="N961" s="13"/>
      <c r="O961" s="84"/>
      <c r="P961" s="13"/>
      <c r="Q961" s="84"/>
      <c r="R961" s="13">
        <v>150</v>
      </c>
      <c r="S961" s="84">
        <f t="shared" si="205"/>
        <v>150</v>
      </c>
      <c r="T961" s="13"/>
      <c r="U961" s="84">
        <f t="shared" si="210"/>
        <v>150</v>
      </c>
    </row>
    <row r="962" spans="1:22" ht="33">
      <c r="A962" s="61" t="str">
        <f ca="1">IF(ISERROR(MATCH(E962,Код_КЦСР,0)),"",INDIRECT(ADDRESS(MATCH(E962,Код_КЦСР,0)+1,2,,,"КЦСР")))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62" s="126">
        <v>808</v>
      </c>
      <c r="C962" s="8" t="s">
        <v>193</v>
      </c>
      <c r="D962" s="8" t="s">
        <v>217</v>
      </c>
      <c r="E962" s="126" t="s">
        <v>78</v>
      </c>
      <c r="F962" s="126"/>
      <c r="G962" s="69">
        <f>G963</f>
        <v>191</v>
      </c>
      <c r="H962" s="69">
        <f>H963</f>
        <v>0</v>
      </c>
      <c r="I962" s="69">
        <f t="shared" si="214"/>
        <v>191</v>
      </c>
      <c r="J962" s="69">
        <f>J963</f>
        <v>0</v>
      </c>
      <c r="K962" s="84">
        <f t="shared" si="208"/>
        <v>191</v>
      </c>
      <c r="L962" s="13">
        <f>L963</f>
        <v>0</v>
      </c>
      <c r="M962" s="84">
        <f t="shared" si="211"/>
        <v>191</v>
      </c>
      <c r="N962" s="13">
        <f>N963</f>
        <v>0</v>
      </c>
      <c r="O962" s="84">
        <f t="shared" si="212"/>
        <v>191</v>
      </c>
      <c r="P962" s="13">
        <f>P963</f>
        <v>0</v>
      </c>
      <c r="Q962" s="84">
        <f t="shared" si="207"/>
        <v>191</v>
      </c>
      <c r="R962" s="13">
        <f>R963</f>
        <v>0</v>
      </c>
      <c r="S962" s="84">
        <f t="shared" si="205"/>
        <v>191</v>
      </c>
      <c r="T962" s="13">
        <f>T963</f>
        <v>50</v>
      </c>
      <c r="U962" s="84">
        <f t="shared" si="210"/>
        <v>241</v>
      </c>
    </row>
    <row r="963" spans="1:22" ht="20.25" customHeight="1">
      <c r="A963" s="61" t="str">
        <f ca="1">IF(ISERROR(MATCH(E963,Код_КЦСР,0)),"",INDIRECT(ADDRESS(MATCH(E963,Код_КЦСР,0)+1,2,,,"КЦСР")))</f>
        <v>Обеспечение пожарной безопасности муниципальных учреждений города</v>
      </c>
      <c r="B963" s="126">
        <v>808</v>
      </c>
      <c r="C963" s="8" t="s">
        <v>193</v>
      </c>
      <c r="D963" s="8" t="s">
        <v>217</v>
      </c>
      <c r="E963" s="126" t="s">
        <v>80</v>
      </c>
      <c r="F963" s="126"/>
      <c r="G963" s="69">
        <f>G964+G968</f>
        <v>191</v>
      </c>
      <c r="H963" s="69">
        <f>H964+H968</f>
        <v>0</v>
      </c>
      <c r="I963" s="69">
        <f t="shared" si="214"/>
        <v>191</v>
      </c>
      <c r="J963" s="69">
        <f>J964+J968</f>
        <v>0</v>
      </c>
      <c r="K963" s="84">
        <f t="shared" si="208"/>
        <v>191</v>
      </c>
      <c r="L963" s="13">
        <f>L964+L968</f>
        <v>0</v>
      </c>
      <c r="M963" s="84">
        <f t="shared" si="211"/>
        <v>191</v>
      </c>
      <c r="N963" s="13">
        <f>N964+N968</f>
        <v>0</v>
      </c>
      <c r="O963" s="84">
        <f t="shared" si="212"/>
        <v>191</v>
      </c>
      <c r="P963" s="13">
        <f>P964+P968</f>
        <v>0</v>
      </c>
      <c r="Q963" s="84">
        <f t="shared" si="207"/>
        <v>191</v>
      </c>
      <c r="R963" s="13">
        <f>R964+R968</f>
        <v>0</v>
      </c>
      <c r="S963" s="84">
        <f t="shared" si="205"/>
        <v>191</v>
      </c>
      <c r="T963" s="13">
        <f>T964+T968</f>
        <v>50</v>
      </c>
      <c r="U963" s="84">
        <f t="shared" si="210"/>
        <v>241</v>
      </c>
    </row>
    <row r="964" spans="1:22" ht="49.5">
      <c r="A964" s="61" t="str">
        <f ca="1">IF(ISERROR(MATCH(E964,Код_КЦСР,0)),"",INDIRECT(ADDRESS(MATCH(E964,Код_КЦСР,0)+1,2,,,"КЦСР")))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64" s="126">
        <v>808</v>
      </c>
      <c r="C964" s="8" t="s">
        <v>193</v>
      </c>
      <c r="D964" s="8" t="s">
        <v>217</v>
      </c>
      <c r="E964" s="126" t="s">
        <v>82</v>
      </c>
      <c r="F964" s="126"/>
      <c r="G964" s="69">
        <f t="shared" ref="G964:T966" si="215">G965</f>
        <v>191</v>
      </c>
      <c r="H964" s="69">
        <f t="shared" si="215"/>
        <v>0</v>
      </c>
      <c r="I964" s="69">
        <f t="shared" si="214"/>
        <v>191</v>
      </c>
      <c r="J964" s="69">
        <f t="shared" si="215"/>
        <v>0</v>
      </c>
      <c r="K964" s="84">
        <f t="shared" si="208"/>
        <v>191</v>
      </c>
      <c r="L964" s="13">
        <f t="shared" si="215"/>
        <v>0</v>
      </c>
      <c r="M964" s="84">
        <f t="shared" si="211"/>
        <v>191</v>
      </c>
      <c r="N964" s="13">
        <f t="shared" si="215"/>
        <v>0</v>
      </c>
      <c r="O964" s="84">
        <f t="shared" si="212"/>
        <v>191</v>
      </c>
      <c r="P964" s="13">
        <f t="shared" si="215"/>
        <v>0</v>
      </c>
      <c r="Q964" s="84">
        <f t="shared" si="207"/>
        <v>191</v>
      </c>
      <c r="R964" s="13">
        <f t="shared" si="215"/>
        <v>0</v>
      </c>
      <c r="S964" s="84">
        <f t="shared" si="205"/>
        <v>191</v>
      </c>
      <c r="T964" s="13">
        <f t="shared" si="215"/>
        <v>50</v>
      </c>
      <c r="U964" s="84">
        <f t="shared" si="210"/>
        <v>241</v>
      </c>
    </row>
    <row r="965" spans="1:22" ht="33">
      <c r="A965" s="61" t="str">
        <f ca="1">IF(ISERROR(MATCH(F965,Код_КВР,0)),"",INDIRECT(ADDRESS(MATCH(F965,Код_КВР,0)+1,2,,,"КВР")))</f>
        <v>Предоставление субсидий бюджетным, автономным учреждениям и иным некоммерческим организациям</v>
      </c>
      <c r="B965" s="126">
        <v>808</v>
      </c>
      <c r="C965" s="8" t="s">
        <v>193</v>
      </c>
      <c r="D965" s="8" t="s">
        <v>217</v>
      </c>
      <c r="E965" s="126" t="s">
        <v>82</v>
      </c>
      <c r="F965" s="126">
        <v>600</v>
      </c>
      <c r="G965" s="69">
        <f t="shared" si="215"/>
        <v>191</v>
      </c>
      <c r="H965" s="69">
        <f t="shared" si="215"/>
        <v>0</v>
      </c>
      <c r="I965" s="69">
        <f t="shared" si="214"/>
        <v>191</v>
      </c>
      <c r="J965" s="69">
        <f t="shared" si="215"/>
        <v>0</v>
      </c>
      <c r="K965" s="84">
        <f t="shared" si="208"/>
        <v>191</v>
      </c>
      <c r="L965" s="13">
        <f t="shared" si="215"/>
        <v>0</v>
      </c>
      <c r="M965" s="84">
        <f t="shared" si="211"/>
        <v>191</v>
      </c>
      <c r="N965" s="13">
        <f t="shared" si="215"/>
        <v>0</v>
      </c>
      <c r="O965" s="84">
        <f t="shared" si="212"/>
        <v>191</v>
      </c>
      <c r="P965" s="13">
        <f t="shared" si="215"/>
        <v>0</v>
      </c>
      <c r="Q965" s="84">
        <f t="shared" si="207"/>
        <v>191</v>
      </c>
      <c r="R965" s="13">
        <f t="shared" si="215"/>
        <v>0</v>
      </c>
      <c r="S965" s="84">
        <f t="shared" si="205"/>
        <v>191</v>
      </c>
      <c r="T965" s="13">
        <f t="shared" si="215"/>
        <v>50</v>
      </c>
      <c r="U965" s="84">
        <f t="shared" si="210"/>
        <v>241</v>
      </c>
    </row>
    <row r="966" spans="1:22">
      <c r="A966" s="61" t="str">
        <f ca="1">IF(ISERROR(MATCH(F966,Код_КВР,0)),"",INDIRECT(ADDRESS(MATCH(F966,Код_КВР,0)+1,2,,,"КВР")))</f>
        <v>Субсидии бюджетным учреждениям</v>
      </c>
      <c r="B966" s="126">
        <v>808</v>
      </c>
      <c r="C966" s="8" t="s">
        <v>193</v>
      </c>
      <c r="D966" s="8" t="s">
        <v>217</v>
      </c>
      <c r="E966" s="126" t="s">
        <v>82</v>
      </c>
      <c r="F966" s="126">
        <v>610</v>
      </c>
      <c r="G966" s="69">
        <f t="shared" si="215"/>
        <v>191</v>
      </c>
      <c r="H966" s="69">
        <f t="shared" si="215"/>
        <v>0</v>
      </c>
      <c r="I966" s="69">
        <f t="shared" si="214"/>
        <v>191</v>
      </c>
      <c r="J966" s="69">
        <f t="shared" si="215"/>
        <v>0</v>
      </c>
      <c r="K966" s="84">
        <f t="shared" si="208"/>
        <v>191</v>
      </c>
      <c r="L966" s="13">
        <f t="shared" si="215"/>
        <v>0</v>
      </c>
      <c r="M966" s="84">
        <f t="shared" si="211"/>
        <v>191</v>
      </c>
      <c r="N966" s="13">
        <f t="shared" si="215"/>
        <v>0</v>
      </c>
      <c r="O966" s="84">
        <f t="shared" si="212"/>
        <v>191</v>
      </c>
      <c r="P966" s="13">
        <f t="shared" si="215"/>
        <v>0</v>
      </c>
      <c r="Q966" s="84">
        <f t="shared" si="207"/>
        <v>191</v>
      </c>
      <c r="R966" s="13">
        <f t="shared" si="215"/>
        <v>0</v>
      </c>
      <c r="S966" s="84">
        <f t="shared" si="205"/>
        <v>191</v>
      </c>
      <c r="T966" s="13">
        <f t="shared" si="215"/>
        <v>50</v>
      </c>
      <c r="U966" s="84">
        <f t="shared" si="210"/>
        <v>241</v>
      </c>
    </row>
    <row r="967" spans="1:22">
      <c r="A967" s="61" t="str">
        <f ca="1">IF(ISERROR(MATCH(F967,Код_КВР,0)),"",INDIRECT(ADDRESS(MATCH(F967,Код_КВР,0)+1,2,,,"КВР")))</f>
        <v>Субсидии бюджетным учреждениям на иные цели</v>
      </c>
      <c r="B967" s="126">
        <v>808</v>
      </c>
      <c r="C967" s="8" t="s">
        <v>193</v>
      </c>
      <c r="D967" s="8" t="s">
        <v>217</v>
      </c>
      <c r="E967" s="126" t="s">
        <v>82</v>
      </c>
      <c r="F967" s="126">
        <v>612</v>
      </c>
      <c r="G967" s="69">
        <v>191</v>
      </c>
      <c r="H967" s="69"/>
      <c r="I967" s="69">
        <f t="shared" si="214"/>
        <v>191</v>
      </c>
      <c r="J967" s="69"/>
      <c r="K967" s="84">
        <f t="shared" si="208"/>
        <v>191</v>
      </c>
      <c r="L967" s="13"/>
      <c r="M967" s="84">
        <f t="shared" si="211"/>
        <v>191</v>
      </c>
      <c r="N967" s="13"/>
      <c r="O967" s="84">
        <f t="shared" si="212"/>
        <v>191</v>
      </c>
      <c r="P967" s="13"/>
      <c r="Q967" s="84">
        <f t="shared" si="207"/>
        <v>191</v>
      </c>
      <c r="R967" s="13"/>
      <c r="S967" s="84">
        <f t="shared" si="205"/>
        <v>191</v>
      </c>
      <c r="T967" s="13">
        <v>50</v>
      </c>
      <c r="U967" s="84">
        <f t="shared" si="210"/>
        <v>241</v>
      </c>
    </row>
    <row r="968" spans="1:22" hidden="1">
      <c r="A968" s="61" t="str">
        <f ca="1">IF(ISERROR(MATCH(E968,Код_КЦСР,0)),"",INDIRECT(ADDRESS(MATCH(E968,Код_КЦСР,0)+1,2,,,"КЦСР")))</f>
        <v>Ремонт и оборудование эвакуационных путей  зданий</v>
      </c>
      <c r="B968" s="100">
        <v>808</v>
      </c>
      <c r="C968" s="8" t="s">
        <v>193</v>
      </c>
      <c r="D968" s="8" t="s">
        <v>217</v>
      </c>
      <c r="E968" s="100" t="s">
        <v>86</v>
      </c>
      <c r="F968" s="100"/>
      <c r="G968" s="69">
        <f t="shared" ref="G968:T970" si="216">G969</f>
        <v>0</v>
      </c>
      <c r="H968" s="69">
        <f t="shared" si="216"/>
        <v>0</v>
      </c>
      <c r="I968" s="69">
        <f t="shared" si="214"/>
        <v>0</v>
      </c>
      <c r="J968" s="69">
        <f t="shared" si="216"/>
        <v>0</v>
      </c>
      <c r="K968" s="84">
        <f t="shared" si="208"/>
        <v>0</v>
      </c>
      <c r="L968" s="13">
        <f t="shared" si="216"/>
        <v>0</v>
      </c>
      <c r="M968" s="84">
        <f t="shared" si="211"/>
        <v>0</v>
      </c>
      <c r="N968" s="13">
        <f t="shared" si="216"/>
        <v>0</v>
      </c>
      <c r="O968" s="84">
        <f t="shared" si="212"/>
        <v>0</v>
      </c>
      <c r="P968" s="13">
        <f t="shared" si="216"/>
        <v>0</v>
      </c>
      <c r="Q968" s="84">
        <f t="shared" si="207"/>
        <v>0</v>
      </c>
      <c r="R968" s="13">
        <f t="shared" si="216"/>
        <v>0</v>
      </c>
      <c r="S968" s="84">
        <f t="shared" si="205"/>
        <v>0</v>
      </c>
      <c r="T968" s="13">
        <f t="shared" si="216"/>
        <v>0</v>
      </c>
      <c r="U968" s="84">
        <f t="shared" si="210"/>
        <v>0</v>
      </c>
      <c r="V968" s="142" t="s">
        <v>706</v>
      </c>
    </row>
    <row r="969" spans="1:22" ht="33" hidden="1">
      <c r="A969" s="61" t="str">
        <f ca="1">IF(ISERROR(MATCH(F969,Код_КВР,0)),"",INDIRECT(ADDRESS(MATCH(F969,Код_КВР,0)+1,2,,,"КВР")))</f>
        <v>Предоставление субсидий бюджетным, автономным учреждениям и иным некоммерческим организациям</v>
      </c>
      <c r="B969" s="100">
        <v>808</v>
      </c>
      <c r="C969" s="8" t="s">
        <v>193</v>
      </c>
      <c r="D969" s="8" t="s">
        <v>217</v>
      </c>
      <c r="E969" s="100" t="s">
        <v>86</v>
      </c>
      <c r="F969" s="100">
        <v>600</v>
      </c>
      <c r="G969" s="69">
        <f t="shared" si="216"/>
        <v>0</v>
      </c>
      <c r="H969" s="69">
        <f t="shared" si="216"/>
        <v>0</v>
      </c>
      <c r="I969" s="69">
        <f t="shared" si="214"/>
        <v>0</v>
      </c>
      <c r="J969" s="69">
        <f t="shared" si="216"/>
        <v>0</v>
      </c>
      <c r="K969" s="84">
        <f t="shared" si="208"/>
        <v>0</v>
      </c>
      <c r="L969" s="13">
        <f t="shared" si="216"/>
        <v>0</v>
      </c>
      <c r="M969" s="84">
        <f t="shared" si="211"/>
        <v>0</v>
      </c>
      <c r="N969" s="13">
        <f t="shared" si="216"/>
        <v>0</v>
      </c>
      <c r="O969" s="84">
        <f t="shared" si="212"/>
        <v>0</v>
      </c>
      <c r="P969" s="13">
        <f t="shared" si="216"/>
        <v>0</v>
      </c>
      <c r="Q969" s="84">
        <f t="shared" si="207"/>
        <v>0</v>
      </c>
      <c r="R969" s="13">
        <f t="shared" si="216"/>
        <v>0</v>
      </c>
      <c r="S969" s="84">
        <f t="shared" si="205"/>
        <v>0</v>
      </c>
      <c r="T969" s="13">
        <f t="shared" si="216"/>
        <v>0</v>
      </c>
      <c r="U969" s="84">
        <f t="shared" si="210"/>
        <v>0</v>
      </c>
      <c r="V969" s="142" t="s">
        <v>706</v>
      </c>
    </row>
    <row r="970" spans="1:22" hidden="1">
      <c r="A970" s="61" t="str">
        <f ca="1">IF(ISERROR(MATCH(F970,Код_КВР,0)),"",INDIRECT(ADDRESS(MATCH(F970,Код_КВР,0)+1,2,,,"КВР")))</f>
        <v>Субсидии бюджетным учреждениям</v>
      </c>
      <c r="B970" s="100">
        <v>808</v>
      </c>
      <c r="C970" s="8" t="s">
        <v>193</v>
      </c>
      <c r="D970" s="8" t="s">
        <v>217</v>
      </c>
      <c r="E970" s="100" t="s">
        <v>86</v>
      </c>
      <c r="F970" s="100">
        <v>610</v>
      </c>
      <c r="G970" s="69">
        <f t="shared" si="216"/>
        <v>0</v>
      </c>
      <c r="H970" s="69">
        <f t="shared" si="216"/>
        <v>0</v>
      </c>
      <c r="I970" s="69">
        <f t="shared" si="214"/>
        <v>0</v>
      </c>
      <c r="J970" s="69">
        <f t="shared" si="216"/>
        <v>0</v>
      </c>
      <c r="K970" s="84">
        <f t="shared" si="208"/>
        <v>0</v>
      </c>
      <c r="L970" s="13">
        <f t="shared" si="216"/>
        <v>0</v>
      </c>
      <c r="M970" s="84">
        <f t="shared" si="211"/>
        <v>0</v>
      </c>
      <c r="N970" s="13">
        <f t="shared" si="216"/>
        <v>0</v>
      </c>
      <c r="O970" s="84">
        <f t="shared" si="212"/>
        <v>0</v>
      </c>
      <c r="P970" s="13">
        <f t="shared" si="216"/>
        <v>0</v>
      </c>
      <c r="Q970" s="84">
        <f t="shared" si="207"/>
        <v>0</v>
      </c>
      <c r="R970" s="13">
        <f t="shared" si="216"/>
        <v>0</v>
      </c>
      <c r="S970" s="84">
        <f t="shared" si="205"/>
        <v>0</v>
      </c>
      <c r="T970" s="13">
        <f t="shared" si="216"/>
        <v>0</v>
      </c>
      <c r="U970" s="84">
        <f t="shared" si="210"/>
        <v>0</v>
      </c>
      <c r="V970" s="142" t="s">
        <v>706</v>
      </c>
    </row>
    <row r="971" spans="1:22" hidden="1">
      <c r="A971" s="61" t="str">
        <f ca="1">IF(ISERROR(MATCH(F971,Код_КВР,0)),"",INDIRECT(ADDRESS(MATCH(F971,Код_КВР,0)+1,2,,,"КВР")))</f>
        <v>Субсидии бюджетным учреждениям на иные цели</v>
      </c>
      <c r="B971" s="100">
        <v>808</v>
      </c>
      <c r="C971" s="8" t="s">
        <v>193</v>
      </c>
      <c r="D971" s="8" t="s">
        <v>217</v>
      </c>
      <c r="E971" s="100" t="s">
        <v>86</v>
      </c>
      <c r="F971" s="100">
        <v>612</v>
      </c>
      <c r="G971" s="69"/>
      <c r="H971" s="69"/>
      <c r="I971" s="69">
        <f t="shared" si="214"/>
        <v>0</v>
      </c>
      <c r="J971" s="69"/>
      <c r="K971" s="84">
        <f t="shared" si="208"/>
        <v>0</v>
      </c>
      <c r="L971" s="13"/>
      <c r="M971" s="84">
        <f t="shared" si="211"/>
        <v>0</v>
      </c>
      <c r="N971" s="13"/>
      <c r="O971" s="84">
        <f t="shared" si="212"/>
        <v>0</v>
      </c>
      <c r="P971" s="13"/>
      <c r="Q971" s="84">
        <f t="shared" si="207"/>
        <v>0</v>
      </c>
      <c r="R971" s="13"/>
      <c r="S971" s="84">
        <f t="shared" si="205"/>
        <v>0</v>
      </c>
      <c r="T971" s="13"/>
      <c r="U971" s="84">
        <f t="shared" si="210"/>
        <v>0</v>
      </c>
      <c r="V971" s="142" t="s">
        <v>706</v>
      </c>
    </row>
    <row r="972" spans="1:22">
      <c r="A972" s="61" t="str">
        <f ca="1">IF(ISERROR(MATCH(C972,Код_Раздел,0)),"",INDIRECT(ADDRESS(MATCH(C972,Код_Раздел,0)+1,2,,,"Раздел")))</f>
        <v>Культура, кинематография</v>
      </c>
      <c r="B972" s="126">
        <v>808</v>
      </c>
      <c r="C972" s="8" t="s">
        <v>220</v>
      </c>
      <c r="D972" s="8"/>
      <c r="E972" s="126"/>
      <c r="F972" s="126"/>
      <c r="G972" s="69">
        <f>G973+G1065</f>
        <v>260483</v>
      </c>
      <c r="H972" s="69">
        <f>H973+H1065</f>
        <v>0</v>
      </c>
      <c r="I972" s="69">
        <f t="shared" si="214"/>
        <v>260483</v>
      </c>
      <c r="J972" s="69">
        <f>J973+J1065</f>
        <v>-443.79999999999995</v>
      </c>
      <c r="K972" s="84">
        <f t="shared" si="208"/>
        <v>260039.2</v>
      </c>
      <c r="L972" s="13">
        <f>L973+L1065</f>
        <v>-186.20000000000002</v>
      </c>
      <c r="M972" s="84">
        <f t="shared" si="211"/>
        <v>259853</v>
      </c>
      <c r="N972" s="13">
        <f>N973+N1065</f>
        <v>0</v>
      </c>
      <c r="O972" s="84">
        <f t="shared" si="212"/>
        <v>259853</v>
      </c>
      <c r="P972" s="13">
        <f>P973+P1065</f>
        <v>140.19999999999999</v>
      </c>
      <c r="Q972" s="84">
        <f t="shared" si="207"/>
        <v>259993.2</v>
      </c>
      <c r="R972" s="13">
        <f>R973+R1065</f>
        <v>23668.100000000002</v>
      </c>
      <c r="S972" s="84">
        <f t="shared" si="205"/>
        <v>283661.3</v>
      </c>
      <c r="T972" s="13">
        <f>T973+T1065</f>
        <v>-66.900000000000261</v>
      </c>
      <c r="U972" s="84">
        <f t="shared" si="210"/>
        <v>283594.39999999997</v>
      </c>
    </row>
    <row r="973" spans="1:22">
      <c r="A973" s="12" t="s">
        <v>182</v>
      </c>
      <c r="B973" s="126">
        <v>808</v>
      </c>
      <c r="C973" s="8" t="s">
        <v>220</v>
      </c>
      <c r="D973" s="8" t="s">
        <v>211</v>
      </c>
      <c r="E973" s="126"/>
      <c r="F973" s="126"/>
      <c r="G973" s="69">
        <f>G974</f>
        <v>233756</v>
      </c>
      <c r="H973" s="69">
        <f>H974</f>
        <v>0</v>
      </c>
      <c r="I973" s="69">
        <f t="shared" si="214"/>
        <v>233756</v>
      </c>
      <c r="J973" s="69">
        <f>J974+J1059</f>
        <v>-479.79999999999995</v>
      </c>
      <c r="K973" s="84">
        <f t="shared" si="208"/>
        <v>233276.2</v>
      </c>
      <c r="L973" s="13">
        <f>L974+L1059</f>
        <v>-184.4</v>
      </c>
      <c r="M973" s="84">
        <f t="shared" si="211"/>
        <v>233091.80000000002</v>
      </c>
      <c r="N973" s="13">
        <f>N974+N1059</f>
        <v>0</v>
      </c>
      <c r="O973" s="84">
        <f t="shared" si="212"/>
        <v>233091.80000000002</v>
      </c>
      <c r="P973" s="13">
        <f>P974+P1059</f>
        <v>140.19999999999999</v>
      </c>
      <c r="Q973" s="84">
        <f t="shared" si="207"/>
        <v>233232.00000000003</v>
      </c>
      <c r="R973" s="13">
        <f>R974+R1059</f>
        <v>17658.800000000003</v>
      </c>
      <c r="S973" s="84">
        <f t="shared" si="205"/>
        <v>250890.80000000005</v>
      </c>
      <c r="T973" s="13">
        <f>T974+T1059</f>
        <v>-2.2737367544323206E-13</v>
      </c>
      <c r="U973" s="84">
        <f t="shared" si="210"/>
        <v>250890.80000000005</v>
      </c>
    </row>
    <row r="974" spans="1:22" ht="33">
      <c r="A974" s="61" t="str">
        <f ca="1">IF(ISERROR(MATCH(E974,Код_КЦСР,0)),"",INDIRECT(ADDRESS(MATCH(E974,Код_КЦСР,0)+1,2,,,"КЦСР")))</f>
        <v>Муниципальная программа «Культура, традиции и народное творчество в городе Череповце» на 2013-2018 годы</v>
      </c>
      <c r="B974" s="126">
        <v>808</v>
      </c>
      <c r="C974" s="8" t="s">
        <v>220</v>
      </c>
      <c r="D974" s="8" t="s">
        <v>211</v>
      </c>
      <c r="E974" s="126" t="s">
        <v>460</v>
      </c>
      <c r="F974" s="126"/>
      <c r="G974" s="69">
        <f>G975+G987+G1004+G1025+G1038+G1049+G1054</f>
        <v>233756</v>
      </c>
      <c r="H974" s="69">
        <f>H975+H987+H1004+H1025+H1038+H1049+H1054</f>
        <v>0</v>
      </c>
      <c r="I974" s="69">
        <f t="shared" si="214"/>
        <v>233756</v>
      </c>
      <c r="J974" s="69">
        <f>J975+J987+J1004+J1025+J1038+J1049+J1054</f>
        <v>-512.79999999999995</v>
      </c>
      <c r="K974" s="84">
        <f t="shared" si="208"/>
        <v>233243.2</v>
      </c>
      <c r="L974" s="13">
        <f>L975+L987+L1004+L1025+L1038+L1049+L1054</f>
        <v>-184.4</v>
      </c>
      <c r="M974" s="84">
        <f t="shared" si="211"/>
        <v>233058.80000000002</v>
      </c>
      <c r="N974" s="13">
        <f>N975+N987+N1004+N1025+N1038+N1049+N1054</f>
        <v>0</v>
      </c>
      <c r="O974" s="84">
        <f t="shared" si="212"/>
        <v>233058.80000000002</v>
      </c>
      <c r="P974" s="13">
        <f>P975+P987+P1004+P1025+P1038+P1049+P1054</f>
        <v>140.19999999999999</v>
      </c>
      <c r="Q974" s="84">
        <f t="shared" si="207"/>
        <v>233199.00000000003</v>
      </c>
      <c r="R974" s="13">
        <f>R975+R987+R1004+R1025+R1038+R1049+R1054</f>
        <v>17658.800000000003</v>
      </c>
      <c r="S974" s="84">
        <f t="shared" si="205"/>
        <v>250857.80000000005</v>
      </c>
      <c r="T974" s="13">
        <f>T975+T987+T1004+T1025+T1038+T1049+T1054</f>
        <v>-2.2737367544323206E-13</v>
      </c>
      <c r="U974" s="84">
        <f t="shared" si="210"/>
        <v>250857.80000000005</v>
      </c>
    </row>
    <row r="975" spans="1:22" ht="33">
      <c r="A975" s="61" t="str">
        <f ca="1">IF(ISERROR(MATCH(E975,Код_КЦСР,0)),"",INDIRECT(ADDRESS(MATCH(E975,Код_КЦСР,0)+1,2,,,"КЦСР")))</f>
        <v>Сохранение, эффективное использование  и популяризация объектов культурного наследия</v>
      </c>
      <c r="B975" s="126">
        <v>808</v>
      </c>
      <c r="C975" s="8" t="s">
        <v>220</v>
      </c>
      <c r="D975" s="8" t="s">
        <v>211</v>
      </c>
      <c r="E975" s="126" t="s">
        <v>462</v>
      </c>
      <c r="F975" s="126"/>
      <c r="G975" s="69">
        <f t="shared" ref="G975:T981" si="217">G976</f>
        <v>536.79999999999995</v>
      </c>
      <c r="H975" s="69">
        <f t="shared" si="217"/>
        <v>0</v>
      </c>
      <c r="I975" s="69">
        <f t="shared" si="214"/>
        <v>536.79999999999995</v>
      </c>
      <c r="J975" s="69">
        <f t="shared" si="217"/>
        <v>0</v>
      </c>
      <c r="K975" s="84">
        <f t="shared" si="208"/>
        <v>536.79999999999995</v>
      </c>
      <c r="L975" s="13">
        <f>L976</f>
        <v>-0.3</v>
      </c>
      <c r="M975" s="84">
        <f t="shared" si="211"/>
        <v>536.5</v>
      </c>
      <c r="N975" s="13">
        <f>N976</f>
        <v>0</v>
      </c>
      <c r="O975" s="84">
        <f t="shared" si="212"/>
        <v>536.5</v>
      </c>
      <c r="P975" s="13">
        <f>P976</f>
        <v>0</v>
      </c>
      <c r="Q975" s="84">
        <f t="shared" si="207"/>
        <v>536.5</v>
      </c>
      <c r="R975" s="13">
        <f>R976</f>
        <v>0</v>
      </c>
      <c r="S975" s="84">
        <f t="shared" si="205"/>
        <v>536.5</v>
      </c>
      <c r="T975" s="13">
        <f>T976+T983</f>
        <v>194.3</v>
      </c>
      <c r="U975" s="84">
        <f t="shared" si="210"/>
        <v>730.8</v>
      </c>
    </row>
    <row r="976" spans="1:22">
      <c r="A976" s="61" t="str">
        <f ca="1">IF(ISERROR(MATCH(E976,Код_КЦСР,0)),"",INDIRECT(ADDRESS(MATCH(E976,Код_КЦСР,0)+1,2,,,"КЦСР")))</f>
        <v>Сохранение, ремонт и  реставрация объектов культурного наследия</v>
      </c>
      <c r="B976" s="126">
        <v>808</v>
      </c>
      <c r="C976" s="8" t="s">
        <v>220</v>
      </c>
      <c r="D976" s="8" t="s">
        <v>211</v>
      </c>
      <c r="E976" s="126" t="s">
        <v>464</v>
      </c>
      <c r="F976" s="126"/>
      <c r="G976" s="69">
        <f>G980</f>
        <v>536.79999999999995</v>
      </c>
      <c r="H976" s="69">
        <f>H980</f>
        <v>0</v>
      </c>
      <c r="I976" s="69">
        <f t="shared" si="214"/>
        <v>536.79999999999995</v>
      </c>
      <c r="J976" s="69">
        <f>J980</f>
        <v>0</v>
      </c>
      <c r="K976" s="84">
        <f t="shared" si="208"/>
        <v>536.79999999999995</v>
      </c>
      <c r="L976" s="13">
        <f>L980+L977</f>
        <v>-0.3</v>
      </c>
      <c r="M976" s="84">
        <f t="shared" si="211"/>
        <v>536.5</v>
      </c>
      <c r="N976" s="13">
        <f>N980+N977</f>
        <v>0</v>
      </c>
      <c r="O976" s="84">
        <f t="shared" si="212"/>
        <v>536.5</v>
      </c>
      <c r="P976" s="13">
        <f>P980+P977</f>
        <v>0</v>
      </c>
      <c r="Q976" s="84">
        <f t="shared" si="207"/>
        <v>536.5</v>
      </c>
      <c r="R976" s="13">
        <f>R980+R977</f>
        <v>0</v>
      </c>
      <c r="S976" s="84">
        <f t="shared" si="205"/>
        <v>536.5</v>
      </c>
      <c r="T976" s="13">
        <f>T980+T977</f>
        <v>0</v>
      </c>
      <c r="U976" s="84">
        <f t="shared" si="210"/>
        <v>536.5</v>
      </c>
    </row>
    <row r="977" spans="1:22" ht="27.75" hidden="1" customHeight="1">
      <c r="A977" s="61" t="str">
        <f t="shared" ref="A977:A982" ca="1" si="218">IF(ISERROR(MATCH(F977,Код_КВР,0)),"",INDIRECT(ADDRESS(MATCH(F977,Код_КВР,0)+1,2,,,"КВР")))</f>
        <v>Закупка товаров, работ и услуг для муниципальных нужд</v>
      </c>
      <c r="B977" s="100">
        <v>808</v>
      </c>
      <c r="C977" s="8" t="s">
        <v>220</v>
      </c>
      <c r="D977" s="8" t="s">
        <v>211</v>
      </c>
      <c r="E977" s="100" t="s">
        <v>464</v>
      </c>
      <c r="F977" s="100">
        <v>200</v>
      </c>
      <c r="G977" s="69"/>
      <c r="H977" s="69"/>
      <c r="I977" s="69"/>
      <c r="J977" s="69"/>
      <c r="K977" s="84"/>
      <c r="L977" s="13">
        <f>L978</f>
        <v>0</v>
      </c>
      <c r="M977" s="84">
        <f t="shared" si="211"/>
        <v>0</v>
      </c>
      <c r="N977" s="13">
        <f>N978</f>
        <v>0</v>
      </c>
      <c r="O977" s="84">
        <f t="shared" si="212"/>
        <v>0</v>
      </c>
      <c r="P977" s="13">
        <f>P978</f>
        <v>0</v>
      </c>
      <c r="Q977" s="84">
        <f t="shared" si="207"/>
        <v>0</v>
      </c>
      <c r="R977" s="13">
        <f>R978</f>
        <v>0</v>
      </c>
      <c r="S977" s="84">
        <f t="shared" si="205"/>
        <v>0</v>
      </c>
      <c r="T977" s="13">
        <f>T978</f>
        <v>0</v>
      </c>
      <c r="U977" s="84">
        <f t="shared" si="210"/>
        <v>0</v>
      </c>
      <c r="V977" s="142" t="s">
        <v>706</v>
      </c>
    </row>
    <row r="978" spans="1:22" ht="33" hidden="1">
      <c r="A978" s="61" t="str">
        <f t="shared" ca="1" si="218"/>
        <v>Иные закупки товаров, работ и услуг для обеспечения муниципальных нужд</v>
      </c>
      <c r="B978" s="100">
        <v>808</v>
      </c>
      <c r="C978" s="8" t="s">
        <v>220</v>
      </c>
      <c r="D978" s="8" t="s">
        <v>211</v>
      </c>
      <c r="E978" s="100" t="s">
        <v>464</v>
      </c>
      <c r="F978" s="100">
        <v>240</v>
      </c>
      <c r="G978" s="69"/>
      <c r="H978" s="69"/>
      <c r="I978" s="69"/>
      <c r="J978" s="69"/>
      <c r="K978" s="84"/>
      <c r="L978" s="13">
        <f>L979</f>
        <v>0</v>
      </c>
      <c r="M978" s="84">
        <f t="shared" si="211"/>
        <v>0</v>
      </c>
      <c r="N978" s="13">
        <f>N979</f>
        <v>0</v>
      </c>
      <c r="O978" s="84">
        <f t="shared" si="212"/>
        <v>0</v>
      </c>
      <c r="P978" s="13">
        <f>P979</f>
        <v>0</v>
      </c>
      <c r="Q978" s="84">
        <f t="shared" si="207"/>
        <v>0</v>
      </c>
      <c r="R978" s="13">
        <f>R979</f>
        <v>0</v>
      </c>
      <c r="S978" s="84">
        <f t="shared" si="205"/>
        <v>0</v>
      </c>
      <c r="T978" s="13">
        <f>T979</f>
        <v>0</v>
      </c>
      <c r="U978" s="84">
        <f t="shared" si="210"/>
        <v>0</v>
      </c>
      <c r="V978" s="142" t="s">
        <v>706</v>
      </c>
    </row>
    <row r="979" spans="1:22" ht="27.75" hidden="1" customHeight="1">
      <c r="A979" s="61" t="str">
        <f t="shared" ca="1" si="218"/>
        <v>Научно-исследовательские и опытно-конструкторские работы</v>
      </c>
      <c r="B979" s="100">
        <v>808</v>
      </c>
      <c r="C979" s="8" t="s">
        <v>220</v>
      </c>
      <c r="D979" s="8" t="s">
        <v>211</v>
      </c>
      <c r="E979" s="100" t="s">
        <v>464</v>
      </c>
      <c r="F979" s="100">
        <v>241</v>
      </c>
      <c r="G979" s="69"/>
      <c r="H979" s="69"/>
      <c r="I979" s="69"/>
      <c r="J979" s="69"/>
      <c r="K979" s="84"/>
      <c r="L979" s="13"/>
      <c r="M979" s="84">
        <f t="shared" si="211"/>
        <v>0</v>
      </c>
      <c r="N979" s="13"/>
      <c r="O979" s="84">
        <f t="shared" si="212"/>
        <v>0</v>
      </c>
      <c r="P979" s="13"/>
      <c r="Q979" s="84">
        <f t="shared" si="207"/>
        <v>0</v>
      </c>
      <c r="R979" s="13"/>
      <c r="S979" s="84">
        <f t="shared" si="205"/>
        <v>0</v>
      </c>
      <c r="T979" s="13"/>
      <c r="U979" s="84">
        <f t="shared" si="210"/>
        <v>0</v>
      </c>
      <c r="V979" s="142" t="s">
        <v>706</v>
      </c>
    </row>
    <row r="980" spans="1:22" ht="33">
      <c r="A980" s="61" t="str">
        <f t="shared" ca="1" si="218"/>
        <v>Предоставление субсидий бюджетным, автономным учреждениям и иным некоммерческим организациям</v>
      </c>
      <c r="B980" s="126">
        <v>808</v>
      </c>
      <c r="C980" s="8" t="s">
        <v>220</v>
      </c>
      <c r="D980" s="8" t="s">
        <v>211</v>
      </c>
      <c r="E980" s="126" t="s">
        <v>464</v>
      </c>
      <c r="F980" s="126">
        <v>600</v>
      </c>
      <c r="G980" s="69">
        <f t="shared" si="217"/>
        <v>536.79999999999995</v>
      </c>
      <c r="H980" s="69">
        <f t="shared" si="217"/>
        <v>0</v>
      </c>
      <c r="I980" s="69">
        <f t="shared" si="214"/>
        <v>536.79999999999995</v>
      </c>
      <c r="J980" s="69">
        <f t="shared" si="217"/>
        <v>0</v>
      </c>
      <c r="K980" s="84">
        <f t="shared" si="208"/>
        <v>536.79999999999995</v>
      </c>
      <c r="L980" s="13">
        <f t="shared" si="217"/>
        <v>-0.3</v>
      </c>
      <c r="M980" s="84">
        <f t="shared" si="211"/>
        <v>536.5</v>
      </c>
      <c r="N980" s="13">
        <f t="shared" si="217"/>
        <v>0</v>
      </c>
      <c r="O980" s="84">
        <f t="shared" si="212"/>
        <v>536.5</v>
      </c>
      <c r="P980" s="13">
        <f t="shared" si="217"/>
        <v>0</v>
      </c>
      <c r="Q980" s="84">
        <f t="shared" si="207"/>
        <v>536.5</v>
      </c>
      <c r="R980" s="13">
        <f t="shared" si="217"/>
        <v>0</v>
      </c>
      <c r="S980" s="84">
        <f t="shared" si="205"/>
        <v>536.5</v>
      </c>
      <c r="T980" s="13">
        <f t="shared" si="217"/>
        <v>0</v>
      </c>
      <c r="U980" s="84">
        <f t="shared" si="210"/>
        <v>536.5</v>
      </c>
    </row>
    <row r="981" spans="1:22">
      <c r="A981" s="61" t="str">
        <f t="shared" ca="1" si="218"/>
        <v>Субсидии бюджетным учреждениям</v>
      </c>
      <c r="B981" s="126">
        <v>808</v>
      </c>
      <c r="C981" s="8" t="s">
        <v>220</v>
      </c>
      <c r="D981" s="8" t="s">
        <v>211</v>
      </c>
      <c r="E981" s="126" t="s">
        <v>464</v>
      </c>
      <c r="F981" s="126">
        <v>610</v>
      </c>
      <c r="G981" s="69">
        <f t="shared" si="217"/>
        <v>536.79999999999995</v>
      </c>
      <c r="H981" s="69">
        <f t="shared" si="217"/>
        <v>0</v>
      </c>
      <c r="I981" s="69">
        <f t="shared" si="214"/>
        <v>536.79999999999995</v>
      </c>
      <c r="J981" s="69">
        <f t="shared" si="217"/>
        <v>0</v>
      </c>
      <c r="K981" s="84">
        <f t="shared" si="208"/>
        <v>536.79999999999995</v>
      </c>
      <c r="L981" s="13">
        <f t="shared" si="217"/>
        <v>-0.3</v>
      </c>
      <c r="M981" s="84">
        <f t="shared" si="211"/>
        <v>536.5</v>
      </c>
      <c r="N981" s="13">
        <f t="shared" si="217"/>
        <v>0</v>
      </c>
      <c r="O981" s="84">
        <f t="shared" si="212"/>
        <v>536.5</v>
      </c>
      <c r="P981" s="13">
        <f t="shared" si="217"/>
        <v>0</v>
      </c>
      <c r="Q981" s="84">
        <f t="shared" si="207"/>
        <v>536.5</v>
      </c>
      <c r="R981" s="13">
        <f t="shared" si="217"/>
        <v>0</v>
      </c>
      <c r="S981" s="84">
        <f t="shared" si="205"/>
        <v>536.5</v>
      </c>
      <c r="T981" s="13">
        <f t="shared" si="217"/>
        <v>0</v>
      </c>
      <c r="U981" s="84">
        <f t="shared" si="210"/>
        <v>536.5</v>
      </c>
    </row>
    <row r="982" spans="1:22" ht="49.5">
      <c r="A982" s="61" t="str">
        <f t="shared" ca="1" si="21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82" s="126">
        <v>808</v>
      </c>
      <c r="C982" s="8" t="s">
        <v>220</v>
      </c>
      <c r="D982" s="8" t="s">
        <v>211</v>
      </c>
      <c r="E982" s="126" t="s">
        <v>464</v>
      </c>
      <c r="F982" s="126">
        <v>611</v>
      </c>
      <c r="G982" s="69">
        <v>536.79999999999995</v>
      </c>
      <c r="H982" s="69"/>
      <c r="I982" s="69">
        <f t="shared" si="214"/>
        <v>536.79999999999995</v>
      </c>
      <c r="J982" s="69"/>
      <c r="K982" s="84">
        <f t="shared" si="208"/>
        <v>536.79999999999995</v>
      </c>
      <c r="L982" s="13">
        <f>-0.3</f>
        <v>-0.3</v>
      </c>
      <c r="M982" s="84">
        <f t="shared" si="211"/>
        <v>536.5</v>
      </c>
      <c r="N982" s="13"/>
      <c r="O982" s="84">
        <f t="shared" si="212"/>
        <v>536.5</v>
      </c>
      <c r="P982" s="13"/>
      <c r="Q982" s="84">
        <f t="shared" si="207"/>
        <v>536.5</v>
      </c>
      <c r="R982" s="13"/>
      <c r="S982" s="84">
        <f t="shared" si="205"/>
        <v>536.5</v>
      </c>
      <c r="T982" s="13"/>
      <c r="U982" s="84">
        <f t="shared" si="210"/>
        <v>536.5</v>
      </c>
    </row>
    <row r="983" spans="1:22" ht="50.25" customHeight="1">
      <c r="A983" s="61" t="str">
        <f ca="1">IF(ISERROR(MATCH(E983,Код_КЦСР,0)),"",INDIRECT(ADDRESS(MATCH(E983,Код_КЦСР,0)+1,2,,,"КЦСР")))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983" s="126">
        <v>808</v>
      </c>
      <c r="C983" s="8" t="s">
        <v>220</v>
      </c>
      <c r="D983" s="8" t="s">
        <v>211</v>
      </c>
      <c r="E983" s="126" t="s">
        <v>664</v>
      </c>
      <c r="F983" s="126"/>
      <c r="G983" s="69"/>
      <c r="H983" s="69"/>
      <c r="I983" s="69"/>
      <c r="J983" s="69"/>
      <c r="K983" s="84"/>
      <c r="L983" s="13"/>
      <c r="M983" s="84"/>
      <c r="N983" s="13"/>
      <c r="O983" s="84"/>
      <c r="P983" s="13"/>
      <c r="Q983" s="84"/>
      <c r="R983" s="13"/>
      <c r="S983" s="84"/>
      <c r="T983" s="13">
        <f>T984</f>
        <v>194.3</v>
      </c>
      <c r="U983" s="84">
        <f t="shared" si="210"/>
        <v>194.3</v>
      </c>
    </row>
    <row r="984" spans="1:22" ht="33">
      <c r="A984" s="61" t="str">
        <f t="shared" ref="A984:A986" ca="1" si="219">IF(ISERROR(MATCH(F984,Код_КВР,0)),"",INDIRECT(ADDRESS(MATCH(F984,Код_КВР,0)+1,2,,,"КВР")))</f>
        <v>Предоставление субсидий бюджетным, автономным учреждениям и иным некоммерческим организациям</v>
      </c>
      <c r="B984" s="126">
        <v>808</v>
      </c>
      <c r="C984" s="8" t="s">
        <v>220</v>
      </c>
      <c r="D984" s="8" t="s">
        <v>211</v>
      </c>
      <c r="E984" s="126" t="s">
        <v>664</v>
      </c>
      <c r="F984" s="126">
        <v>600</v>
      </c>
      <c r="G984" s="69"/>
      <c r="H984" s="69"/>
      <c r="I984" s="69"/>
      <c r="J984" s="69"/>
      <c r="K984" s="84"/>
      <c r="L984" s="13"/>
      <c r="M984" s="84"/>
      <c r="N984" s="13"/>
      <c r="O984" s="84"/>
      <c r="P984" s="13"/>
      <c r="Q984" s="84"/>
      <c r="R984" s="13"/>
      <c r="S984" s="84"/>
      <c r="T984" s="13">
        <f>T985</f>
        <v>194.3</v>
      </c>
      <c r="U984" s="84">
        <f t="shared" si="210"/>
        <v>194.3</v>
      </c>
    </row>
    <row r="985" spans="1:22">
      <c r="A985" s="61" t="str">
        <f t="shared" ca="1" si="219"/>
        <v>Субсидии бюджетным учреждениям</v>
      </c>
      <c r="B985" s="126">
        <v>808</v>
      </c>
      <c r="C985" s="8" t="s">
        <v>220</v>
      </c>
      <c r="D985" s="8" t="s">
        <v>211</v>
      </c>
      <c r="E985" s="126" t="s">
        <v>664</v>
      </c>
      <c r="F985" s="126">
        <v>610</v>
      </c>
      <c r="G985" s="69"/>
      <c r="H985" s="69"/>
      <c r="I985" s="69"/>
      <c r="J985" s="69"/>
      <c r="K985" s="84"/>
      <c r="L985" s="13"/>
      <c r="M985" s="84"/>
      <c r="N985" s="13"/>
      <c r="O985" s="84"/>
      <c r="P985" s="13"/>
      <c r="Q985" s="84"/>
      <c r="R985" s="13"/>
      <c r="S985" s="84"/>
      <c r="T985" s="13">
        <f>T986</f>
        <v>194.3</v>
      </c>
      <c r="U985" s="84">
        <f t="shared" si="210"/>
        <v>194.3</v>
      </c>
    </row>
    <row r="986" spans="1:22" ht="49.5">
      <c r="A986" s="61" t="str">
        <f t="shared" ca="1" si="219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86" s="126">
        <v>808</v>
      </c>
      <c r="C986" s="8" t="s">
        <v>220</v>
      </c>
      <c r="D986" s="8" t="s">
        <v>211</v>
      </c>
      <c r="E986" s="126" t="s">
        <v>664</v>
      </c>
      <c r="F986" s="126">
        <v>611</v>
      </c>
      <c r="G986" s="69"/>
      <c r="H986" s="69"/>
      <c r="I986" s="69"/>
      <c r="J986" s="69"/>
      <c r="K986" s="84"/>
      <c r="L986" s="13"/>
      <c r="M986" s="84"/>
      <c r="N986" s="13"/>
      <c r="O986" s="84"/>
      <c r="P986" s="13"/>
      <c r="Q986" s="84"/>
      <c r="R986" s="13"/>
      <c r="S986" s="84"/>
      <c r="T986" s="13">
        <v>194.3</v>
      </c>
      <c r="U986" s="84">
        <f t="shared" si="210"/>
        <v>194.3</v>
      </c>
    </row>
    <row r="987" spans="1:22">
      <c r="A987" s="61" t="str">
        <f ca="1">IF(ISERROR(MATCH(E987,Код_КЦСР,0)),"",INDIRECT(ADDRESS(MATCH(E987,Код_КЦСР,0)+1,2,,,"КЦСР")))</f>
        <v>Развитие музейного дела</v>
      </c>
      <c r="B987" s="126">
        <v>808</v>
      </c>
      <c r="C987" s="8" t="s">
        <v>220</v>
      </c>
      <c r="D987" s="8" t="s">
        <v>211</v>
      </c>
      <c r="E987" s="126" t="s">
        <v>467</v>
      </c>
      <c r="F987" s="126"/>
      <c r="G987" s="69">
        <f>G988+G992+G996</f>
        <v>44327.200000000004</v>
      </c>
      <c r="H987" s="69">
        <f>H988+H992+H996</f>
        <v>0</v>
      </c>
      <c r="I987" s="69">
        <f t="shared" si="214"/>
        <v>44327.200000000004</v>
      </c>
      <c r="J987" s="69">
        <f>J988+J992+J996</f>
        <v>0</v>
      </c>
      <c r="K987" s="84">
        <f t="shared" si="208"/>
        <v>44327.200000000004</v>
      </c>
      <c r="L987" s="13">
        <f>L988+L992+L996</f>
        <v>-26.4</v>
      </c>
      <c r="M987" s="84">
        <f t="shared" si="211"/>
        <v>44300.800000000003</v>
      </c>
      <c r="N987" s="13">
        <f>N988+N992+N996</f>
        <v>0</v>
      </c>
      <c r="O987" s="84">
        <f t="shared" si="212"/>
        <v>44300.800000000003</v>
      </c>
      <c r="P987" s="13">
        <f>P988+P992+P996</f>
        <v>0</v>
      </c>
      <c r="Q987" s="84">
        <f t="shared" si="207"/>
        <v>44300.800000000003</v>
      </c>
      <c r="R987" s="13">
        <f>R988+R992+R996+R1000</f>
        <v>9713.7999999999993</v>
      </c>
      <c r="S987" s="84">
        <f t="shared" si="205"/>
        <v>54014.600000000006</v>
      </c>
      <c r="T987" s="13">
        <f>T988+T992+T996+T1000</f>
        <v>-680</v>
      </c>
      <c r="U987" s="84">
        <f t="shared" si="210"/>
        <v>53334.600000000006</v>
      </c>
    </row>
    <row r="988" spans="1:22">
      <c r="A988" s="61" t="str">
        <f ca="1">IF(ISERROR(MATCH(E988,Код_КЦСР,0)),"",INDIRECT(ADDRESS(MATCH(E988,Код_КЦСР,0)+1,2,,,"КЦСР")))</f>
        <v xml:space="preserve">Оказание муниципальных услуг </v>
      </c>
      <c r="B988" s="126">
        <v>808</v>
      </c>
      <c r="C988" s="8" t="s">
        <v>220</v>
      </c>
      <c r="D988" s="8" t="s">
        <v>211</v>
      </c>
      <c r="E988" s="126" t="s">
        <v>472</v>
      </c>
      <c r="F988" s="126"/>
      <c r="G988" s="69">
        <f t="shared" ref="G988:T990" si="220">G989</f>
        <v>25054</v>
      </c>
      <c r="H988" s="69">
        <f t="shared" si="220"/>
        <v>0</v>
      </c>
      <c r="I988" s="69">
        <f t="shared" si="214"/>
        <v>25054</v>
      </c>
      <c r="J988" s="69">
        <f t="shared" si="220"/>
        <v>0</v>
      </c>
      <c r="K988" s="84">
        <f t="shared" si="208"/>
        <v>25054</v>
      </c>
      <c r="L988" s="13">
        <f t="shared" si="220"/>
        <v>-21.2</v>
      </c>
      <c r="M988" s="84">
        <f t="shared" si="211"/>
        <v>25032.799999999999</v>
      </c>
      <c r="N988" s="13">
        <f t="shared" si="220"/>
        <v>0</v>
      </c>
      <c r="O988" s="84">
        <f t="shared" si="212"/>
        <v>25032.799999999999</v>
      </c>
      <c r="P988" s="13">
        <f t="shared" si="220"/>
        <v>0</v>
      </c>
      <c r="Q988" s="84">
        <f t="shared" si="207"/>
        <v>25032.799999999999</v>
      </c>
      <c r="R988" s="13">
        <f t="shared" si="220"/>
        <v>0</v>
      </c>
      <c r="S988" s="84">
        <f t="shared" si="205"/>
        <v>25032.799999999999</v>
      </c>
      <c r="T988" s="13">
        <f t="shared" si="220"/>
        <v>0</v>
      </c>
      <c r="U988" s="84">
        <f t="shared" si="210"/>
        <v>25032.799999999999</v>
      </c>
    </row>
    <row r="989" spans="1:22" ht="33">
      <c r="A989" s="61" t="str">
        <f ca="1">IF(ISERROR(MATCH(F989,Код_КВР,0)),"",INDIRECT(ADDRESS(MATCH(F989,Код_КВР,0)+1,2,,,"КВР")))</f>
        <v>Предоставление субсидий бюджетным, автономным учреждениям и иным некоммерческим организациям</v>
      </c>
      <c r="B989" s="126">
        <v>808</v>
      </c>
      <c r="C989" s="8" t="s">
        <v>220</v>
      </c>
      <c r="D989" s="8" t="s">
        <v>211</v>
      </c>
      <c r="E989" s="126" t="s">
        <v>472</v>
      </c>
      <c r="F989" s="126">
        <v>600</v>
      </c>
      <c r="G989" s="69">
        <f t="shared" si="220"/>
        <v>25054</v>
      </c>
      <c r="H989" s="69">
        <f t="shared" si="220"/>
        <v>0</v>
      </c>
      <c r="I989" s="69">
        <f t="shared" si="214"/>
        <v>25054</v>
      </c>
      <c r="J989" s="69">
        <f t="shared" si="220"/>
        <v>0</v>
      </c>
      <c r="K989" s="84">
        <f t="shared" si="208"/>
        <v>25054</v>
      </c>
      <c r="L989" s="13">
        <f t="shared" si="220"/>
        <v>-21.2</v>
      </c>
      <c r="M989" s="84">
        <f t="shared" si="211"/>
        <v>25032.799999999999</v>
      </c>
      <c r="N989" s="13">
        <f t="shared" si="220"/>
        <v>0</v>
      </c>
      <c r="O989" s="84">
        <f t="shared" si="212"/>
        <v>25032.799999999999</v>
      </c>
      <c r="P989" s="13">
        <f t="shared" si="220"/>
        <v>0</v>
      </c>
      <c r="Q989" s="84">
        <f t="shared" si="207"/>
        <v>25032.799999999999</v>
      </c>
      <c r="R989" s="13">
        <f t="shared" si="220"/>
        <v>0</v>
      </c>
      <c r="S989" s="84">
        <f t="shared" si="205"/>
        <v>25032.799999999999</v>
      </c>
      <c r="T989" s="13">
        <f t="shared" si="220"/>
        <v>0</v>
      </c>
      <c r="U989" s="84">
        <f t="shared" si="210"/>
        <v>25032.799999999999</v>
      </c>
    </row>
    <row r="990" spans="1:22">
      <c r="A990" s="61" t="str">
        <f ca="1">IF(ISERROR(MATCH(F990,Код_КВР,0)),"",INDIRECT(ADDRESS(MATCH(F990,Код_КВР,0)+1,2,,,"КВР")))</f>
        <v>Субсидии бюджетным учреждениям</v>
      </c>
      <c r="B990" s="126">
        <v>808</v>
      </c>
      <c r="C990" s="8" t="s">
        <v>220</v>
      </c>
      <c r="D990" s="8" t="s">
        <v>211</v>
      </c>
      <c r="E990" s="126" t="s">
        <v>472</v>
      </c>
      <c r="F990" s="126">
        <v>610</v>
      </c>
      <c r="G990" s="69">
        <f t="shared" si="220"/>
        <v>25054</v>
      </c>
      <c r="H990" s="69">
        <f t="shared" si="220"/>
        <v>0</v>
      </c>
      <c r="I990" s="69">
        <f t="shared" si="214"/>
        <v>25054</v>
      </c>
      <c r="J990" s="69">
        <f t="shared" si="220"/>
        <v>0</v>
      </c>
      <c r="K990" s="84">
        <f t="shared" si="208"/>
        <v>25054</v>
      </c>
      <c r="L990" s="13">
        <f t="shared" si="220"/>
        <v>-21.2</v>
      </c>
      <c r="M990" s="84">
        <f t="shared" si="211"/>
        <v>25032.799999999999</v>
      </c>
      <c r="N990" s="13">
        <f t="shared" si="220"/>
        <v>0</v>
      </c>
      <c r="O990" s="84">
        <f t="shared" si="212"/>
        <v>25032.799999999999</v>
      </c>
      <c r="P990" s="13">
        <f t="shared" si="220"/>
        <v>0</v>
      </c>
      <c r="Q990" s="84">
        <f t="shared" si="207"/>
        <v>25032.799999999999</v>
      </c>
      <c r="R990" s="13">
        <f t="shared" si="220"/>
        <v>0</v>
      </c>
      <c r="S990" s="84">
        <f t="shared" si="205"/>
        <v>25032.799999999999</v>
      </c>
      <c r="T990" s="13">
        <f t="shared" si="220"/>
        <v>0</v>
      </c>
      <c r="U990" s="84">
        <f t="shared" si="210"/>
        <v>25032.799999999999</v>
      </c>
    </row>
    <row r="991" spans="1:22" ht="49.5">
      <c r="A991" s="61" t="str">
        <f ca="1">IF(ISERROR(MATCH(F991,Код_КВР,0)),"",INDIRECT(ADDRESS(MATCH(F991,Код_КВР,0)+1,2,,,"КВР")))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1" s="126">
        <v>808</v>
      </c>
      <c r="C991" s="8" t="s">
        <v>220</v>
      </c>
      <c r="D991" s="8" t="s">
        <v>211</v>
      </c>
      <c r="E991" s="126" t="s">
        <v>472</v>
      </c>
      <c r="F991" s="126">
        <v>611</v>
      </c>
      <c r="G991" s="69">
        <v>25054</v>
      </c>
      <c r="H991" s="69"/>
      <c r="I991" s="69">
        <f t="shared" si="214"/>
        <v>25054</v>
      </c>
      <c r="J991" s="69"/>
      <c r="K991" s="84">
        <f t="shared" si="208"/>
        <v>25054</v>
      </c>
      <c r="L991" s="13">
        <v>-21.2</v>
      </c>
      <c r="M991" s="84">
        <f t="shared" si="211"/>
        <v>25032.799999999999</v>
      </c>
      <c r="N991" s="13"/>
      <c r="O991" s="84">
        <f t="shared" si="212"/>
        <v>25032.799999999999</v>
      </c>
      <c r="P991" s="13"/>
      <c r="Q991" s="84">
        <f t="shared" si="207"/>
        <v>25032.799999999999</v>
      </c>
      <c r="R991" s="13"/>
      <c r="S991" s="84">
        <f t="shared" si="205"/>
        <v>25032.799999999999</v>
      </c>
      <c r="T991" s="13"/>
      <c r="U991" s="84">
        <f t="shared" si="210"/>
        <v>25032.799999999999</v>
      </c>
    </row>
    <row r="992" spans="1:22" ht="21" customHeight="1">
      <c r="A992" s="61" t="str">
        <f ca="1">IF(ISERROR(MATCH(E992,Код_КЦСР,0)),"",INDIRECT(ADDRESS(MATCH(E992,Код_КЦСР,0)+1,2,,,"КЦСР")))</f>
        <v xml:space="preserve">Хранение, изучение и обеспечение сохранности музейных предметов </v>
      </c>
      <c r="B992" s="126">
        <v>808</v>
      </c>
      <c r="C992" s="8" t="s">
        <v>220</v>
      </c>
      <c r="D992" s="8" t="s">
        <v>211</v>
      </c>
      <c r="E992" s="126" t="s">
        <v>474</v>
      </c>
      <c r="F992" s="126"/>
      <c r="G992" s="69">
        <f t="shared" ref="G992:T994" si="221">G993</f>
        <v>15501.3</v>
      </c>
      <c r="H992" s="69">
        <f t="shared" si="221"/>
        <v>0</v>
      </c>
      <c r="I992" s="69">
        <f t="shared" si="214"/>
        <v>15501.3</v>
      </c>
      <c r="J992" s="69">
        <f t="shared" si="221"/>
        <v>0</v>
      </c>
      <c r="K992" s="84">
        <f t="shared" si="208"/>
        <v>15501.3</v>
      </c>
      <c r="L992" s="13">
        <f t="shared" si="221"/>
        <v>-1.2</v>
      </c>
      <c r="M992" s="84">
        <f t="shared" si="211"/>
        <v>15500.099999999999</v>
      </c>
      <c r="N992" s="13">
        <f t="shared" si="221"/>
        <v>0</v>
      </c>
      <c r="O992" s="84">
        <f t="shared" si="212"/>
        <v>15500.099999999999</v>
      </c>
      <c r="P992" s="13">
        <f t="shared" si="221"/>
        <v>0</v>
      </c>
      <c r="Q992" s="84">
        <f t="shared" si="207"/>
        <v>15500.099999999999</v>
      </c>
      <c r="R992" s="13">
        <f t="shared" si="221"/>
        <v>0</v>
      </c>
      <c r="S992" s="84">
        <f t="shared" si="205"/>
        <v>15500.099999999999</v>
      </c>
      <c r="T992" s="13">
        <f t="shared" si="221"/>
        <v>0</v>
      </c>
      <c r="U992" s="84">
        <f t="shared" si="210"/>
        <v>15500.099999999999</v>
      </c>
    </row>
    <row r="993" spans="1:21" ht="33">
      <c r="A993" s="61" t="str">
        <f ca="1">IF(ISERROR(MATCH(F993,Код_КВР,0)),"",INDIRECT(ADDRESS(MATCH(F993,Код_КВР,0)+1,2,,,"КВР")))</f>
        <v>Предоставление субсидий бюджетным, автономным учреждениям и иным некоммерческим организациям</v>
      </c>
      <c r="B993" s="126">
        <v>808</v>
      </c>
      <c r="C993" s="8" t="s">
        <v>220</v>
      </c>
      <c r="D993" s="8" t="s">
        <v>211</v>
      </c>
      <c r="E993" s="126" t="s">
        <v>474</v>
      </c>
      <c r="F993" s="126">
        <v>600</v>
      </c>
      <c r="G993" s="69">
        <f t="shared" si="221"/>
        <v>15501.3</v>
      </c>
      <c r="H993" s="69">
        <f t="shared" si="221"/>
        <v>0</v>
      </c>
      <c r="I993" s="69">
        <f t="shared" si="214"/>
        <v>15501.3</v>
      </c>
      <c r="J993" s="69">
        <f t="shared" si="221"/>
        <v>0</v>
      </c>
      <c r="K993" s="84">
        <f t="shared" si="208"/>
        <v>15501.3</v>
      </c>
      <c r="L993" s="13">
        <f t="shared" si="221"/>
        <v>-1.2</v>
      </c>
      <c r="M993" s="84">
        <f t="shared" si="211"/>
        <v>15500.099999999999</v>
      </c>
      <c r="N993" s="13">
        <f t="shared" si="221"/>
        <v>0</v>
      </c>
      <c r="O993" s="84">
        <f t="shared" si="212"/>
        <v>15500.099999999999</v>
      </c>
      <c r="P993" s="13">
        <f t="shared" si="221"/>
        <v>0</v>
      </c>
      <c r="Q993" s="84">
        <f t="shared" si="207"/>
        <v>15500.099999999999</v>
      </c>
      <c r="R993" s="13">
        <f t="shared" si="221"/>
        <v>0</v>
      </c>
      <c r="S993" s="84">
        <f t="shared" si="205"/>
        <v>15500.099999999999</v>
      </c>
      <c r="T993" s="13">
        <f t="shared" si="221"/>
        <v>0</v>
      </c>
      <c r="U993" s="84">
        <f t="shared" si="210"/>
        <v>15500.099999999999</v>
      </c>
    </row>
    <row r="994" spans="1:21">
      <c r="A994" s="61" t="str">
        <f ca="1">IF(ISERROR(MATCH(F994,Код_КВР,0)),"",INDIRECT(ADDRESS(MATCH(F994,Код_КВР,0)+1,2,,,"КВР")))</f>
        <v>Субсидии бюджетным учреждениям</v>
      </c>
      <c r="B994" s="126">
        <v>808</v>
      </c>
      <c r="C994" s="8" t="s">
        <v>220</v>
      </c>
      <c r="D994" s="8" t="s">
        <v>211</v>
      </c>
      <c r="E994" s="126" t="s">
        <v>474</v>
      </c>
      <c r="F994" s="126">
        <v>610</v>
      </c>
      <c r="G994" s="69">
        <f t="shared" si="221"/>
        <v>15501.3</v>
      </c>
      <c r="H994" s="69">
        <f t="shared" si="221"/>
        <v>0</v>
      </c>
      <c r="I994" s="69">
        <f t="shared" si="214"/>
        <v>15501.3</v>
      </c>
      <c r="J994" s="69">
        <f t="shared" si="221"/>
        <v>0</v>
      </c>
      <c r="K994" s="84">
        <f t="shared" si="208"/>
        <v>15501.3</v>
      </c>
      <c r="L994" s="13">
        <f t="shared" si="221"/>
        <v>-1.2</v>
      </c>
      <c r="M994" s="84">
        <f t="shared" si="211"/>
        <v>15500.099999999999</v>
      </c>
      <c r="N994" s="13">
        <f t="shared" si="221"/>
        <v>0</v>
      </c>
      <c r="O994" s="84">
        <f t="shared" si="212"/>
        <v>15500.099999999999</v>
      </c>
      <c r="P994" s="13">
        <f t="shared" si="221"/>
        <v>0</v>
      </c>
      <c r="Q994" s="84">
        <f t="shared" si="207"/>
        <v>15500.099999999999</v>
      </c>
      <c r="R994" s="13">
        <f t="shared" si="221"/>
        <v>0</v>
      </c>
      <c r="S994" s="84">
        <f t="shared" ref="S994:S1073" si="222">Q994+R994</f>
        <v>15500.099999999999</v>
      </c>
      <c r="T994" s="13">
        <f t="shared" si="221"/>
        <v>0</v>
      </c>
      <c r="U994" s="84">
        <f t="shared" si="210"/>
        <v>15500.099999999999</v>
      </c>
    </row>
    <row r="995" spans="1:21" ht="49.5">
      <c r="A995" s="61" t="str">
        <f ca="1">IF(ISERROR(MATCH(F995,Код_КВР,0)),"",INDIRECT(ADDRESS(MATCH(F995,Код_КВР,0)+1,2,,,"КВР")))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5" s="126">
        <v>808</v>
      </c>
      <c r="C995" s="8" t="s">
        <v>220</v>
      </c>
      <c r="D995" s="8" t="s">
        <v>211</v>
      </c>
      <c r="E995" s="126" t="s">
        <v>474</v>
      </c>
      <c r="F995" s="126">
        <v>611</v>
      </c>
      <c r="G995" s="69">
        <v>15501.3</v>
      </c>
      <c r="H995" s="69"/>
      <c r="I995" s="69">
        <f t="shared" si="214"/>
        <v>15501.3</v>
      </c>
      <c r="J995" s="69"/>
      <c r="K995" s="84">
        <f t="shared" si="208"/>
        <v>15501.3</v>
      </c>
      <c r="L995" s="13">
        <v>-1.2</v>
      </c>
      <c r="M995" s="84">
        <f t="shared" si="211"/>
        <v>15500.099999999999</v>
      </c>
      <c r="N995" s="13"/>
      <c r="O995" s="84">
        <f t="shared" si="212"/>
        <v>15500.099999999999</v>
      </c>
      <c r="P995" s="13"/>
      <c r="Q995" s="84">
        <f t="shared" si="207"/>
        <v>15500.099999999999</v>
      </c>
      <c r="R995" s="13"/>
      <c r="S995" s="84">
        <f t="shared" si="222"/>
        <v>15500.099999999999</v>
      </c>
      <c r="T995" s="13"/>
      <c r="U995" s="84">
        <f t="shared" si="210"/>
        <v>15500.099999999999</v>
      </c>
    </row>
    <row r="996" spans="1:21">
      <c r="A996" s="61" t="str">
        <f ca="1">IF(ISERROR(MATCH(E996,Код_КЦСР,0)),"",INDIRECT(ADDRESS(MATCH(E996,Код_КЦСР,0)+1,2,,,"КЦСР")))</f>
        <v>Формирование и учет музейного фонда</v>
      </c>
      <c r="B996" s="126">
        <v>808</v>
      </c>
      <c r="C996" s="8" t="s">
        <v>220</v>
      </c>
      <c r="D996" s="8" t="s">
        <v>211</v>
      </c>
      <c r="E996" s="126" t="s">
        <v>476</v>
      </c>
      <c r="F996" s="126"/>
      <c r="G996" s="69">
        <f t="shared" ref="G996:T998" si="223">G997</f>
        <v>3771.9</v>
      </c>
      <c r="H996" s="69">
        <f t="shared" si="223"/>
        <v>0</v>
      </c>
      <c r="I996" s="69">
        <f t="shared" si="214"/>
        <v>3771.9</v>
      </c>
      <c r="J996" s="69">
        <f t="shared" si="223"/>
        <v>0</v>
      </c>
      <c r="K996" s="84">
        <f t="shared" si="208"/>
        <v>3771.9</v>
      </c>
      <c r="L996" s="13">
        <f t="shared" si="223"/>
        <v>-4</v>
      </c>
      <c r="M996" s="84">
        <f t="shared" si="211"/>
        <v>3767.9</v>
      </c>
      <c r="N996" s="13">
        <f t="shared" si="223"/>
        <v>0</v>
      </c>
      <c r="O996" s="84">
        <f t="shared" si="212"/>
        <v>3767.9</v>
      </c>
      <c r="P996" s="13">
        <f t="shared" si="223"/>
        <v>0</v>
      </c>
      <c r="Q996" s="84">
        <f t="shared" si="207"/>
        <v>3767.9</v>
      </c>
      <c r="R996" s="13">
        <f t="shared" si="223"/>
        <v>0</v>
      </c>
      <c r="S996" s="84">
        <f t="shared" si="222"/>
        <v>3767.9</v>
      </c>
      <c r="T996" s="13">
        <f t="shared" si="223"/>
        <v>0</v>
      </c>
      <c r="U996" s="84">
        <f t="shared" si="210"/>
        <v>3767.9</v>
      </c>
    </row>
    <row r="997" spans="1:21" ht="33">
      <c r="A997" s="61" t="str">
        <f ca="1">IF(ISERROR(MATCH(F997,Код_КВР,0)),"",INDIRECT(ADDRESS(MATCH(F997,Код_КВР,0)+1,2,,,"КВР")))</f>
        <v>Предоставление субсидий бюджетным, автономным учреждениям и иным некоммерческим организациям</v>
      </c>
      <c r="B997" s="126">
        <v>808</v>
      </c>
      <c r="C997" s="8" t="s">
        <v>220</v>
      </c>
      <c r="D997" s="8" t="s">
        <v>211</v>
      </c>
      <c r="E997" s="126" t="s">
        <v>476</v>
      </c>
      <c r="F997" s="126">
        <v>600</v>
      </c>
      <c r="G997" s="69">
        <f t="shared" si="223"/>
        <v>3771.9</v>
      </c>
      <c r="H997" s="69">
        <f t="shared" si="223"/>
        <v>0</v>
      </c>
      <c r="I997" s="69">
        <f t="shared" si="214"/>
        <v>3771.9</v>
      </c>
      <c r="J997" s="69">
        <f t="shared" si="223"/>
        <v>0</v>
      </c>
      <c r="K997" s="84">
        <f t="shared" si="208"/>
        <v>3771.9</v>
      </c>
      <c r="L997" s="13">
        <f t="shared" si="223"/>
        <v>-4</v>
      </c>
      <c r="M997" s="84">
        <f t="shared" si="211"/>
        <v>3767.9</v>
      </c>
      <c r="N997" s="13">
        <f t="shared" si="223"/>
        <v>0</v>
      </c>
      <c r="O997" s="84">
        <f t="shared" si="212"/>
        <v>3767.9</v>
      </c>
      <c r="P997" s="13">
        <f t="shared" si="223"/>
        <v>0</v>
      </c>
      <c r="Q997" s="84">
        <f t="shared" si="207"/>
        <v>3767.9</v>
      </c>
      <c r="R997" s="13">
        <f t="shared" si="223"/>
        <v>0</v>
      </c>
      <c r="S997" s="84">
        <f t="shared" si="222"/>
        <v>3767.9</v>
      </c>
      <c r="T997" s="13">
        <f t="shared" si="223"/>
        <v>0</v>
      </c>
      <c r="U997" s="84">
        <f t="shared" si="210"/>
        <v>3767.9</v>
      </c>
    </row>
    <row r="998" spans="1:21">
      <c r="A998" s="61" t="str">
        <f ca="1">IF(ISERROR(MATCH(F998,Код_КВР,0)),"",INDIRECT(ADDRESS(MATCH(F998,Код_КВР,0)+1,2,,,"КВР")))</f>
        <v>Субсидии бюджетным учреждениям</v>
      </c>
      <c r="B998" s="126">
        <v>808</v>
      </c>
      <c r="C998" s="8" t="s">
        <v>220</v>
      </c>
      <c r="D998" s="8" t="s">
        <v>211</v>
      </c>
      <c r="E998" s="126" t="s">
        <v>476</v>
      </c>
      <c r="F998" s="126">
        <v>610</v>
      </c>
      <c r="G998" s="69">
        <f t="shared" si="223"/>
        <v>3771.9</v>
      </c>
      <c r="H998" s="69">
        <f t="shared" si="223"/>
        <v>0</v>
      </c>
      <c r="I998" s="69">
        <f t="shared" si="214"/>
        <v>3771.9</v>
      </c>
      <c r="J998" s="69">
        <f t="shared" si="223"/>
        <v>0</v>
      </c>
      <c r="K998" s="84">
        <f t="shared" si="208"/>
        <v>3771.9</v>
      </c>
      <c r="L998" s="13">
        <f t="shared" si="223"/>
        <v>-4</v>
      </c>
      <c r="M998" s="84">
        <f t="shared" si="211"/>
        <v>3767.9</v>
      </c>
      <c r="N998" s="13">
        <f t="shared" si="223"/>
        <v>0</v>
      </c>
      <c r="O998" s="84">
        <f t="shared" si="212"/>
        <v>3767.9</v>
      </c>
      <c r="P998" s="13">
        <f t="shared" si="223"/>
        <v>0</v>
      </c>
      <c r="Q998" s="84">
        <f t="shared" si="207"/>
        <v>3767.9</v>
      </c>
      <c r="R998" s="13">
        <f t="shared" si="223"/>
        <v>0</v>
      </c>
      <c r="S998" s="84">
        <f t="shared" si="222"/>
        <v>3767.9</v>
      </c>
      <c r="T998" s="13">
        <f t="shared" si="223"/>
        <v>0</v>
      </c>
      <c r="U998" s="84">
        <f t="shared" si="210"/>
        <v>3767.9</v>
      </c>
    </row>
    <row r="999" spans="1:21" ht="49.5">
      <c r="A999" s="61" t="str">
        <f ca="1">IF(ISERROR(MATCH(F999,Код_КВР,0)),"",INDIRECT(ADDRESS(MATCH(F999,Код_КВР,0)+1,2,,,"КВР")))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9" s="126">
        <v>808</v>
      </c>
      <c r="C999" s="8" t="s">
        <v>220</v>
      </c>
      <c r="D999" s="8" t="s">
        <v>211</v>
      </c>
      <c r="E999" s="126" t="s">
        <v>476</v>
      </c>
      <c r="F999" s="126">
        <v>611</v>
      </c>
      <c r="G999" s="69">
        <v>3771.9</v>
      </c>
      <c r="H999" s="69"/>
      <c r="I999" s="69">
        <f t="shared" si="214"/>
        <v>3771.9</v>
      </c>
      <c r="J999" s="69"/>
      <c r="K999" s="84">
        <f t="shared" si="208"/>
        <v>3771.9</v>
      </c>
      <c r="L999" s="13">
        <v>-4</v>
      </c>
      <c r="M999" s="84">
        <f t="shared" si="211"/>
        <v>3767.9</v>
      </c>
      <c r="N999" s="13"/>
      <c r="O999" s="84">
        <f t="shared" si="212"/>
        <v>3767.9</v>
      </c>
      <c r="P999" s="13"/>
      <c r="Q999" s="84">
        <f t="shared" si="207"/>
        <v>3767.9</v>
      </c>
      <c r="R999" s="13"/>
      <c r="S999" s="84">
        <f t="shared" si="222"/>
        <v>3767.9</v>
      </c>
      <c r="T999" s="13"/>
      <c r="U999" s="84">
        <f t="shared" si="210"/>
        <v>3767.9</v>
      </c>
    </row>
    <row r="1000" spans="1:21" ht="49.5">
      <c r="A1000" s="61" t="str">
        <f ca="1">IF(ISERROR(MATCH(E1000,Код_КЦСР,0)),"",INDIRECT(ADDRESS(MATCH(E1000,Код_КЦСР,0)+1,2,,,"КЦСР")))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1000" s="126">
        <v>808</v>
      </c>
      <c r="C1000" s="8" t="s">
        <v>220</v>
      </c>
      <c r="D1000" s="8" t="s">
        <v>211</v>
      </c>
      <c r="E1000" s="126" t="s">
        <v>665</v>
      </c>
      <c r="F1000" s="126"/>
      <c r="G1000" s="69"/>
      <c r="H1000" s="69"/>
      <c r="I1000" s="69"/>
      <c r="J1000" s="69"/>
      <c r="K1000" s="84"/>
      <c r="L1000" s="13"/>
      <c r="M1000" s="84"/>
      <c r="N1000" s="13"/>
      <c r="O1000" s="84"/>
      <c r="P1000" s="13"/>
      <c r="Q1000" s="84"/>
      <c r="R1000" s="13">
        <f>R1001</f>
        <v>9713.7999999999993</v>
      </c>
      <c r="S1000" s="84">
        <f t="shared" si="222"/>
        <v>9713.7999999999993</v>
      </c>
      <c r="T1000" s="13">
        <f>T1001</f>
        <v>-680</v>
      </c>
      <c r="U1000" s="84">
        <f t="shared" si="210"/>
        <v>9033.7999999999993</v>
      </c>
    </row>
    <row r="1001" spans="1:21" ht="33">
      <c r="A1001" s="61" t="str">
        <f ca="1">IF(ISERROR(MATCH(F1001,Код_КВР,0)),"",INDIRECT(ADDRESS(MATCH(F1001,Код_КВР,0)+1,2,,,"КВР")))</f>
        <v>Предоставление субсидий бюджетным, автономным учреждениям и иным некоммерческим организациям</v>
      </c>
      <c r="B1001" s="126">
        <v>808</v>
      </c>
      <c r="C1001" s="8" t="s">
        <v>220</v>
      </c>
      <c r="D1001" s="8" t="s">
        <v>211</v>
      </c>
      <c r="E1001" s="126" t="s">
        <v>665</v>
      </c>
      <c r="F1001" s="126">
        <v>600</v>
      </c>
      <c r="G1001" s="69"/>
      <c r="H1001" s="69"/>
      <c r="I1001" s="69"/>
      <c r="J1001" s="69"/>
      <c r="K1001" s="84"/>
      <c r="L1001" s="13"/>
      <c r="M1001" s="84"/>
      <c r="N1001" s="13"/>
      <c r="O1001" s="84"/>
      <c r="P1001" s="13"/>
      <c r="Q1001" s="84"/>
      <c r="R1001" s="13">
        <f>R1002</f>
        <v>9713.7999999999993</v>
      </c>
      <c r="S1001" s="84">
        <f t="shared" si="222"/>
        <v>9713.7999999999993</v>
      </c>
      <c r="T1001" s="13">
        <f>T1002</f>
        <v>-680</v>
      </c>
      <c r="U1001" s="84">
        <f t="shared" si="210"/>
        <v>9033.7999999999993</v>
      </c>
    </row>
    <row r="1002" spans="1:21">
      <c r="A1002" s="61" t="str">
        <f ca="1">IF(ISERROR(MATCH(F1002,Код_КВР,0)),"",INDIRECT(ADDRESS(MATCH(F1002,Код_КВР,0)+1,2,,,"КВР")))</f>
        <v>Субсидии бюджетным учреждениям</v>
      </c>
      <c r="B1002" s="126">
        <v>808</v>
      </c>
      <c r="C1002" s="8" t="s">
        <v>220</v>
      </c>
      <c r="D1002" s="8" t="s">
        <v>211</v>
      </c>
      <c r="E1002" s="126" t="s">
        <v>665</v>
      </c>
      <c r="F1002" s="126">
        <v>610</v>
      </c>
      <c r="G1002" s="69"/>
      <c r="H1002" s="69"/>
      <c r="I1002" s="69"/>
      <c r="J1002" s="69"/>
      <c r="K1002" s="84"/>
      <c r="L1002" s="13"/>
      <c r="M1002" s="84"/>
      <c r="N1002" s="13"/>
      <c r="O1002" s="84"/>
      <c r="P1002" s="13"/>
      <c r="Q1002" s="84"/>
      <c r="R1002" s="13">
        <f>R1003</f>
        <v>9713.7999999999993</v>
      </c>
      <c r="S1002" s="84">
        <f t="shared" si="222"/>
        <v>9713.7999999999993</v>
      </c>
      <c r="T1002" s="13">
        <f>T1003</f>
        <v>-680</v>
      </c>
      <c r="U1002" s="84">
        <f t="shared" si="210"/>
        <v>9033.7999999999993</v>
      </c>
    </row>
    <row r="1003" spans="1:21" ht="49.5">
      <c r="A1003" s="61" t="str">
        <f ca="1">IF(ISERROR(MATCH(F1003,Код_КВР,0)),"",INDIRECT(ADDRESS(MATCH(F1003,Код_КВР,0)+1,2,,,"КВР")))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03" s="126">
        <v>808</v>
      </c>
      <c r="C1003" s="8" t="s">
        <v>220</v>
      </c>
      <c r="D1003" s="8" t="s">
        <v>211</v>
      </c>
      <c r="E1003" s="126" t="s">
        <v>665</v>
      </c>
      <c r="F1003" s="126">
        <v>611</v>
      </c>
      <c r="G1003" s="69"/>
      <c r="H1003" s="69"/>
      <c r="I1003" s="69"/>
      <c r="J1003" s="69"/>
      <c r="K1003" s="84"/>
      <c r="L1003" s="13"/>
      <c r="M1003" s="84"/>
      <c r="N1003" s="13"/>
      <c r="O1003" s="84"/>
      <c r="P1003" s="13"/>
      <c r="Q1003" s="84"/>
      <c r="R1003" s="13">
        <v>9713.7999999999993</v>
      </c>
      <c r="S1003" s="84">
        <f t="shared" si="222"/>
        <v>9713.7999999999993</v>
      </c>
      <c r="T1003" s="13">
        <v>-680</v>
      </c>
      <c r="U1003" s="84">
        <f t="shared" si="210"/>
        <v>9033.7999999999993</v>
      </c>
    </row>
    <row r="1004" spans="1:21">
      <c r="A1004" s="61" t="str">
        <f ca="1">IF(ISERROR(MATCH(E1004,Код_КЦСР,0)),"",INDIRECT(ADDRESS(MATCH(E1004,Код_КЦСР,0)+1,2,,,"КЦСР")))</f>
        <v>Развитие библиотечного дела</v>
      </c>
      <c r="B1004" s="126">
        <v>808</v>
      </c>
      <c r="C1004" s="8" t="s">
        <v>220</v>
      </c>
      <c r="D1004" s="8" t="s">
        <v>211</v>
      </c>
      <c r="E1004" s="126" t="s">
        <v>478</v>
      </c>
      <c r="F1004" s="126"/>
      <c r="G1004" s="69">
        <f>G1005+G1009+G1013+G1017</f>
        <v>38045.699999999997</v>
      </c>
      <c r="H1004" s="69">
        <f>H1005+H1009+H1013+H1017</f>
        <v>0</v>
      </c>
      <c r="I1004" s="69">
        <f t="shared" si="214"/>
        <v>38045.699999999997</v>
      </c>
      <c r="J1004" s="69">
        <f>J1005+J1009+J1013+J1017</f>
        <v>0</v>
      </c>
      <c r="K1004" s="84">
        <f t="shared" si="208"/>
        <v>38045.699999999997</v>
      </c>
      <c r="L1004" s="13">
        <f>L1005+L1009+L1013+L1017</f>
        <v>-23.099999999999998</v>
      </c>
      <c r="M1004" s="84">
        <f t="shared" si="211"/>
        <v>38022.6</v>
      </c>
      <c r="N1004" s="13">
        <f>N1005+N1009+N1013+N1017</f>
        <v>0</v>
      </c>
      <c r="O1004" s="84">
        <f t="shared" si="212"/>
        <v>38022.6</v>
      </c>
      <c r="P1004" s="13">
        <f>P1005+P1009+P1013+P1017</f>
        <v>0</v>
      </c>
      <c r="Q1004" s="84">
        <f t="shared" ref="Q1004:Q1079" si="224">O1004+P1004</f>
        <v>38022.6</v>
      </c>
      <c r="R1004" s="13">
        <f>R1005+R1009+R1013+R1017+R1021</f>
        <v>13039.6</v>
      </c>
      <c r="S1004" s="84">
        <f t="shared" si="222"/>
        <v>51062.2</v>
      </c>
      <c r="T1004" s="13">
        <f>T1005+T1009+T1013+T1017+T1021</f>
        <v>-1043.2</v>
      </c>
      <c r="U1004" s="84">
        <f t="shared" si="210"/>
        <v>50019</v>
      </c>
    </row>
    <row r="1005" spans="1:21">
      <c r="A1005" s="61" t="str">
        <f ca="1">IF(ISERROR(MATCH(E1005,Код_КЦСР,0)),"",INDIRECT(ADDRESS(MATCH(E1005,Код_КЦСР,0)+1,2,,,"КЦСР")))</f>
        <v>Оказание муниципальных услуг</v>
      </c>
      <c r="B1005" s="126">
        <v>808</v>
      </c>
      <c r="C1005" s="8" t="s">
        <v>220</v>
      </c>
      <c r="D1005" s="8" t="s">
        <v>211</v>
      </c>
      <c r="E1005" s="126" t="s">
        <v>481</v>
      </c>
      <c r="F1005" s="126"/>
      <c r="G1005" s="69">
        <f t="shared" ref="G1005:T1007" si="225">G1006</f>
        <v>24363.1</v>
      </c>
      <c r="H1005" s="69">
        <f t="shared" si="225"/>
        <v>0</v>
      </c>
      <c r="I1005" s="69">
        <f t="shared" si="214"/>
        <v>24363.1</v>
      </c>
      <c r="J1005" s="69">
        <f t="shared" si="225"/>
        <v>0</v>
      </c>
      <c r="K1005" s="84">
        <f t="shared" si="208"/>
        <v>24363.1</v>
      </c>
      <c r="L1005" s="13">
        <f t="shared" si="225"/>
        <v>-19.2</v>
      </c>
      <c r="M1005" s="84">
        <f t="shared" si="211"/>
        <v>24343.899999999998</v>
      </c>
      <c r="N1005" s="13">
        <f t="shared" si="225"/>
        <v>0</v>
      </c>
      <c r="O1005" s="84">
        <f t="shared" si="212"/>
        <v>24343.899999999998</v>
      </c>
      <c r="P1005" s="13">
        <f t="shared" si="225"/>
        <v>0</v>
      </c>
      <c r="Q1005" s="84">
        <f t="shared" si="224"/>
        <v>24343.899999999998</v>
      </c>
      <c r="R1005" s="13">
        <f t="shared" si="225"/>
        <v>0</v>
      </c>
      <c r="S1005" s="84">
        <f t="shared" si="222"/>
        <v>24343.899999999998</v>
      </c>
      <c r="T1005" s="13">
        <f t="shared" si="225"/>
        <v>0</v>
      </c>
      <c r="U1005" s="84">
        <f t="shared" ref="U1005:U1068" si="226">S1005+T1005</f>
        <v>24343.899999999998</v>
      </c>
    </row>
    <row r="1006" spans="1:21" ht="33">
      <c r="A1006" s="61" t="str">
        <f ca="1">IF(ISERROR(MATCH(F1006,Код_КВР,0)),"",INDIRECT(ADDRESS(MATCH(F1006,Код_КВР,0)+1,2,,,"КВР")))</f>
        <v>Предоставление субсидий бюджетным, автономным учреждениям и иным некоммерческим организациям</v>
      </c>
      <c r="B1006" s="126">
        <v>808</v>
      </c>
      <c r="C1006" s="8" t="s">
        <v>220</v>
      </c>
      <c r="D1006" s="8" t="s">
        <v>211</v>
      </c>
      <c r="E1006" s="126" t="s">
        <v>481</v>
      </c>
      <c r="F1006" s="126">
        <v>600</v>
      </c>
      <c r="G1006" s="69">
        <f t="shared" si="225"/>
        <v>24363.1</v>
      </c>
      <c r="H1006" s="69">
        <f t="shared" si="225"/>
        <v>0</v>
      </c>
      <c r="I1006" s="69">
        <f t="shared" si="214"/>
        <v>24363.1</v>
      </c>
      <c r="J1006" s="69">
        <f t="shared" si="225"/>
        <v>0</v>
      </c>
      <c r="K1006" s="84">
        <f t="shared" si="208"/>
        <v>24363.1</v>
      </c>
      <c r="L1006" s="13">
        <f t="shared" si="225"/>
        <v>-19.2</v>
      </c>
      <c r="M1006" s="84">
        <f t="shared" si="211"/>
        <v>24343.899999999998</v>
      </c>
      <c r="N1006" s="13">
        <f t="shared" si="225"/>
        <v>0</v>
      </c>
      <c r="O1006" s="84">
        <f t="shared" si="212"/>
        <v>24343.899999999998</v>
      </c>
      <c r="P1006" s="13">
        <f t="shared" si="225"/>
        <v>0</v>
      </c>
      <c r="Q1006" s="84">
        <f t="shared" si="224"/>
        <v>24343.899999999998</v>
      </c>
      <c r="R1006" s="13">
        <f t="shared" si="225"/>
        <v>0</v>
      </c>
      <c r="S1006" s="84">
        <f t="shared" si="222"/>
        <v>24343.899999999998</v>
      </c>
      <c r="T1006" s="13">
        <f t="shared" si="225"/>
        <v>0</v>
      </c>
      <c r="U1006" s="84">
        <f t="shared" si="226"/>
        <v>24343.899999999998</v>
      </c>
    </row>
    <row r="1007" spans="1:21">
      <c r="A1007" s="61" t="str">
        <f ca="1">IF(ISERROR(MATCH(F1007,Код_КВР,0)),"",INDIRECT(ADDRESS(MATCH(F1007,Код_КВР,0)+1,2,,,"КВР")))</f>
        <v>Субсидии бюджетным учреждениям</v>
      </c>
      <c r="B1007" s="126">
        <v>808</v>
      </c>
      <c r="C1007" s="8" t="s">
        <v>220</v>
      </c>
      <c r="D1007" s="8" t="s">
        <v>211</v>
      </c>
      <c r="E1007" s="126" t="s">
        <v>481</v>
      </c>
      <c r="F1007" s="126">
        <v>610</v>
      </c>
      <c r="G1007" s="69">
        <f t="shared" si="225"/>
        <v>24363.1</v>
      </c>
      <c r="H1007" s="69">
        <f t="shared" si="225"/>
        <v>0</v>
      </c>
      <c r="I1007" s="69">
        <f t="shared" si="214"/>
        <v>24363.1</v>
      </c>
      <c r="J1007" s="69">
        <f t="shared" si="225"/>
        <v>0</v>
      </c>
      <c r="K1007" s="84">
        <f t="shared" si="208"/>
        <v>24363.1</v>
      </c>
      <c r="L1007" s="13">
        <f t="shared" si="225"/>
        <v>-19.2</v>
      </c>
      <c r="M1007" s="84">
        <f t="shared" si="211"/>
        <v>24343.899999999998</v>
      </c>
      <c r="N1007" s="13">
        <f t="shared" si="225"/>
        <v>0</v>
      </c>
      <c r="O1007" s="84">
        <f t="shared" si="212"/>
        <v>24343.899999999998</v>
      </c>
      <c r="P1007" s="13">
        <f t="shared" si="225"/>
        <v>0</v>
      </c>
      <c r="Q1007" s="84">
        <f t="shared" si="224"/>
        <v>24343.899999999998</v>
      </c>
      <c r="R1007" s="13">
        <f t="shared" si="225"/>
        <v>0</v>
      </c>
      <c r="S1007" s="84">
        <f t="shared" si="222"/>
        <v>24343.899999999998</v>
      </c>
      <c r="T1007" s="13">
        <f t="shared" si="225"/>
        <v>0</v>
      </c>
      <c r="U1007" s="84">
        <f t="shared" si="226"/>
        <v>24343.899999999998</v>
      </c>
    </row>
    <row r="1008" spans="1:21" ht="49.5">
      <c r="A1008" s="61" t="str">
        <f ca="1">IF(ISERROR(MATCH(F1008,Код_КВР,0)),"",INDIRECT(ADDRESS(MATCH(F1008,Код_КВР,0)+1,2,,,"КВР")))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08" s="126">
        <v>808</v>
      </c>
      <c r="C1008" s="8" t="s">
        <v>220</v>
      </c>
      <c r="D1008" s="8" t="s">
        <v>211</v>
      </c>
      <c r="E1008" s="126" t="s">
        <v>481</v>
      </c>
      <c r="F1008" s="126">
        <v>611</v>
      </c>
      <c r="G1008" s="69">
        <v>24363.1</v>
      </c>
      <c r="H1008" s="69"/>
      <c r="I1008" s="69">
        <f t="shared" si="214"/>
        <v>24363.1</v>
      </c>
      <c r="J1008" s="69"/>
      <c r="K1008" s="84">
        <f t="shared" si="208"/>
        <v>24363.1</v>
      </c>
      <c r="L1008" s="13">
        <v>-19.2</v>
      </c>
      <c r="M1008" s="84">
        <f t="shared" si="211"/>
        <v>24343.899999999998</v>
      </c>
      <c r="N1008" s="13"/>
      <c r="O1008" s="84">
        <f t="shared" si="212"/>
        <v>24343.899999999998</v>
      </c>
      <c r="P1008" s="13"/>
      <c r="Q1008" s="84">
        <f t="shared" si="224"/>
        <v>24343.899999999998</v>
      </c>
      <c r="R1008" s="13"/>
      <c r="S1008" s="84">
        <f t="shared" si="222"/>
        <v>24343.899999999998</v>
      </c>
      <c r="T1008" s="13"/>
      <c r="U1008" s="84">
        <f t="shared" si="226"/>
        <v>24343.899999999998</v>
      </c>
    </row>
    <row r="1009" spans="1:21">
      <c r="A1009" s="61" t="str">
        <f ca="1">IF(ISERROR(MATCH(E1009,Код_КЦСР,0)),"",INDIRECT(ADDRESS(MATCH(E1009,Код_КЦСР,0)+1,2,,,"КЦСР")))</f>
        <v>Формирование и учет фондов библиотеки</v>
      </c>
      <c r="B1009" s="126">
        <v>808</v>
      </c>
      <c r="C1009" s="8" t="s">
        <v>220</v>
      </c>
      <c r="D1009" s="8" t="s">
        <v>211</v>
      </c>
      <c r="E1009" s="126" t="s">
        <v>483</v>
      </c>
      <c r="F1009" s="126"/>
      <c r="G1009" s="69">
        <f t="shared" ref="G1009:T1011" si="227">G1010</f>
        <v>5799.2</v>
      </c>
      <c r="H1009" s="69">
        <f t="shared" si="227"/>
        <v>0</v>
      </c>
      <c r="I1009" s="69">
        <f t="shared" si="214"/>
        <v>5799.2</v>
      </c>
      <c r="J1009" s="69">
        <f t="shared" si="227"/>
        <v>0</v>
      </c>
      <c r="K1009" s="84">
        <f t="shared" si="208"/>
        <v>5799.2</v>
      </c>
      <c r="L1009" s="13">
        <f t="shared" si="227"/>
        <v>-1.7</v>
      </c>
      <c r="M1009" s="84">
        <f t="shared" si="211"/>
        <v>5797.5</v>
      </c>
      <c r="N1009" s="13">
        <f t="shared" si="227"/>
        <v>0</v>
      </c>
      <c r="O1009" s="84">
        <f t="shared" si="212"/>
        <v>5797.5</v>
      </c>
      <c r="P1009" s="13">
        <f t="shared" si="227"/>
        <v>0</v>
      </c>
      <c r="Q1009" s="84">
        <f t="shared" si="224"/>
        <v>5797.5</v>
      </c>
      <c r="R1009" s="13">
        <f t="shared" si="227"/>
        <v>0</v>
      </c>
      <c r="S1009" s="84">
        <f t="shared" si="222"/>
        <v>5797.5</v>
      </c>
      <c r="T1009" s="13">
        <f t="shared" si="227"/>
        <v>0</v>
      </c>
      <c r="U1009" s="84">
        <f t="shared" si="226"/>
        <v>5797.5</v>
      </c>
    </row>
    <row r="1010" spans="1:21" ht="33">
      <c r="A1010" s="61" t="str">
        <f ca="1">IF(ISERROR(MATCH(F1010,Код_КВР,0)),"",INDIRECT(ADDRESS(MATCH(F1010,Код_КВР,0)+1,2,,,"КВР")))</f>
        <v>Предоставление субсидий бюджетным, автономным учреждениям и иным некоммерческим организациям</v>
      </c>
      <c r="B1010" s="126">
        <v>808</v>
      </c>
      <c r="C1010" s="8" t="s">
        <v>220</v>
      </c>
      <c r="D1010" s="8" t="s">
        <v>211</v>
      </c>
      <c r="E1010" s="126" t="s">
        <v>483</v>
      </c>
      <c r="F1010" s="126">
        <v>600</v>
      </c>
      <c r="G1010" s="69">
        <f t="shared" si="227"/>
        <v>5799.2</v>
      </c>
      <c r="H1010" s="69">
        <f t="shared" si="227"/>
        <v>0</v>
      </c>
      <c r="I1010" s="69">
        <f t="shared" si="214"/>
        <v>5799.2</v>
      </c>
      <c r="J1010" s="69">
        <f t="shared" si="227"/>
        <v>0</v>
      </c>
      <c r="K1010" s="84">
        <f t="shared" si="208"/>
        <v>5799.2</v>
      </c>
      <c r="L1010" s="13">
        <f t="shared" si="227"/>
        <v>-1.7</v>
      </c>
      <c r="M1010" s="84">
        <f t="shared" si="211"/>
        <v>5797.5</v>
      </c>
      <c r="N1010" s="13">
        <f t="shared" si="227"/>
        <v>0</v>
      </c>
      <c r="O1010" s="84">
        <f t="shared" si="212"/>
        <v>5797.5</v>
      </c>
      <c r="P1010" s="13">
        <f t="shared" si="227"/>
        <v>0</v>
      </c>
      <c r="Q1010" s="84">
        <f t="shared" si="224"/>
        <v>5797.5</v>
      </c>
      <c r="R1010" s="13">
        <f t="shared" si="227"/>
        <v>0</v>
      </c>
      <c r="S1010" s="84">
        <f t="shared" si="222"/>
        <v>5797.5</v>
      </c>
      <c r="T1010" s="13">
        <f t="shared" si="227"/>
        <v>0</v>
      </c>
      <c r="U1010" s="84">
        <f t="shared" si="226"/>
        <v>5797.5</v>
      </c>
    </row>
    <row r="1011" spans="1:21">
      <c r="A1011" s="61" t="str">
        <f ca="1">IF(ISERROR(MATCH(F1011,Код_КВР,0)),"",INDIRECT(ADDRESS(MATCH(F1011,Код_КВР,0)+1,2,,,"КВР")))</f>
        <v>Субсидии бюджетным учреждениям</v>
      </c>
      <c r="B1011" s="126">
        <v>808</v>
      </c>
      <c r="C1011" s="8" t="s">
        <v>220</v>
      </c>
      <c r="D1011" s="8" t="s">
        <v>211</v>
      </c>
      <c r="E1011" s="126" t="s">
        <v>483</v>
      </c>
      <c r="F1011" s="126">
        <v>610</v>
      </c>
      <c r="G1011" s="69">
        <f t="shared" si="227"/>
        <v>5799.2</v>
      </c>
      <c r="H1011" s="69">
        <f t="shared" si="227"/>
        <v>0</v>
      </c>
      <c r="I1011" s="69">
        <f t="shared" si="214"/>
        <v>5799.2</v>
      </c>
      <c r="J1011" s="69">
        <f t="shared" si="227"/>
        <v>0</v>
      </c>
      <c r="K1011" s="84">
        <f t="shared" si="208"/>
        <v>5799.2</v>
      </c>
      <c r="L1011" s="13">
        <f t="shared" si="227"/>
        <v>-1.7</v>
      </c>
      <c r="M1011" s="84">
        <f t="shared" si="211"/>
        <v>5797.5</v>
      </c>
      <c r="N1011" s="13">
        <f t="shared" si="227"/>
        <v>0</v>
      </c>
      <c r="O1011" s="84">
        <f t="shared" si="212"/>
        <v>5797.5</v>
      </c>
      <c r="P1011" s="13">
        <f t="shared" si="227"/>
        <v>0</v>
      </c>
      <c r="Q1011" s="84">
        <f t="shared" si="224"/>
        <v>5797.5</v>
      </c>
      <c r="R1011" s="13">
        <f t="shared" si="227"/>
        <v>0</v>
      </c>
      <c r="S1011" s="84">
        <f t="shared" si="222"/>
        <v>5797.5</v>
      </c>
      <c r="T1011" s="13">
        <f t="shared" si="227"/>
        <v>0</v>
      </c>
      <c r="U1011" s="84">
        <f t="shared" si="226"/>
        <v>5797.5</v>
      </c>
    </row>
    <row r="1012" spans="1:21" ht="49.5">
      <c r="A1012" s="61" t="str">
        <f ca="1">IF(ISERROR(MATCH(F1012,Код_КВР,0)),"",INDIRECT(ADDRESS(MATCH(F1012,Код_КВР,0)+1,2,,,"КВР")))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2" s="126">
        <v>808</v>
      </c>
      <c r="C1012" s="8" t="s">
        <v>220</v>
      </c>
      <c r="D1012" s="8" t="s">
        <v>211</v>
      </c>
      <c r="E1012" s="126" t="s">
        <v>483</v>
      </c>
      <c r="F1012" s="126">
        <v>611</v>
      </c>
      <c r="G1012" s="69">
        <v>5799.2</v>
      </c>
      <c r="H1012" s="69"/>
      <c r="I1012" s="69">
        <f t="shared" si="214"/>
        <v>5799.2</v>
      </c>
      <c r="J1012" s="69"/>
      <c r="K1012" s="84">
        <f t="shared" si="208"/>
        <v>5799.2</v>
      </c>
      <c r="L1012" s="13">
        <v>-1.7</v>
      </c>
      <c r="M1012" s="84">
        <f t="shared" si="211"/>
        <v>5797.5</v>
      </c>
      <c r="N1012" s="13"/>
      <c r="O1012" s="84">
        <f t="shared" si="212"/>
        <v>5797.5</v>
      </c>
      <c r="P1012" s="13"/>
      <c r="Q1012" s="84">
        <f t="shared" si="224"/>
        <v>5797.5</v>
      </c>
      <c r="R1012" s="13"/>
      <c r="S1012" s="84">
        <f t="shared" si="222"/>
        <v>5797.5</v>
      </c>
      <c r="T1012" s="13"/>
      <c r="U1012" s="84">
        <f t="shared" si="226"/>
        <v>5797.5</v>
      </c>
    </row>
    <row r="1013" spans="1:21">
      <c r="A1013" s="61" t="str">
        <f ca="1">IF(ISERROR(MATCH(E1013,Код_КЦСР,0)),"",INDIRECT(ADDRESS(MATCH(E1013,Код_КЦСР,0)+1,2,,,"КЦСР")))</f>
        <v>Обеспечение физической сохранности  и безопасности фонда библиотеки</v>
      </c>
      <c r="B1013" s="126">
        <v>808</v>
      </c>
      <c r="C1013" s="8" t="s">
        <v>220</v>
      </c>
      <c r="D1013" s="8" t="s">
        <v>211</v>
      </c>
      <c r="E1013" s="126" t="s">
        <v>485</v>
      </c>
      <c r="F1013" s="126"/>
      <c r="G1013" s="69">
        <f t="shared" ref="G1013:T1015" si="228">G1014</f>
        <v>2971.3</v>
      </c>
      <c r="H1013" s="69">
        <f t="shared" si="228"/>
        <v>0</v>
      </c>
      <c r="I1013" s="69">
        <f t="shared" si="214"/>
        <v>2971.3</v>
      </c>
      <c r="J1013" s="69">
        <f t="shared" si="228"/>
        <v>0</v>
      </c>
      <c r="K1013" s="84">
        <f t="shared" si="208"/>
        <v>2971.3</v>
      </c>
      <c r="L1013" s="13">
        <f t="shared" si="228"/>
        <v>-1</v>
      </c>
      <c r="M1013" s="84">
        <f t="shared" si="211"/>
        <v>2970.3</v>
      </c>
      <c r="N1013" s="13">
        <f t="shared" si="228"/>
        <v>0</v>
      </c>
      <c r="O1013" s="84">
        <f t="shared" si="212"/>
        <v>2970.3</v>
      </c>
      <c r="P1013" s="13">
        <f t="shared" si="228"/>
        <v>0</v>
      </c>
      <c r="Q1013" s="84">
        <f t="shared" si="224"/>
        <v>2970.3</v>
      </c>
      <c r="R1013" s="13">
        <f t="shared" si="228"/>
        <v>0</v>
      </c>
      <c r="S1013" s="84">
        <f t="shared" si="222"/>
        <v>2970.3</v>
      </c>
      <c r="T1013" s="13">
        <f t="shared" si="228"/>
        <v>0</v>
      </c>
      <c r="U1013" s="84">
        <f t="shared" si="226"/>
        <v>2970.3</v>
      </c>
    </row>
    <row r="1014" spans="1:21" ht="33">
      <c r="A1014" s="61" t="str">
        <f ca="1">IF(ISERROR(MATCH(F1014,Код_КВР,0)),"",INDIRECT(ADDRESS(MATCH(F1014,Код_КВР,0)+1,2,,,"КВР")))</f>
        <v>Предоставление субсидий бюджетным, автономным учреждениям и иным некоммерческим организациям</v>
      </c>
      <c r="B1014" s="126">
        <v>808</v>
      </c>
      <c r="C1014" s="8" t="s">
        <v>220</v>
      </c>
      <c r="D1014" s="8" t="s">
        <v>211</v>
      </c>
      <c r="E1014" s="126" t="s">
        <v>485</v>
      </c>
      <c r="F1014" s="126">
        <v>600</v>
      </c>
      <c r="G1014" s="69">
        <f t="shared" si="228"/>
        <v>2971.3</v>
      </c>
      <c r="H1014" s="69">
        <f t="shared" si="228"/>
        <v>0</v>
      </c>
      <c r="I1014" s="69">
        <f t="shared" si="214"/>
        <v>2971.3</v>
      </c>
      <c r="J1014" s="69">
        <f t="shared" si="228"/>
        <v>0</v>
      </c>
      <c r="K1014" s="84">
        <f t="shared" si="208"/>
        <v>2971.3</v>
      </c>
      <c r="L1014" s="13">
        <f t="shared" si="228"/>
        <v>-1</v>
      </c>
      <c r="M1014" s="84">
        <f t="shared" si="211"/>
        <v>2970.3</v>
      </c>
      <c r="N1014" s="13">
        <f t="shared" si="228"/>
        <v>0</v>
      </c>
      <c r="O1014" s="84">
        <f t="shared" si="212"/>
        <v>2970.3</v>
      </c>
      <c r="P1014" s="13">
        <f t="shared" si="228"/>
        <v>0</v>
      </c>
      <c r="Q1014" s="84">
        <f t="shared" si="224"/>
        <v>2970.3</v>
      </c>
      <c r="R1014" s="13">
        <f t="shared" si="228"/>
        <v>0</v>
      </c>
      <c r="S1014" s="84">
        <f t="shared" si="222"/>
        <v>2970.3</v>
      </c>
      <c r="T1014" s="13">
        <f t="shared" si="228"/>
        <v>0</v>
      </c>
      <c r="U1014" s="84">
        <f t="shared" si="226"/>
        <v>2970.3</v>
      </c>
    </row>
    <row r="1015" spans="1:21">
      <c r="A1015" s="61" t="str">
        <f ca="1">IF(ISERROR(MATCH(F1015,Код_КВР,0)),"",INDIRECT(ADDRESS(MATCH(F1015,Код_КВР,0)+1,2,,,"КВР")))</f>
        <v>Субсидии бюджетным учреждениям</v>
      </c>
      <c r="B1015" s="126">
        <v>808</v>
      </c>
      <c r="C1015" s="8" t="s">
        <v>220</v>
      </c>
      <c r="D1015" s="8" t="s">
        <v>211</v>
      </c>
      <c r="E1015" s="126" t="s">
        <v>485</v>
      </c>
      <c r="F1015" s="126">
        <v>610</v>
      </c>
      <c r="G1015" s="69">
        <f t="shared" si="228"/>
        <v>2971.3</v>
      </c>
      <c r="H1015" s="69">
        <f t="shared" si="228"/>
        <v>0</v>
      </c>
      <c r="I1015" s="69">
        <f t="shared" si="214"/>
        <v>2971.3</v>
      </c>
      <c r="J1015" s="69">
        <f t="shared" si="228"/>
        <v>0</v>
      </c>
      <c r="K1015" s="84">
        <f t="shared" si="208"/>
        <v>2971.3</v>
      </c>
      <c r="L1015" s="13">
        <f t="shared" si="228"/>
        <v>-1</v>
      </c>
      <c r="M1015" s="84">
        <f t="shared" si="211"/>
        <v>2970.3</v>
      </c>
      <c r="N1015" s="13">
        <f t="shared" si="228"/>
        <v>0</v>
      </c>
      <c r="O1015" s="84">
        <f t="shared" si="212"/>
        <v>2970.3</v>
      </c>
      <c r="P1015" s="13">
        <f t="shared" si="228"/>
        <v>0</v>
      </c>
      <c r="Q1015" s="84">
        <f t="shared" si="224"/>
        <v>2970.3</v>
      </c>
      <c r="R1015" s="13">
        <f t="shared" si="228"/>
        <v>0</v>
      </c>
      <c r="S1015" s="84">
        <f t="shared" si="222"/>
        <v>2970.3</v>
      </c>
      <c r="T1015" s="13">
        <f t="shared" si="228"/>
        <v>0</v>
      </c>
      <c r="U1015" s="84">
        <f t="shared" si="226"/>
        <v>2970.3</v>
      </c>
    </row>
    <row r="1016" spans="1:21" ht="49.5">
      <c r="A1016" s="61" t="str">
        <f ca="1">IF(ISERROR(MATCH(F1016,Код_КВР,0)),"",INDIRECT(ADDRESS(MATCH(F1016,Код_КВР,0)+1,2,,,"КВР")))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6" s="126">
        <v>808</v>
      </c>
      <c r="C1016" s="8" t="s">
        <v>220</v>
      </c>
      <c r="D1016" s="8" t="s">
        <v>211</v>
      </c>
      <c r="E1016" s="126" t="s">
        <v>485</v>
      </c>
      <c r="F1016" s="126">
        <v>611</v>
      </c>
      <c r="G1016" s="69">
        <v>2971.3</v>
      </c>
      <c r="H1016" s="69"/>
      <c r="I1016" s="69">
        <f t="shared" si="214"/>
        <v>2971.3</v>
      </c>
      <c r="J1016" s="69"/>
      <c r="K1016" s="84">
        <f t="shared" si="208"/>
        <v>2971.3</v>
      </c>
      <c r="L1016" s="13">
        <v>-1</v>
      </c>
      <c r="M1016" s="84">
        <f t="shared" si="211"/>
        <v>2970.3</v>
      </c>
      <c r="N1016" s="13"/>
      <c r="O1016" s="84">
        <f t="shared" si="212"/>
        <v>2970.3</v>
      </c>
      <c r="P1016" s="13"/>
      <c r="Q1016" s="84">
        <f t="shared" si="224"/>
        <v>2970.3</v>
      </c>
      <c r="R1016" s="13"/>
      <c r="S1016" s="84">
        <f t="shared" si="222"/>
        <v>2970.3</v>
      </c>
      <c r="T1016" s="13"/>
      <c r="U1016" s="84">
        <f t="shared" si="226"/>
        <v>2970.3</v>
      </c>
    </row>
    <row r="1017" spans="1:21">
      <c r="A1017" s="61" t="str">
        <f ca="1">IF(ISERROR(MATCH(E1017,Код_КЦСР,0)),"",INDIRECT(ADDRESS(MATCH(E1017,Код_КЦСР,0)+1,2,,,"КЦСР")))</f>
        <v>Библиографическая обработка документов и организация  каталогов</v>
      </c>
      <c r="B1017" s="126">
        <v>808</v>
      </c>
      <c r="C1017" s="8" t="s">
        <v>220</v>
      </c>
      <c r="D1017" s="8" t="s">
        <v>211</v>
      </c>
      <c r="E1017" s="126" t="s">
        <v>487</v>
      </c>
      <c r="F1017" s="126"/>
      <c r="G1017" s="69">
        <f t="shared" ref="G1017:T1019" si="229">G1018</f>
        <v>4912.1000000000004</v>
      </c>
      <c r="H1017" s="69">
        <f t="shared" si="229"/>
        <v>0</v>
      </c>
      <c r="I1017" s="69">
        <f t="shared" si="214"/>
        <v>4912.1000000000004</v>
      </c>
      <c r="J1017" s="69">
        <f t="shared" si="229"/>
        <v>0</v>
      </c>
      <c r="K1017" s="84">
        <f t="shared" si="208"/>
        <v>4912.1000000000004</v>
      </c>
      <c r="L1017" s="13">
        <f t="shared" si="229"/>
        <v>-1.2</v>
      </c>
      <c r="M1017" s="84">
        <f t="shared" si="211"/>
        <v>4910.9000000000005</v>
      </c>
      <c r="N1017" s="13">
        <f t="shared" si="229"/>
        <v>0</v>
      </c>
      <c r="O1017" s="84">
        <f t="shared" si="212"/>
        <v>4910.9000000000005</v>
      </c>
      <c r="P1017" s="13">
        <f t="shared" si="229"/>
        <v>0</v>
      </c>
      <c r="Q1017" s="84">
        <f t="shared" si="224"/>
        <v>4910.9000000000005</v>
      </c>
      <c r="R1017" s="13">
        <f t="shared" si="229"/>
        <v>0</v>
      </c>
      <c r="S1017" s="84">
        <f t="shared" si="222"/>
        <v>4910.9000000000005</v>
      </c>
      <c r="T1017" s="13">
        <f t="shared" si="229"/>
        <v>0</v>
      </c>
      <c r="U1017" s="84">
        <f t="shared" si="226"/>
        <v>4910.9000000000005</v>
      </c>
    </row>
    <row r="1018" spans="1:21" ht="33">
      <c r="A1018" s="61" t="str">
        <f ca="1">IF(ISERROR(MATCH(F1018,Код_КВР,0)),"",INDIRECT(ADDRESS(MATCH(F1018,Код_КВР,0)+1,2,,,"КВР")))</f>
        <v>Предоставление субсидий бюджетным, автономным учреждениям и иным некоммерческим организациям</v>
      </c>
      <c r="B1018" s="126">
        <v>808</v>
      </c>
      <c r="C1018" s="8" t="s">
        <v>220</v>
      </c>
      <c r="D1018" s="8" t="s">
        <v>211</v>
      </c>
      <c r="E1018" s="126" t="s">
        <v>487</v>
      </c>
      <c r="F1018" s="126">
        <v>600</v>
      </c>
      <c r="G1018" s="69">
        <f t="shared" si="229"/>
        <v>4912.1000000000004</v>
      </c>
      <c r="H1018" s="69">
        <f t="shared" si="229"/>
        <v>0</v>
      </c>
      <c r="I1018" s="69">
        <f t="shared" si="214"/>
        <v>4912.1000000000004</v>
      </c>
      <c r="J1018" s="69">
        <f t="shared" si="229"/>
        <v>0</v>
      </c>
      <c r="K1018" s="84">
        <f t="shared" si="208"/>
        <v>4912.1000000000004</v>
      </c>
      <c r="L1018" s="13">
        <f t="shared" si="229"/>
        <v>-1.2</v>
      </c>
      <c r="M1018" s="84">
        <f t="shared" si="211"/>
        <v>4910.9000000000005</v>
      </c>
      <c r="N1018" s="13">
        <f t="shared" si="229"/>
        <v>0</v>
      </c>
      <c r="O1018" s="84">
        <f t="shared" si="212"/>
        <v>4910.9000000000005</v>
      </c>
      <c r="P1018" s="13">
        <f t="shared" si="229"/>
        <v>0</v>
      </c>
      <c r="Q1018" s="84">
        <f t="shared" si="224"/>
        <v>4910.9000000000005</v>
      </c>
      <c r="R1018" s="13">
        <f t="shared" si="229"/>
        <v>0</v>
      </c>
      <c r="S1018" s="84">
        <f t="shared" si="222"/>
        <v>4910.9000000000005</v>
      </c>
      <c r="T1018" s="13">
        <f t="shared" si="229"/>
        <v>0</v>
      </c>
      <c r="U1018" s="84">
        <f t="shared" si="226"/>
        <v>4910.9000000000005</v>
      </c>
    </row>
    <row r="1019" spans="1:21">
      <c r="A1019" s="61" t="str">
        <f ca="1">IF(ISERROR(MATCH(F1019,Код_КВР,0)),"",INDIRECT(ADDRESS(MATCH(F1019,Код_КВР,0)+1,2,,,"КВР")))</f>
        <v>Субсидии бюджетным учреждениям</v>
      </c>
      <c r="B1019" s="126">
        <v>808</v>
      </c>
      <c r="C1019" s="8" t="s">
        <v>220</v>
      </c>
      <c r="D1019" s="8" t="s">
        <v>211</v>
      </c>
      <c r="E1019" s="126" t="s">
        <v>487</v>
      </c>
      <c r="F1019" s="126">
        <v>610</v>
      </c>
      <c r="G1019" s="69">
        <f t="shared" si="229"/>
        <v>4912.1000000000004</v>
      </c>
      <c r="H1019" s="69">
        <f t="shared" si="229"/>
        <v>0</v>
      </c>
      <c r="I1019" s="69">
        <f t="shared" si="214"/>
        <v>4912.1000000000004</v>
      </c>
      <c r="J1019" s="69">
        <f t="shared" si="229"/>
        <v>0</v>
      </c>
      <c r="K1019" s="84">
        <f t="shared" ref="K1019:K1104" si="230">I1019+J1019</f>
        <v>4912.1000000000004</v>
      </c>
      <c r="L1019" s="13">
        <f t="shared" si="229"/>
        <v>-1.2</v>
      </c>
      <c r="M1019" s="84">
        <f t="shared" si="211"/>
        <v>4910.9000000000005</v>
      </c>
      <c r="N1019" s="13">
        <f t="shared" si="229"/>
        <v>0</v>
      </c>
      <c r="O1019" s="84">
        <f t="shared" si="212"/>
        <v>4910.9000000000005</v>
      </c>
      <c r="P1019" s="13">
        <f t="shared" si="229"/>
        <v>0</v>
      </c>
      <c r="Q1019" s="84">
        <f t="shared" si="224"/>
        <v>4910.9000000000005</v>
      </c>
      <c r="R1019" s="13">
        <f t="shared" si="229"/>
        <v>0</v>
      </c>
      <c r="S1019" s="84">
        <f t="shared" si="222"/>
        <v>4910.9000000000005</v>
      </c>
      <c r="T1019" s="13">
        <f t="shared" si="229"/>
        <v>0</v>
      </c>
      <c r="U1019" s="84">
        <f t="shared" si="226"/>
        <v>4910.9000000000005</v>
      </c>
    </row>
    <row r="1020" spans="1:21" ht="49.5">
      <c r="A1020" s="61" t="str">
        <f ca="1">IF(ISERROR(MATCH(F1020,Код_КВР,0)),"",INDIRECT(ADDRESS(MATCH(F1020,Код_КВР,0)+1,2,,,"КВР")))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20" s="126">
        <v>808</v>
      </c>
      <c r="C1020" s="8" t="s">
        <v>220</v>
      </c>
      <c r="D1020" s="8" t="s">
        <v>211</v>
      </c>
      <c r="E1020" s="126" t="s">
        <v>487</v>
      </c>
      <c r="F1020" s="126">
        <v>611</v>
      </c>
      <c r="G1020" s="69">
        <v>4912.1000000000004</v>
      </c>
      <c r="H1020" s="69"/>
      <c r="I1020" s="69">
        <f t="shared" si="214"/>
        <v>4912.1000000000004</v>
      </c>
      <c r="J1020" s="69"/>
      <c r="K1020" s="84">
        <f t="shared" si="230"/>
        <v>4912.1000000000004</v>
      </c>
      <c r="L1020" s="13">
        <v>-1.2</v>
      </c>
      <c r="M1020" s="84">
        <f t="shared" si="211"/>
        <v>4910.9000000000005</v>
      </c>
      <c r="N1020" s="13"/>
      <c r="O1020" s="84">
        <f t="shared" si="212"/>
        <v>4910.9000000000005</v>
      </c>
      <c r="P1020" s="13"/>
      <c r="Q1020" s="84">
        <f t="shared" si="224"/>
        <v>4910.9000000000005</v>
      </c>
      <c r="R1020" s="13"/>
      <c r="S1020" s="84">
        <f t="shared" si="222"/>
        <v>4910.9000000000005</v>
      </c>
      <c r="T1020" s="13"/>
      <c r="U1020" s="84">
        <f t="shared" si="226"/>
        <v>4910.9000000000005</v>
      </c>
    </row>
    <row r="1021" spans="1:21" ht="51" customHeight="1">
      <c r="A1021" s="61" t="str">
        <f ca="1">IF(ISERROR(MATCH(E1021,Код_КЦСР,0)),"",INDIRECT(ADDRESS(MATCH(E1021,Код_КЦСР,0)+1,2,,,"КЦСР")))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1021" s="126">
        <v>808</v>
      </c>
      <c r="C1021" s="8" t="s">
        <v>220</v>
      </c>
      <c r="D1021" s="8" t="s">
        <v>211</v>
      </c>
      <c r="E1021" s="126" t="s">
        <v>666</v>
      </c>
      <c r="F1021" s="126"/>
      <c r="G1021" s="69"/>
      <c r="H1021" s="69"/>
      <c r="I1021" s="69"/>
      <c r="J1021" s="69"/>
      <c r="K1021" s="84"/>
      <c r="L1021" s="13"/>
      <c r="M1021" s="84"/>
      <c r="N1021" s="13"/>
      <c r="O1021" s="84"/>
      <c r="P1021" s="13"/>
      <c r="Q1021" s="84"/>
      <c r="R1021" s="13">
        <f>R1022</f>
        <v>13039.6</v>
      </c>
      <c r="S1021" s="84">
        <f t="shared" si="222"/>
        <v>13039.6</v>
      </c>
      <c r="T1021" s="13">
        <f>T1022</f>
        <v>-1043.2</v>
      </c>
      <c r="U1021" s="84">
        <f t="shared" si="226"/>
        <v>11996.4</v>
      </c>
    </row>
    <row r="1022" spans="1:21" ht="33">
      <c r="A1022" s="61" t="str">
        <f ca="1">IF(ISERROR(MATCH(F1022,Код_КВР,0)),"",INDIRECT(ADDRESS(MATCH(F1022,Код_КВР,0)+1,2,,,"КВР")))</f>
        <v>Предоставление субсидий бюджетным, автономным учреждениям и иным некоммерческим организациям</v>
      </c>
      <c r="B1022" s="126">
        <v>808</v>
      </c>
      <c r="C1022" s="8" t="s">
        <v>220</v>
      </c>
      <c r="D1022" s="8" t="s">
        <v>211</v>
      </c>
      <c r="E1022" s="126" t="s">
        <v>666</v>
      </c>
      <c r="F1022" s="126">
        <v>600</v>
      </c>
      <c r="G1022" s="69"/>
      <c r="H1022" s="69"/>
      <c r="I1022" s="69"/>
      <c r="J1022" s="69"/>
      <c r="K1022" s="84"/>
      <c r="L1022" s="13"/>
      <c r="M1022" s="84"/>
      <c r="N1022" s="13"/>
      <c r="O1022" s="84"/>
      <c r="P1022" s="13"/>
      <c r="Q1022" s="84"/>
      <c r="R1022" s="13">
        <f>R1023</f>
        <v>13039.6</v>
      </c>
      <c r="S1022" s="84">
        <f t="shared" si="222"/>
        <v>13039.6</v>
      </c>
      <c r="T1022" s="13">
        <f>T1023</f>
        <v>-1043.2</v>
      </c>
      <c r="U1022" s="84">
        <f t="shared" si="226"/>
        <v>11996.4</v>
      </c>
    </row>
    <row r="1023" spans="1:21">
      <c r="A1023" s="61" t="str">
        <f ca="1">IF(ISERROR(MATCH(F1023,Код_КВР,0)),"",INDIRECT(ADDRESS(MATCH(F1023,Код_КВР,0)+1,2,,,"КВР")))</f>
        <v>Субсидии бюджетным учреждениям</v>
      </c>
      <c r="B1023" s="126">
        <v>808</v>
      </c>
      <c r="C1023" s="8" t="s">
        <v>220</v>
      </c>
      <c r="D1023" s="8" t="s">
        <v>211</v>
      </c>
      <c r="E1023" s="126" t="s">
        <v>666</v>
      </c>
      <c r="F1023" s="126">
        <v>610</v>
      </c>
      <c r="G1023" s="69"/>
      <c r="H1023" s="69"/>
      <c r="I1023" s="69"/>
      <c r="J1023" s="69"/>
      <c r="K1023" s="84"/>
      <c r="L1023" s="13"/>
      <c r="M1023" s="84"/>
      <c r="N1023" s="13"/>
      <c r="O1023" s="84"/>
      <c r="P1023" s="13"/>
      <c r="Q1023" s="84"/>
      <c r="R1023" s="13">
        <f>R1024</f>
        <v>13039.6</v>
      </c>
      <c r="S1023" s="84">
        <f t="shared" si="222"/>
        <v>13039.6</v>
      </c>
      <c r="T1023" s="13">
        <f>T1024</f>
        <v>-1043.2</v>
      </c>
      <c r="U1023" s="84">
        <f t="shared" si="226"/>
        <v>11996.4</v>
      </c>
    </row>
    <row r="1024" spans="1:21" ht="49.5">
      <c r="A1024" s="61" t="str">
        <f ca="1">IF(ISERROR(MATCH(F1024,Код_КВР,0)),"",INDIRECT(ADDRESS(MATCH(F1024,Код_КВР,0)+1,2,,,"КВР")))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24" s="126">
        <v>808</v>
      </c>
      <c r="C1024" s="8" t="s">
        <v>220</v>
      </c>
      <c r="D1024" s="8" t="s">
        <v>211</v>
      </c>
      <c r="E1024" s="126" t="s">
        <v>666</v>
      </c>
      <c r="F1024" s="126">
        <v>611</v>
      </c>
      <c r="G1024" s="69"/>
      <c r="H1024" s="69"/>
      <c r="I1024" s="69"/>
      <c r="J1024" s="69"/>
      <c r="K1024" s="84"/>
      <c r="L1024" s="13"/>
      <c r="M1024" s="84"/>
      <c r="N1024" s="13"/>
      <c r="O1024" s="84"/>
      <c r="P1024" s="13"/>
      <c r="Q1024" s="84"/>
      <c r="R1024" s="13">
        <v>13039.6</v>
      </c>
      <c r="S1024" s="84">
        <f t="shared" si="222"/>
        <v>13039.6</v>
      </c>
      <c r="T1024" s="13">
        <v>-1043.2</v>
      </c>
      <c r="U1024" s="84">
        <f t="shared" si="226"/>
        <v>11996.4</v>
      </c>
    </row>
    <row r="1025" spans="1:21">
      <c r="A1025" s="61" t="str">
        <f ca="1">IF(ISERROR(MATCH(E1025,Код_КЦСР,0)),"",INDIRECT(ADDRESS(MATCH(E1025,Код_КЦСР,0)+1,2,,,"КЦСР")))</f>
        <v>Совершенствование культурно-досуговой деятельности</v>
      </c>
      <c r="B1025" s="126">
        <v>808</v>
      </c>
      <c r="C1025" s="8" t="s">
        <v>220</v>
      </c>
      <c r="D1025" s="8" t="s">
        <v>211</v>
      </c>
      <c r="E1025" s="126" t="s">
        <v>489</v>
      </c>
      <c r="F1025" s="126"/>
      <c r="G1025" s="69">
        <f>G1026+G1030</f>
        <v>40546.6</v>
      </c>
      <c r="H1025" s="69">
        <f>H1026+H1030</f>
        <v>0</v>
      </c>
      <c r="I1025" s="69">
        <f t="shared" si="214"/>
        <v>40546.6</v>
      </c>
      <c r="J1025" s="69">
        <f>J1026+J1030</f>
        <v>0</v>
      </c>
      <c r="K1025" s="84">
        <f t="shared" si="230"/>
        <v>40546.6</v>
      </c>
      <c r="L1025" s="13">
        <f>L1026+L1030</f>
        <v>-61.7</v>
      </c>
      <c r="M1025" s="84">
        <f t="shared" si="211"/>
        <v>40484.9</v>
      </c>
      <c r="N1025" s="13">
        <f>N1026+N1030</f>
        <v>0</v>
      </c>
      <c r="O1025" s="84">
        <f t="shared" si="212"/>
        <v>40484.9</v>
      </c>
      <c r="P1025" s="13">
        <f>P1026+P1030</f>
        <v>0</v>
      </c>
      <c r="Q1025" s="84">
        <f t="shared" si="224"/>
        <v>40484.9</v>
      </c>
      <c r="R1025" s="13">
        <f>R1026+R1030+R1034</f>
        <v>-839</v>
      </c>
      <c r="S1025" s="84">
        <f t="shared" si="222"/>
        <v>39645.9</v>
      </c>
      <c r="T1025" s="13">
        <f>T1026+T1030+T1034</f>
        <v>2638.1</v>
      </c>
      <c r="U1025" s="84">
        <f t="shared" si="226"/>
        <v>42284</v>
      </c>
    </row>
    <row r="1026" spans="1:21">
      <c r="A1026" s="61" t="str">
        <f ca="1">IF(ISERROR(MATCH(E1026,Код_КЦСР,0)),"",INDIRECT(ADDRESS(MATCH(E1026,Код_КЦСР,0)+1,2,,,"КЦСР")))</f>
        <v>Оказание муниципальных услуг</v>
      </c>
      <c r="B1026" s="126">
        <v>808</v>
      </c>
      <c r="C1026" s="8" t="s">
        <v>220</v>
      </c>
      <c r="D1026" s="8" t="s">
        <v>211</v>
      </c>
      <c r="E1026" s="126" t="s">
        <v>496</v>
      </c>
      <c r="F1026" s="126"/>
      <c r="G1026" s="69">
        <f t="shared" ref="G1026:T1028" si="231">G1027</f>
        <v>37417.199999999997</v>
      </c>
      <c r="H1026" s="69">
        <f t="shared" si="231"/>
        <v>0</v>
      </c>
      <c r="I1026" s="69">
        <f t="shared" si="214"/>
        <v>37417.199999999997</v>
      </c>
      <c r="J1026" s="69">
        <f t="shared" si="231"/>
        <v>0</v>
      </c>
      <c r="K1026" s="84">
        <f t="shared" si="230"/>
        <v>37417.199999999997</v>
      </c>
      <c r="L1026" s="13">
        <f t="shared" si="231"/>
        <v>-59.5</v>
      </c>
      <c r="M1026" s="84">
        <f t="shared" si="211"/>
        <v>37357.699999999997</v>
      </c>
      <c r="N1026" s="13">
        <f t="shared" si="231"/>
        <v>0</v>
      </c>
      <c r="O1026" s="84">
        <f t="shared" si="212"/>
        <v>37357.699999999997</v>
      </c>
      <c r="P1026" s="13">
        <f t="shared" si="231"/>
        <v>0</v>
      </c>
      <c r="Q1026" s="84">
        <f t="shared" si="224"/>
        <v>37357.699999999997</v>
      </c>
      <c r="R1026" s="13">
        <f t="shared" si="231"/>
        <v>-1463.7</v>
      </c>
      <c r="S1026" s="84">
        <f t="shared" si="222"/>
        <v>35894</v>
      </c>
      <c r="T1026" s="13">
        <f t="shared" si="231"/>
        <v>0</v>
      </c>
      <c r="U1026" s="84">
        <f t="shared" si="226"/>
        <v>35894</v>
      </c>
    </row>
    <row r="1027" spans="1:21" ht="33">
      <c r="A1027" s="61" t="str">
        <f ca="1">IF(ISERROR(MATCH(F1027,Код_КВР,0)),"",INDIRECT(ADDRESS(MATCH(F1027,Код_КВР,0)+1,2,,,"КВР")))</f>
        <v>Предоставление субсидий бюджетным, автономным учреждениям и иным некоммерческим организациям</v>
      </c>
      <c r="B1027" s="126">
        <v>808</v>
      </c>
      <c r="C1027" s="8" t="s">
        <v>220</v>
      </c>
      <c r="D1027" s="8" t="s">
        <v>211</v>
      </c>
      <c r="E1027" s="126" t="s">
        <v>496</v>
      </c>
      <c r="F1027" s="126">
        <v>600</v>
      </c>
      <c r="G1027" s="69">
        <f t="shared" si="231"/>
        <v>37417.199999999997</v>
      </c>
      <c r="H1027" s="69">
        <f t="shared" si="231"/>
        <v>0</v>
      </c>
      <c r="I1027" s="69">
        <f t="shared" si="214"/>
        <v>37417.199999999997</v>
      </c>
      <c r="J1027" s="69">
        <f t="shared" si="231"/>
        <v>0</v>
      </c>
      <c r="K1027" s="84">
        <f t="shared" si="230"/>
        <v>37417.199999999997</v>
      </c>
      <c r="L1027" s="13">
        <f t="shared" si="231"/>
        <v>-59.5</v>
      </c>
      <c r="M1027" s="84">
        <f t="shared" si="211"/>
        <v>37357.699999999997</v>
      </c>
      <c r="N1027" s="13">
        <f t="shared" si="231"/>
        <v>0</v>
      </c>
      <c r="O1027" s="84">
        <f t="shared" si="212"/>
        <v>37357.699999999997</v>
      </c>
      <c r="P1027" s="13">
        <f t="shared" si="231"/>
        <v>0</v>
      </c>
      <c r="Q1027" s="84">
        <f t="shared" si="224"/>
        <v>37357.699999999997</v>
      </c>
      <c r="R1027" s="13">
        <f t="shared" si="231"/>
        <v>-1463.7</v>
      </c>
      <c r="S1027" s="84">
        <f t="shared" si="222"/>
        <v>35894</v>
      </c>
      <c r="T1027" s="13">
        <f t="shared" si="231"/>
        <v>0</v>
      </c>
      <c r="U1027" s="84">
        <f t="shared" si="226"/>
        <v>35894</v>
      </c>
    </row>
    <row r="1028" spans="1:21">
      <c r="A1028" s="61" t="str">
        <f ca="1">IF(ISERROR(MATCH(F1028,Код_КВР,0)),"",INDIRECT(ADDRESS(MATCH(F1028,Код_КВР,0)+1,2,,,"КВР")))</f>
        <v>Субсидии бюджетным учреждениям</v>
      </c>
      <c r="B1028" s="126">
        <v>808</v>
      </c>
      <c r="C1028" s="8" t="s">
        <v>220</v>
      </c>
      <c r="D1028" s="8" t="s">
        <v>211</v>
      </c>
      <c r="E1028" s="126" t="s">
        <v>496</v>
      </c>
      <c r="F1028" s="126">
        <v>610</v>
      </c>
      <c r="G1028" s="69">
        <f t="shared" si="231"/>
        <v>37417.199999999997</v>
      </c>
      <c r="H1028" s="69">
        <f t="shared" si="231"/>
        <v>0</v>
      </c>
      <c r="I1028" s="69">
        <f t="shared" si="214"/>
        <v>37417.199999999997</v>
      </c>
      <c r="J1028" s="69">
        <f t="shared" si="231"/>
        <v>0</v>
      </c>
      <c r="K1028" s="84">
        <f t="shared" si="230"/>
        <v>37417.199999999997</v>
      </c>
      <c r="L1028" s="13">
        <f t="shared" si="231"/>
        <v>-59.5</v>
      </c>
      <c r="M1028" s="84">
        <f t="shared" si="211"/>
        <v>37357.699999999997</v>
      </c>
      <c r="N1028" s="13">
        <f t="shared" si="231"/>
        <v>0</v>
      </c>
      <c r="O1028" s="84">
        <f t="shared" si="212"/>
        <v>37357.699999999997</v>
      </c>
      <c r="P1028" s="13">
        <f t="shared" si="231"/>
        <v>0</v>
      </c>
      <c r="Q1028" s="84">
        <f t="shared" si="224"/>
        <v>37357.699999999997</v>
      </c>
      <c r="R1028" s="13">
        <f t="shared" si="231"/>
        <v>-1463.7</v>
      </c>
      <c r="S1028" s="84">
        <f t="shared" si="222"/>
        <v>35894</v>
      </c>
      <c r="T1028" s="13">
        <f t="shared" si="231"/>
        <v>0</v>
      </c>
      <c r="U1028" s="84">
        <f t="shared" si="226"/>
        <v>35894</v>
      </c>
    </row>
    <row r="1029" spans="1:21" ht="49.5">
      <c r="A1029" s="61" t="str">
        <f ca="1">IF(ISERROR(MATCH(F1029,Код_КВР,0)),"",INDIRECT(ADDRESS(MATCH(F1029,Код_КВР,0)+1,2,,,"КВР")))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29" s="126">
        <v>808</v>
      </c>
      <c r="C1029" s="8" t="s">
        <v>220</v>
      </c>
      <c r="D1029" s="8" t="s">
        <v>211</v>
      </c>
      <c r="E1029" s="126" t="s">
        <v>496</v>
      </c>
      <c r="F1029" s="126">
        <v>611</v>
      </c>
      <c r="G1029" s="69">
        <v>37417.199999999997</v>
      </c>
      <c r="H1029" s="69"/>
      <c r="I1029" s="69">
        <f t="shared" si="214"/>
        <v>37417.199999999997</v>
      </c>
      <c r="J1029" s="69"/>
      <c r="K1029" s="84">
        <f t="shared" si="230"/>
        <v>37417.199999999997</v>
      </c>
      <c r="L1029" s="13">
        <v>-59.5</v>
      </c>
      <c r="M1029" s="84">
        <f t="shared" si="211"/>
        <v>37357.699999999997</v>
      </c>
      <c r="N1029" s="13"/>
      <c r="O1029" s="84">
        <f t="shared" si="212"/>
        <v>37357.699999999997</v>
      </c>
      <c r="P1029" s="13"/>
      <c r="Q1029" s="84">
        <f t="shared" si="224"/>
        <v>37357.699999999997</v>
      </c>
      <c r="R1029" s="13">
        <f>-338.5-1125.2</f>
        <v>-1463.7</v>
      </c>
      <c r="S1029" s="84">
        <f t="shared" si="222"/>
        <v>35894</v>
      </c>
      <c r="T1029" s="13"/>
      <c r="U1029" s="84">
        <f t="shared" si="226"/>
        <v>35894</v>
      </c>
    </row>
    <row r="1030" spans="1:21" ht="33">
      <c r="A1030" s="61" t="str">
        <f ca="1">IF(ISERROR(MATCH(E1030,Код_КЦСР,0)),"",INDIRECT(ADDRESS(MATCH(E1030,Код_КЦСР,0)+1,2,,,"КЦСР")))</f>
        <v>Сохранение нематериального культурного наследия народов традиционной народной культуры</v>
      </c>
      <c r="B1030" s="126">
        <v>808</v>
      </c>
      <c r="C1030" s="8" t="s">
        <v>220</v>
      </c>
      <c r="D1030" s="8" t="s">
        <v>211</v>
      </c>
      <c r="E1030" s="126" t="s">
        <v>497</v>
      </c>
      <c r="F1030" s="126"/>
      <c r="G1030" s="69">
        <f t="shared" ref="G1030:T1032" si="232">G1031</f>
        <v>3129.4</v>
      </c>
      <c r="H1030" s="69">
        <f t="shared" si="232"/>
        <v>0</v>
      </c>
      <c r="I1030" s="69">
        <f t="shared" si="214"/>
        <v>3129.4</v>
      </c>
      <c r="J1030" s="69">
        <f t="shared" si="232"/>
        <v>0</v>
      </c>
      <c r="K1030" s="84">
        <f t="shared" si="230"/>
        <v>3129.4</v>
      </c>
      <c r="L1030" s="13">
        <f t="shared" si="232"/>
        <v>-2.2000000000000002</v>
      </c>
      <c r="M1030" s="84">
        <f t="shared" si="211"/>
        <v>3127.2000000000003</v>
      </c>
      <c r="N1030" s="13">
        <f t="shared" si="232"/>
        <v>0</v>
      </c>
      <c r="O1030" s="84">
        <f t="shared" si="212"/>
        <v>3127.2000000000003</v>
      </c>
      <c r="P1030" s="13">
        <f t="shared" si="232"/>
        <v>0</v>
      </c>
      <c r="Q1030" s="84">
        <f t="shared" si="224"/>
        <v>3127.2000000000003</v>
      </c>
      <c r="R1030" s="13">
        <f t="shared" si="232"/>
        <v>0</v>
      </c>
      <c r="S1030" s="84">
        <f t="shared" si="222"/>
        <v>3127.2000000000003</v>
      </c>
      <c r="T1030" s="13">
        <f t="shared" si="232"/>
        <v>0</v>
      </c>
      <c r="U1030" s="84">
        <f t="shared" si="226"/>
        <v>3127.2000000000003</v>
      </c>
    </row>
    <row r="1031" spans="1:21" ht="33">
      <c r="A1031" s="61" t="str">
        <f ca="1">IF(ISERROR(MATCH(F1031,Код_КВР,0)),"",INDIRECT(ADDRESS(MATCH(F1031,Код_КВР,0)+1,2,,,"КВР")))</f>
        <v>Предоставление субсидий бюджетным, автономным учреждениям и иным некоммерческим организациям</v>
      </c>
      <c r="B1031" s="126">
        <v>808</v>
      </c>
      <c r="C1031" s="8" t="s">
        <v>220</v>
      </c>
      <c r="D1031" s="8" t="s">
        <v>211</v>
      </c>
      <c r="E1031" s="126" t="s">
        <v>497</v>
      </c>
      <c r="F1031" s="126">
        <v>600</v>
      </c>
      <c r="G1031" s="69">
        <f t="shared" si="232"/>
        <v>3129.4</v>
      </c>
      <c r="H1031" s="69">
        <f t="shared" si="232"/>
        <v>0</v>
      </c>
      <c r="I1031" s="69">
        <f t="shared" si="214"/>
        <v>3129.4</v>
      </c>
      <c r="J1031" s="69">
        <f t="shared" si="232"/>
        <v>0</v>
      </c>
      <c r="K1031" s="84">
        <f t="shared" si="230"/>
        <v>3129.4</v>
      </c>
      <c r="L1031" s="13">
        <f t="shared" si="232"/>
        <v>-2.2000000000000002</v>
      </c>
      <c r="M1031" s="84">
        <f t="shared" si="211"/>
        <v>3127.2000000000003</v>
      </c>
      <c r="N1031" s="13">
        <f t="shared" si="232"/>
        <v>0</v>
      </c>
      <c r="O1031" s="84">
        <f t="shared" si="212"/>
        <v>3127.2000000000003</v>
      </c>
      <c r="P1031" s="13">
        <f t="shared" si="232"/>
        <v>0</v>
      </c>
      <c r="Q1031" s="84">
        <f t="shared" si="224"/>
        <v>3127.2000000000003</v>
      </c>
      <c r="R1031" s="13">
        <f t="shared" si="232"/>
        <v>0</v>
      </c>
      <c r="S1031" s="84">
        <f t="shared" si="222"/>
        <v>3127.2000000000003</v>
      </c>
      <c r="T1031" s="13">
        <f t="shared" si="232"/>
        <v>0</v>
      </c>
      <c r="U1031" s="84">
        <f t="shared" si="226"/>
        <v>3127.2000000000003</v>
      </c>
    </row>
    <row r="1032" spans="1:21">
      <c r="A1032" s="61" t="str">
        <f ca="1">IF(ISERROR(MATCH(F1032,Код_КВР,0)),"",INDIRECT(ADDRESS(MATCH(F1032,Код_КВР,0)+1,2,,,"КВР")))</f>
        <v>Субсидии бюджетным учреждениям</v>
      </c>
      <c r="B1032" s="126">
        <v>808</v>
      </c>
      <c r="C1032" s="8" t="s">
        <v>220</v>
      </c>
      <c r="D1032" s="8" t="s">
        <v>211</v>
      </c>
      <c r="E1032" s="126" t="s">
        <v>497</v>
      </c>
      <c r="F1032" s="126">
        <v>610</v>
      </c>
      <c r="G1032" s="69">
        <f t="shared" si="232"/>
        <v>3129.4</v>
      </c>
      <c r="H1032" s="69">
        <f t="shared" si="232"/>
        <v>0</v>
      </c>
      <c r="I1032" s="69">
        <f t="shared" si="214"/>
        <v>3129.4</v>
      </c>
      <c r="J1032" s="69">
        <f t="shared" si="232"/>
        <v>0</v>
      </c>
      <c r="K1032" s="84">
        <f t="shared" si="230"/>
        <v>3129.4</v>
      </c>
      <c r="L1032" s="13">
        <f t="shared" si="232"/>
        <v>-2.2000000000000002</v>
      </c>
      <c r="M1032" s="84">
        <f t="shared" si="211"/>
        <v>3127.2000000000003</v>
      </c>
      <c r="N1032" s="13">
        <f t="shared" si="232"/>
        <v>0</v>
      </c>
      <c r="O1032" s="84">
        <f t="shared" si="212"/>
        <v>3127.2000000000003</v>
      </c>
      <c r="P1032" s="13">
        <f t="shared" si="232"/>
        <v>0</v>
      </c>
      <c r="Q1032" s="84">
        <f t="shared" si="224"/>
        <v>3127.2000000000003</v>
      </c>
      <c r="R1032" s="13">
        <f t="shared" si="232"/>
        <v>0</v>
      </c>
      <c r="S1032" s="84">
        <f t="shared" si="222"/>
        <v>3127.2000000000003</v>
      </c>
      <c r="T1032" s="13">
        <f t="shared" si="232"/>
        <v>0</v>
      </c>
      <c r="U1032" s="84">
        <f t="shared" si="226"/>
        <v>3127.2000000000003</v>
      </c>
    </row>
    <row r="1033" spans="1:21" ht="49.5">
      <c r="A1033" s="61" t="str">
        <f ca="1">IF(ISERROR(MATCH(F1033,Код_КВР,0)),"",INDIRECT(ADDRESS(MATCH(F1033,Код_КВР,0)+1,2,,,"КВР")))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33" s="126">
        <v>808</v>
      </c>
      <c r="C1033" s="8" t="s">
        <v>220</v>
      </c>
      <c r="D1033" s="8" t="s">
        <v>211</v>
      </c>
      <c r="E1033" s="126" t="s">
        <v>497</v>
      </c>
      <c r="F1033" s="126">
        <v>611</v>
      </c>
      <c r="G1033" s="69">
        <v>3129.4</v>
      </c>
      <c r="H1033" s="69"/>
      <c r="I1033" s="69">
        <f t="shared" si="214"/>
        <v>3129.4</v>
      </c>
      <c r="J1033" s="69"/>
      <c r="K1033" s="84">
        <f t="shared" si="230"/>
        <v>3129.4</v>
      </c>
      <c r="L1033" s="13">
        <v>-2.2000000000000002</v>
      </c>
      <c r="M1033" s="84">
        <f t="shared" si="211"/>
        <v>3127.2000000000003</v>
      </c>
      <c r="N1033" s="13"/>
      <c r="O1033" s="84">
        <f t="shared" si="212"/>
        <v>3127.2000000000003</v>
      </c>
      <c r="P1033" s="13"/>
      <c r="Q1033" s="84">
        <f t="shared" si="224"/>
        <v>3127.2000000000003</v>
      </c>
      <c r="R1033" s="13"/>
      <c r="S1033" s="84">
        <f t="shared" si="222"/>
        <v>3127.2000000000003</v>
      </c>
      <c r="T1033" s="13"/>
      <c r="U1033" s="84">
        <f t="shared" si="226"/>
        <v>3127.2000000000003</v>
      </c>
    </row>
    <row r="1034" spans="1:21" ht="54.75" customHeight="1">
      <c r="A1034" s="61" t="str">
        <f ca="1">IF(ISERROR(MATCH(E1034,Код_КЦСР,0)),"",INDIRECT(ADDRESS(MATCH(E1034,Код_КЦСР,0)+1,2,,,"КЦСР")))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1034" s="126">
        <v>808</v>
      </c>
      <c r="C1034" s="8" t="s">
        <v>220</v>
      </c>
      <c r="D1034" s="8" t="s">
        <v>211</v>
      </c>
      <c r="E1034" s="126" t="s">
        <v>667</v>
      </c>
      <c r="F1034" s="126"/>
      <c r="G1034" s="69"/>
      <c r="H1034" s="69"/>
      <c r="I1034" s="69"/>
      <c r="J1034" s="69"/>
      <c r="K1034" s="84"/>
      <c r="L1034" s="13"/>
      <c r="M1034" s="84"/>
      <c r="N1034" s="13"/>
      <c r="O1034" s="84"/>
      <c r="P1034" s="13"/>
      <c r="Q1034" s="84"/>
      <c r="R1034" s="13">
        <f>R1035</f>
        <v>624.70000000000005</v>
      </c>
      <c r="S1034" s="84">
        <f t="shared" si="222"/>
        <v>624.70000000000005</v>
      </c>
      <c r="T1034" s="13">
        <f>T1035</f>
        <v>2638.1</v>
      </c>
      <c r="U1034" s="84">
        <f t="shared" si="226"/>
        <v>3262.8</v>
      </c>
    </row>
    <row r="1035" spans="1:21" ht="33">
      <c r="A1035" s="61" t="str">
        <f ca="1">IF(ISERROR(MATCH(F1035,Код_КВР,0)),"",INDIRECT(ADDRESS(MATCH(F1035,Код_КВР,0)+1,2,,,"КВР")))</f>
        <v>Предоставление субсидий бюджетным, автономным учреждениям и иным некоммерческим организациям</v>
      </c>
      <c r="B1035" s="126">
        <v>808</v>
      </c>
      <c r="C1035" s="8" t="s">
        <v>220</v>
      </c>
      <c r="D1035" s="8" t="s">
        <v>211</v>
      </c>
      <c r="E1035" s="126" t="s">
        <v>667</v>
      </c>
      <c r="F1035" s="126">
        <v>600</v>
      </c>
      <c r="G1035" s="69"/>
      <c r="H1035" s="69"/>
      <c r="I1035" s="69"/>
      <c r="J1035" s="69"/>
      <c r="K1035" s="84"/>
      <c r="L1035" s="13"/>
      <c r="M1035" s="84"/>
      <c r="N1035" s="13"/>
      <c r="O1035" s="84"/>
      <c r="P1035" s="13"/>
      <c r="Q1035" s="84"/>
      <c r="R1035" s="13">
        <f>R1036</f>
        <v>624.70000000000005</v>
      </c>
      <c r="S1035" s="84">
        <f t="shared" si="222"/>
        <v>624.70000000000005</v>
      </c>
      <c r="T1035" s="13">
        <f>T1036</f>
        <v>2638.1</v>
      </c>
      <c r="U1035" s="84">
        <f t="shared" si="226"/>
        <v>3262.8</v>
      </c>
    </row>
    <row r="1036" spans="1:21">
      <c r="A1036" s="61" t="str">
        <f ca="1">IF(ISERROR(MATCH(F1036,Код_КВР,0)),"",INDIRECT(ADDRESS(MATCH(F1036,Код_КВР,0)+1,2,,,"КВР")))</f>
        <v>Субсидии бюджетным учреждениям</v>
      </c>
      <c r="B1036" s="126">
        <v>808</v>
      </c>
      <c r="C1036" s="8" t="s">
        <v>220</v>
      </c>
      <c r="D1036" s="8" t="s">
        <v>211</v>
      </c>
      <c r="E1036" s="126" t="s">
        <v>667</v>
      </c>
      <c r="F1036" s="126">
        <v>610</v>
      </c>
      <c r="G1036" s="69"/>
      <c r="H1036" s="69"/>
      <c r="I1036" s="69"/>
      <c r="J1036" s="69"/>
      <c r="K1036" s="84"/>
      <c r="L1036" s="13"/>
      <c r="M1036" s="84"/>
      <c r="N1036" s="13"/>
      <c r="O1036" s="84"/>
      <c r="P1036" s="13"/>
      <c r="Q1036" s="84"/>
      <c r="R1036" s="13">
        <f>R1037</f>
        <v>624.70000000000005</v>
      </c>
      <c r="S1036" s="84">
        <f t="shared" si="222"/>
        <v>624.70000000000005</v>
      </c>
      <c r="T1036" s="13">
        <f>T1037</f>
        <v>2638.1</v>
      </c>
      <c r="U1036" s="84">
        <f t="shared" si="226"/>
        <v>3262.8</v>
      </c>
    </row>
    <row r="1037" spans="1:21" ht="49.5">
      <c r="A1037" s="61" t="str">
        <f ca="1">IF(ISERROR(MATCH(F1037,Код_КВР,0)),"",INDIRECT(ADDRESS(MATCH(F1037,Код_КВР,0)+1,2,,,"КВР")))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37" s="126">
        <v>808</v>
      </c>
      <c r="C1037" s="8" t="s">
        <v>220</v>
      </c>
      <c r="D1037" s="8" t="s">
        <v>211</v>
      </c>
      <c r="E1037" s="126" t="s">
        <v>667</v>
      </c>
      <c r="F1037" s="126">
        <v>611</v>
      </c>
      <c r="G1037" s="69"/>
      <c r="H1037" s="69"/>
      <c r="I1037" s="69"/>
      <c r="J1037" s="69"/>
      <c r="K1037" s="84"/>
      <c r="L1037" s="13"/>
      <c r="M1037" s="84"/>
      <c r="N1037" s="13"/>
      <c r="O1037" s="84"/>
      <c r="P1037" s="13"/>
      <c r="Q1037" s="84"/>
      <c r="R1037" s="13">
        <v>624.70000000000005</v>
      </c>
      <c r="S1037" s="84">
        <f t="shared" si="222"/>
        <v>624.70000000000005</v>
      </c>
      <c r="T1037" s="13">
        <v>2638.1</v>
      </c>
      <c r="U1037" s="84">
        <f t="shared" si="226"/>
        <v>3262.8</v>
      </c>
    </row>
    <row r="1038" spans="1:21">
      <c r="A1038" s="61" t="str">
        <f ca="1">IF(ISERROR(MATCH(E1038,Код_КЦСР,0)),"",INDIRECT(ADDRESS(MATCH(E1038,Код_КЦСР,0)+1,2,,,"КЦСР")))</f>
        <v>Развитие исполнительских искусств</v>
      </c>
      <c r="B1038" s="126">
        <v>808</v>
      </c>
      <c r="C1038" s="8" t="s">
        <v>220</v>
      </c>
      <c r="D1038" s="8" t="s">
        <v>211</v>
      </c>
      <c r="E1038" s="126" t="s">
        <v>499</v>
      </c>
      <c r="F1038" s="126"/>
      <c r="G1038" s="69">
        <f>G1039</f>
        <v>100414.7</v>
      </c>
      <c r="H1038" s="69">
        <f>H1039</f>
        <v>0</v>
      </c>
      <c r="I1038" s="69">
        <f t="shared" si="214"/>
        <v>100414.7</v>
      </c>
      <c r="J1038" s="69">
        <f>J1039</f>
        <v>-512.79999999999995</v>
      </c>
      <c r="K1038" s="84">
        <f t="shared" si="230"/>
        <v>99901.9</v>
      </c>
      <c r="L1038" s="13">
        <f>L1039</f>
        <v>-72.900000000000006</v>
      </c>
      <c r="M1038" s="84">
        <f t="shared" ref="M1038:M1109" si="233">K1038+L1038</f>
        <v>99829</v>
      </c>
      <c r="N1038" s="13">
        <f>N1039</f>
        <v>0</v>
      </c>
      <c r="O1038" s="84">
        <f t="shared" ref="O1038:O1109" si="234">M1038+N1038</f>
        <v>99829</v>
      </c>
      <c r="P1038" s="13">
        <f>P1039</f>
        <v>140.19999999999999</v>
      </c>
      <c r="Q1038" s="84">
        <f t="shared" si="224"/>
        <v>99969.2</v>
      </c>
      <c r="R1038" s="13">
        <f>R1039+R1045</f>
        <v>-4255.5999999999995</v>
      </c>
      <c r="S1038" s="84">
        <f t="shared" si="222"/>
        <v>95713.599999999991</v>
      </c>
      <c r="T1038" s="13">
        <f>T1039+T1045</f>
        <v>-1109.2</v>
      </c>
      <c r="U1038" s="84">
        <f t="shared" si="226"/>
        <v>94604.4</v>
      </c>
    </row>
    <row r="1039" spans="1:21">
      <c r="A1039" s="61" t="str">
        <f ca="1">IF(ISERROR(MATCH(E1039,Код_КЦСР,0)),"",INDIRECT(ADDRESS(MATCH(E1039,Код_КЦСР,0)+1,2,,,"КЦСР")))</f>
        <v>Оказание муниципальных услуг</v>
      </c>
      <c r="B1039" s="126">
        <v>808</v>
      </c>
      <c r="C1039" s="8" t="s">
        <v>220</v>
      </c>
      <c r="D1039" s="8" t="s">
        <v>211</v>
      </c>
      <c r="E1039" s="126" t="s">
        <v>503</v>
      </c>
      <c r="F1039" s="126"/>
      <c r="G1039" s="69">
        <f>G1040</f>
        <v>100414.7</v>
      </c>
      <c r="H1039" s="69">
        <f>H1040</f>
        <v>0</v>
      </c>
      <c r="I1039" s="69">
        <f t="shared" si="214"/>
        <v>100414.7</v>
      </c>
      <c r="J1039" s="69">
        <f>J1040</f>
        <v>-512.79999999999995</v>
      </c>
      <c r="K1039" s="84">
        <f t="shared" si="230"/>
        <v>99901.9</v>
      </c>
      <c r="L1039" s="13">
        <f>L1040</f>
        <v>-72.900000000000006</v>
      </c>
      <c r="M1039" s="84">
        <f t="shared" si="233"/>
        <v>99829</v>
      </c>
      <c r="N1039" s="13">
        <f>N1040</f>
        <v>0</v>
      </c>
      <c r="O1039" s="84">
        <f t="shared" si="234"/>
        <v>99829</v>
      </c>
      <c r="P1039" s="13">
        <f>P1040</f>
        <v>140.19999999999999</v>
      </c>
      <c r="Q1039" s="84">
        <f t="shared" si="224"/>
        <v>99969.2</v>
      </c>
      <c r="R1039" s="13">
        <f>R1040</f>
        <v>-8874.4</v>
      </c>
      <c r="S1039" s="84">
        <f t="shared" si="222"/>
        <v>91094.8</v>
      </c>
      <c r="T1039" s="13">
        <f>T1040</f>
        <v>0</v>
      </c>
      <c r="U1039" s="84">
        <f t="shared" si="226"/>
        <v>91094.8</v>
      </c>
    </row>
    <row r="1040" spans="1:21" ht="33">
      <c r="A1040" s="61" t="str">
        <f ca="1">IF(ISERROR(MATCH(F1040,Код_КВР,0)),"",INDIRECT(ADDRESS(MATCH(F1040,Код_КВР,0)+1,2,,,"КВР")))</f>
        <v>Предоставление субсидий бюджетным, автономным учреждениям и иным некоммерческим организациям</v>
      </c>
      <c r="B1040" s="126">
        <v>808</v>
      </c>
      <c r="C1040" s="8" t="s">
        <v>220</v>
      </c>
      <c r="D1040" s="8" t="s">
        <v>211</v>
      </c>
      <c r="E1040" s="126" t="s">
        <v>503</v>
      </c>
      <c r="F1040" s="126">
        <v>600</v>
      </c>
      <c r="G1040" s="69">
        <f>G1041+G1043</f>
        <v>100414.7</v>
      </c>
      <c r="H1040" s="69">
        <f>H1041+H1043</f>
        <v>0</v>
      </c>
      <c r="I1040" s="69">
        <f t="shared" si="214"/>
        <v>100414.7</v>
      </c>
      <c r="J1040" s="69">
        <f>J1041+J1043</f>
        <v>-512.79999999999995</v>
      </c>
      <c r="K1040" s="84">
        <f t="shared" si="230"/>
        <v>99901.9</v>
      </c>
      <c r="L1040" s="13">
        <f>L1041+L1043</f>
        <v>-72.900000000000006</v>
      </c>
      <c r="M1040" s="84">
        <f t="shared" si="233"/>
        <v>99829</v>
      </c>
      <c r="N1040" s="13">
        <f>N1041+N1043</f>
        <v>0</v>
      </c>
      <c r="O1040" s="84">
        <f t="shared" si="234"/>
        <v>99829</v>
      </c>
      <c r="P1040" s="13">
        <f>P1041+P1043</f>
        <v>140.19999999999999</v>
      </c>
      <c r="Q1040" s="84">
        <f t="shared" si="224"/>
        <v>99969.2</v>
      </c>
      <c r="R1040" s="13">
        <f>R1041+R1043</f>
        <v>-8874.4</v>
      </c>
      <c r="S1040" s="84">
        <f t="shared" si="222"/>
        <v>91094.8</v>
      </c>
      <c r="T1040" s="13">
        <f>T1041+T1043</f>
        <v>0</v>
      </c>
      <c r="U1040" s="84">
        <f t="shared" si="226"/>
        <v>91094.8</v>
      </c>
    </row>
    <row r="1041" spans="1:21">
      <c r="A1041" s="61" t="str">
        <f ca="1">IF(ISERROR(MATCH(F1041,Код_КВР,0)),"",INDIRECT(ADDRESS(MATCH(F1041,Код_КВР,0)+1,2,,,"КВР")))</f>
        <v>Субсидии бюджетным учреждениям</v>
      </c>
      <c r="B1041" s="126">
        <v>808</v>
      </c>
      <c r="C1041" s="8" t="s">
        <v>220</v>
      </c>
      <c r="D1041" s="8" t="s">
        <v>211</v>
      </c>
      <c r="E1041" s="126" t="s">
        <v>503</v>
      </c>
      <c r="F1041" s="126">
        <v>610</v>
      </c>
      <c r="G1041" s="69">
        <f>G1042</f>
        <v>88342.5</v>
      </c>
      <c r="H1041" s="69">
        <f>H1042</f>
        <v>0</v>
      </c>
      <c r="I1041" s="69">
        <f t="shared" si="214"/>
        <v>88342.5</v>
      </c>
      <c r="J1041" s="69">
        <f>J1042</f>
        <v>-512.79999999999995</v>
      </c>
      <c r="K1041" s="84">
        <f t="shared" si="230"/>
        <v>87829.7</v>
      </c>
      <c r="L1041" s="13">
        <f>L1042</f>
        <v>-50.9</v>
      </c>
      <c r="M1041" s="84">
        <f t="shared" si="233"/>
        <v>87778.8</v>
      </c>
      <c r="N1041" s="13">
        <f>N1042</f>
        <v>0</v>
      </c>
      <c r="O1041" s="84">
        <f t="shared" si="234"/>
        <v>87778.8</v>
      </c>
      <c r="P1041" s="13">
        <f>P1042</f>
        <v>140.19999999999999</v>
      </c>
      <c r="Q1041" s="84">
        <f t="shared" si="224"/>
        <v>87919</v>
      </c>
      <c r="R1041" s="13">
        <f>R1042</f>
        <v>-8874.4</v>
      </c>
      <c r="S1041" s="84">
        <f t="shared" si="222"/>
        <v>79044.600000000006</v>
      </c>
      <c r="T1041" s="13">
        <f>T1042</f>
        <v>0</v>
      </c>
      <c r="U1041" s="84">
        <f t="shared" si="226"/>
        <v>79044.600000000006</v>
      </c>
    </row>
    <row r="1042" spans="1:21" ht="49.5">
      <c r="A1042" s="61" t="str">
        <f ca="1">IF(ISERROR(MATCH(F1042,Код_КВР,0)),"",INDIRECT(ADDRESS(MATCH(F1042,Код_КВР,0)+1,2,,,"КВР")))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42" s="126">
        <v>808</v>
      </c>
      <c r="C1042" s="8" t="s">
        <v>220</v>
      </c>
      <c r="D1042" s="8" t="s">
        <v>211</v>
      </c>
      <c r="E1042" s="126" t="s">
        <v>503</v>
      </c>
      <c r="F1042" s="126">
        <v>611</v>
      </c>
      <c r="G1042" s="69">
        <v>88342.5</v>
      </c>
      <c r="H1042" s="69"/>
      <c r="I1042" s="69">
        <f t="shared" ref="I1042:I1119" si="235">G1042+H1042</f>
        <v>88342.5</v>
      </c>
      <c r="J1042" s="69">
        <v>-512.79999999999995</v>
      </c>
      <c r="K1042" s="84">
        <f t="shared" si="230"/>
        <v>87829.7</v>
      </c>
      <c r="L1042" s="13">
        <v>-50.9</v>
      </c>
      <c r="M1042" s="84">
        <f t="shared" si="233"/>
        <v>87778.8</v>
      </c>
      <c r="N1042" s="13"/>
      <c r="O1042" s="84">
        <f t="shared" si="234"/>
        <v>87778.8</v>
      </c>
      <c r="P1042" s="13">
        <v>140.19999999999999</v>
      </c>
      <c r="Q1042" s="84">
        <f t="shared" si="224"/>
        <v>87919</v>
      </c>
      <c r="R1042" s="13">
        <v>-8874.4</v>
      </c>
      <c r="S1042" s="84">
        <f t="shared" si="222"/>
        <v>79044.600000000006</v>
      </c>
      <c r="T1042" s="13"/>
      <c r="U1042" s="84">
        <f t="shared" si="226"/>
        <v>79044.600000000006</v>
      </c>
    </row>
    <row r="1043" spans="1:21">
      <c r="A1043" s="61" t="str">
        <f ca="1">IF(ISERROR(MATCH(F1043,Код_КВР,0)),"",INDIRECT(ADDRESS(MATCH(F1043,Код_КВР,0)+1,2,,,"КВР")))</f>
        <v>Субсидии автономным учреждениям</v>
      </c>
      <c r="B1043" s="126">
        <v>808</v>
      </c>
      <c r="C1043" s="8" t="s">
        <v>220</v>
      </c>
      <c r="D1043" s="8" t="s">
        <v>211</v>
      </c>
      <c r="E1043" s="126" t="s">
        <v>503</v>
      </c>
      <c r="F1043" s="126">
        <v>620</v>
      </c>
      <c r="G1043" s="69">
        <f>G1044</f>
        <v>12072.2</v>
      </c>
      <c r="H1043" s="69">
        <f>H1044</f>
        <v>0</v>
      </c>
      <c r="I1043" s="69">
        <f t="shared" si="235"/>
        <v>12072.2</v>
      </c>
      <c r="J1043" s="69">
        <f>J1044</f>
        <v>0</v>
      </c>
      <c r="K1043" s="84">
        <f t="shared" si="230"/>
        <v>12072.2</v>
      </c>
      <c r="L1043" s="13">
        <f>L1044</f>
        <v>-22</v>
      </c>
      <c r="M1043" s="84">
        <f t="shared" si="233"/>
        <v>12050.2</v>
      </c>
      <c r="N1043" s="13">
        <f>N1044</f>
        <v>0</v>
      </c>
      <c r="O1043" s="84">
        <f t="shared" si="234"/>
        <v>12050.2</v>
      </c>
      <c r="P1043" s="13">
        <f>P1044</f>
        <v>0</v>
      </c>
      <c r="Q1043" s="84">
        <f t="shared" si="224"/>
        <v>12050.2</v>
      </c>
      <c r="R1043" s="13">
        <f>R1044</f>
        <v>0</v>
      </c>
      <c r="S1043" s="84">
        <f t="shared" si="222"/>
        <v>12050.2</v>
      </c>
      <c r="T1043" s="13">
        <f>T1044</f>
        <v>0</v>
      </c>
      <c r="U1043" s="84">
        <f t="shared" si="226"/>
        <v>12050.2</v>
      </c>
    </row>
    <row r="1044" spans="1:21" ht="49.5">
      <c r="A1044" s="61" t="str">
        <f ca="1">IF(ISERROR(MATCH(F1044,Код_КВР,0)),"",INDIRECT(ADDRESS(MATCH(F1044,Код_КВР,0)+1,2,,,"КВР")))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44" s="126">
        <v>808</v>
      </c>
      <c r="C1044" s="8" t="s">
        <v>220</v>
      </c>
      <c r="D1044" s="8" t="s">
        <v>211</v>
      </c>
      <c r="E1044" s="126" t="s">
        <v>503</v>
      </c>
      <c r="F1044" s="126">
        <v>621</v>
      </c>
      <c r="G1044" s="69">
        <v>12072.2</v>
      </c>
      <c r="H1044" s="69"/>
      <c r="I1044" s="69">
        <f t="shared" si="235"/>
        <v>12072.2</v>
      </c>
      <c r="J1044" s="69"/>
      <c r="K1044" s="84">
        <f t="shared" si="230"/>
        <v>12072.2</v>
      </c>
      <c r="L1044" s="13">
        <v>-22</v>
      </c>
      <c r="M1044" s="84">
        <f t="shared" si="233"/>
        <v>12050.2</v>
      </c>
      <c r="N1044" s="13"/>
      <c r="O1044" s="84">
        <f t="shared" si="234"/>
        <v>12050.2</v>
      </c>
      <c r="P1044" s="13"/>
      <c r="Q1044" s="84">
        <f t="shared" si="224"/>
        <v>12050.2</v>
      </c>
      <c r="R1044" s="13"/>
      <c r="S1044" s="84">
        <f t="shared" si="222"/>
        <v>12050.2</v>
      </c>
      <c r="T1044" s="13"/>
      <c r="U1044" s="84">
        <f t="shared" si="226"/>
        <v>12050.2</v>
      </c>
    </row>
    <row r="1045" spans="1:21" ht="52.5" customHeight="1">
      <c r="A1045" s="61" t="str">
        <f ca="1">IF(ISERROR(MATCH(E1045,Код_КЦСР,0)),"",INDIRECT(ADDRESS(MATCH(E1045,Код_КЦСР,0)+1,2,,,"КЦСР")))</f>
        <v>Частичное обеспечение расходов на повышение оплаты труда работников муниципальных учреждений культуры за счет субсидии из областного бюджета</v>
      </c>
      <c r="B1045" s="126">
        <v>808</v>
      </c>
      <c r="C1045" s="8" t="s">
        <v>220</v>
      </c>
      <c r="D1045" s="8" t="s">
        <v>211</v>
      </c>
      <c r="E1045" s="126" t="s">
        <v>668</v>
      </c>
      <c r="F1045" s="126"/>
      <c r="G1045" s="69"/>
      <c r="H1045" s="69"/>
      <c r="I1045" s="69"/>
      <c r="J1045" s="69"/>
      <c r="K1045" s="84"/>
      <c r="L1045" s="13"/>
      <c r="M1045" s="84"/>
      <c r="N1045" s="13"/>
      <c r="O1045" s="84"/>
      <c r="P1045" s="13"/>
      <c r="Q1045" s="84"/>
      <c r="R1045" s="13">
        <f>R1046</f>
        <v>4618.8</v>
      </c>
      <c r="S1045" s="84">
        <f t="shared" si="222"/>
        <v>4618.8</v>
      </c>
      <c r="T1045" s="13">
        <f>T1046</f>
        <v>-1109.2</v>
      </c>
      <c r="U1045" s="84">
        <f t="shared" si="226"/>
        <v>3509.6000000000004</v>
      </c>
    </row>
    <row r="1046" spans="1:21" ht="33">
      <c r="A1046" s="61" t="str">
        <f ca="1">IF(ISERROR(MATCH(F1046,Код_КВР,0)),"",INDIRECT(ADDRESS(MATCH(F1046,Код_КВР,0)+1,2,,,"КВР")))</f>
        <v>Предоставление субсидий бюджетным, автономным учреждениям и иным некоммерческим организациям</v>
      </c>
      <c r="B1046" s="126">
        <v>808</v>
      </c>
      <c r="C1046" s="8" t="s">
        <v>220</v>
      </c>
      <c r="D1046" s="8" t="s">
        <v>211</v>
      </c>
      <c r="E1046" s="126" t="s">
        <v>668</v>
      </c>
      <c r="F1046" s="126">
        <v>600</v>
      </c>
      <c r="G1046" s="69"/>
      <c r="H1046" s="69"/>
      <c r="I1046" s="69"/>
      <c r="J1046" s="69"/>
      <c r="K1046" s="84"/>
      <c r="L1046" s="13"/>
      <c r="M1046" s="84"/>
      <c r="N1046" s="13"/>
      <c r="O1046" s="84"/>
      <c r="P1046" s="13"/>
      <c r="Q1046" s="84"/>
      <c r="R1046" s="13">
        <f>R1047</f>
        <v>4618.8</v>
      </c>
      <c r="S1046" s="84">
        <f t="shared" si="222"/>
        <v>4618.8</v>
      </c>
      <c r="T1046" s="13">
        <f>T1047</f>
        <v>-1109.2</v>
      </c>
      <c r="U1046" s="84">
        <f t="shared" si="226"/>
        <v>3509.6000000000004</v>
      </c>
    </row>
    <row r="1047" spans="1:21">
      <c r="A1047" s="61" t="str">
        <f ca="1">IF(ISERROR(MATCH(F1047,Код_КВР,0)),"",INDIRECT(ADDRESS(MATCH(F1047,Код_КВР,0)+1,2,,,"КВР")))</f>
        <v>Субсидии бюджетным учреждениям</v>
      </c>
      <c r="B1047" s="126">
        <v>808</v>
      </c>
      <c r="C1047" s="8" t="s">
        <v>220</v>
      </c>
      <c r="D1047" s="8" t="s">
        <v>211</v>
      </c>
      <c r="E1047" s="126" t="s">
        <v>668</v>
      </c>
      <c r="F1047" s="126">
        <v>610</v>
      </c>
      <c r="G1047" s="69"/>
      <c r="H1047" s="69"/>
      <c r="I1047" s="69"/>
      <c r="J1047" s="69"/>
      <c r="K1047" s="84"/>
      <c r="L1047" s="13"/>
      <c r="M1047" s="84"/>
      <c r="N1047" s="13"/>
      <c r="O1047" s="84"/>
      <c r="P1047" s="13"/>
      <c r="Q1047" s="84"/>
      <c r="R1047" s="13">
        <f>R1048</f>
        <v>4618.8</v>
      </c>
      <c r="S1047" s="84">
        <f t="shared" si="222"/>
        <v>4618.8</v>
      </c>
      <c r="T1047" s="13">
        <f>T1048</f>
        <v>-1109.2</v>
      </c>
      <c r="U1047" s="84">
        <f t="shared" si="226"/>
        <v>3509.6000000000004</v>
      </c>
    </row>
    <row r="1048" spans="1:21" ht="49.5">
      <c r="A1048" s="61" t="str">
        <f ca="1">IF(ISERROR(MATCH(F1048,Код_КВР,0)),"",INDIRECT(ADDRESS(MATCH(F1048,Код_КВР,0)+1,2,,,"КВР")))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48" s="126">
        <v>808</v>
      </c>
      <c r="C1048" s="8" t="s">
        <v>220</v>
      </c>
      <c r="D1048" s="8" t="s">
        <v>211</v>
      </c>
      <c r="E1048" s="126" t="s">
        <v>668</v>
      </c>
      <c r="F1048" s="126">
        <v>611</v>
      </c>
      <c r="G1048" s="69"/>
      <c r="H1048" s="69"/>
      <c r="I1048" s="69"/>
      <c r="J1048" s="69"/>
      <c r="K1048" s="84"/>
      <c r="L1048" s="13"/>
      <c r="M1048" s="84"/>
      <c r="N1048" s="13"/>
      <c r="O1048" s="84"/>
      <c r="P1048" s="13"/>
      <c r="Q1048" s="84"/>
      <c r="R1048" s="13">
        <v>4618.8</v>
      </c>
      <c r="S1048" s="84">
        <f t="shared" si="222"/>
        <v>4618.8</v>
      </c>
      <c r="T1048" s="13">
        <v>-1109.2</v>
      </c>
      <c r="U1048" s="84">
        <f t="shared" si="226"/>
        <v>3509.6000000000004</v>
      </c>
    </row>
    <row r="1049" spans="1:21">
      <c r="A1049" s="61" t="str">
        <f ca="1">IF(ISERROR(MATCH(E1049,Код_КЦСР,0)),"",INDIRECT(ADDRESS(MATCH(E1049,Код_КЦСР,0)+1,2,,,"КЦСР")))</f>
        <v>Формирование постиндустриального образа города Череповца</v>
      </c>
      <c r="B1049" s="126">
        <v>808</v>
      </c>
      <c r="C1049" s="8" t="s">
        <v>220</v>
      </c>
      <c r="D1049" s="8" t="s">
        <v>211</v>
      </c>
      <c r="E1049" s="126" t="s">
        <v>504</v>
      </c>
      <c r="F1049" s="126"/>
      <c r="G1049" s="69">
        <f t="shared" ref="G1049:T1052" si="236">G1050</f>
        <v>5383.8</v>
      </c>
      <c r="H1049" s="69">
        <f t="shared" si="236"/>
        <v>0</v>
      </c>
      <c r="I1049" s="69">
        <f t="shared" si="235"/>
        <v>5383.8</v>
      </c>
      <c r="J1049" s="69">
        <f t="shared" si="236"/>
        <v>0</v>
      </c>
      <c r="K1049" s="84">
        <f t="shared" si="230"/>
        <v>5383.8</v>
      </c>
      <c r="L1049" s="13">
        <f t="shared" si="236"/>
        <v>0</v>
      </c>
      <c r="M1049" s="84">
        <f t="shared" si="233"/>
        <v>5383.8</v>
      </c>
      <c r="N1049" s="13">
        <f t="shared" si="236"/>
        <v>0</v>
      </c>
      <c r="O1049" s="84">
        <f t="shared" si="234"/>
        <v>5383.8</v>
      </c>
      <c r="P1049" s="13">
        <f t="shared" si="236"/>
        <v>0</v>
      </c>
      <c r="Q1049" s="84">
        <f t="shared" si="224"/>
        <v>5383.8</v>
      </c>
      <c r="R1049" s="13">
        <f t="shared" si="236"/>
        <v>0</v>
      </c>
      <c r="S1049" s="84">
        <f t="shared" si="222"/>
        <v>5383.8</v>
      </c>
      <c r="T1049" s="13">
        <f t="shared" si="236"/>
        <v>0</v>
      </c>
      <c r="U1049" s="84">
        <f t="shared" si="226"/>
        <v>5383.8</v>
      </c>
    </row>
    <row r="1050" spans="1:21">
      <c r="A1050" s="61" t="str">
        <f ca="1">IF(ISERROR(MATCH(E1050,Код_КЦСР,0)),"",INDIRECT(ADDRESS(MATCH(E1050,Код_КЦСР,0)+1,2,,,"КЦСР")))</f>
        <v xml:space="preserve">Организация и проведение городских культурно- массовых мероприятий </v>
      </c>
      <c r="B1050" s="126">
        <v>808</v>
      </c>
      <c r="C1050" s="8" t="s">
        <v>220</v>
      </c>
      <c r="D1050" s="8" t="s">
        <v>211</v>
      </c>
      <c r="E1050" s="126" t="s">
        <v>508</v>
      </c>
      <c r="F1050" s="126"/>
      <c r="G1050" s="69">
        <f t="shared" si="236"/>
        <v>5383.8</v>
      </c>
      <c r="H1050" s="69">
        <f t="shared" si="236"/>
        <v>0</v>
      </c>
      <c r="I1050" s="69">
        <f t="shared" si="235"/>
        <v>5383.8</v>
      </c>
      <c r="J1050" s="69">
        <f t="shared" si="236"/>
        <v>0</v>
      </c>
      <c r="K1050" s="84">
        <f t="shared" si="230"/>
        <v>5383.8</v>
      </c>
      <c r="L1050" s="13">
        <f t="shared" si="236"/>
        <v>0</v>
      </c>
      <c r="M1050" s="84">
        <f t="shared" si="233"/>
        <v>5383.8</v>
      </c>
      <c r="N1050" s="13">
        <f t="shared" si="236"/>
        <v>0</v>
      </c>
      <c r="O1050" s="84">
        <f t="shared" si="234"/>
        <v>5383.8</v>
      </c>
      <c r="P1050" s="13">
        <f t="shared" si="236"/>
        <v>0</v>
      </c>
      <c r="Q1050" s="84">
        <f t="shared" si="224"/>
        <v>5383.8</v>
      </c>
      <c r="R1050" s="13">
        <f t="shared" si="236"/>
        <v>0</v>
      </c>
      <c r="S1050" s="84">
        <f t="shared" si="222"/>
        <v>5383.8</v>
      </c>
      <c r="T1050" s="13">
        <f t="shared" si="236"/>
        <v>0</v>
      </c>
      <c r="U1050" s="84">
        <f t="shared" si="226"/>
        <v>5383.8</v>
      </c>
    </row>
    <row r="1051" spans="1:21" ht="33">
      <c r="A1051" s="61" t="str">
        <f ca="1">IF(ISERROR(MATCH(F1051,Код_КВР,0)),"",INDIRECT(ADDRESS(MATCH(F1051,Код_КВР,0)+1,2,,,"КВР")))</f>
        <v>Предоставление субсидий бюджетным, автономным учреждениям и иным некоммерческим организациям</v>
      </c>
      <c r="B1051" s="126">
        <v>808</v>
      </c>
      <c r="C1051" s="8" t="s">
        <v>220</v>
      </c>
      <c r="D1051" s="8" t="s">
        <v>211</v>
      </c>
      <c r="E1051" s="126" t="s">
        <v>508</v>
      </c>
      <c r="F1051" s="126">
        <v>600</v>
      </c>
      <c r="G1051" s="69">
        <f t="shared" si="236"/>
        <v>5383.8</v>
      </c>
      <c r="H1051" s="69">
        <f t="shared" si="236"/>
        <v>0</v>
      </c>
      <c r="I1051" s="69">
        <f t="shared" si="235"/>
        <v>5383.8</v>
      </c>
      <c r="J1051" s="69">
        <f t="shared" si="236"/>
        <v>0</v>
      </c>
      <c r="K1051" s="84">
        <f t="shared" si="230"/>
        <v>5383.8</v>
      </c>
      <c r="L1051" s="13">
        <f t="shared" si="236"/>
        <v>0</v>
      </c>
      <c r="M1051" s="84">
        <f t="shared" si="233"/>
        <v>5383.8</v>
      </c>
      <c r="N1051" s="13">
        <f t="shared" si="236"/>
        <v>0</v>
      </c>
      <c r="O1051" s="84">
        <f t="shared" si="234"/>
        <v>5383.8</v>
      </c>
      <c r="P1051" s="13">
        <f t="shared" si="236"/>
        <v>0</v>
      </c>
      <c r="Q1051" s="84">
        <f t="shared" si="224"/>
        <v>5383.8</v>
      </c>
      <c r="R1051" s="13">
        <f t="shared" si="236"/>
        <v>0</v>
      </c>
      <c r="S1051" s="84">
        <f t="shared" si="222"/>
        <v>5383.8</v>
      </c>
      <c r="T1051" s="13">
        <f t="shared" si="236"/>
        <v>0</v>
      </c>
      <c r="U1051" s="84">
        <f t="shared" si="226"/>
        <v>5383.8</v>
      </c>
    </row>
    <row r="1052" spans="1:21">
      <c r="A1052" s="61" t="str">
        <f ca="1">IF(ISERROR(MATCH(F1052,Код_КВР,0)),"",INDIRECT(ADDRESS(MATCH(F1052,Код_КВР,0)+1,2,,,"КВР")))</f>
        <v>Субсидии бюджетным учреждениям</v>
      </c>
      <c r="B1052" s="126">
        <v>808</v>
      </c>
      <c r="C1052" s="8" t="s">
        <v>220</v>
      </c>
      <c r="D1052" s="8" t="s">
        <v>211</v>
      </c>
      <c r="E1052" s="126" t="s">
        <v>508</v>
      </c>
      <c r="F1052" s="126">
        <v>610</v>
      </c>
      <c r="G1052" s="69">
        <f t="shared" si="236"/>
        <v>5383.8</v>
      </c>
      <c r="H1052" s="69">
        <f t="shared" si="236"/>
        <v>0</v>
      </c>
      <c r="I1052" s="69">
        <f t="shared" si="235"/>
        <v>5383.8</v>
      </c>
      <c r="J1052" s="69">
        <f t="shared" si="236"/>
        <v>0</v>
      </c>
      <c r="K1052" s="84">
        <f t="shared" si="230"/>
        <v>5383.8</v>
      </c>
      <c r="L1052" s="13">
        <f t="shared" si="236"/>
        <v>0</v>
      </c>
      <c r="M1052" s="84">
        <f t="shared" si="233"/>
        <v>5383.8</v>
      </c>
      <c r="N1052" s="13">
        <f t="shared" si="236"/>
        <v>0</v>
      </c>
      <c r="O1052" s="84">
        <f t="shared" si="234"/>
        <v>5383.8</v>
      </c>
      <c r="P1052" s="13">
        <f t="shared" si="236"/>
        <v>0</v>
      </c>
      <c r="Q1052" s="84">
        <f t="shared" si="224"/>
        <v>5383.8</v>
      </c>
      <c r="R1052" s="13">
        <f t="shared" si="236"/>
        <v>0</v>
      </c>
      <c r="S1052" s="84">
        <f t="shared" si="222"/>
        <v>5383.8</v>
      </c>
      <c r="T1052" s="13">
        <f t="shared" si="236"/>
        <v>0</v>
      </c>
      <c r="U1052" s="84">
        <f t="shared" si="226"/>
        <v>5383.8</v>
      </c>
    </row>
    <row r="1053" spans="1:21" ht="49.5">
      <c r="A1053" s="61" t="str">
        <f ca="1">IF(ISERROR(MATCH(F1053,Код_КВР,0)),"",INDIRECT(ADDRESS(MATCH(F1053,Код_КВР,0)+1,2,,,"КВР")))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53" s="126">
        <v>808</v>
      </c>
      <c r="C1053" s="8" t="s">
        <v>220</v>
      </c>
      <c r="D1053" s="8" t="s">
        <v>211</v>
      </c>
      <c r="E1053" s="126" t="s">
        <v>508</v>
      </c>
      <c r="F1053" s="126">
        <v>611</v>
      </c>
      <c r="G1053" s="69">
        <v>5383.8</v>
      </c>
      <c r="H1053" s="69"/>
      <c r="I1053" s="69">
        <f t="shared" si="235"/>
        <v>5383.8</v>
      </c>
      <c r="J1053" s="69"/>
      <c r="K1053" s="84">
        <f t="shared" si="230"/>
        <v>5383.8</v>
      </c>
      <c r="L1053" s="13"/>
      <c r="M1053" s="84">
        <f t="shared" si="233"/>
        <v>5383.8</v>
      </c>
      <c r="N1053" s="13"/>
      <c r="O1053" s="84">
        <f t="shared" si="234"/>
        <v>5383.8</v>
      </c>
      <c r="P1053" s="13"/>
      <c r="Q1053" s="84">
        <f t="shared" si="224"/>
        <v>5383.8</v>
      </c>
      <c r="R1053" s="13"/>
      <c r="S1053" s="84">
        <f t="shared" si="222"/>
        <v>5383.8</v>
      </c>
      <c r="T1053" s="13"/>
      <c r="U1053" s="84">
        <f t="shared" si="226"/>
        <v>5383.8</v>
      </c>
    </row>
    <row r="1054" spans="1:21">
      <c r="A1054" s="61" t="str">
        <f ca="1">IF(ISERROR(MATCH(E1054,Код_КЦСР,0)),"",INDIRECT(ADDRESS(MATCH(E1054,Код_КЦСР,0)+1,2,,,"КЦСР")))</f>
        <v xml:space="preserve">Индустрия отдыха на территориях парков культуры и отдыха </v>
      </c>
      <c r="B1054" s="126">
        <v>808</v>
      </c>
      <c r="C1054" s="8" t="s">
        <v>220</v>
      </c>
      <c r="D1054" s="8" t="s">
        <v>211</v>
      </c>
      <c r="E1054" s="126" t="s">
        <v>510</v>
      </c>
      <c r="F1054" s="126"/>
      <c r="G1054" s="69">
        <f t="shared" ref="G1054:T1057" si="237">G1055</f>
        <v>4501.2</v>
      </c>
      <c r="H1054" s="69">
        <f t="shared" si="237"/>
        <v>0</v>
      </c>
      <c r="I1054" s="69">
        <f t="shared" si="235"/>
        <v>4501.2</v>
      </c>
      <c r="J1054" s="69">
        <f t="shared" si="237"/>
        <v>0</v>
      </c>
      <c r="K1054" s="84">
        <f t="shared" si="230"/>
        <v>4501.2</v>
      </c>
      <c r="L1054" s="13">
        <f t="shared" si="237"/>
        <v>0</v>
      </c>
      <c r="M1054" s="84">
        <f t="shared" si="233"/>
        <v>4501.2</v>
      </c>
      <c r="N1054" s="13">
        <f t="shared" si="237"/>
        <v>0</v>
      </c>
      <c r="O1054" s="84">
        <f t="shared" si="234"/>
        <v>4501.2</v>
      </c>
      <c r="P1054" s="13">
        <f t="shared" si="237"/>
        <v>0</v>
      </c>
      <c r="Q1054" s="84">
        <f t="shared" si="224"/>
        <v>4501.2</v>
      </c>
      <c r="R1054" s="13">
        <f t="shared" si="237"/>
        <v>0</v>
      </c>
      <c r="S1054" s="84">
        <f t="shared" si="222"/>
        <v>4501.2</v>
      </c>
      <c r="T1054" s="13">
        <f t="shared" si="237"/>
        <v>0</v>
      </c>
      <c r="U1054" s="84">
        <f t="shared" si="226"/>
        <v>4501.2</v>
      </c>
    </row>
    <row r="1055" spans="1:21">
      <c r="A1055" s="61" t="str">
        <f ca="1">IF(ISERROR(MATCH(E1055,Код_КЦСР,0)),"",INDIRECT(ADDRESS(MATCH(E1055,Код_КЦСР,0)+1,2,,,"КЦСР")))</f>
        <v>Работа по организации досуга населения на базе парков культуры и отдыха</v>
      </c>
      <c r="B1055" s="126">
        <v>808</v>
      </c>
      <c r="C1055" s="8" t="s">
        <v>220</v>
      </c>
      <c r="D1055" s="8" t="s">
        <v>211</v>
      </c>
      <c r="E1055" s="126" t="s">
        <v>512</v>
      </c>
      <c r="F1055" s="126"/>
      <c r="G1055" s="69">
        <f t="shared" si="237"/>
        <v>4501.2</v>
      </c>
      <c r="H1055" s="69">
        <f t="shared" si="237"/>
        <v>0</v>
      </c>
      <c r="I1055" s="69">
        <f t="shared" si="235"/>
        <v>4501.2</v>
      </c>
      <c r="J1055" s="69">
        <f t="shared" si="237"/>
        <v>0</v>
      </c>
      <c r="K1055" s="84">
        <f t="shared" si="230"/>
        <v>4501.2</v>
      </c>
      <c r="L1055" s="13">
        <f t="shared" si="237"/>
        <v>0</v>
      </c>
      <c r="M1055" s="84">
        <f t="shared" si="233"/>
        <v>4501.2</v>
      </c>
      <c r="N1055" s="13">
        <f t="shared" si="237"/>
        <v>0</v>
      </c>
      <c r="O1055" s="84">
        <f t="shared" si="234"/>
        <v>4501.2</v>
      </c>
      <c r="P1055" s="13">
        <f t="shared" si="237"/>
        <v>0</v>
      </c>
      <c r="Q1055" s="84">
        <f t="shared" si="224"/>
        <v>4501.2</v>
      </c>
      <c r="R1055" s="13">
        <f t="shared" si="237"/>
        <v>0</v>
      </c>
      <c r="S1055" s="84">
        <f t="shared" si="222"/>
        <v>4501.2</v>
      </c>
      <c r="T1055" s="13">
        <f t="shared" si="237"/>
        <v>0</v>
      </c>
      <c r="U1055" s="84">
        <f t="shared" si="226"/>
        <v>4501.2</v>
      </c>
    </row>
    <row r="1056" spans="1:21" ht="33">
      <c r="A1056" s="61" t="str">
        <f ca="1">IF(ISERROR(MATCH(F1056,Код_КВР,0)),"",INDIRECT(ADDRESS(MATCH(F1056,Код_КВР,0)+1,2,,,"КВР")))</f>
        <v>Предоставление субсидий бюджетным, автономным учреждениям и иным некоммерческим организациям</v>
      </c>
      <c r="B1056" s="126">
        <v>808</v>
      </c>
      <c r="C1056" s="8" t="s">
        <v>220</v>
      </c>
      <c r="D1056" s="8" t="s">
        <v>211</v>
      </c>
      <c r="E1056" s="126" t="s">
        <v>512</v>
      </c>
      <c r="F1056" s="126">
        <v>600</v>
      </c>
      <c r="G1056" s="69">
        <f t="shared" si="237"/>
        <v>4501.2</v>
      </c>
      <c r="H1056" s="69">
        <f t="shared" si="237"/>
        <v>0</v>
      </c>
      <c r="I1056" s="69">
        <f t="shared" si="235"/>
        <v>4501.2</v>
      </c>
      <c r="J1056" s="69">
        <f t="shared" si="237"/>
        <v>0</v>
      </c>
      <c r="K1056" s="84">
        <f t="shared" si="230"/>
        <v>4501.2</v>
      </c>
      <c r="L1056" s="13">
        <f t="shared" si="237"/>
        <v>0</v>
      </c>
      <c r="M1056" s="84">
        <f t="shared" si="233"/>
        <v>4501.2</v>
      </c>
      <c r="N1056" s="13">
        <f t="shared" si="237"/>
        <v>0</v>
      </c>
      <c r="O1056" s="84">
        <f t="shared" si="234"/>
        <v>4501.2</v>
      </c>
      <c r="P1056" s="13">
        <f t="shared" si="237"/>
        <v>0</v>
      </c>
      <c r="Q1056" s="84">
        <f t="shared" si="224"/>
        <v>4501.2</v>
      </c>
      <c r="R1056" s="13">
        <f t="shared" si="237"/>
        <v>0</v>
      </c>
      <c r="S1056" s="84">
        <f t="shared" si="222"/>
        <v>4501.2</v>
      </c>
      <c r="T1056" s="13">
        <f t="shared" si="237"/>
        <v>0</v>
      </c>
      <c r="U1056" s="84">
        <f t="shared" si="226"/>
        <v>4501.2</v>
      </c>
    </row>
    <row r="1057" spans="1:21">
      <c r="A1057" s="61" t="str">
        <f ca="1">IF(ISERROR(MATCH(F1057,Код_КВР,0)),"",INDIRECT(ADDRESS(MATCH(F1057,Код_КВР,0)+1,2,,,"КВР")))</f>
        <v>Субсидии автономным учреждениям</v>
      </c>
      <c r="B1057" s="126">
        <v>808</v>
      </c>
      <c r="C1057" s="8" t="s">
        <v>220</v>
      </c>
      <c r="D1057" s="8" t="s">
        <v>211</v>
      </c>
      <c r="E1057" s="126" t="s">
        <v>512</v>
      </c>
      <c r="F1057" s="126">
        <v>620</v>
      </c>
      <c r="G1057" s="69">
        <f t="shared" si="237"/>
        <v>4501.2</v>
      </c>
      <c r="H1057" s="69">
        <f t="shared" si="237"/>
        <v>0</v>
      </c>
      <c r="I1057" s="69">
        <f t="shared" si="235"/>
        <v>4501.2</v>
      </c>
      <c r="J1057" s="69">
        <f t="shared" si="237"/>
        <v>0</v>
      </c>
      <c r="K1057" s="84">
        <f t="shared" si="230"/>
        <v>4501.2</v>
      </c>
      <c r="L1057" s="13">
        <f t="shared" si="237"/>
        <v>0</v>
      </c>
      <c r="M1057" s="84">
        <f t="shared" si="233"/>
        <v>4501.2</v>
      </c>
      <c r="N1057" s="13">
        <f t="shared" si="237"/>
        <v>0</v>
      </c>
      <c r="O1057" s="84">
        <f t="shared" si="234"/>
        <v>4501.2</v>
      </c>
      <c r="P1057" s="13">
        <f t="shared" si="237"/>
        <v>0</v>
      </c>
      <c r="Q1057" s="84">
        <f t="shared" si="224"/>
        <v>4501.2</v>
      </c>
      <c r="R1057" s="13">
        <f t="shared" si="237"/>
        <v>0</v>
      </c>
      <c r="S1057" s="84">
        <f t="shared" si="222"/>
        <v>4501.2</v>
      </c>
      <c r="T1057" s="13">
        <f t="shared" si="237"/>
        <v>0</v>
      </c>
      <c r="U1057" s="84">
        <f t="shared" si="226"/>
        <v>4501.2</v>
      </c>
    </row>
    <row r="1058" spans="1:21" ht="49.5">
      <c r="A1058" s="61" t="str">
        <f ca="1">IF(ISERROR(MATCH(F1058,Код_КВР,0)),"",INDIRECT(ADDRESS(MATCH(F1058,Код_КВР,0)+1,2,,,"КВР")))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58" s="126">
        <v>808</v>
      </c>
      <c r="C1058" s="8" t="s">
        <v>220</v>
      </c>
      <c r="D1058" s="8" t="s">
        <v>211</v>
      </c>
      <c r="E1058" s="126" t="s">
        <v>512</v>
      </c>
      <c r="F1058" s="126">
        <v>621</v>
      </c>
      <c r="G1058" s="69">
        <v>4501.2</v>
      </c>
      <c r="H1058" s="69"/>
      <c r="I1058" s="69">
        <f t="shared" si="235"/>
        <v>4501.2</v>
      </c>
      <c r="J1058" s="69"/>
      <c r="K1058" s="84">
        <f t="shared" si="230"/>
        <v>4501.2</v>
      </c>
      <c r="L1058" s="13"/>
      <c r="M1058" s="84">
        <f t="shared" si="233"/>
        <v>4501.2</v>
      </c>
      <c r="N1058" s="13"/>
      <c r="O1058" s="84">
        <f t="shared" si="234"/>
        <v>4501.2</v>
      </c>
      <c r="P1058" s="13"/>
      <c r="Q1058" s="84">
        <f t="shared" si="224"/>
        <v>4501.2</v>
      </c>
      <c r="R1058" s="13"/>
      <c r="S1058" s="84">
        <f t="shared" si="222"/>
        <v>4501.2</v>
      </c>
      <c r="T1058" s="13"/>
      <c r="U1058" s="84">
        <f t="shared" si="226"/>
        <v>4501.2</v>
      </c>
    </row>
    <row r="1059" spans="1:21" ht="33">
      <c r="A1059" s="61" t="str">
        <f ca="1">IF(ISERROR(MATCH(E1059,Код_КЦСР,0)),"",INDIRECT(ADDRESS(MATCH(E1059,Код_КЦСР,0)+1,2,,,"КЦСР")))</f>
        <v>Непрограммные направления деятельности органов местного самоуправления</v>
      </c>
      <c r="B1059" s="126">
        <v>808</v>
      </c>
      <c r="C1059" s="8" t="s">
        <v>220</v>
      </c>
      <c r="D1059" s="8" t="s">
        <v>211</v>
      </c>
      <c r="E1059" s="126" t="s">
        <v>295</v>
      </c>
      <c r="F1059" s="126"/>
      <c r="G1059" s="69"/>
      <c r="H1059" s="69"/>
      <c r="I1059" s="69"/>
      <c r="J1059" s="69">
        <f>J1060</f>
        <v>33</v>
      </c>
      <c r="K1059" s="84">
        <f t="shared" si="230"/>
        <v>33</v>
      </c>
      <c r="L1059" s="13">
        <f>L1060</f>
        <v>0</v>
      </c>
      <c r="M1059" s="84">
        <f t="shared" si="233"/>
        <v>33</v>
      </c>
      <c r="N1059" s="13">
        <f>N1060</f>
        <v>0</v>
      </c>
      <c r="O1059" s="84">
        <f t="shared" si="234"/>
        <v>33</v>
      </c>
      <c r="P1059" s="13">
        <f>P1060</f>
        <v>0</v>
      </c>
      <c r="Q1059" s="84">
        <f t="shared" si="224"/>
        <v>33</v>
      </c>
      <c r="R1059" s="13">
        <f>R1060</f>
        <v>0</v>
      </c>
      <c r="S1059" s="84">
        <f t="shared" si="222"/>
        <v>33</v>
      </c>
      <c r="T1059" s="13">
        <f>T1060</f>
        <v>0</v>
      </c>
      <c r="U1059" s="84">
        <f t="shared" si="226"/>
        <v>33</v>
      </c>
    </row>
    <row r="1060" spans="1:21">
      <c r="A1060" s="61" t="str">
        <f ca="1">IF(ISERROR(MATCH(E1060,Код_КЦСР,0)),"",INDIRECT(ADDRESS(MATCH(E1060,Код_КЦСР,0)+1,2,,,"КЦСР")))</f>
        <v>Расходы, не включенные в муниципальные программы города Череповца</v>
      </c>
      <c r="B1060" s="126">
        <v>808</v>
      </c>
      <c r="C1060" s="8" t="s">
        <v>220</v>
      </c>
      <c r="D1060" s="8" t="s">
        <v>211</v>
      </c>
      <c r="E1060" s="126" t="s">
        <v>297</v>
      </c>
      <c r="F1060" s="126"/>
      <c r="G1060" s="69"/>
      <c r="H1060" s="69"/>
      <c r="I1060" s="69"/>
      <c r="J1060" s="69">
        <f>J1061</f>
        <v>33</v>
      </c>
      <c r="K1060" s="84">
        <f t="shared" si="230"/>
        <v>33</v>
      </c>
      <c r="L1060" s="13">
        <f>L1061</f>
        <v>0</v>
      </c>
      <c r="M1060" s="84">
        <f t="shared" si="233"/>
        <v>33</v>
      </c>
      <c r="N1060" s="13">
        <f>N1061</f>
        <v>0</v>
      </c>
      <c r="O1060" s="84">
        <f t="shared" si="234"/>
        <v>33</v>
      </c>
      <c r="P1060" s="13">
        <f>P1061</f>
        <v>0</v>
      </c>
      <c r="Q1060" s="84">
        <f t="shared" si="224"/>
        <v>33</v>
      </c>
      <c r="R1060" s="13">
        <f>R1061</f>
        <v>0</v>
      </c>
      <c r="S1060" s="84">
        <f t="shared" si="222"/>
        <v>33</v>
      </c>
      <c r="T1060" s="13">
        <f>T1061</f>
        <v>0</v>
      </c>
      <c r="U1060" s="84">
        <f t="shared" si="226"/>
        <v>33</v>
      </c>
    </row>
    <row r="1061" spans="1:21">
      <c r="A1061" s="61" t="str">
        <f ca="1">IF(ISERROR(MATCH(E1061,Код_КЦСР,0)),"",INDIRECT(ADDRESS(MATCH(E1061,Код_КЦСР,0)+1,2,,,"КЦСР")))</f>
        <v>Кредиторская задолженность, сложившаяся по итогам 2013 года</v>
      </c>
      <c r="B1061" s="126">
        <v>808</v>
      </c>
      <c r="C1061" s="8" t="s">
        <v>220</v>
      </c>
      <c r="D1061" s="8" t="s">
        <v>211</v>
      </c>
      <c r="E1061" s="126" t="s">
        <v>367</v>
      </c>
      <c r="F1061" s="126"/>
      <c r="G1061" s="69"/>
      <c r="H1061" s="69"/>
      <c r="I1061" s="69"/>
      <c r="J1061" s="69">
        <f>J1062</f>
        <v>33</v>
      </c>
      <c r="K1061" s="84">
        <f t="shared" si="230"/>
        <v>33</v>
      </c>
      <c r="L1061" s="13">
        <f>L1062</f>
        <v>0</v>
      </c>
      <c r="M1061" s="84">
        <f t="shared" si="233"/>
        <v>33</v>
      </c>
      <c r="N1061" s="13">
        <f>N1062</f>
        <v>0</v>
      </c>
      <c r="O1061" s="84">
        <f t="shared" si="234"/>
        <v>33</v>
      </c>
      <c r="P1061" s="13">
        <f>P1062</f>
        <v>0</v>
      </c>
      <c r="Q1061" s="84">
        <f t="shared" si="224"/>
        <v>33</v>
      </c>
      <c r="R1061" s="13">
        <f>R1062</f>
        <v>0</v>
      </c>
      <c r="S1061" s="84">
        <f t="shared" si="222"/>
        <v>33</v>
      </c>
      <c r="T1061" s="13">
        <f>T1062</f>
        <v>0</v>
      </c>
      <c r="U1061" s="84">
        <f t="shared" si="226"/>
        <v>33</v>
      </c>
    </row>
    <row r="1062" spans="1:21" ht="33">
      <c r="A1062" s="61" t="str">
        <f ca="1">IF(ISERROR(MATCH(F1062,Код_КВР,0)),"",INDIRECT(ADDRESS(MATCH(F1062,Код_КВР,0)+1,2,,,"КВР")))</f>
        <v>Предоставление субсидий бюджетным, автономным учреждениям и иным некоммерческим организациям</v>
      </c>
      <c r="B1062" s="126">
        <v>808</v>
      </c>
      <c r="C1062" s="8" t="s">
        <v>220</v>
      </c>
      <c r="D1062" s="8" t="s">
        <v>211</v>
      </c>
      <c r="E1062" s="126" t="s">
        <v>367</v>
      </c>
      <c r="F1062" s="126">
        <v>600</v>
      </c>
      <c r="G1062" s="69"/>
      <c r="H1062" s="69"/>
      <c r="I1062" s="69"/>
      <c r="J1062" s="69">
        <f>J1063</f>
        <v>33</v>
      </c>
      <c r="K1062" s="84">
        <f t="shared" si="230"/>
        <v>33</v>
      </c>
      <c r="L1062" s="13">
        <f>L1063</f>
        <v>0</v>
      </c>
      <c r="M1062" s="84">
        <f t="shared" si="233"/>
        <v>33</v>
      </c>
      <c r="N1062" s="13">
        <f>N1063</f>
        <v>0</v>
      </c>
      <c r="O1062" s="84">
        <f t="shared" si="234"/>
        <v>33</v>
      </c>
      <c r="P1062" s="13">
        <f>P1063</f>
        <v>0</v>
      </c>
      <c r="Q1062" s="84">
        <f t="shared" si="224"/>
        <v>33</v>
      </c>
      <c r="R1062" s="13">
        <f>R1063</f>
        <v>0</v>
      </c>
      <c r="S1062" s="84">
        <f t="shared" si="222"/>
        <v>33</v>
      </c>
      <c r="T1062" s="13">
        <f>T1063</f>
        <v>0</v>
      </c>
      <c r="U1062" s="84">
        <f t="shared" si="226"/>
        <v>33</v>
      </c>
    </row>
    <row r="1063" spans="1:21">
      <c r="A1063" s="61" t="str">
        <f ca="1">IF(ISERROR(MATCH(F1063,Код_КВР,0)),"",INDIRECT(ADDRESS(MATCH(F1063,Код_КВР,0)+1,2,,,"КВР")))</f>
        <v>Субсидии бюджетным учреждениям</v>
      </c>
      <c r="B1063" s="126">
        <v>808</v>
      </c>
      <c r="C1063" s="8" t="s">
        <v>220</v>
      </c>
      <c r="D1063" s="8" t="s">
        <v>211</v>
      </c>
      <c r="E1063" s="126" t="s">
        <v>367</v>
      </c>
      <c r="F1063" s="126">
        <v>610</v>
      </c>
      <c r="G1063" s="69"/>
      <c r="H1063" s="69"/>
      <c r="I1063" s="69"/>
      <c r="J1063" s="69">
        <f>J1064</f>
        <v>33</v>
      </c>
      <c r="K1063" s="84">
        <f t="shared" si="230"/>
        <v>33</v>
      </c>
      <c r="L1063" s="13">
        <f>L1064</f>
        <v>0</v>
      </c>
      <c r="M1063" s="84">
        <f t="shared" si="233"/>
        <v>33</v>
      </c>
      <c r="N1063" s="13">
        <f>N1064</f>
        <v>0</v>
      </c>
      <c r="O1063" s="84">
        <f t="shared" si="234"/>
        <v>33</v>
      </c>
      <c r="P1063" s="13">
        <f>P1064</f>
        <v>0</v>
      </c>
      <c r="Q1063" s="84">
        <f t="shared" si="224"/>
        <v>33</v>
      </c>
      <c r="R1063" s="13">
        <f>R1064</f>
        <v>0</v>
      </c>
      <c r="S1063" s="84">
        <f t="shared" si="222"/>
        <v>33</v>
      </c>
      <c r="T1063" s="13">
        <f>T1064</f>
        <v>0</v>
      </c>
      <c r="U1063" s="84">
        <f t="shared" si="226"/>
        <v>33</v>
      </c>
    </row>
    <row r="1064" spans="1:21">
      <c r="A1064" s="61" t="str">
        <f ca="1">IF(ISERROR(MATCH(F1064,Код_КВР,0)),"",INDIRECT(ADDRESS(MATCH(F1064,Код_КВР,0)+1,2,,,"КВР")))</f>
        <v>Субсидии бюджетным учреждениям на иные цели</v>
      </c>
      <c r="B1064" s="126">
        <v>808</v>
      </c>
      <c r="C1064" s="8" t="s">
        <v>220</v>
      </c>
      <c r="D1064" s="8" t="s">
        <v>211</v>
      </c>
      <c r="E1064" s="126" t="s">
        <v>367</v>
      </c>
      <c r="F1064" s="126">
        <v>612</v>
      </c>
      <c r="G1064" s="69"/>
      <c r="H1064" s="69"/>
      <c r="I1064" s="69"/>
      <c r="J1064" s="69">
        <v>33</v>
      </c>
      <c r="K1064" s="84">
        <f t="shared" si="230"/>
        <v>33</v>
      </c>
      <c r="L1064" s="13"/>
      <c r="M1064" s="84">
        <f t="shared" si="233"/>
        <v>33</v>
      </c>
      <c r="N1064" s="13"/>
      <c r="O1064" s="84">
        <f t="shared" si="234"/>
        <v>33</v>
      </c>
      <c r="P1064" s="13"/>
      <c r="Q1064" s="84">
        <f t="shared" si="224"/>
        <v>33</v>
      </c>
      <c r="R1064" s="13"/>
      <c r="S1064" s="84">
        <f t="shared" si="222"/>
        <v>33</v>
      </c>
      <c r="T1064" s="13"/>
      <c r="U1064" s="84">
        <f t="shared" si="226"/>
        <v>33</v>
      </c>
    </row>
    <row r="1065" spans="1:21">
      <c r="A1065" s="12" t="s">
        <v>161</v>
      </c>
      <c r="B1065" s="126">
        <v>808</v>
      </c>
      <c r="C1065" s="8" t="s">
        <v>220</v>
      </c>
      <c r="D1065" s="8" t="s">
        <v>214</v>
      </c>
      <c r="E1065" s="126"/>
      <c r="F1065" s="126"/>
      <c r="G1065" s="69">
        <f>G1066+G1127+G1132+G1149+G1184</f>
        <v>26727</v>
      </c>
      <c r="H1065" s="69">
        <f>H1066+H1127+H1132+H1149+H1184</f>
        <v>0</v>
      </c>
      <c r="I1065" s="69">
        <f t="shared" si="235"/>
        <v>26727</v>
      </c>
      <c r="J1065" s="69">
        <f>J1066+J1127+J1132+J1149+J1184</f>
        <v>36</v>
      </c>
      <c r="K1065" s="84">
        <f t="shared" si="230"/>
        <v>26763</v>
      </c>
      <c r="L1065" s="13">
        <f>L1066+L1127+L1132+L1149+L1184</f>
        <v>-1.8</v>
      </c>
      <c r="M1065" s="84">
        <f t="shared" si="233"/>
        <v>26761.200000000001</v>
      </c>
      <c r="N1065" s="13">
        <f>N1066+N1127+N1132+N1149+N1184</f>
        <v>0</v>
      </c>
      <c r="O1065" s="84">
        <f t="shared" si="234"/>
        <v>26761.200000000001</v>
      </c>
      <c r="P1065" s="13">
        <f>P1066+P1127+P1132+P1149+P1184</f>
        <v>0</v>
      </c>
      <c r="Q1065" s="84">
        <f t="shared" si="224"/>
        <v>26761.200000000001</v>
      </c>
      <c r="R1065" s="13">
        <f>R1066+R1127+R1132+R1149+R1184</f>
        <v>6009.3</v>
      </c>
      <c r="S1065" s="84">
        <f t="shared" si="222"/>
        <v>32770.5</v>
      </c>
      <c r="T1065" s="13">
        <f>T1066+T1127+T1132+T1149+T1184+T1179</f>
        <v>-66.900000000000034</v>
      </c>
      <c r="U1065" s="84">
        <f t="shared" si="226"/>
        <v>32703.599999999999</v>
      </c>
    </row>
    <row r="1066" spans="1:21" ht="33">
      <c r="A1066" s="61" t="str">
        <f ca="1">IF(ISERROR(MATCH(E1066,Код_КЦСР,0)),"",INDIRECT(ADDRESS(MATCH(E1066,Код_КЦСР,0)+1,2,,,"КЦСР")))</f>
        <v>Муниципальная программа «Культура, традиции и народное творчество в городе Череповце» на 2013-2018 годы</v>
      </c>
      <c r="B1066" s="126">
        <v>808</v>
      </c>
      <c r="C1066" s="8" t="s">
        <v>220</v>
      </c>
      <c r="D1066" s="8" t="s">
        <v>214</v>
      </c>
      <c r="E1066" s="126" t="s">
        <v>460</v>
      </c>
      <c r="F1066" s="126"/>
      <c r="G1066" s="69">
        <f>G1067+G1072+G1085+G1094+G1103+G1114+G1123</f>
        <v>17171.3</v>
      </c>
      <c r="H1066" s="69">
        <f>H1067+H1072+H1085+H1094+H1103+H1114+H1123</f>
        <v>0</v>
      </c>
      <c r="I1066" s="69">
        <f t="shared" si="235"/>
        <v>17171.3</v>
      </c>
      <c r="J1066" s="69">
        <f>J1067+J1072+J1085+J1094+J1103+J1114+J1123</f>
        <v>0</v>
      </c>
      <c r="K1066" s="84">
        <f t="shared" si="230"/>
        <v>17171.3</v>
      </c>
      <c r="L1066" s="13">
        <f>L1067+L1072+L1085+L1094+L1103+L1114+L1123</f>
        <v>-1.8</v>
      </c>
      <c r="M1066" s="84">
        <f t="shared" si="233"/>
        <v>17169.5</v>
      </c>
      <c r="N1066" s="13">
        <f>N1067+N1072+N1085+N1094+N1103+N1114+N1123</f>
        <v>0</v>
      </c>
      <c r="O1066" s="84">
        <f t="shared" si="234"/>
        <v>17169.5</v>
      </c>
      <c r="P1066" s="13">
        <f>P1067+P1072+P1085+P1094+P1103+P1114+P1123</f>
        <v>0</v>
      </c>
      <c r="Q1066" s="84">
        <f t="shared" si="224"/>
        <v>17169.5</v>
      </c>
      <c r="R1066" s="13">
        <f>R1067+R1072+R1085+R1094+R1103+R1114+R1123</f>
        <v>6009.3</v>
      </c>
      <c r="S1066" s="84">
        <f t="shared" si="222"/>
        <v>23178.799999999999</v>
      </c>
      <c r="T1066" s="13">
        <f>T1067+T1072+T1085+T1094+T1103+T1114+T1123</f>
        <v>-141.9</v>
      </c>
      <c r="U1066" s="84">
        <f t="shared" si="226"/>
        <v>23036.899999999998</v>
      </c>
    </row>
    <row r="1067" spans="1:21" ht="33">
      <c r="A1067" s="61" t="str">
        <f ca="1">IF(ISERROR(MATCH(E1067,Код_КЦСР,0)),"",INDIRECT(ADDRESS(MATCH(E1067,Код_КЦСР,0)+1,2,,,"КЦСР")))</f>
        <v>Сохранение, эффективное использование  и популяризация объектов культурного наследия</v>
      </c>
      <c r="B1067" s="126">
        <v>808</v>
      </c>
      <c r="C1067" s="8" t="s">
        <v>220</v>
      </c>
      <c r="D1067" s="8" t="s">
        <v>214</v>
      </c>
      <c r="E1067" s="126" t="s">
        <v>462</v>
      </c>
      <c r="F1067" s="126"/>
      <c r="G1067" s="69">
        <f t="shared" ref="G1067:T1070" si="238">G1068</f>
        <v>100</v>
      </c>
      <c r="H1067" s="69">
        <f t="shared" si="238"/>
        <v>0</v>
      </c>
      <c r="I1067" s="69">
        <f t="shared" si="235"/>
        <v>100</v>
      </c>
      <c r="J1067" s="69">
        <f t="shared" si="238"/>
        <v>0</v>
      </c>
      <c r="K1067" s="84">
        <f t="shared" si="230"/>
        <v>100</v>
      </c>
      <c r="L1067" s="13">
        <f t="shared" si="238"/>
        <v>0</v>
      </c>
      <c r="M1067" s="84">
        <f t="shared" si="233"/>
        <v>100</v>
      </c>
      <c r="N1067" s="13">
        <f t="shared" si="238"/>
        <v>0</v>
      </c>
      <c r="O1067" s="84">
        <f t="shared" si="234"/>
        <v>100</v>
      </c>
      <c r="P1067" s="13">
        <f t="shared" si="238"/>
        <v>0</v>
      </c>
      <c r="Q1067" s="84">
        <f t="shared" si="224"/>
        <v>100</v>
      </c>
      <c r="R1067" s="13">
        <f t="shared" si="238"/>
        <v>0</v>
      </c>
      <c r="S1067" s="84">
        <f t="shared" si="222"/>
        <v>100</v>
      </c>
      <c r="T1067" s="13">
        <f t="shared" si="238"/>
        <v>0</v>
      </c>
      <c r="U1067" s="84">
        <f t="shared" si="226"/>
        <v>100</v>
      </c>
    </row>
    <row r="1068" spans="1:21" ht="70.7" customHeight="1">
      <c r="A1068" s="61" t="str">
        <f ca="1">IF(ISERROR(MATCH(E1068,Код_КЦСР,0)),"",INDIRECT(ADDRESS(MATCH(E1068,Код_КЦСР,0)+1,2,,,"КЦСР")))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1068" s="126">
        <v>808</v>
      </c>
      <c r="C1068" s="8" t="s">
        <v>220</v>
      </c>
      <c r="D1068" s="8" t="s">
        <v>214</v>
      </c>
      <c r="E1068" s="126" t="s">
        <v>466</v>
      </c>
      <c r="F1068" s="126"/>
      <c r="G1068" s="69">
        <f t="shared" si="238"/>
        <v>100</v>
      </c>
      <c r="H1068" s="69">
        <f t="shared" si="238"/>
        <v>0</v>
      </c>
      <c r="I1068" s="69">
        <f t="shared" si="235"/>
        <v>100</v>
      </c>
      <c r="J1068" s="69">
        <f t="shared" si="238"/>
        <v>0</v>
      </c>
      <c r="K1068" s="84">
        <f t="shared" si="230"/>
        <v>100</v>
      </c>
      <c r="L1068" s="13">
        <f t="shared" si="238"/>
        <v>0</v>
      </c>
      <c r="M1068" s="84">
        <f t="shared" si="233"/>
        <v>100</v>
      </c>
      <c r="N1068" s="13">
        <f t="shared" si="238"/>
        <v>0</v>
      </c>
      <c r="O1068" s="84">
        <f t="shared" si="234"/>
        <v>100</v>
      </c>
      <c r="P1068" s="13">
        <f t="shared" si="238"/>
        <v>0</v>
      </c>
      <c r="Q1068" s="84">
        <f t="shared" si="224"/>
        <v>100</v>
      </c>
      <c r="R1068" s="13">
        <f t="shared" si="238"/>
        <v>0</v>
      </c>
      <c r="S1068" s="84">
        <f t="shared" si="222"/>
        <v>100</v>
      </c>
      <c r="T1068" s="13">
        <f t="shared" si="238"/>
        <v>0</v>
      </c>
      <c r="U1068" s="84">
        <f t="shared" si="226"/>
        <v>100</v>
      </c>
    </row>
    <row r="1069" spans="1:21" ht="33">
      <c r="A1069" s="61" t="str">
        <f ca="1">IF(ISERROR(MATCH(F1069,Код_КВР,0)),"",INDIRECT(ADDRESS(MATCH(F1069,Код_КВР,0)+1,2,,,"КВР")))</f>
        <v>Предоставление субсидий бюджетным, автономным учреждениям и иным некоммерческим организациям</v>
      </c>
      <c r="B1069" s="126">
        <v>808</v>
      </c>
      <c r="C1069" s="8" t="s">
        <v>220</v>
      </c>
      <c r="D1069" s="8" t="s">
        <v>214</v>
      </c>
      <c r="E1069" s="126" t="s">
        <v>466</v>
      </c>
      <c r="F1069" s="126">
        <v>600</v>
      </c>
      <c r="G1069" s="69">
        <f t="shared" si="238"/>
        <v>100</v>
      </c>
      <c r="H1069" s="69">
        <f t="shared" si="238"/>
        <v>0</v>
      </c>
      <c r="I1069" s="69">
        <f t="shared" si="235"/>
        <v>100</v>
      </c>
      <c r="J1069" s="69">
        <f t="shared" si="238"/>
        <v>0</v>
      </c>
      <c r="K1069" s="84">
        <f t="shared" si="230"/>
        <v>100</v>
      </c>
      <c r="L1069" s="13">
        <f t="shared" si="238"/>
        <v>0</v>
      </c>
      <c r="M1069" s="84">
        <f t="shared" si="233"/>
        <v>100</v>
      </c>
      <c r="N1069" s="13">
        <f t="shared" si="238"/>
        <v>0</v>
      </c>
      <c r="O1069" s="84">
        <f t="shared" si="234"/>
        <v>100</v>
      </c>
      <c r="P1069" s="13">
        <f t="shared" si="238"/>
        <v>0</v>
      </c>
      <c r="Q1069" s="84">
        <f t="shared" si="224"/>
        <v>100</v>
      </c>
      <c r="R1069" s="13">
        <f t="shared" si="238"/>
        <v>0</v>
      </c>
      <c r="S1069" s="84">
        <f t="shared" si="222"/>
        <v>100</v>
      </c>
      <c r="T1069" s="13">
        <f t="shared" si="238"/>
        <v>0</v>
      </c>
      <c r="U1069" s="84">
        <f t="shared" ref="U1069:U1132" si="239">S1069+T1069</f>
        <v>100</v>
      </c>
    </row>
    <row r="1070" spans="1:21">
      <c r="A1070" s="61" t="str">
        <f ca="1">IF(ISERROR(MATCH(F1070,Код_КВР,0)),"",INDIRECT(ADDRESS(MATCH(F1070,Код_КВР,0)+1,2,,,"КВР")))</f>
        <v>Субсидии бюджетным учреждениям</v>
      </c>
      <c r="B1070" s="126">
        <v>808</v>
      </c>
      <c r="C1070" s="8" t="s">
        <v>220</v>
      </c>
      <c r="D1070" s="8" t="s">
        <v>214</v>
      </c>
      <c r="E1070" s="126" t="s">
        <v>466</v>
      </c>
      <c r="F1070" s="126">
        <v>610</v>
      </c>
      <c r="G1070" s="69">
        <f t="shared" si="238"/>
        <v>100</v>
      </c>
      <c r="H1070" s="69">
        <f t="shared" si="238"/>
        <v>0</v>
      </c>
      <c r="I1070" s="69">
        <f t="shared" si="235"/>
        <v>100</v>
      </c>
      <c r="J1070" s="69">
        <f t="shared" si="238"/>
        <v>0</v>
      </c>
      <c r="K1070" s="84">
        <f t="shared" si="230"/>
        <v>100</v>
      </c>
      <c r="L1070" s="13">
        <f t="shared" si="238"/>
        <v>0</v>
      </c>
      <c r="M1070" s="84">
        <f t="shared" si="233"/>
        <v>100</v>
      </c>
      <c r="N1070" s="13">
        <f t="shared" si="238"/>
        <v>0</v>
      </c>
      <c r="O1070" s="84">
        <f t="shared" si="234"/>
        <v>100</v>
      </c>
      <c r="P1070" s="13">
        <f t="shared" si="238"/>
        <v>0</v>
      </c>
      <c r="Q1070" s="84">
        <f t="shared" si="224"/>
        <v>100</v>
      </c>
      <c r="R1070" s="13">
        <f t="shared" si="238"/>
        <v>0</v>
      </c>
      <c r="S1070" s="84">
        <f t="shared" si="222"/>
        <v>100</v>
      </c>
      <c r="T1070" s="13">
        <f t="shared" si="238"/>
        <v>0</v>
      </c>
      <c r="U1070" s="84">
        <f t="shared" si="239"/>
        <v>100</v>
      </c>
    </row>
    <row r="1071" spans="1:21">
      <c r="A1071" s="61" t="str">
        <f ca="1">IF(ISERROR(MATCH(F1071,Код_КВР,0)),"",INDIRECT(ADDRESS(MATCH(F1071,Код_КВР,0)+1,2,,,"КВР")))</f>
        <v>Субсидии бюджетным учреждениям на иные цели</v>
      </c>
      <c r="B1071" s="126">
        <v>808</v>
      </c>
      <c r="C1071" s="8" t="s">
        <v>220</v>
      </c>
      <c r="D1071" s="8" t="s">
        <v>214</v>
      </c>
      <c r="E1071" s="126" t="s">
        <v>466</v>
      </c>
      <c r="F1071" s="126">
        <v>612</v>
      </c>
      <c r="G1071" s="69">
        <v>100</v>
      </c>
      <c r="H1071" s="69"/>
      <c r="I1071" s="69">
        <f t="shared" si="235"/>
        <v>100</v>
      </c>
      <c r="J1071" s="69"/>
      <c r="K1071" s="84">
        <f t="shared" si="230"/>
        <v>100</v>
      </c>
      <c r="L1071" s="13"/>
      <c r="M1071" s="84">
        <f t="shared" si="233"/>
        <v>100</v>
      </c>
      <c r="N1071" s="13"/>
      <c r="O1071" s="84">
        <f t="shared" si="234"/>
        <v>100</v>
      </c>
      <c r="P1071" s="13"/>
      <c r="Q1071" s="84">
        <f t="shared" si="224"/>
        <v>100</v>
      </c>
      <c r="R1071" s="13"/>
      <c r="S1071" s="84">
        <f t="shared" si="222"/>
        <v>100</v>
      </c>
      <c r="T1071" s="13"/>
      <c r="U1071" s="84">
        <f t="shared" si="239"/>
        <v>100</v>
      </c>
    </row>
    <row r="1072" spans="1:21">
      <c r="A1072" s="61" t="str">
        <f ca="1">IF(ISERROR(MATCH(E1072,Код_КЦСР,0)),"",INDIRECT(ADDRESS(MATCH(E1072,Код_КЦСР,0)+1,2,,,"КЦСР")))</f>
        <v>Развитие музейного дела</v>
      </c>
      <c r="B1072" s="126">
        <v>808</v>
      </c>
      <c r="C1072" s="8" t="s">
        <v>220</v>
      </c>
      <c r="D1072" s="8" t="s">
        <v>214</v>
      </c>
      <c r="E1072" s="126" t="s">
        <v>467</v>
      </c>
      <c r="F1072" s="126"/>
      <c r="G1072" s="69">
        <f>G1073+G1077</f>
        <v>682</v>
      </c>
      <c r="H1072" s="69">
        <f>H1073+H1077</f>
        <v>0</v>
      </c>
      <c r="I1072" s="69">
        <f t="shared" si="235"/>
        <v>682</v>
      </c>
      <c r="J1072" s="69">
        <f>J1073+J1077</f>
        <v>0</v>
      </c>
      <c r="K1072" s="84">
        <f t="shared" si="230"/>
        <v>682</v>
      </c>
      <c r="L1072" s="13">
        <f>L1073+L1077</f>
        <v>0</v>
      </c>
      <c r="M1072" s="84">
        <f t="shared" si="233"/>
        <v>682</v>
      </c>
      <c r="N1072" s="13">
        <f>N1073+N1077</f>
        <v>0</v>
      </c>
      <c r="O1072" s="84">
        <f t="shared" si="234"/>
        <v>682</v>
      </c>
      <c r="P1072" s="13">
        <f>P1073+P1077</f>
        <v>0</v>
      </c>
      <c r="Q1072" s="84">
        <f t="shared" si="224"/>
        <v>682</v>
      </c>
      <c r="R1072" s="13">
        <f>R1073+R1077+R1081</f>
        <v>6009.3</v>
      </c>
      <c r="S1072" s="84">
        <f t="shared" si="222"/>
        <v>6691.3</v>
      </c>
      <c r="T1072" s="13">
        <f>T1073+T1077+T1081</f>
        <v>0</v>
      </c>
      <c r="U1072" s="84">
        <f t="shared" si="239"/>
        <v>6691.3</v>
      </c>
    </row>
    <row r="1073" spans="1:21" ht="66">
      <c r="A1073" s="61" t="str">
        <f ca="1">IF(ISERROR(MATCH(E1073,Код_КЦСР,0)),"",INDIRECT(ADDRESS(MATCH(E1073,Код_КЦСР,0)+1,2,,,"КЦСР")))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1073" s="126">
        <v>808</v>
      </c>
      <c r="C1073" s="8" t="s">
        <v>220</v>
      </c>
      <c r="D1073" s="8" t="s">
        <v>214</v>
      </c>
      <c r="E1073" s="126" t="s">
        <v>468</v>
      </c>
      <c r="F1073" s="126"/>
      <c r="G1073" s="69">
        <f t="shared" ref="G1073:T1075" si="240">G1074</f>
        <v>270</v>
      </c>
      <c r="H1073" s="69">
        <f t="shared" si="240"/>
        <v>0</v>
      </c>
      <c r="I1073" s="69">
        <f t="shared" si="235"/>
        <v>270</v>
      </c>
      <c r="J1073" s="69">
        <f t="shared" si="240"/>
        <v>0</v>
      </c>
      <c r="K1073" s="84">
        <f t="shared" si="230"/>
        <v>270</v>
      </c>
      <c r="L1073" s="13">
        <f t="shared" si="240"/>
        <v>0</v>
      </c>
      <c r="M1073" s="84">
        <f t="shared" si="233"/>
        <v>270</v>
      </c>
      <c r="N1073" s="13">
        <f t="shared" si="240"/>
        <v>0</v>
      </c>
      <c r="O1073" s="84">
        <f t="shared" si="234"/>
        <v>270</v>
      </c>
      <c r="P1073" s="13">
        <f t="shared" si="240"/>
        <v>0</v>
      </c>
      <c r="Q1073" s="84">
        <f t="shared" si="224"/>
        <v>270</v>
      </c>
      <c r="R1073" s="13">
        <f t="shared" si="240"/>
        <v>0</v>
      </c>
      <c r="S1073" s="84">
        <f t="shared" si="222"/>
        <v>270</v>
      </c>
      <c r="T1073" s="13">
        <f t="shared" si="240"/>
        <v>0</v>
      </c>
      <c r="U1073" s="84">
        <f t="shared" si="239"/>
        <v>270</v>
      </c>
    </row>
    <row r="1074" spans="1:21" ht="33">
      <c r="A1074" s="61" t="str">
        <f ca="1">IF(ISERROR(MATCH(F1074,Код_КВР,0)),"",INDIRECT(ADDRESS(MATCH(F1074,Код_КВР,0)+1,2,,,"КВР")))</f>
        <v>Предоставление субсидий бюджетным, автономным учреждениям и иным некоммерческим организациям</v>
      </c>
      <c r="B1074" s="126">
        <v>808</v>
      </c>
      <c r="C1074" s="8" t="s">
        <v>220</v>
      </c>
      <c r="D1074" s="8" t="s">
        <v>214</v>
      </c>
      <c r="E1074" s="126" t="s">
        <v>468</v>
      </c>
      <c r="F1074" s="126">
        <v>600</v>
      </c>
      <c r="G1074" s="69">
        <f t="shared" si="240"/>
        <v>270</v>
      </c>
      <c r="H1074" s="69">
        <f t="shared" si="240"/>
        <v>0</v>
      </c>
      <c r="I1074" s="69">
        <f t="shared" si="235"/>
        <v>270</v>
      </c>
      <c r="J1074" s="69">
        <f t="shared" si="240"/>
        <v>0</v>
      </c>
      <c r="K1074" s="84">
        <f t="shared" si="230"/>
        <v>270</v>
      </c>
      <c r="L1074" s="13">
        <f t="shared" si="240"/>
        <v>0</v>
      </c>
      <c r="M1074" s="84">
        <f t="shared" si="233"/>
        <v>270</v>
      </c>
      <c r="N1074" s="13">
        <f t="shared" si="240"/>
        <v>0</v>
      </c>
      <c r="O1074" s="84">
        <f t="shared" si="234"/>
        <v>270</v>
      </c>
      <c r="P1074" s="13">
        <f t="shared" si="240"/>
        <v>0</v>
      </c>
      <c r="Q1074" s="84">
        <f t="shared" si="224"/>
        <v>270</v>
      </c>
      <c r="R1074" s="13">
        <f t="shared" si="240"/>
        <v>0</v>
      </c>
      <c r="S1074" s="84">
        <f t="shared" ref="S1074:S1141" si="241">Q1074+R1074</f>
        <v>270</v>
      </c>
      <c r="T1074" s="13">
        <f t="shared" si="240"/>
        <v>0</v>
      </c>
      <c r="U1074" s="84">
        <f t="shared" si="239"/>
        <v>270</v>
      </c>
    </row>
    <row r="1075" spans="1:21">
      <c r="A1075" s="61" t="str">
        <f ca="1">IF(ISERROR(MATCH(F1075,Код_КВР,0)),"",INDIRECT(ADDRESS(MATCH(F1075,Код_КВР,0)+1,2,,,"КВР")))</f>
        <v>Субсидии бюджетным учреждениям</v>
      </c>
      <c r="B1075" s="126">
        <v>808</v>
      </c>
      <c r="C1075" s="8" t="s">
        <v>220</v>
      </c>
      <c r="D1075" s="8" t="s">
        <v>214</v>
      </c>
      <c r="E1075" s="126" t="s">
        <v>468</v>
      </c>
      <c r="F1075" s="126">
        <v>610</v>
      </c>
      <c r="G1075" s="69">
        <f t="shared" si="240"/>
        <v>270</v>
      </c>
      <c r="H1075" s="69">
        <f t="shared" si="240"/>
        <v>0</v>
      </c>
      <c r="I1075" s="69">
        <f t="shared" si="235"/>
        <v>270</v>
      </c>
      <c r="J1075" s="69">
        <f t="shared" si="240"/>
        <v>0</v>
      </c>
      <c r="K1075" s="84">
        <f t="shared" si="230"/>
        <v>270</v>
      </c>
      <c r="L1075" s="13">
        <f t="shared" si="240"/>
        <v>0</v>
      </c>
      <c r="M1075" s="84">
        <f t="shared" si="233"/>
        <v>270</v>
      </c>
      <c r="N1075" s="13">
        <f t="shared" si="240"/>
        <v>0</v>
      </c>
      <c r="O1075" s="84">
        <f t="shared" si="234"/>
        <v>270</v>
      </c>
      <c r="P1075" s="13">
        <f t="shared" si="240"/>
        <v>0</v>
      </c>
      <c r="Q1075" s="84">
        <f t="shared" si="224"/>
        <v>270</v>
      </c>
      <c r="R1075" s="13">
        <f t="shared" si="240"/>
        <v>0</v>
      </c>
      <c r="S1075" s="84">
        <f t="shared" si="241"/>
        <v>270</v>
      </c>
      <c r="T1075" s="13">
        <f t="shared" si="240"/>
        <v>0</v>
      </c>
      <c r="U1075" s="84">
        <f t="shared" si="239"/>
        <v>270</v>
      </c>
    </row>
    <row r="1076" spans="1:21">
      <c r="A1076" s="61" t="str">
        <f ca="1">IF(ISERROR(MATCH(F1076,Код_КВР,0)),"",INDIRECT(ADDRESS(MATCH(F1076,Код_КВР,0)+1,2,,,"КВР")))</f>
        <v>Субсидии бюджетным учреждениям на иные цели</v>
      </c>
      <c r="B1076" s="126">
        <v>808</v>
      </c>
      <c r="C1076" s="8" t="s">
        <v>220</v>
      </c>
      <c r="D1076" s="8" t="s">
        <v>214</v>
      </c>
      <c r="E1076" s="126" t="s">
        <v>468</v>
      </c>
      <c r="F1076" s="126">
        <v>612</v>
      </c>
      <c r="G1076" s="69">
        <v>270</v>
      </c>
      <c r="H1076" s="69"/>
      <c r="I1076" s="69">
        <f t="shared" si="235"/>
        <v>270</v>
      </c>
      <c r="J1076" s="69"/>
      <c r="K1076" s="84">
        <f t="shared" si="230"/>
        <v>270</v>
      </c>
      <c r="L1076" s="13"/>
      <c r="M1076" s="84">
        <f t="shared" si="233"/>
        <v>270</v>
      </c>
      <c r="N1076" s="13"/>
      <c r="O1076" s="84">
        <f t="shared" si="234"/>
        <v>270</v>
      </c>
      <c r="P1076" s="13"/>
      <c r="Q1076" s="84">
        <f t="shared" si="224"/>
        <v>270</v>
      </c>
      <c r="R1076" s="13"/>
      <c r="S1076" s="84">
        <f t="shared" si="241"/>
        <v>270</v>
      </c>
      <c r="T1076" s="13"/>
      <c r="U1076" s="84">
        <f t="shared" si="239"/>
        <v>270</v>
      </c>
    </row>
    <row r="1077" spans="1:21" ht="49.5">
      <c r="A1077" s="61" t="str">
        <f ca="1">IF(ISERROR(MATCH(E1077,Код_КЦСР,0)),"",INDIRECT(ADDRESS(MATCH(E1077,Код_КЦСР,0)+1,2,,,"КЦСР")))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1077" s="126">
        <v>808</v>
      </c>
      <c r="C1077" s="8" t="s">
        <v>220</v>
      </c>
      <c r="D1077" s="8" t="s">
        <v>214</v>
      </c>
      <c r="E1077" s="126" t="s">
        <v>470</v>
      </c>
      <c r="F1077" s="126"/>
      <c r="G1077" s="69">
        <f t="shared" ref="G1077:T1079" si="242">G1078</f>
        <v>412</v>
      </c>
      <c r="H1077" s="69">
        <f t="shared" si="242"/>
        <v>0</v>
      </c>
      <c r="I1077" s="69">
        <f t="shared" si="235"/>
        <v>412</v>
      </c>
      <c r="J1077" s="69">
        <f t="shared" si="242"/>
        <v>0</v>
      </c>
      <c r="K1077" s="84">
        <f t="shared" si="230"/>
        <v>412</v>
      </c>
      <c r="L1077" s="13">
        <f t="shared" si="242"/>
        <v>0</v>
      </c>
      <c r="M1077" s="84">
        <f t="shared" si="233"/>
        <v>412</v>
      </c>
      <c r="N1077" s="13">
        <f t="shared" si="242"/>
        <v>0</v>
      </c>
      <c r="O1077" s="84">
        <f t="shared" si="234"/>
        <v>412</v>
      </c>
      <c r="P1077" s="13">
        <f t="shared" si="242"/>
        <v>0</v>
      </c>
      <c r="Q1077" s="84">
        <f t="shared" si="224"/>
        <v>412</v>
      </c>
      <c r="R1077" s="13">
        <f t="shared" si="242"/>
        <v>0</v>
      </c>
      <c r="S1077" s="84">
        <f t="shared" si="241"/>
        <v>412</v>
      </c>
      <c r="T1077" s="13">
        <f t="shared" si="242"/>
        <v>0</v>
      </c>
      <c r="U1077" s="84">
        <f t="shared" si="239"/>
        <v>412</v>
      </c>
    </row>
    <row r="1078" spans="1:21" ht="33">
      <c r="A1078" s="61" t="str">
        <f ca="1">IF(ISERROR(MATCH(F1078,Код_КВР,0)),"",INDIRECT(ADDRESS(MATCH(F1078,Код_КВР,0)+1,2,,,"КВР")))</f>
        <v>Предоставление субсидий бюджетным, автономным учреждениям и иным некоммерческим организациям</v>
      </c>
      <c r="B1078" s="126">
        <v>808</v>
      </c>
      <c r="C1078" s="8" t="s">
        <v>220</v>
      </c>
      <c r="D1078" s="8" t="s">
        <v>214</v>
      </c>
      <c r="E1078" s="126" t="s">
        <v>470</v>
      </c>
      <c r="F1078" s="126">
        <v>600</v>
      </c>
      <c r="G1078" s="69">
        <f t="shared" si="242"/>
        <v>412</v>
      </c>
      <c r="H1078" s="69">
        <f t="shared" si="242"/>
        <v>0</v>
      </c>
      <c r="I1078" s="69">
        <f t="shared" si="235"/>
        <v>412</v>
      </c>
      <c r="J1078" s="69">
        <f t="shared" si="242"/>
        <v>0</v>
      </c>
      <c r="K1078" s="84">
        <f t="shared" si="230"/>
        <v>412</v>
      </c>
      <c r="L1078" s="13">
        <f t="shared" si="242"/>
        <v>0</v>
      </c>
      <c r="M1078" s="84">
        <f t="shared" si="233"/>
        <v>412</v>
      </c>
      <c r="N1078" s="13">
        <f t="shared" si="242"/>
        <v>0</v>
      </c>
      <c r="O1078" s="84">
        <f t="shared" si="234"/>
        <v>412</v>
      </c>
      <c r="P1078" s="13">
        <f t="shared" si="242"/>
        <v>0</v>
      </c>
      <c r="Q1078" s="84">
        <f t="shared" si="224"/>
        <v>412</v>
      </c>
      <c r="R1078" s="13">
        <f t="shared" si="242"/>
        <v>0</v>
      </c>
      <c r="S1078" s="84">
        <f t="shared" si="241"/>
        <v>412</v>
      </c>
      <c r="T1078" s="13">
        <f t="shared" si="242"/>
        <v>0</v>
      </c>
      <c r="U1078" s="84">
        <f t="shared" si="239"/>
        <v>412</v>
      </c>
    </row>
    <row r="1079" spans="1:21">
      <c r="A1079" s="61" t="str">
        <f ca="1">IF(ISERROR(MATCH(F1079,Код_КВР,0)),"",INDIRECT(ADDRESS(MATCH(F1079,Код_КВР,0)+1,2,,,"КВР")))</f>
        <v>Субсидии бюджетным учреждениям</v>
      </c>
      <c r="B1079" s="126">
        <v>808</v>
      </c>
      <c r="C1079" s="8" t="s">
        <v>220</v>
      </c>
      <c r="D1079" s="8" t="s">
        <v>214</v>
      </c>
      <c r="E1079" s="126" t="s">
        <v>470</v>
      </c>
      <c r="F1079" s="126">
        <v>610</v>
      </c>
      <c r="G1079" s="69">
        <f t="shared" si="242"/>
        <v>412</v>
      </c>
      <c r="H1079" s="69">
        <f t="shared" si="242"/>
        <v>0</v>
      </c>
      <c r="I1079" s="69">
        <f t="shared" si="235"/>
        <v>412</v>
      </c>
      <c r="J1079" s="69">
        <f t="shared" si="242"/>
        <v>0</v>
      </c>
      <c r="K1079" s="84">
        <f t="shared" si="230"/>
        <v>412</v>
      </c>
      <c r="L1079" s="13">
        <f t="shared" si="242"/>
        <v>0</v>
      </c>
      <c r="M1079" s="84">
        <f t="shared" si="233"/>
        <v>412</v>
      </c>
      <c r="N1079" s="13">
        <f t="shared" si="242"/>
        <v>0</v>
      </c>
      <c r="O1079" s="84">
        <f t="shared" si="234"/>
        <v>412</v>
      </c>
      <c r="P1079" s="13">
        <f t="shared" si="242"/>
        <v>0</v>
      </c>
      <c r="Q1079" s="84">
        <f t="shared" si="224"/>
        <v>412</v>
      </c>
      <c r="R1079" s="13">
        <f t="shared" si="242"/>
        <v>0</v>
      </c>
      <c r="S1079" s="84">
        <f t="shared" si="241"/>
        <v>412</v>
      </c>
      <c r="T1079" s="13">
        <f t="shared" si="242"/>
        <v>0</v>
      </c>
      <c r="U1079" s="84">
        <f t="shared" si="239"/>
        <v>412</v>
      </c>
    </row>
    <row r="1080" spans="1:21">
      <c r="A1080" s="61" t="str">
        <f ca="1">IF(ISERROR(MATCH(F1080,Код_КВР,0)),"",INDIRECT(ADDRESS(MATCH(F1080,Код_КВР,0)+1,2,,,"КВР")))</f>
        <v>Субсидии бюджетным учреждениям на иные цели</v>
      </c>
      <c r="B1080" s="126">
        <v>808</v>
      </c>
      <c r="C1080" s="8" t="s">
        <v>220</v>
      </c>
      <c r="D1080" s="8" t="s">
        <v>214</v>
      </c>
      <c r="E1080" s="126" t="s">
        <v>470</v>
      </c>
      <c r="F1080" s="126">
        <v>612</v>
      </c>
      <c r="G1080" s="69">
        <v>412</v>
      </c>
      <c r="H1080" s="69"/>
      <c r="I1080" s="69">
        <f t="shared" si="235"/>
        <v>412</v>
      </c>
      <c r="J1080" s="69"/>
      <c r="K1080" s="84">
        <f t="shared" si="230"/>
        <v>412</v>
      </c>
      <c r="L1080" s="13"/>
      <c r="M1080" s="84">
        <f t="shared" si="233"/>
        <v>412</v>
      </c>
      <c r="N1080" s="13"/>
      <c r="O1080" s="84">
        <f t="shared" si="234"/>
        <v>412</v>
      </c>
      <c r="P1080" s="13"/>
      <c r="Q1080" s="84">
        <f t="shared" ref="Q1080:Q1147" si="243">O1080+P1080</f>
        <v>412</v>
      </c>
      <c r="R1080" s="13"/>
      <c r="S1080" s="84">
        <f t="shared" si="241"/>
        <v>412</v>
      </c>
      <c r="T1080" s="13"/>
      <c r="U1080" s="84">
        <f t="shared" si="239"/>
        <v>412</v>
      </c>
    </row>
    <row r="1081" spans="1:21" ht="35.25" customHeight="1">
      <c r="A1081" s="61" t="str">
        <f ca="1">IF(ISERROR(MATCH(E1081,Код_КЦСР,0)),"",INDIRECT(ADDRESS(MATCH(E1081,Код_КЦСР,0)+1,2,,,"КЦСР")))</f>
        <v>Субсидии на иные цели МБУК «Череповецкое музейное объединение» для погашения кредиторской задолженности</v>
      </c>
      <c r="B1081" s="126">
        <v>808</v>
      </c>
      <c r="C1081" s="8" t="s">
        <v>220</v>
      </c>
      <c r="D1081" s="8" t="s">
        <v>214</v>
      </c>
      <c r="E1081" s="126" t="s">
        <v>671</v>
      </c>
      <c r="F1081" s="126"/>
      <c r="G1081" s="69"/>
      <c r="H1081" s="69"/>
      <c r="I1081" s="69"/>
      <c r="J1081" s="69"/>
      <c r="K1081" s="84"/>
      <c r="L1081" s="13"/>
      <c r="M1081" s="84"/>
      <c r="N1081" s="13"/>
      <c r="O1081" s="84"/>
      <c r="P1081" s="13"/>
      <c r="Q1081" s="84"/>
      <c r="R1081" s="13">
        <f>R1082</f>
        <v>6009.3</v>
      </c>
      <c r="S1081" s="84">
        <f t="shared" si="241"/>
        <v>6009.3</v>
      </c>
      <c r="T1081" s="13">
        <f>T1082</f>
        <v>0</v>
      </c>
      <c r="U1081" s="84">
        <f t="shared" si="239"/>
        <v>6009.3</v>
      </c>
    </row>
    <row r="1082" spans="1:21" ht="33">
      <c r="A1082" s="61" t="str">
        <f ca="1">IF(ISERROR(MATCH(F1082,Код_КВР,0)),"",INDIRECT(ADDRESS(MATCH(F1082,Код_КВР,0)+1,2,,,"КВР")))</f>
        <v>Предоставление субсидий бюджетным, автономным учреждениям и иным некоммерческим организациям</v>
      </c>
      <c r="B1082" s="126">
        <v>808</v>
      </c>
      <c r="C1082" s="8" t="s">
        <v>220</v>
      </c>
      <c r="D1082" s="8" t="s">
        <v>214</v>
      </c>
      <c r="E1082" s="126" t="s">
        <v>671</v>
      </c>
      <c r="F1082" s="126">
        <v>600</v>
      </c>
      <c r="G1082" s="69"/>
      <c r="H1082" s="69"/>
      <c r="I1082" s="69"/>
      <c r="J1082" s="69"/>
      <c r="K1082" s="84"/>
      <c r="L1082" s="13"/>
      <c r="M1082" s="84"/>
      <c r="N1082" s="13"/>
      <c r="O1082" s="84"/>
      <c r="P1082" s="13"/>
      <c r="Q1082" s="84"/>
      <c r="R1082" s="13">
        <f>R1083</f>
        <v>6009.3</v>
      </c>
      <c r="S1082" s="84">
        <f t="shared" si="241"/>
        <v>6009.3</v>
      </c>
      <c r="T1082" s="13">
        <f>T1083</f>
        <v>0</v>
      </c>
      <c r="U1082" s="84">
        <f t="shared" si="239"/>
        <v>6009.3</v>
      </c>
    </row>
    <row r="1083" spans="1:21">
      <c r="A1083" s="61" t="str">
        <f ca="1">IF(ISERROR(MATCH(F1083,Код_КВР,0)),"",INDIRECT(ADDRESS(MATCH(F1083,Код_КВР,0)+1,2,,,"КВР")))</f>
        <v>Субсидии бюджетным учреждениям</v>
      </c>
      <c r="B1083" s="126">
        <v>808</v>
      </c>
      <c r="C1083" s="8" t="s">
        <v>220</v>
      </c>
      <c r="D1083" s="8" t="s">
        <v>214</v>
      </c>
      <c r="E1083" s="126" t="s">
        <v>671</v>
      </c>
      <c r="F1083" s="126">
        <v>610</v>
      </c>
      <c r="G1083" s="69"/>
      <c r="H1083" s="69"/>
      <c r="I1083" s="69"/>
      <c r="J1083" s="69"/>
      <c r="K1083" s="84"/>
      <c r="L1083" s="13"/>
      <c r="M1083" s="84"/>
      <c r="N1083" s="13"/>
      <c r="O1083" s="84"/>
      <c r="P1083" s="13"/>
      <c r="Q1083" s="84"/>
      <c r="R1083" s="13">
        <f>R1084</f>
        <v>6009.3</v>
      </c>
      <c r="S1083" s="84">
        <f t="shared" si="241"/>
        <v>6009.3</v>
      </c>
      <c r="T1083" s="13">
        <f>T1084</f>
        <v>0</v>
      </c>
      <c r="U1083" s="84">
        <f t="shared" si="239"/>
        <v>6009.3</v>
      </c>
    </row>
    <row r="1084" spans="1:21" ht="20.25" customHeight="1">
      <c r="A1084" s="61" t="str">
        <f ca="1">IF(ISERROR(MATCH(F1084,Код_КВР,0)),"",INDIRECT(ADDRESS(MATCH(F1084,Код_КВР,0)+1,2,,,"КВР")))</f>
        <v>Субсидии бюджетным учреждениям на иные цели</v>
      </c>
      <c r="B1084" s="126">
        <v>808</v>
      </c>
      <c r="C1084" s="8" t="s">
        <v>220</v>
      </c>
      <c r="D1084" s="8" t="s">
        <v>214</v>
      </c>
      <c r="E1084" s="126" t="s">
        <v>671</v>
      </c>
      <c r="F1084" s="126">
        <v>612</v>
      </c>
      <c r="G1084" s="69"/>
      <c r="H1084" s="69"/>
      <c r="I1084" s="69"/>
      <c r="J1084" s="69"/>
      <c r="K1084" s="84"/>
      <c r="L1084" s="13"/>
      <c r="M1084" s="84"/>
      <c r="N1084" s="13"/>
      <c r="O1084" s="84"/>
      <c r="P1084" s="13"/>
      <c r="Q1084" s="84"/>
      <c r="R1084" s="13">
        <v>6009.3</v>
      </c>
      <c r="S1084" s="84">
        <f t="shared" si="241"/>
        <v>6009.3</v>
      </c>
      <c r="T1084" s="13"/>
      <c r="U1084" s="84">
        <f t="shared" si="239"/>
        <v>6009.3</v>
      </c>
    </row>
    <row r="1085" spans="1:21">
      <c r="A1085" s="61" t="str">
        <f ca="1">IF(ISERROR(MATCH(E1085,Код_КЦСР,0)),"",INDIRECT(ADDRESS(MATCH(E1085,Код_КЦСР,0)+1,2,,,"КЦСР")))</f>
        <v>Развитие библиотечного дела</v>
      </c>
      <c r="B1085" s="126">
        <v>808</v>
      </c>
      <c r="C1085" s="8" t="s">
        <v>220</v>
      </c>
      <c r="D1085" s="8" t="s">
        <v>214</v>
      </c>
      <c r="E1085" s="126" t="s">
        <v>478</v>
      </c>
      <c r="F1085" s="126"/>
      <c r="G1085" s="69">
        <f>G1086+G1090</f>
        <v>3443</v>
      </c>
      <c r="H1085" s="69">
        <f>H1086+H1090</f>
        <v>0</v>
      </c>
      <c r="I1085" s="69">
        <f t="shared" si="235"/>
        <v>3443</v>
      </c>
      <c r="J1085" s="69">
        <f>J1086+J1090</f>
        <v>0</v>
      </c>
      <c r="K1085" s="84">
        <f t="shared" si="230"/>
        <v>3443</v>
      </c>
      <c r="L1085" s="13">
        <f>L1086+L1090</f>
        <v>0</v>
      </c>
      <c r="M1085" s="84">
        <f t="shared" si="233"/>
        <v>3443</v>
      </c>
      <c r="N1085" s="13">
        <f>N1086+N1090</f>
        <v>0</v>
      </c>
      <c r="O1085" s="84">
        <f t="shared" si="234"/>
        <v>3443</v>
      </c>
      <c r="P1085" s="13">
        <f>P1086+P1090</f>
        <v>0</v>
      </c>
      <c r="Q1085" s="84">
        <f t="shared" si="243"/>
        <v>3443</v>
      </c>
      <c r="R1085" s="13">
        <f>R1086+R1090</f>
        <v>0</v>
      </c>
      <c r="S1085" s="84">
        <f t="shared" si="241"/>
        <v>3443</v>
      </c>
      <c r="T1085" s="13">
        <f>T1086+T1090</f>
        <v>0</v>
      </c>
      <c r="U1085" s="84">
        <f t="shared" si="239"/>
        <v>3443</v>
      </c>
    </row>
    <row r="1086" spans="1:21" ht="33">
      <c r="A1086" s="61" t="str">
        <f ca="1">IF(ISERROR(MATCH(E1086,Код_КЦСР,0)),"",INDIRECT(ADDRESS(MATCH(E1086,Код_КЦСР,0)+1,2,,,"КЦСР")))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1086" s="126">
        <v>808</v>
      </c>
      <c r="C1086" s="8" t="s">
        <v>220</v>
      </c>
      <c r="D1086" s="8" t="s">
        <v>214</v>
      </c>
      <c r="E1086" s="126" t="s">
        <v>479</v>
      </c>
      <c r="F1086" s="126"/>
      <c r="G1086" s="69">
        <f t="shared" ref="G1086:T1088" si="244">G1087</f>
        <v>1300</v>
      </c>
      <c r="H1086" s="69">
        <f t="shared" si="244"/>
        <v>0</v>
      </c>
      <c r="I1086" s="69">
        <f t="shared" si="235"/>
        <v>1300</v>
      </c>
      <c r="J1086" s="69">
        <f t="shared" si="244"/>
        <v>0</v>
      </c>
      <c r="K1086" s="84">
        <f t="shared" si="230"/>
        <v>1300</v>
      </c>
      <c r="L1086" s="13">
        <f t="shared" si="244"/>
        <v>0</v>
      </c>
      <c r="M1086" s="84">
        <f t="shared" si="233"/>
        <v>1300</v>
      </c>
      <c r="N1086" s="13">
        <f t="shared" si="244"/>
        <v>0</v>
      </c>
      <c r="O1086" s="84">
        <f t="shared" si="234"/>
        <v>1300</v>
      </c>
      <c r="P1086" s="13">
        <f t="shared" si="244"/>
        <v>0</v>
      </c>
      <c r="Q1086" s="84">
        <f t="shared" si="243"/>
        <v>1300</v>
      </c>
      <c r="R1086" s="13">
        <f t="shared" si="244"/>
        <v>0</v>
      </c>
      <c r="S1086" s="84">
        <f t="shared" si="241"/>
        <v>1300</v>
      </c>
      <c r="T1086" s="13">
        <f t="shared" si="244"/>
        <v>0</v>
      </c>
      <c r="U1086" s="84">
        <f t="shared" si="239"/>
        <v>1300</v>
      </c>
    </row>
    <row r="1087" spans="1:21" ht="33">
      <c r="A1087" s="61" t="str">
        <f ca="1">IF(ISERROR(MATCH(F1087,Код_КВР,0)),"",INDIRECT(ADDRESS(MATCH(F1087,Код_КВР,0)+1,2,,,"КВР")))</f>
        <v>Предоставление субсидий бюджетным, автономным учреждениям и иным некоммерческим организациям</v>
      </c>
      <c r="B1087" s="126">
        <v>808</v>
      </c>
      <c r="C1087" s="8" t="s">
        <v>220</v>
      </c>
      <c r="D1087" s="8" t="s">
        <v>214</v>
      </c>
      <c r="E1087" s="126" t="s">
        <v>479</v>
      </c>
      <c r="F1087" s="126">
        <v>600</v>
      </c>
      <c r="G1087" s="69">
        <f t="shared" si="244"/>
        <v>1300</v>
      </c>
      <c r="H1087" s="69">
        <f t="shared" si="244"/>
        <v>0</v>
      </c>
      <c r="I1087" s="69">
        <f t="shared" si="235"/>
        <v>1300</v>
      </c>
      <c r="J1087" s="69">
        <f t="shared" si="244"/>
        <v>0</v>
      </c>
      <c r="K1087" s="84">
        <f t="shared" si="230"/>
        <v>1300</v>
      </c>
      <c r="L1087" s="13">
        <f t="shared" si="244"/>
        <v>0</v>
      </c>
      <c r="M1087" s="84">
        <f t="shared" si="233"/>
        <v>1300</v>
      </c>
      <c r="N1087" s="13">
        <f t="shared" si="244"/>
        <v>0</v>
      </c>
      <c r="O1087" s="84">
        <f t="shared" si="234"/>
        <v>1300</v>
      </c>
      <c r="P1087" s="13">
        <f t="shared" si="244"/>
        <v>0</v>
      </c>
      <c r="Q1087" s="84">
        <f t="shared" si="243"/>
        <v>1300</v>
      </c>
      <c r="R1087" s="13">
        <f t="shared" si="244"/>
        <v>0</v>
      </c>
      <c r="S1087" s="84">
        <f t="shared" si="241"/>
        <v>1300</v>
      </c>
      <c r="T1087" s="13">
        <f t="shared" si="244"/>
        <v>0</v>
      </c>
      <c r="U1087" s="84">
        <f t="shared" si="239"/>
        <v>1300</v>
      </c>
    </row>
    <row r="1088" spans="1:21">
      <c r="A1088" s="61" t="str">
        <f ca="1">IF(ISERROR(MATCH(F1088,Код_КВР,0)),"",INDIRECT(ADDRESS(MATCH(F1088,Код_КВР,0)+1,2,,,"КВР")))</f>
        <v>Субсидии бюджетным учреждениям</v>
      </c>
      <c r="B1088" s="126">
        <v>808</v>
      </c>
      <c r="C1088" s="8" t="s">
        <v>220</v>
      </c>
      <c r="D1088" s="8" t="s">
        <v>214</v>
      </c>
      <c r="E1088" s="126" t="s">
        <v>479</v>
      </c>
      <c r="F1088" s="126">
        <v>610</v>
      </c>
      <c r="G1088" s="69">
        <f t="shared" si="244"/>
        <v>1300</v>
      </c>
      <c r="H1088" s="69">
        <f t="shared" si="244"/>
        <v>0</v>
      </c>
      <c r="I1088" s="69">
        <f t="shared" si="235"/>
        <v>1300</v>
      </c>
      <c r="J1088" s="69">
        <f t="shared" si="244"/>
        <v>0</v>
      </c>
      <c r="K1088" s="84">
        <f t="shared" si="230"/>
        <v>1300</v>
      </c>
      <c r="L1088" s="13">
        <f t="shared" si="244"/>
        <v>0</v>
      </c>
      <c r="M1088" s="84">
        <f t="shared" si="233"/>
        <v>1300</v>
      </c>
      <c r="N1088" s="13">
        <f t="shared" si="244"/>
        <v>0</v>
      </c>
      <c r="O1088" s="84">
        <f t="shared" si="234"/>
        <v>1300</v>
      </c>
      <c r="P1088" s="13">
        <f t="shared" si="244"/>
        <v>0</v>
      </c>
      <c r="Q1088" s="84">
        <f t="shared" si="243"/>
        <v>1300</v>
      </c>
      <c r="R1088" s="13">
        <f t="shared" si="244"/>
        <v>0</v>
      </c>
      <c r="S1088" s="84">
        <f t="shared" si="241"/>
        <v>1300</v>
      </c>
      <c r="T1088" s="13">
        <f t="shared" si="244"/>
        <v>0</v>
      </c>
      <c r="U1088" s="84">
        <f t="shared" si="239"/>
        <v>1300</v>
      </c>
    </row>
    <row r="1089" spans="1:21">
      <c r="A1089" s="61" t="str">
        <f ca="1">IF(ISERROR(MATCH(F1089,Код_КВР,0)),"",INDIRECT(ADDRESS(MATCH(F1089,Код_КВР,0)+1,2,,,"КВР")))</f>
        <v>Субсидии бюджетным учреждениям на иные цели</v>
      </c>
      <c r="B1089" s="126">
        <v>808</v>
      </c>
      <c r="C1089" s="8" t="s">
        <v>220</v>
      </c>
      <c r="D1089" s="8" t="s">
        <v>214</v>
      </c>
      <c r="E1089" s="126" t="s">
        <v>479</v>
      </c>
      <c r="F1089" s="126">
        <v>612</v>
      </c>
      <c r="G1089" s="69">
        <v>1300</v>
      </c>
      <c r="H1089" s="69"/>
      <c r="I1089" s="69">
        <f t="shared" si="235"/>
        <v>1300</v>
      </c>
      <c r="J1089" s="69"/>
      <c r="K1089" s="84">
        <f t="shared" si="230"/>
        <v>1300</v>
      </c>
      <c r="L1089" s="13"/>
      <c r="M1089" s="84">
        <f t="shared" si="233"/>
        <v>1300</v>
      </c>
      <c r="N1089" s="13"/>
      <c r="O1089" s="84">
        <f t="shared" si="234"/>
        <v>1300</v>
      </c>
      <c r="P1089" s="13"/>
      <c r="Q1089" s="84">
        <f t="shared" si="243"/>
        <v>1300</v>
      </c>
      <c r="R1089" s="13"/>
      <c r="S1089" s="84">
        <f t="shared" si="241"/>
        <v>1300</v>
      </c>
      <c r="T1089" s="13"/>
      <c r="U1089" s="84">
        <f t="shared" si="239"/>
        <v>1300</v>
      </c>
    </row>
    <row r="1090" spans="1:21" ht="67.5" customHeight="1">
      <c r="A1090" s="61" t="str">
        <f ca="1">IF(ISERROR(MATCH(E1090,Код_КЦСР,0)),"",INDIRECT(ADDRESS(MATCH(E1090,Код_КЦСР,0)+1,2,,,"КЦСР")))</f>
        <v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1090" s="126">
        <v>808</v>
      </c>
      <c r="C1090" s="8" t="s">
        <v>220</v>
      </c>
      <c r="D1090" s="8" t="s">
        <v>214</v>
      </c>
      <c r="E1090" s="126" t="s">
        <v>480</v>
      </c>
      <c r="F1090" s="126"/>
      <c r="G1090" s="69">
        <f t="shared" ref="G1090:T1092" si="245">G1091</f>
        <v>2143</v>
      </c>
      <c r="H1090" s="69">
        <f t="shared" si="245"/>
        <v>0</v>
      </c>
      <c r="I1090" s="69">
        <f t="shared" si="235"/>
        <v>2143</v>
      </c>
      <c r="J1090" s="69">
        <f t="shared" si="245"/>
        <v>0</v>
      </c>
      <c r="K1090" s="84">
        <f t="shared" si="230"/>
        <v>2143</v>
      </c>
      <c r="L1090" s="13">
        <f t="shared" si="245"/>
        <v>0</v>
      </c>
      <c r="M1090" s="84">
        <f t="shared" si="233"/>
        <v>2143</v>
      </c>
      <c r="N1090" s="13">
        <f t="shared" si="245"/>
        <v>0</v>
      </c>
      <c r="O1090" s="84">
        <f t="shared" si="234"/>
        <v>2143</v>
      </c>
      <c r="P1090" s="13">
        <f t="shared" si="245"/>
        <v>0</v>
      </c>
      <c r="Q1090" s="84">
        <f t="shared" si="243"/>
        <v>2143</v>
      </c>
      <c r="R1090" s="13">
        <f t="shared" si="245"/>
        <v>0</v>
      </c>
      <c r="S1090" s="84">
        <f t="shared" si="241"/>
        <v>2143</v>
      </c>
      <c r="T1090" s="13">
        <f t="shared" si="245"/>
        <v>0</v>
      </c>
      <c r="U1090" s="84">
        <f t="shared" si="239"/>
        <v>2143</v>
      </c>
    </row>
    <row r="1091" spans="1:21" ht="33">
      <c r="A1091" s="61" t="str">
        <f ca="1">IF(ISERROR(MATCH(F1091,Код_КВР,0)),"",INDIRECT(ADDRESS(MATCH(F1091,Код_КВР,0)+1,2,,,"КВР")))</f>
        <v>Предоставление субсидий бюджетным, автономным учреждениям и иным некоммерческим организациям</v>
      </c>
      <c r="B1091" s="126">
        <v>808</v>
      </c>
      <c r="C1091" s="8" t="s">
        <v>220</v>
      </c>
      <c r="D1091" s="8" t="s">
        <v>214</v>
      </c>
      <c r="E1091" s="126" t="s">
        <v>480</v>
      </c>
      <c r="F1091" s="126">
        <v>600</v>
      </c>
      <c r="G1091" s="69">
        <f t="shared" si="245"/>
        <v>2143</v>
      </c>
      <c r="H1091" s="69">
        <f t="shared" si="245"/>
        <v>0</v>
      </c>
      <c r="I1091" s="69">
        <f t="shared" si="235"/>
        <v>2143</v>
      </c>
      <c r="J1091" s="69">
        <f t="shared" si="245"/>
        <v>0</v>
      </c>
      <c r="K1091" s="84">
        <f t="shared" si="230"/>
        <v>2143</v>
      </c>
      <c r="L1091" s="13">
        <f t="shared" si="245"/>
        <v>0</v>
      </c>
      <c r="M1091" s="84">
        <f t="shared" si="233"/>
        <v>2143</v>
      </c>
      <c r="N1091" s="13">
        <f t="shared" si="245"/>
        <v>0</v>
      </c>
      <c r="O1091" s="84">
        <f t="shared" si="234"/>
        <v>2143</v>
      </c>
      <c r="P1091" s="13">
        <f t="shared" si="245"/>
        <v>0</v>
      </c>
      <c r="Q1091" s="84">
        <f t="shared" si="243"/>
        <v>2143</v>
      </c>
      <c r="R1091" s="13">
        <f t="shared" si="245"/>
        <v>0</v>
      </c>
      <c r="S1091" s="84">
        <f t="shared" si="241"/>
        <v>2143</v>
      </c>
      <c r="T1091" s="13">
        <f t="shared" si="245"/>
        <v>0</v>
      </c>
      <c r="U1091" s="84">
        <f t="shared" si="239"/>
        <v>2143</v>
      </c>
    </row>
    <row r="1092" spans="1:21">
      <c r="A1092" s="61" t="str">
        <f ca="1">IF(ISERROR(MATCH(F1092,Код_КВР,0)),"",INDIRECT(ADDRESS(MATCH(F1092,Код_КВР,0)+1,2,,,"КВР")))</f>
        <v>Субсидии бюджетным учреждениям</v>
      </c>
      <c r="B1092" s="126">
        <v>808</v>
      </c>
      <c r="C1092" s="8" t="s">
        <v>220</v>
      </c>
      <c r="D1092" s="8" t="s">
        <v>214</v>
      </c>
      <c r="E1092" s="126" t="s">
        <v>480</v>
      </c>
      <c r="F1092" s="126">
        <v>610</v>
      </c>
      <c r="G1092" s="69">
        <f t="shared" si="245"/>
        <v>2143</v>
      </c>
      <c r="H1092" s="69">
        <f t="shared" si="245"/>
        <v>0</v>
      </c>
      <c r="I1092" s="69">
        <f t="shared" si="235"/>
        <v>2143</v>
      </c>
      <c r="J1092" s="69">
        <f t="shared" si="245"/>
        <v>0</v>
      </c>
      <c r="K1092" s="84">
        <f t="shared" si="230"/>
        <v>2143</v>
      </c>
      <c r="L1092" s="13">
        <f t="shared" si="245"/>
        <v>0</v>
      </c>
      <c r="M1092" s="84">
        <f t="shared" si="233"/>
        <v>2143</v>
      </c>
      <c r="N1092" s="13">
        <f t="shared" si="245"/>
        <v>0</v>
      </c>
      <c r="O1092" s="84">
        <f t="shared" si="234"/>
        <v>2143</v>
      </c>
      <c r="P1092" s="13">
        <f t="shared" si="245"/>
        <v>0</v>
      </c>
      <c r="Q1092" s="84">
        <f t="shared" si="243"/>
        <v>2143</v>
      </c>
      <c r="R1092" s="13">
        <f t="shared" si="245"/>
        <v>0</v>
      </c>
      <c r="S1092" s="84">
        <f t="shared" si="241"/>
        <v>2143</v>
      </c>
      <c r="T1092" s="13">
        <f t="shared" si="245"/>
        <v>0</v>
      </c>
      <c r="U1092" s="84">
        <f t="shared" si="239"/>
        <v>2143</v>
      </c>
    </row>
    <row r="1093" spans="1:21">
      <c r="A1093" s="61" t="str">
        <f ca="1">IF(ISERROR(MATCH(F1093,Код_КВР,0)),"",INDIRECT(ADDRESS(MATCH(F1093,Код_КВР,0)+1,2,,,"КВР")))</f>
        <v>Субсидии бюджетным учреждениям на иные цели</v>
      </c>
      <c r="B1093" s="126">
        <v>808</v>
      </c>
      <c r="C1093" s="8" t="s">
        <v>220</v>
      </c>
      <c r="D1093" s="8" t="s">
        <v>214</v>
      </c>
      <c r="E1093" s="126" t="s">
        <v>480</v>
      </c>
      <c r="F1093" s="126">
        <v>612</v>
      </c>
      <c r="G1093" s="69">
        <v>2143</v>
      </c>
      <c r="H1093" s="69"/>
      <c r="I1093" s="69">
        <f t="shared" si="235"/>
        <v>2143</v>
      </c>
      <c r="J1093" s="69"/>
      <c r="K1093" s="84">
        <f t="shared" si="230"/>
        <v>2143</v>
      </c>
      <c r="L1093" s="13"/>
      <c r="M1093" s="84">
        <f t="shared" si="233"/>
        <v>2143</v>
      </c>
      <c r="N1093" s="13"/>
      <c r="O1093" s="84">
        <f t="shared" si="234"/>
        <v>2143</v>
      </c>
      <c r="P1093" s="13"/>
      <c r="Q1093" s="84">
        <f t="shared" si="243"/>
        <v>2143</v>
      </c>
      <c r="R1093" s="13"/>
      <c r="S1093" s="84">
        <f t="shared" si="241"/>
        <v>2143</v>
      </c>
      <c r="T1093" s="13"/>
      <c r="U1093" s="84">
        <f t="shared" si="239"/>
        <v>2143</v>
      </c>
    </row>
    <row r="1094" spans="1:21">
      <c r="A1094" s="61" t="str">
        <f ca="1">IF(ISERROR(MATCH(E1094,Код_КЦСР,0)),"",INDIRECT(ADDRESS(MATCH(E1094,Код_КЦСР,0)+1,2,,,"КЦСР")))</f>
        <v>Совершенствование культурно-досуговой деятельности</v>
      </c>
      <c r="B1094" s="126">
        <v>808</v>
      </c>
      <c r="C1094" s="8" t="s">
        <v>220</v>
      </c>
      <c r="D1094" s="8" t="s">
        <v>214</v>
      </c>
      <c r="E1094" s="126" t="s">
        <v>489</v>
      </c>
      <c r="F1094" s="126"/>
      <c r="G1094" s="69">
        <f>G1095+G1099</f>
        <v>557</v>
      </c>
      <c r="H1094" s="69">
        <f>H1095+H1099</f>
        <v>0</v>
      </c>
      <c r="I1094" s="69">
        <f t="shared" si="235"/>
        <v>557</v>
      </c>
      <c r="J1094" s="69">
        <f>J1095+J1099</f>
        <v>0</v>
      </c>
      <c r="K1094" s="84">
        <f t="shared" si="230"/>
        <v>557</v>
      </c>
      <c r="L1094" s="13">
        <f>L1095+L1099</f>
        <v>0</v>
      </c>
      <c r="M1094" s="84">
        <f t="shared" si="233"/>
        <v>557</v>
      </c>
      <c r="N1094" s="13">
        <f>N1095+N1099</f>
        <v>0</v>
      </c>
      <c r="O1094" s="84">
        <f t="shared" si="234"/>
        <v>557</v>
      </c>
      <c r="P1094" s="13">
        <f>P1095+P1099</f>
        <v>0</v>
      </c>
      <c r="Q1094" s="84">
        <f t="shared" si="243"/>
        <v>557</v>
      </c>
      <c r="R1094" s="13">
        <f>R1095+R1099</f>
        <v>0</v>
      </c>
      <c r="S1094" s="84">
        <f t="shared" si="241"/>
        <v>557</v>
      </c>
      <c r="T1094" s="13">
        <f>T1095+T1099</f>
        <v>0</v>
      </c>
      <c r="U1094" s="84">
        <f t="shared" si="239"/>
        <v>557</v>
      </c>
    </row>
    <row r="1095" spans="1:21" ht="66">
      <c r="A1095" s="61" t="str">
        <f ca="1">IF(ISERROR(MATCH(E1095,Код_КЦСР,0)),"",INDIRECT(ADDRESS(MATCH(E1095,Код_КЦСР,0)+1,2,,,"КЦСР")))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1095" s="126">
        <v>808</v>
      </c>
      <c r="C1095" s="8" t="s">
        <v>220</v>
      </c>
      <c r="D1095" s="8" t="s">
        <v>214</v>
      </c>
      <c r="E1095" s="126" t="s">
        <v>491</v>
      </c>
      <c r="F1095" s="126"/>
      <c r="G1095" s="69">
        <f t="shared" ref="G1095:T1097" si="246">G1096</f>
        <v>450</v>
      </c>
      <c r="H1095" s="69">
        <f t="shared" si="246"/>
        <v>0</v>
      </c>
      <c r="I1095" s="69">
        <f t="shared" si="235"/>
        <v>450</v>
      </c>
      <c r="J1095" s="69">
        <f t="shared" si="246"/>
        <v>0</v>
      </c>
      <c r="K1095" s="84">
        <f t="shared" si="230"/>
        <v>450</v>
      </c>
      <c r="L1095" s="13">
        <f t="shared" si="246"/>
        <v>0</v>
      </c>
      <c r="M1095" s="84">
        <f t="shared" si="233"/>
        <v>450</v>
      </c>
      <c r="N1095" s="13">
        <f t="shared" si="246"/>
        <v>0</v>
      </c>
      <c r="O1095" s="84">
        <f t="shared" si="234"/>
        <v>450</v>
      </c>
      <c r="P1095" s="13">
        <f t="shared" si="246"/>
        <v>0</v>
      </c>
      <c r="Q1095" s="84">
        <f t="shared" si="243"/>
        <v>450</v>
      </c>
      <c r="R1095" s="13">
        <f t="shared" si="246"/>
        <v>0</v>
      </c>
      <c r="S1095" s="84">
        <f t="shared" si="241"/>
        <v>450</v>
      </c>
      <c r="T1095" s="13">
        <f t="shared" si="246"/>
        <v>0</v>
      </c>
      <c r="U1095" s="84">
        <f t="shared" si="239"/>
        <v>450</v>
      </c>
    </row>
    <row r="1096" spans="1:21" ht="33">
      <c r="A1096" s="61" t="str">
        <f ca="1">IF(ISERROR(MATCH(F1096,Код_КВР,0)),"",INDIRECT(ADDRESS(MATCH(F1096,Код_КВР,0)+1,2,,,"КВР")))</f>
        <v>Предоставление субсидий бюджетным, автономным учреждениям и иным некоммерческим организациям</v>
      </c>
      <c r="B1096" s="126">
        <v>808</v>
      </c>
      <c r="C1096" s="8" t="s">
        <v>220</v>
      </c>
      <c r="D1096" s="8" t="s">
        <v>214</v>
      </c>
      <c r="E1096" s="126" t="s">
        <v>491</v>
      </c>
      <c r="F1096" s="126">
        <v>600</v>
      </c>
      <c r="G1096" s="69">
        <f t="shared" si="246"/>
        <v>450</v>
      </c>
      <c r="H1096" s="69">
        <f t="shared" si="246"/>
        <v>0</v>
      </c>
      <c r="I1096" s="69">
        <f t="shared" si="235"/>
        <v>450</v>
      </c>
      <c r="J1096" s="69">
        <f t="shared" si="246"/>
        <v>0</v>
      </c>
      <c r="K1096" s="84">
        <f t="shared" si="230"/>
        <v>450</v>
      </c>
      <c r="L1096" s="13">
        <f t="shared" si="246"/>
        <v>0</v>
      </c>
      <c r="M1096" s="84">
        <f t="shared" si="233"/>
        <v>450</v>
      </c>
      <c r="N1096" s="13">
        <f t="shared" si="246"/>
        <v>0</v>
      </c>
      <c r="O1096" s="84">
        <f t="shared" si="234"/>
        <v>450</v>
      </c>
      <c r="P1096" s="13">
        <f t="shared" si="246"/>
        <v>0</v>
      </c>
      <c r="Q1096" s="84">
        <f t="shared" si="243"/>
        <v>450</v>
      </c>
      <c r="R1096" s="13">
        <f t="shared" si="246"/>
        <v>0</v>
      </c>
      <c r="S1096" s="84">
        <f t="shared" si="241"/>
        <v>450</v>
      </c>
      <c r="T1096" s="13">
        <f t="shared" si="246"/>
        <v>0</v>
      </c>
      <c r="U1096" s="84">
        <f t="shared" si="239"/>
        <v>450</v>
      </c>
    </row>
    <row r="1097" spans="1:21">
      <c r="A1097" s="61" t="str">
        <f ca="1">IF(ISERROR(MATCH(F1097,Код_КВР,0)),"",INDIRECT(ADDRESS(MATCH(F1097,Код_КВР,0)+1,2,,,"КВР")))</f>
        <v>Субсидии бюджетным учреждениям</v>
      </c>
      <c r="B1097" s="126">
        <v>808</v>
      </c>
      <c r="C1097" s="8" t="s">
        <v>220</v>
      </c>
      <c r="D1097" s="8" t="s">
        <v>214</v>
      </c>
      <c r="E1097" s="126" t="s">
        <v>491</v>
      </c>
      <c r="F1097" s="126">
        <v>610</v>
      </c>
      <c r="G1097" s="69">
        <f t="shared" si="246"/>
        <v>450</v>
      </c>
      <c r="H1097" s="69">
        <f t="shared" si="246"/>
        <v>0</v>
      </c>
      <c r="I1097" s="69">
        <f t="shared" si="235"/>
        <v>450</v>
      </c>
      <c r="J1097" s="69">
        <f t="shared" si="246"/>
        <v>0</v>
      </c>
      <c r="K1097" s="84">
        <f t="shared" si="230"/>
        <v>450</v>
      </c>
      <c r="L1097" s="13">
        <f t="shared" si="246"/>
        <v>0</v>
      </c>
      <c r="M1097" s="84">
        <f t="shared" si="233"/>
        <v>450</v>
      </c>
      <c r="N1097" s="13">
        <f t="shared" si="246"/>
        <v>0</v>
      </c>
      <c r="O1097" s="84">
        <f t="shared" si="234"/>
        <v>450</v>
      </c>
      <c r="P1097" s="13">
        <f t="shared" si="246"/>
        <v>0</v>
      </c>
      <c r="Q1097" s="84">
        <f t="shared" si="243"/>
        <v>450</v>
      </c>
      <c r="R1097" s="13">
        <f t="shared" si="246"/>
        <v>0</v>
      </c>
      <c r="S1097" s="84">
        <f t="shared" si="241"/>
        <v>450</v>
      </c>
      <c r="T1097" s="13">
        <f t="shared" si="246"/>
        <v>0</v>
      </c>
      <c r="U1097" s="84">
        <f t="shared" si="239"/>
        <v>450</v>
      </c>
    </row>
    <row r="1098" spans="1:21">
      <c r="A1098" s="61" t="str">
        <f ca="1">IF(ISERROR(MATCH(F1098,Код_КВР,0)),"",INDIRECT(ADDRESS(MATCH(F1098,Код_КВР,0)+1,2,,,"КВР")))</f>
        <v>Субсидии бюджетным учреждениям на иные цели</v>
      </c>
      <c r="B1098" s="126">
        <v>808</v>
      </c>
      <c r="C1098" s="8" t="s">
        <v>220</v>
      </c>
      <c r="D1098" s="8" t="s">
        <v>214</v>
      </c>
      <c r="E1098" s="126" t="s">
        <v>491</v>
      </c>
      <c r="F1098" s="126">
        <v>612</v>
      </c>
      <c r="G1098" s="69">
        <v>450</v>
      </c>
      <c r="H1098" s="69"/>
      <c r="I1098" s="69">
        <f t="shared" si="235"/>
        <v>450</v>
      </c>
      <c r="J1098" s="69"/>
      <c r="K1098" s="84">
        <f t="shared" si="230"/>
        <v>450</v>
      </c>
      <c r="L1098" s="13"/>
      <c r="M1098" s="84">
        <f t="shared" si="233"/>
        <v>450</v>
      </c>
      <c r="N1098" s="13"/>
      <c r="O1098" s="84">
        <f t="shared" si="234"/>
        <v>450</v>
      </c>
      <c r="P1098" s="13"/>
      <c r="Q1098" s="84">
        <f t="shared" si="243"/>
        <v>450</v>
      </c>
      <c r="R1098" s="13"/>
      <c r="S1098" s="84">
        <f t="shared" si="241"/>
        <v>450</v>
      </c>
      <c r="T1098" s="13"/>
      <c r="U1098" s="84">
        <f t="shared" si="239"/>
        <v>450</v>
      </c>
    </row>
    <row r="1099" spans="1:21" ht="88.5" customHeight="1">
      <c r="A1099" s="61" t="str">
        <f ca="1">IF(ISERROR(MATCH(E1099,Код_КЦСР,0)),"",INDIRECT(ADDRESS(MATCH(E1099,Код_КЦСР,0)+1,2,,,"КЦСР")))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народа, организация и проведение конкурсов, фестивалей и смотров самодеятельного художественного творчества, выставок)</v>
      </c>
      <c r="B1099" s="126">
        <v>808</v>
      </c>
      <c r="C1099" s="8" t="s">
        <v>220</v>
      </c>
      <c r="D1099" s="8" t="s">
        <v>214</v>
      </c>
      <c r="E1099" s="126" t="s">
        <v>495</v>
      </c>
      <c r="F1099" s="126"/>
      <c r="G1099" s="69">
        <f t="shared" ref="G1099:T1101" si="247">G1100</f>
        <v>107</v>
      </c>
      <c r="H1099" s="69">
        <f t="shared" si="247"/>
        <v>0</v>
      </c>
      <c r="I1099" s="69">
        <f t="shared" si="235"/>
        <v>107</v>
      </c>
      <c r="J1099" s="69">
        <f t="shared" si="247"/>
        <v>0</v>
      </c>
      <c r="K1099" s="84">
        <f t="shared" si="230"/>
        <v>107</v>
      </c>
      <c r="L1099" s="13">
        <f t="shared" si="247"/>
        <v>0</v>
      </c>
      <c r="M1099" s="84">
        <f t="shared" si="233"/>
        <v>107</v>
      </c>
      <c r="N1099" s="13">
        <f t="shared" si="247"/>
        <v>0</v>
      </c>
      <c r="O1099" s="84">
        <f t="shared" si="234"/>
        <v>107</v>
      </c>
      <c r="P1099" s="13">
        <f t="shared" si="247"/>
        <v>0</v>
      </c>
      <c r="Q1099" s="84">
        <f t="shared" si="243"/>
        <v>107</v>
      </c>
      <c r="R1099" s="13">
        <f t="shared" si="247"/>
        <v>0</v>
      </c>
      <c r="S1099" s="84">
        <f t="shared" si="241"/>
        <v>107</v>
      </c>
      <c r="T1099" s="13">
        <f t="shared" si="247"/>
        <v>0</v>
      </c>
      <c r="U1099" s="84">
        <f t="shared" si="239"/>
        <v>107</v>
      </c>
    </row>
    <row r="1100" spans="1:21" ht="33">
      <c r="A1100" s="61" t="str">
        <f ca="1">IF(ISERROR(MATCH(F1100,Код_КВР,0)),"",INDIRECT(ADDRESS(MATCH(F1100,Код_КВР,0)+1,2,,,"КВР")))</f>
        <v>Предоставление субсидий бюджетным, автономным учреждениям и иным некоммерческим организациям</v>
      </c>
      <c r="B1100" s="126">
        <v>808</v>
      </c>
      <c r="C1100" s="8" t="s">
        <v>220</v>
      </c>
      <c r="D1100" s="8" t="s">
        <v>214</v>
      </c>
      <c r="E1100" s="126" t="s">
        <v>495</v>
      </c>
      <c r="F1100" s="126">
        <v>600</v>
      </c>
      <c r="G1100" s="69">
        <f t="shared" si="247"/>
        <v>107</v>
      </c>
      <c r="H1100" s="69">
        <f t="shared" si="247"/>
        <v>0</v>
      </c>
      <c r="I1100" s="69">
        <f t="shared" si="235"/>
        <v>107</v>
      </c>
      <c r="J1100" s="69">
        <f t="shared" si="247"/>
        <v>0</v>
      </c>
      <c r="K1100" s="84">
        <f t="shared" si="230"/>
        <v>107</v>
      </c>
      <c r="L1100" s="13">
        <f t="shared" si="247"/>
        <v>0</v>
      </c>
      <c r="M1100" s="84">
        <f t="shared" si="233"/>
        <v>107</v>
      </c>
      <c r="N1100" s="13">
        <f t="shared" si="247"/>
        <v>0</v>
      </c>
      <c r="O1100" s="84">
        <f t="shared" si="234"/>
        <v>107</v>
      </c>
      <c r="P1100" s="13">
        <f t="shared" si="247"/>
        <v>0</v>
      </c>
      <c r="Q1100" s="84">
        <f t="shared" si="243"/>
        <v>107</v>
      </c>
      <c r="R1100" s="13">
        <f t="shared" si="247"/>
        <v>0</v>
      </c>
      <c r="S1100" s="84">
        <f t="shared" si="241"/>
        <v>107</v>
      </c>
      <c r="T1100" s="13">
        <f t="shared" si="247"/>
        <v>0</v>
      </c>
      <c r="U1100" s="84">
        <f t="shared" si="239"/>
        <v>107</v>
      </c>
    </row>
    <row r="1101" spans="1:21">
      <c r="A1101" s="61" t="str">
        <f ca="1">IF(ISERROR(MATCH(F1101,Код_КВР,0)),"",INDIRECT(ADDRESS(MATCH(F1101,Код_КВР,0)+1,2,,,"КВР")))</f>
        <v>Субсидии бюджетным учреждениям</v>
      </c>
      <c r="B1101" s="126">
        <v>808</v>
      </c>
      <c r="C1101" s="8" t="s">
        <v>220</v>
      </c>
      <c r="D1101" s="8" t="s">
        <v>214</v>
      </c>
      <c r="E1101" s="126" t="s">
        <v>495</v>
      </c>
      <c r="F1101" s="126">
        <v>610</v>
      </c>
      <c r="G1101" s="69">
        <f t="shared" si="247"/>
        <v>107</v>
      </c>
      <c r="H1101" s="69">
        <f t="shared" si="247"/>
        <v>0</v>
      </c>
      <c r="I1101" s="69">
        <f t="shared" si="235"/>
        <v>107</v>
      </c>
      <c r="J1101" s="69">
        <f t="shared" si="247"/>
        <v>0</v>
      </c>
      <c r="K1101" s="84">
        <f t="shared" si="230"/>
        <v>107</v>
      </c>
      <c r="L1101" s="13">
        <f t="shared" si="247"/>
        <v>0</v>
      </c>
      <c r="M1101" s="84">
        <f t="shared" si="233"/>
        <v>107</v>
      </c>
      <c r="N1101" s="13">
        <f t="shared" si="247"/>
        <v>0</v>
      </c>
      <c r="O1101" s="84">
        <f t="shared" si="234"/>
        <v>107</v>
      </c>
      <c r="P1101" s="13">
        <f t="shared" si="247"/>
        <v>0</v>
      </c>
      <c r="Q1101" s="84">
        <f t="shared" si="243"/>
        <v>107</v>
      </c>
      <c r="R1101" s="13">
        <f t="shared" si="247"/>
        <v>0</v>
      </c>
      <c r="S1101" s="84">
        <f t="shared" si="241"/>
        <v>107</v>
      </c>
      <c r="T1101" s="13">
        <f t="shared" si="247"/>
        <v>0</v>
      </c>
      <c r="U1101" s="84">
        <f t="shared" si="239"/>
        <v>107</v>
      </c>
    </row>
    <row r="1102" spans="1:21">
      <c r="A1102" s="61" t="str">
        <f ca="1">IF(ISERROR(MATCH(F1102,Код_КВР,0)),"",INDIRECT(ADDRESS(MATCH(F1102,Код_КВР,0)+1,2,,,"КВР")))</f>
        <v>Субсидии бюджетным учреждениям на иные цели</v>
      </c>
      <c r="B1102" s="126">
        <v>808</v>
      </c>
      <c r="C1102" s="8" t="s">
        <v>220</v>
      </c>
      <c r="D1102" s="8" t="s">
        <v>214</v>
      </c>
      <c r="E1102" s="126" t="s">
        <v>495</v>
      </c>
      <c r="F1102" s="126">
        <v>612</v>
      </c>
      <c r="G1102" s="69">
        <v>107</v>
      </c>
      <c r="H1102" s="69"/>
      <c r="I1102" s="69">
        <f t="shared" si="235"/>
        <v>107</v>
      </c>
      <c r="J1102" s="69"/>
      <c r="K1102" s="84">
        <f t="shared" si="230"/>
        <v>107</v>
      </c>
      <c r="L1102" s="13"/>
      <c r="M1102" s="84">
        <f t="shared" si="233"/>
        <v>107</v>
      </c>
      <c r="N1102" s="13"/>
      <c r="O1102" s="84">
        <f t="shared" si="234"/>
        <v>107</v>
      </c>
      <c r="P1102" s="13"/>
      <c r="Q1102" s="84">
        <f t="shared" si="243"/>
        <v>107</v>
      </c>
      <c r="R1102" s="13"/>
      <c r="S1102" s="84">
        <f t="shared" si="241"/>
        <v>107</v>
      </c>
      <c r="T1102" s="13"/>
      <c r="U1102" s="84">
        <f t="shared" si="239"/>
        <v>107</v>
      </c>
    </row>
    <row r="1103" spans="1:21">
      <c r="A1103" s="61" t="str">
        <f ca="1">IF(ISERROR(MATCH(E1103,Код_КЦСР,0)),"",INDIRECT(ADDRESS(MATCH(E1103,Код_КЦСР,0)+1,2,,,"КЦСР")))</f>
        <v>Развитие исполнительских искусств</v>
      </c>
      <c r="B1103" s="126">
        <v>808</v>
      </c>
      <c r="C1103" s="8" t="s">
        <v>220</v>
      </c>
      <c r="D1103" s="8" t="s">
        <v>214</v>
      </c>
      <c r="E1103" s="126" t="s">
        <v>499</v>
      </c>
      <c r="F1103" s="126"/>
      <c r="G1103" s="69">
        <f>G1104+G1108</f>
        <v>1912</v>
      </c>
      <c r="H1103" s="69">
        <f>H1104+H1108</f>
        <v>0</v>
      </c>
      <c r="I1103" s="69">
        <f t="shared" si="235"/>
        <v>1912</v>
      </c>
      <c r="J1103" s="69">
        <f>J1104+J1108</f>
        <v>0</v>
      </c>
      <c r="K1103" s="84">
        <f t="shared" si="230"/>
        <v>1912</v>
      </c>
      <c r="L1103" s="13">
        <f>L1104+L1108</f>
        <v>0</v>
      </c>
      <c r="M1103" s="84">
        <f t="shared" si="233"/>
        <v>1912</v>
      </c>
      <c r="N1103" s="13">
        <f>N1104+N1108</f>
        <v>0</v>
      </c>
      <c r="O1103" s="84">
        <f t="shared" si="234"/>
        <v>1912</v>
      </c>
      <c r="P1103" s="13">
        <f>P1104+P1108</f>
        <v>0</v>
      </c>
      <c r="Q1103" s="84">
        <f t="shared" si="243"/>
        <v>1912</v>
      </c>
      <c r="R1103" s="13">
        <f>R1104+R1108</f>
        <v>0</v>
      </c>
      <c r="S1103" s="84">
        <f t="shared" si="241"/>
        <v>1912</v>
      </c>
      <c r="T1103" s="13">
        <f>T1104+T1108</f>
        <v>0</v>
      </c>
      <c r="U1103" s="84">
        <f t="shared" si="239"/>
        <v>1912</v>
      </c>
    </row>
    <row r="1104" spans="1:21" ht="77.25" customHeight="1">
      <c r="A1104" s="61" t="str">
        <f ca="1">IF(ISERROR(MATCH(E1104,Код_КЦСР,0)),"",INDIRECT(ADDRESS(MATCH(E1104,Код_КЦСР,0)+1,2,,,"КЦСР")))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1104" s="126">
        <v>808</v>
      </c>
      <c r="C1104" s="8" t="s">
        <v>220</v>
      </c>
      <c r="D1104" s="8" t="s">
        <v>214</v>
      </c>
      <c r="E1104" s="126" t="s">
        <v>501</v>
      </c>
      <c r="F1104" s="126"/>
      <c r="G1104" s="69">
        <f t="shared" ref="G1104:T1106" si="248">G1105</f>
        <v>612</v>
      </c>
      <c r="H1104" s="69">
        <f t="shared" si="248"/>
        <v>0</v>
      </c>
      <c r="I1104" s="69">
        <f t="shared" si="235"/>
        <v>612</v>
      </c>
      <c r="J1104" s="69">
        <f t="shared" si="248"/>
        <v>0</v>
      </c>
      <c r="K1104" s="84">
        <f t="shared" si="230"/>
        <v>612</v>
      </c>
      <c r="L1104" s="13">
        <f t="shared" si="248"/>
        <v>0</v>
      </c>
      <c r="M1104" s="84">
        <f t="shared" si="233"/>
        <v>612</v>
      </c>
      <c r="N1104" s="13">
        <f t="shared" si="248"/>
        <v>0</v>
      </c>
      <c r="O1104" s="84">
        <f t="shared" si="234"/>
        <v>612</v>
      </c>
      <c r="P1104" s="13">
        <f t="shared" si="248"/>
        <v>0</v>
      </c>
      <c r="Q1104" s="84">
        <f t="shared" si="243"/>
        <v>612</v>
      </c>
      <c r="R1104" s="13">
        <f t="shared" si="248"/>
        <v>0</v>
      </c>
      <c r="S1104" s="84">
        <f t="shared" si="241"/>
        <v>612</v>
      </c>
      <c r="T1104" s="13">
        <f t="shared" si="248"/>
        <v>0</v>
      </c>
      <c r="U1104" s="84">
        <f t="shared" si="239"/>
        <v>612</v>
      </c>
    </row>
    <row r="1105" spans="1:21" ht="33">
      <c r="A1105" s="61" t="str">
        <f ca="1">IF(ISERROR(MATCH(F1105,Код_КВР,0)),"",INDIRECT(ADDRESS(MATCH(F1105,Код_КВР,0)+1,2,,,"КВР")))</f>
        <v>Предоставление субсидий бюджетным, автономным учреждениям и иным некоммерческим организациям</v>
      </c>
      <c r="B1105" s="126">
        <v>808</v>
      </c>
      <c r="C1105" s="8" t="s">
        <v>220</v>
      </c>
      <c r="D1105" s="8" t="s">
        <v>214</v>
      </c>
      <c r="E1105" s="126" t="s">
        <v>501</v>
      </c>
      <c r="F1105" s="126">
        <v>600</v>
      </c>
      <c r="G1105" s="69">
        <f t="shared" si="248"/>
        <v>612</v>
      </c>
      <c r="H1105" s="69">
        <f t="shared" si="248"/>
        <v>0</v>
      </c>
      <c r="I1105" s="69">
        <f t="shared" si="235"/>
        <v>612</v>
      </c>
      <c r="J1105" s="69">
        <f t="shared" si="248"/>
        <v>0</v>
      </c>
      <c r="K1105" s="84">
        <f t="shared" ref="K1105:K1185" si="249">I1105+J1105</f>
        <v>612</v>
      </c>
      <c r="L1105" s="13">
        <f t="shared" si="248"/>
        <v>0</v>
      </c>
      <c r="M1105" s="84">
        <f t="shared" si="233"/>
        <v>612</v>
      </c>
      <c r="N1105" s="13">
        <f t="shared" si="248"/>
        <v>0</v>
      </c>
      <c r="O1105" s="84">
        <f t="shared" si="234"/>
        <v>612</v>
      </c>
      <c r="P1105" s="13">
        <f t="shared" si="248"/>
        <v>0</v>
      </c>
      <c r="Q1105" s="84">
        <f t="shared" si="243"/>
        <v>612</v>
      </c>
      <c r="R1105" s="13">
        <f t="shared" si="248"/>
        <v>0</v>
      </c>
      <c r="S1105" s="84">
        <f t="shared" si="241"/>
        <v>612</v>
      </c>
      <c r="T1105" s="13">
        <f t="shared" si="248"/>
        <v>0</v>
      </c>
      <c r="U1105" s="84">
        <f t="shared" si="239"/>
        <v>612</v>
      </c>
    </row>
    <row r="1106" spans="1:21">
      <c r="A1106" s="61" t="str">
        <f ca="1">IF(ISERROR(MATCH(F1106,Код_КВР,0)),"",INDIRECT(ADDRESS(MATCH(F1106,Код_КВР,0)+1,2,,,"КВР")))</f>
        <v>Субсидии автономным учреждениям</v>
      </c>
      <c r="B1106" s="126">
        <v>808</v>
      </c>
      <c r="C1106" s="8" t="s">
        <v>220</v>
      </c>
      <c r="D1106" s="8" t="s">
        <v>214</v>
      </c>
      <c r="E1106" s="126" t="s">
        <v>501</v>
      </c>
      <c r="F1106" s="126">
        <v>620</v>
      </c>
      <c r="G1106" s="69">
        <f t="shared" si="248"/>
        <v>612</v>
      </c>
      <c r="H1106" s="69">
        <f t="shared" si="248"/>
        <v>0</v>
      </c>
      <c r="I1106" s="69">
        <f t="shared" si="235"/>
        <v>612</v>
      </c>
      <c r="J1106" s="69">
        <f t="shared" si="248"/>
        <v>0</v>
      </c>
      <c r="K1106" s="84">
        <f t="shared" si="249"/>
        <v>612</v>
      </c>
      <c r="L1106" s="13">
        <f t="shared" si="248"/>
        <v>0</v>
      </c>
      <c r="M1106" s="84">
        <f t="shared" si="233"/>
        <v>612</v>
      </c>
      <c r="N1106" s="13">
        <f t="shared" si="248"/>
        <v>0</v>
      </c>
      <c r="O1106" s="84">
        <f t="shared" si="234"/>
        <v>612</v>
      </c>
      <c r="P1106" s="13">
        <f t="shared" si="248"/>
        <v>0</v>
      </c>
      <c r="Q1106" s="84">
        <f t="shared" si="243"/>
        <v>612</v>
      </c>
      <c r="R1106" s="13">
        <f t="shared" si="248"/>
        <v>0</v>
      </c>
      <c r="S1106" s="84">
        <f t="shared" si="241"/>
        <v>612</v>
      </c>
      <c r="T1106" s="13">
        <f t="shared" si="248"/>
        <v>0</v>
      </c>
      <c r="U1106" s="84">
        <f t="shared" si="239"/>
        <v>612</v>
      </c>
    </row>
    <row r="1107" spans="1:21">
      <c r="A1107" s="61" t="str">
        <f ca="1">IF(ISERROR(MATCH(F1107,Код_КВР,0)),"",INDIRECT(ADDRESS(MATCH(F1107,Код_КВР,0)+1,2,,,"КВР")))</f>
        <v>Субсидии автономным учреждениям на иные цели</v>
      </c>
      <c r="B1107" s="126">
        <v>808</v>
      </c>
      <c r="C1107" s="8" t="s">
        <v>220</v>
      </c>
      <c r="D1107" s="8" t="s">
        <v>214</v>
      </c>
      <c r="E1107" s="126" t="s">
        <v>501</v>
      </c>
      <c r="F1107" s="126">
        <v>622</v>
      </c>
      <c r="G1107" s="69">
        <v>612</v>
      </c>
      <c r="H1107" s="69"/>
      <c r="I1107" s="69">
        <f t="shared" si="235"/>
        <v>612</v>
      </c>
      <c r="J1107" s="69"/>
      <c r="K1107" s="84">
        <f t="shared" si="249"/>
        <v>612</v>
      </c>
      <c r="L1107" s="13"/>
      <c r="M1107" s="84">
        <f t="shared" si="233"/>
        <v>612</v>
      </c>
      <c r="N1107" s="13"/>
      <c r="O1107" s="84">
        <f t="shared" si="234"/>
        <v>612</v>
      </c>
      <c r="P1107" s="13"/>
      <c r="Q1107" s="84">
        <f t="shared" si="243"/>
        <v>612</v>
      </c>
      <c r="R1107" s="13"/>
      <c r="S1107" s="84">
        <f t="shared" si="241"/>
        <v>612</v>
      </c>
      <c r="T1107" s="13"/>
      <c r="U1107" s="84">
        <f t="shared" si="239"/>
        <v>612</v>
      </c>
    </row>
    <row r="1108" spans="1:21" ht="49.5">
      <c r="A1108" s="61" t="str">
        <f ca="1">IF(ISERROR(MATCH(E1108,Код_КЦСР,0)),"",INDIRECT(ADDRESS(MATCH(E1108,Код_КЦСР,0)+1,2,,,"КЦСР")))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1108" s="126">
        <v>808</v>
      </c>
      <c r="C1108" s="8" t="s">
        <v>220</v>
      </c>
      <c r="D1108" s="8" t="s">
        <v>214</v>
      </c>
      <c r="E1108" s="126" t="s">
        <v>502</v>
      </c>
      <c r="F1108" s="126"/>
      <c r="G1108" s="69">
        <f>G1109</f>
        <v>1300</v>
      </c>
      <c r="H1108" s="69">
        <f>H1109</f>
        <v>0</v>
      </c>
      <c r="I1108" s="69">
        <f t="shared" si="235"/>
        <v>1300</v>
      </c>
      <c r="J1108" s="69">
        <f>J1109</f>
        <v>0</v>
      </c>
      <c r="K1108" s="84">
        <f t="shared" si="249"/>
        <v>1300</v>
      </c>
      <c r="L1108" s="13">
        <f>L1109</f>
        <v>0</v>
      </c>
      <c r="M1108" s="84">
        <f t="shared" si="233"/>
        <v>1300</v>
      </c>
      <c r="N1108" s="13">
        <f>N1109</f>
        <v>0</v>
      </c>
      <c r="O1108" s="84">
        <f t="shared" si="234"/>
        <v>1300</v>
      </c>
      <c r="P1108" s="13">
        <f>P1109</f>
        <v>0</v>
      </c>
      <c r="Q1108" s="84">
        <f t="shared" si="243"/>
        <v>1300</v>
      </c>
      <c r="R1108" s="13">
        <f>R1109</f>
        <v>0</v>
      </c>
      <c r="S1108" s="84">
        <f t="shared" si="241"/>
        <v>1300</v>
      </c>
      <c r="T1108" s="13">
        <f>T1109</f>
        <v>0</v>
      </c>
      <c r="U1108" s="84">
        <f t="shared" si="239"/>
        <v>1300</v>
      </c>
    </row>
    <row r="1109" spans="1:21" ht="33">
      <c r="A1109" s="61" t="str">
        <f ca="1">IF(ISERROR(MATCH(F1109,Код_КВР,0)),"",INDIRECT(ADDRESS(MATCH(F1109,Код_КВР,0)+1,2,,,"КВР")))</f>
        <v>Предоставление субсидий бюджетным, автономным учреждениям и иным некоммерческим организациям</v>
      </c>
      <c r="B1109" s="126">
        <v>808</v>
      </c>
      <c r="C1109" s="8" t="s">
        <v>220</v>
      </c>
      <c r="D1109" s="8" t="s">
        <v>214</v>
      </c>
      <c r="E1109" s="126" t="s">
        <v>502</v>
      </c>
      <c r="F1109" s="126">
        <v>600</v>
      </c>
      <c r="G1109" s="69">
        <f>G1110+G1112</f>
        <v>1300</v>
      </c>
      <c r="H1109" s="69">
        <f>H1110+H1112</f>
        <v>0</v>
      </c>
      <c r="I1109" s="69">
        <f t="shared" si="235"/>
        <v>1300</v>
      </c>
      <c r="J1109" s="69">
        <f>J1110+J1112</f>
        <v>0</v>
      </c>
      <c r="K1109" s="84">
        <f t="shared" si="249"/>
        <v>1300</v>
      </c>
      <c r="L1109" s="13">
        <f>L1110+L1112</f>
        <v>0</v>
      </c>
      <c r="M1109" s="84">
        <f t="shared" si="233"/>
        <v>1300</v>
      </c>
      <c r="N1109" s="13">
        <f>N1110+N1112</f>
        <v>0</v>
      </c>
      <c r="O1109" s="84">
        <f t="shared" si="234"/>
        <v>1300</v>
      </c>
      <c r="P1109" s="13">
        <f>P1110+P1112</f>
        <v>0</v>
      </c>
      <c r="Q1109" s="84">
        <f t="shared" si="243"/>
        <v>1300</v>
      </c>
      <c r="R1109" s="13">
        <f>R1110+R1112</f>
        <v>0</v>
      </c>
      <c r="S1109" s="84">
        <f t="shared" si="241"/>
        <v>1300</v>
      </c>
      <c r="T1109" s="13">
        <f>T1110+T1112</f>
        <v>0</v>
      </c>
      <c r="U1109" s="84">
        <f t="shared" si="239"/>
        <v>1300</v>
      </c>
    </row>
    <row r="1110" spans="1:21">
      <c r="A1110" s="61" t="str">
        <f ca="1">IF(ISERROR(MATCH(F1110,Код_КВР,0)),"",INDIRECT(ADDRESS(MATCH(F1110,Код_КВР,0)+1,2,,,"КВР")))</f>
        <v>Субсидии бюджетным учреждениям</v>
      </c>
      <c r="B1110" s="126">
        <v>808</v>
      </c>
      <c r="C1110" s="8" t="s">
        <v>220</v>
      </c>
      <c r="D1110" s="8" t="s">
        <v>214</v>
      </c>
      <c r="E1110" s="126" t="s">
        <v>502</v>
      </c>
      <c r="F1110" s="126">
        <v>610</v>
      </c>
      <c r="G1110" s="69">
        <f>G1111</f>
        <v>200</v>
      </c>
      <c r="H1110" s="69">
        <f>H1111</f>
        <v>0</v>
      </c>
      <c r="I1110" s="69">
        <f t="shared" si="235"/>
        <v>200</v>
      </c>
      <c r="J1110" s="69">
        <f>J1111</f>
        <v>0</v>
      </c>
      <c r="K1110" s="84">
        <f t="shared" si="249"/>
        <v>200</v>
      </c>
      <c r="L1110" s="13">
        <f>L1111</f>
        <v>0</v>
      </c>
      <c r="M1110" s="84">
        <f t="shared" ref="M1110:M1190" si="250">K1110+L1110</f>
        <v>200</v>
      </c>
      <c r="N1110" s="13">
        <f>N1111</f>
        <v>0</v>
      </c>
      <c r="O1110" s="84">
        <f t="shared" ref="O1110:O1190" si="251">M1110+N1110</f>
        <v>200</v>
      </c>
      <c r="P1110" s="13">
        <f>P1111</f>
        <v>0</v>
      </c>
      <c r="Q1110" s="84">
        <f t="shared" si="243"/>
        <v>200</v>
      </c>
      <c r="R1110" s="13">
        <f>R1111</f>
        <v>0</v>
      </c>
      <c r="S1110" s="84">
        <f t="shared" si="241"/>
        <v>200</v>
      </c>
      <c r="T1110" s="13">
        <f>T1111</f>
        <v>0</v>
      </c>
      <c r="U1110" s="84">
        <f t="shared" si="239"/>
        <v>200</v>
      </c>
    </row>
    <row r="1111" spans="1:21">
      <c r="A1111" s="61" t="str">
        <f ca="1">IF(ISERROR(MATCH(F1111,Код_КВР,0)),"",INDIRECT(ADDRESS(MATCH(F1111,Код_КВР,0)+1,2,,,"КВР")))</f>
        <v>Субсидии бюджетным учреждениям на иные цели</v>
      </c>
      <c r="B1111" s="126">
        <v>808</v>
      </c>
      <c r="C1111" s="8" t="s">
        <v>220</v>
      </c>
      <c r="D1111" s="8" t="s">
        <v>214</v>
      </c>
      <c r="E1111" s="126" t="s">
        <v>502</v>
      </c>
      <c r="F1111" s="126">
        <v>612</v>
      </c>
      <c r="G1111" s="69">
        <v>200</v>
      </c>
      <c r="H1111" s="69"/>
      <c r="I1111" s="69">
        <f t="shared" si="235"/>
        <v>200</v>
      </c>
      <c r="J1111" s="69"/>
      <c r="K1111" s="84">
        <f t="shared" si="249"/>
        <v>200</v>
      </c>
      <c r="L1111" s="13"/>
      <c r="M1111" s="84">
        <f t="shared" si="250"/>
        <v>200</v>
      </c>
      <c r="N1111" s="13"/>
      <c r="O1111" s="84">
        <f t="shared" si="251"/>
        <v>200</v>
      </c>
      <c r="P1111" s="13"/>
      <c r="Q1111" s="84">
        <f t="shared" si="243"/>
        <v>200</v>
      </c>
      <c r="R1111" s="13"/>
      <c r="S1111" s="84">
        <f t="shared" si="241"/>
        <v>200</v>
      </c>
      <c r="T1111" s="13"/>
      <c r="U1111" s="84">
        <f t="shared" si="239"/>
        <v>200</v>
      </c>
    </row>
    <row r="1112" spans="1:21">
      <c r="A1112" s="61" t="str">
        <f ca="1">IF(ISERROR(MATCH(F1112,Код_КВР,0)),"",INDIRECT(ADDRESS(MATCH(F1112,Код_КВР,0)+1,2,,,"КВР")))</f>
        <v>Субсидии автономным учреждениям</v>
      </c>
      <c r="B1112" s="126">
        <v>808</v>
      </c>
      <c r="C1112" s="8" t="s">
        <v>220</v>
      </c>
      <c r="D1112" s="8" t="s">
        <v>214</v>
      </c>
      <c r="E1112" s="126" t="s">
        <v>502</v>
      </c>
      <c r="F1112" s="126">
        <v>620</v>
      </c>
      <c r="G1112" s="69">
        <f>G1113</f>
        <v>1100</v>
      </c>
      <c r="H1112" s="69">
        <f>H1113</f>
        <v>0</v>
      </c>
      <c r="I1112" s="69">
        <f t="shared" si="235"/>
        <v>1100</v>
      </c>
      <c r="J1112" s="69">
        <f>J1113</f>
        <v>0</v>
      </c>
      <c r="K1112" s="84">
        <f t="shared" si="249"/>
        <v>1100</v>
      </c>
      <c r="L1112" s="13">
        <f>L1113</f>
        <v>0</v>
      </c>
      <c r="M1112" s="84">
        <f t="shared" si="250"/>
        <v>1100</v>
      </c>
      <c r="N1112" s="13">
        <f>N1113</f>
        <v>0</v>
      </c>
      <c r="O1112" s="84">
        <f t="shared" si="251"/>
        <v>1100</v>
      </c>
      <c r="P1112" s="13">
        <f>P1113</f>
        <v>0</v>
      </c>
      <c r="Q1112" s="84">
        <f t="shared" si="243"/>
        <v>1100</v>
      </c>
      <c r="R1112" s="13">
        <f>R1113</f>
        <v>0</v>
      </c>
      <c r="S1112" s="84">
        <f t="shared" si="241"/>
        <v>1100</v>
      </c>
      <c r="T1112" s="13">
        <f>T1113</f>
        <v>0</v>
      </c>
      <c r="U1112" s="84">
        <f t="shared" si="239"/>
        <v>1100</v>
      </c>
    </row>
    <row r="1113" spans="1:21">
      <c r="A1113" s="61" t="str">
        <f ca="1">IF(ISERROR(MATCH(F1113,Код_КВР,0)),"",INDIRECT(ADDRESS(MATCH(F1113,Код_КВР,0)+1,2,,,"КВР")))</f>
        <v>Субсидии автономным учреждениям на иные цели</v>
      </c>
      <c r="B1113" s="126">
        <v>808</v>
      </c>
      <c r="C1113" s="8" t="s">
        <v>220</v>
      </c>
      <c r="D1113" s="8" t="s">
        <v>214</v>
      </c>
      <c r="E1113" s="126" t="s">
        <v>502</v>
      </c>
      <c r="F1113" s="126">
        <v>622</v>
      </c>
      <c r="G1113" s="69">
        <v>1100</v>
      </c>
      <c r="H1113" s="69"/>
      <c r="I1113" s="69">
        <f t="shared" si="235"/>
        <v>1100</v>
      </c>
      <c r="J1113" s="69"/>
      <c r="K1113" s="84">
        <f t="shared" si="249"/>
        <v>1100</v>
      </c>
      <c r="L1113" s="13"/>
      <c r="M1113" s="84">
        <f t="shared" si="250"/>
        <v>1100</v>
      </c>
      <c r="N1113" s="13"/>
      <c r="O1113" s="84">
        <f t="shared" si="251"/>
        <v>1100</v>
      </c>
      <c r="P1113" s="13"/>
      <c r="Q1113" s="84">
        <f t="shared" si="243"/>
        <v>1100</v>
      </c>
      <c r="R1113" s="13"/>
      <c r="S1113" s="84">
        <f t="shared" si="241"/>
        <v>1100</v>
      </c>
      <c r="T1113" s="13"/>
      <c r="U1113" s="84">
        <f t="shared" si="239"/>
        <v>1100</v>
      </c>
    </row>
    <row r="1114" spans="1:21">
      <c r="A1114" s="61" t="str">
        <f ca="1">IF(ISERROR(MATCH(E1114,Код_КЦСР,0)),"",INDIRECT(ADDRESS(MATCH(E1114,Код_КЦСР,0)+1,2,,,"КЦСР")))</f>
        <v>Формирование постиндустриального образа города Череповца</v>
      </c>
      <c r="B1114" s="126">
        <v>808</v>
      </c>
      <c r="C1114" s="8" t="s">
        <v>220</v>
      </c>
      <c r="D1114" s="8" t="s">
        <v>214</v>
      </c>
      <c r="E1114" s="126" t="s">
        <v>504</v>
      </c>
      <c r="F1114" s="126"/>
      <c r="G1114" s="69">
        <f>G1115+G1119</f>
        <v>2730</v>
      </c>
      <c r="H1114" s="69">
        <f>H1115+H1119</f>
        <v>0</v>
      </c>
      <c r="I1114" s="69">
        <f t="shared" si="235"/>
        <v>2730</v>
      </c>
      <c r="J1114" s="69">
        <f>J1115+J1119</f>
        <v>0</v>
      </c>
      <c r="K1114" s="84">
        <f t="shared" si="249"/>
        <v>2730</v>
      </c>
      <c r="L1114" s="13">
        <f>L1115+L1119</f>
        <v>0</v>
      </c>
      <c r="M1114" s="84">
        <f t="shared" si="250"/>
        <v>2730</v>
      </c>
      <c r="N1114" s="13">
        <f>N1115+N1119</f>
        <v>0</v>
      </c>
      <c r="O1114" s="84">
        <f t="shared" si="251"/>
        <v>2730</v>
      </c>
      <c r="P1114" s="13">
        <f>P1115+P1119</f>
        <v>0</v>
      </c>
      <c r="Q1114" s="84">
        <f t="shared" si="243"/>
        <v>2730</v>
      </c>
      <c r="R1114" s="13">
        <f>R1115+R1119</f>
        <v>0</v>
      </c>
      <c r="S1114" s="84">
        <f t="shared" si="241"/>
        <v>2730</v>
      </c>
      <c r="T1114" s="13">
        <f>T1115+T1119</f>
        <v>0</v>
      </c>
      <c r="U1114" s="84">
        <f t="shared" si="239"/>
        <v>2730</v>
      </c>
    </row>
    <row r="1115" spans="1:21" ht="76.5" customHeight="1">
      <c r="A1115" s="61" t="str">
        <f ca="1">IF(ISERROR(MATCH(E1115,Код_КЦСР,0)),"",INDIRECT(ADDRESS(MATCH(E1115,Код_КЦСР,0)+1,2,,,"КЦСР")))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1115" s="126">
        <v>808</v>
      </c>
      <c r="C1115" s="8" t="s">
        <v>220</v>
      </c>
      <c r="D1115" s="8" t="s">
        <v>214</v>
      </c>
      <c r="E1115" s="126" t="s">
        <v>506</v>
      </c>
      <c r="F1115" s="126"/>
      <c r="G1115" s="69">
        <f t="shared" ref="G1115:T1117" si="252">G1116</f>
        <v>2570</v>
      </c>
      <c r="H1115" s="69">
        <f t="shared" si="252"/>
        <v>0</v>
      </c>
      <c r="I1115" s="69">
        <f t="shared" si="235"/>
        <v>2570</v>
      </c>
      <c r="J1115" s="69">
        <f t="shared" si="252"/>
        <v>0</v>
      </c>
      <c r="K1115" s="84">
        <f t="shared" si="249"/>
        <v>2570</v>
      </c>
      <c r="L1115" s="13">
        <f t="shared" si="252"/>
        <v>0</v>
      </c>
      <c r="M1115" s="84">
        <f t="shared" si="250"/>
        <v>2570</v>
      </c>
      <c r="N1115" s="13">
        <f t="shared" si="252"/>
        <v>0</v>
      </c>
      <c r="O1115" s="84">
        <f t="shared" si="251"/>
        <v>2570</v>
      </c>
      <c r="P1115" s="13">
        <f t="shared" si="252"/>
        <v>0</v>
      </c>
      <c r="Q1115" s="84">
        <f t="shared" si="243"/>
        <v>2570</v>
      </c>
      <c r="R1115" s="13">
        <f t="shared" si="252"/>
        <v>0</v>
      </c>
      <c r="S1115" s="84">
        <f t="shared" si="241"/>
        <v>2570</v>
      </c>
      <c r="T1115" s="13">
        <f t="shared" si="252"/>
        <v>0</v>
      </c>
      <c r="U1115" s="84">
        <f t="shared" si="239"/>
        <v>2570</v>
      </c>
    </row>
    <row r="1116" spans="1:21" ht="33">
      <c r="A1116" s="61" t="str">
        <f ca="1">IF(ISERROR(MATCH(F1116,Код_КВР,0)),"",INDIRECT(ADDRESS(MATCH(F1116,Код_КВР,0)+1,2,,,"КВР")))</f>
        <v>Предоставление субсидий бюджетным, автономным учреждениям и иным некоммерческим организациям</v>
      </c>
      <c r="B1116" s="126">
        <v>808</v>
      </c>
      <c r="C1116" s="8" t="s">
        <v>220</v>
      </c>
      <c r="D1116" s="8" t="s">
        <v>214</v>
      </c>
      <c r="E1116" s="126" t="s">
        <v>506</v>
      </c>
      <c r="F1116" s="126">
        <v>600</v>
      </c>
      <c r="G1116" s="69">
        <f t="shared" si="252"/>
        <v>2570</v>
      </c>
      <c r="H1116" s="69">
        <f t="shared" si="252"/>
        <v>0</v>
      </c>
      <c r="I1116" s="69">
        <f t="shared" si="235"/>
        <v>2570</v>
      </c>
      <c r="J1116" s="69">
        <f t="shared" si="252"/>
        <v>0</v>
      </c>
      <c r="K1116" s="84">
        <f t="shared" si="249"/>
        <v>2570</v>
      </c>
      <c r="L1116" s="13">
        <f t="shared" si="252"/>
        <v>0</v>
      </c>
      <c r="M1116" s="84">
        <f t="shared" si="250"/>
        <v>2570</v>
      </c>
      <c r="N1116" s="13">
        <f t="shared" si="252"/>
        <v>0</v>
      </c>
      <c r="O1116" s="84">
        <f t="shared" si="251"/>
        <v>2570</v>
      </c>
      <c r="P1116" s="13">
        <f t="shared" si="252"/>
        <v>0</v>
      </c>
      <c r="Q1116" s="84">
        <f t="shared" si="243"/>
        <v>2570</v>
      </c>
      <c r="R1116" s="13">
        <f t="shared" si="252"/>
        <v>0</v>
      </c>
      <c r="S1116" s="84">
        <f t="shared" si="241"/>
        <v>2570</v>
      </c>
      <c r="T1116" s="13">
        <f t="shared" si="252"/>
        <v>0</v>
      </c>
      <c r="U1116" s="84">
        <f t="shared" si="239"/>
        <v>2570</v>
      </c>
    </row>
    <row r="1117" spans="1:21">
      <c r="A1117" s="61" t="str">
        <f ca="1">IF(ISERROR(MATCH(F1117,Код_КВР,0)),"",INDIRECT(ADDRESS(MATCH(F1117,Код_КВР,0)+1,2,,,"КВР")))</f>
        <v>Субсидии бюджетным учреждениям</v>
      </c>
      <c r="B1117" s="126">
        <v>808</v>
      </c>
      <c r="C1117" s="8" t="s">
        <v>220</v>
      </c>
      <c r="D1117" s="8" t="s">
        <v>214</v>
      </c>
      <c r="E1117" s="126" t="s">
        <v>506</v>
      </c>
      <c r="F1117" s="126">
        <v>610</v>
      </c>
      <c r="G1117" s="69">
        <f t="shared" si="252"/>
        <v>2570</v>
      </c>
      <c r="H1117" s="69">
        <f t="shared" si="252"/>
        <v>0</v>
      </c>
      <c r="I1117" s="69">
        <f t="shared" si="235"/>
        <v>2570</v>
      </c>
      <c r="J1117" s="69">
        <f t="shared" si="252"/>
        <v>0</v>
      </c>
      <c r="K1117" s="84">
        <f t="shared" si="249"/>
        <v>2570</v>
      </c>
      <c r="L1117" s="13">
        <f t="shared" si="252"/>
        <v>0</v>
      </c>
      <c r="M1117" s="84">
        <f t="shared" si="250"/>
        <v>2570</v>
      </c>
      <c r="N1117" s="13">
        <f t="shared" si="252"/>
        <v>0</v>
      </c>
      <c r="O1117" s="84">
        <f t="shared" si="251"/>
        <v>2570</v>
      </c>
      <c r="P1117" s="13">
        <f t="shared" si="252"/>
        <v>0</v>
      </c>
      <c r="Q1117" s="84">
        <f t="shared" si="243"/>
        <v>2570</v>
      </c>
      <c r="R1117" s="13">
        <f t="shared" si="252"/>
        <v>0</v>
      </c>
      <c r="S1117" s="84">
        <f t="shared" si="241"/>
        <v>2570</v>
      </c>
      <c r="T1117" s="13">
        <f t="shared" si="252"/>
        <v>0</v>
      </c>
      <c r="U1117" s="84">
        <f t="shared" si="239"/>
        <v>2570</v>
      </c>
    </row>
    <row r="1118" spans="1:21">
      <c r="A1118" s="61" t="str">
        <f ca="1">IF(ISERROR(MATCH(F1118,Код_КВР,0)),"",INDIRECT(ADDRESS(MATCH(F1118,Код_КВР,0)+1,2,,,"КВР")))</f>
        <v>Субсидии бюджетным учреждениям на иные цели</v>
      </c>
      <c r="B1118" s="126">
        <v>808</v>
      </c>
      <c r="C1118" s="8" t="s">
        <v>220</v>
      </c>
      <c r="D1118" s="8" t="s">
        <v>214</v>
      </c>
      <c r="E1118" s="126" t="s">
        <v>506</v>
      </c>
      <c r="F1118" s="126">
        <v>612</v>
      </c>
      <c r="G1118" s="69">
        <v>2570</v>
      </c>
      <c r="H1118" s="69"/>
      <c r="I1118" s="69">
        <f t="shared" si="235"/>
        <v>2570</v>
      </c>
      <c r="J1118" s="69"/>
      <c r="K1118" s="84">
        <f t="shared" si="249"/>
        <v>2570</v>
      </c>
      <c r="L1118" s="13"/>
      <c r="M1118" s="84">
        <f t="shared" si="250"/>
        <v>2570</v>
      </c>
      <c r="N1118" s="13"/>
      <c r="O1118" s="84">
        <f t="shared" si="251"/>
        <v>2570</v>
      </c>
      <c r="P1118" s="13"/>
      <c r="Q1118" s="84">
        <f t="shared" si="243"/>
        <v>2570</v>
      </c>
      <c r="R1118" s="13"/>
      <c r="S1118" s="84">
        <f t="shared" si="241"/>
        <v>2570</v>
      </c>
      <c r="T1118" s="13"/>
      <c r="U1118" s="84">
        <f t="shared" si="239"/>
        <v>2570</v>
      </c>
    </row>
    <row r="1119" spans="1:21" ht="87" customHeight="1">
      <c r="A1119" s="61" t="str">
        <f ca="1">IF(ISERROR(MATCH(E1119,Код_КЦСР,0)),"",INDIRECT(ADDRESS(MATCH(E1119,Код_КЦСР,0)+1,2,,,"КЦСР")))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v>
      </c>
      <c r="B1119" s="126">
        <v>808</v>
      </c>
      <c r="C1119" s="8" t="s">
        <v>220</v>
      </c>
      <c r="D1119" s="8" t="s">
        <v>214</v>
      </c>
      <c r="E1119" s="126" t="s">
        <v>507</v>
      </c>
      <c r="F1119" s="126"/>
      <c r="G1119" s="69">
        <f t="shared" ref="G1119:T1121" si="253">G1120</f>
        <v>160</v>
      </c>
      <c r="H1119" s="69">
        <f t="shared" si="253"/>
        <v>0</v>
      </c>
      <c r="I1119" s="69">
        <f t="shared" si="235"/>
        <v>160</v>
      </c>
      <c r="J1119" s="69">
        <f t="shared" si="253"/>
        <v>0</v>
      </c>
      <c r="K1119" s="84">
        <f t="shared" si="249"/>
        <v>160</v>
      </c>
      <c r="L1119" s="13">
        <f t="shared" si="253"/>
        <v>0</v>
      </c>
      <c r="M1119" s="84">
        <f t="shared" si="250"/>
        <v>160</v>
      </c>
      <c r="N1119" s="13">
        <f t="shared" si="253"/>
        <v>0</v>
      </c>
      <c r="O1119" s="84">
        <f t="shared" si="251"/>
        <v>160</v>
      </c>
      <c r="P1119" s="13">
        <f t="shared" si="253"/>
        <v>0</v>
      </c>
      <c r="Q1119" s="84">
        <f t="shared" si="243"/>
        <v>160</v>
      </c>
      <c r="R1119" s="13">
        <f t="shared" si="253"/>
        <v>0</v>
      </c>
      <c r="S1119" s="84">
        <f t="shared" si="241"/>
        <v>160</v>
      </c>
      <c r="T1119" s="13">
        <f t="shared" si="253"/>
        <v>0</v>
      </c>
      <c r="U1119" s="84">
        <f t="shared" si="239"/>
        <v>160</v>
      </c>
    </row>
    <row r="1120" spans="1:21" ht="33">
      <c r="A1120" s="61" t="str">
        <f ca="1">IF(ISERROR(MATCH(F1120,Код_КВР,0)),"",INDIRECT(ADDRESS(MATCH(F1120,Код_КВР,0)+1,2,,,"КВР")))</f>
        <v>Предоставление субсидий бюджетным, автономным учреждениям и иным некоммерческим организациям</v>
      </c>
      <c r="B1120" s="126">
        <v>808</v>
      </c>
      <c r="C1120" s="8" t="s">
        <v>220</v>
      </c>
      <c r="D1120" s="8" t="s">
        <v>214</v>
      </c>
      <c r="E1120" s="126" t="s">
        <v>507</v>
      </c>
      <c r="F1120" s="126">
        <v>600</v>
      </c>
      <c r="G1120" s="69">
        <f t="shared" si="253"/>
        <v>160</v>
      </c>
      <c r="H1120" s="69">
        <f t="shared" si="253"/>
        <v>0</v>
      </c>
      <c r="I1120" s="69">
        <f t="shared" ref="I1120:I1204" si="254">G1120+H1120</f>
        <v>160</v>
      </c>
      <c r="J1120" s="69">
        <f t="shared" si="253"/>
        <v>0</v>
      </c>
      <c r="K1120" s="84">
        <f t="shared" si="249"/>
        <v>160</v>
      </c>
      <c r="L1120" s="13">
        <f t="shared" si="253"/>
        <v>0</v>
      </c>
      <c r="M1120" s="84">
        <f t="shared" si="250"/>
        <v>160</v>
      </c>
      <c r="N1120" s="13">
        <f t="shared" si="253"/>
        <v>0</v>
      </c>
      <c r="O1120" s="84">
        <f t="shared" si="251"/>
        <v>160</v>
      </c>
      <c r="P1120" s="13">
        <f t="shared" si="253"/>
        <v>0</v>
      </c>
      <c r="Q1120" s="84">
        <f t="shared" si="243"/>
        <v>160</v>
      </c>
      <c r="R1120" s="13">
        <f t="shared" si="253"/>
        <v>0</v>
      </c>
      <c r="S1120" s="84">
        <f t="shared" si="241"/>
        <v>160</v>
      </c>
      <c r="T1120" s="13">
        <f t="shared" si="253"/>
        <v>0</v>
      </c>
      <c r="U1120" s="84">
        <f t="shared" si="239"/>
        <v>160</v>
      </c>
    </row>
    <row r="1121" spans="1:22">
      <c r="A1121" s="61" t="str">
        <f ca="1">IF(ISERROR(MATCH(F1121,Код_КВР,0)),"",INDIRECT(ADDRESS(MATCH(F1121,Код_КВР,0)+1,2,,,"КВР")))</f>
        <v>Субсидии бюджетным учреждениям</v>
      </c>
      <c r="B1121" s="126">
        <v>808</v>
      </c>
      <c r="C1121" s="8" t="s">
        <v>220</v>
      </c>
      <c r="D1121" s="8" t="s">
        <v>214</v>
      </c>
      <c r="E1121" s="126" t="s">
        <v>507</v>
      </c>
      <c r="F1121" s="126">
        <v>610</v>
      </c>
      <c r="G1121" s="69">
        <f t="shared" si="253"/>
        <v>160</v>
      </c>
      <c r="H1121" s="69">
        <f t="shared" si="253"/>
        <v>0</v>
      </c>
      <c r="I1121" s="69">
        <f t="shared" si="254"/>
        <v>160</v>
      </c>
      <c r="J1121" s="69">
        <f t="shared" si="253"/>
        <v>0</v>
      </c>
      <c r="K1121" s="84">
        <f t="shared" si="249"/>
        <v>160</v>
      </c>
      <c r="L1121" s="13">
        <f t="shared" si="253"/>
        <v>0</v>
      </c>
      <c r="M1121" s="84">
        <f t="shared" si="250"/>
        <v>160</v>
      </c>
      <c r="N1121" s="13">
        <f t="shared" si="253"/>
        <v>0</v>
      </c>
      <c r="O1121" s="84">
        <f t="shared" si="251"/>
        <v>160</v>
      </c>
      <c r="P1121" s="13">
        <f t="shared" si="253"/>
        <v>0</v>
      </c>
      <c r="Q1121" s="84">
        <f t="shared" si="243"/>
        <v>160</v>
      </c>
      <c r="R1121" s="13">
        <f t="shared" si="253"/>
        <v>0</v>
      </c>
      <c r="S1121" s="84">
        <f t="shared" si="241"/>
        <v>160</v>
      </c>
      <c r="T1121" s="13">
        <f t="shared" si="253"/>
        <v>0</v>
      </c>
      <c r="U1121" s="84">
        <f t="shared" si="239"/>
        <v>160</v>
      </c>
    </row>
    <row r="1122" spans="1:22">
      <c r="A1122" s="61" t="str">
        <f ca="1">IF(ISERROR(MATCH(F1122,Код_КВР,0)),"",INDIRECT(ADDRESS(MATCH(F1122,Код_КВР,0)+1,2,,,"КВР")))</f>
        <v>Субсидии бюджетным учреждениям на иные цели</v>
      </c>
      <c r="B1122" s="126">
        <v>808</v>
      </c>
      <c r="C1122" s="8" t="s">
        <v>220</v>
      </c>
      <c r="D1122" s="8" t="s">
        <v>214</v>
      </c>
      <c r="E1122" s="126" t="s">
        <v>507</v>
      </c>
      <c r="F1122" s="126">
        <v>612</v>
      </c>
      <c r="G1122" s="69">
        <v>160</v>
      </c>
      <c r="H1122" s="69"/>
      <c r="I1122" s="69">
        <f t="shared" si="254"/>
        <v>160</v>
      </c>
      <c r="J1122" s="69"/>
      <c r="K1122" s="84">
        <f t="shared" si="249"/>
        <v>160</v>
      </c>
      <c r="L1122" s="13"/>
      <c r="M1122" s="84">
        <f t="shared" si="250"/>
        <v>160</v>
      </c>
      <c r="N1122" s="13"/>
      <c r="O1122" s="84">
        <f t="shared" si="251"/>
        <v>160</v>
      </c>
      <c r="P1122" s="13"/>
      <c r="Q1122" s="84">
        <f t="shared" si="243"/>
        <v>160</v>
      </c>
      <c r="R1122" s="13"/>
      <c r="S1122" s="84">
        <f t="shared" si="241"/>
        <v>160</v>
      </c>
      <c r="T1122" s="13"/>
      <c r="U1122" s="84">
        <f t="shared" si="239"/>
        <v>160</v>
      </c>
    </row>
    <row r="1123" spans="1:22" ht="33">
      <c r="A1123" s="61" t="str">
        <f ca="1">IF(ISERROR(MATCH(E1123,Код_КЦСР,0)),"",INDIRECT(ADDRESS(MATCH(E1123,Код_КЦСР,0)+1,2,,,"КЦСР")))</f>
        <v>Работа по организации и ведению бухгалтерского (бюджетного) учета и отчетности</v>
      </c>
      <c r="B1123" s="126">
        <v>808</v>
      </c>
      <c r="C1123" s="8" t="s">
        <v>220</v>
      </c>
      <c r="D1123" s="8" t="s">
        <v>214</v>
      </c>
      <c r="E1123" s="126" t="s">
        <v>518</v>
      </c>
      <c r="F1123" s="126"/>
      <c r="G1123" s="69">
        <f t="shared" ref="G1123:T1125" si="255">G1124</f>
        <v>7747.3</v>
      </c>
      <c r="H1123" s="69">
        <f t="shared" si="255"/>
        <v>0</v>
      </c>
      <c r="I1123" s="69">
        <f t="shared" si="254"/>
        <v>7747.3</v>
      </c>
      <c r="J1123" s="69">
        <f t="shared" si="255"/>
        <v>0</v>
      </c>
      <c r="K1123" s="84">
        <f t="shared" si="249"/>
        <v>7747.3</v>
      </c>
      <c r="L1123" s="13">
        <f t="shared" si="255"/>
        <v>-1.8</v>
      </c>
      <c r="M1123" s="84">
        <f t="shared" si="250"/>
        <v>7745.5</v>
      </c>
      <c r="N1123" s="13">
        <f t="shared" si="255"/>
        <v>0</v>
      </c>
      <c r="O1123" s="84">
        <f t="shared" si="251"/>
        <v>7745.5</v>
      </c>
      <c r="P1123" s="13">
        <f t="shared" si="255"/>
        <v>0</v>
      </c>
      <c r="Q1123" s="84">
        <f t="shared" si="243"/>
        <v>7745.5</v>
      </c>
      <c r="R1123" s="13">
        <f t="shared" si="255"/>
        <v>0</v>
      </c>
      <c r="S1123" s="84">
        <f t="shared" si="241"/>
        <v>7745.5</v>
      </c>
      <c r="T1123" s="13">
        <f t="shared" si="255"/>
        <v>-141.9</v>
      </c>
      <c r="U1123" s="84">
        <f t="shared" si="239"/>
        <v>7603.6</v>
      </c>
    </row>
    <row r="1124" spans="1:22" ht="33">
      <c r="A1124" s="61" t="str">
        <f ca="1">IF(ISERROR(MATCH(F1124,Код_КВР,0)),"",INDIRECT(ADDRESS(MATCH(F1124,Код_КВР,0)+1,2,,,"КВР")))</f>
        <v>Предоставление субсидий бюджетным, автономным учреждениям и иным некоммерческим организациям</v>
      </c>
      <c r="B1124" s="126">
        <v>808</v>
      </c>
      <c r="C1124" s="8" t="s">
        <v>220</v>
      </c>
      <c r="D1124" s="8" t="s">
        <v>214</v>
      </c>
      <c r="E1124" s="126" t="s">
        <v>518</v>
      </c>
      <c r="F1124" s="126">
        <v>600</v>
      </c>
      <c r="G1124" s="69">
        <f t="shared" si="255"/>
        <v>7747.3</v>
      </c>
      <c r="H1124" s="69">
        <f t="shared" si="255"/>
        <v>0</v>
      </c>
      <c r="I1124" s="69">
        <f t="shared" si="254"/>
        <v>7747.3</v>
      </c>
      <c r="J1124" s="69">
        <f t="shared" si="255"/>
        <v>0</v>
      </c>
      <c r="K1124" s="84">
        <f t="shared" si="249"/>
        <v>7747.3</v>
      </c>
      <c r="L1124" s="13">
        <f t="shared" si="255"/>
        <v>-1.8</v>
      </c>
      <c r="M1124" s="84">
        <f t="shared" si="250"/>
        <v>7745.5</v>
      </c>
      <c r="N1124" s="13">
        <f t="shared" si="255"/>
        <v>0</v>
      </c>
      <c r="O1124" s="84">
        <f t="shared" si="251"/>
        <v>7745.5</v>
      </c>
      <c r="P1124" s="13">
        <f t="shared" si="255"/>
        <v>0</v>
      </c>
      <c r="Q1124" s="84">
        <f t="shared" si="243"/>
        <v>7745.5</v>
      </c>
      <c r="R1124" s="13">
        <f t="shared" si="255"/>
        <v>0</v>
      </c>
      <c r="S1124" s="84">
        <f t="shared" si="241"/>
        <v>7745.5</v>
      </c>
      <c r="T1124" s="13">
        <f t="shared" si="255"/>
        <v>-141.9</v>
      </c>
      <c r="U1124" s="84">
        <f t="shared" si="239"/>
        <v>7603.6</v>
      </c>
    </row>
    <row r="1125" spans="1:22">
      <c r="A1125" s="61" t="str">
        <f ca="1">IF(ISERROR(MATCH(F1125,Код_КВР,0)),"",INDIRECT(ADDRESS(MATCH(F1125,Код_КВР,0)+1,2,,,"КВР")))</f>
        <v>Субсидии бюджетным учреждениям</v>
      </c>
      <c r="B1125" s="126">
        <v>808</v>
      </c>
      <c r="C1125" s="8" t="s">
        <v>220</v>
      </c>
      <c r="D1125" s="8" t="s">
        <v>214</v>
      </c>
      <c r="E1125" s="126" t="s">
        <v>518</v>
      </c>
      <c r="F1125" s="126">
        <v>610</v>
      </c>
      <c r="G1125" s="69">
        <f t="shared" si="255"/>
        <v>7747.3</v>
      </c>
      <c r="H1125" s="69">
        <f t="shared" si="255"/>
        <v>0</v>
      </c>
      <c r="I1125" s="69">
        <f t="shared" si="254"/>
        <v>7747.3</v>
      </c>
      <c r="J1125" s="69">
        <f t="shared" si="255"/>
        <v>0</v>
      </c>
      <c r="K1125" s="84">
        <f t="shared" si="249"/>
        <v>7747.3</v>
      </c>
      <c r="L1125" s="13">
        <f t="shared" si="255"/>
        <v>-1.8</v>
      </c>
      <c r="M1125" s="84">
        <f t="shared" si="250"/>
        <v>7745.5</v>
      </c>
      <c r="N1125" s="13">
        <f t="shared" si="255"/>
        <v>0</v>
      </c>
      <c r="O1125" s="84">
        <f t="shared" si="251"/>
        <v>7745.5</v>
      </c>
      <c r="P1125" s="13">
        <f t="shared" si="255"/>
        <v>0</v>
      </c>
      <c r="Q1125" s="84">
        <f t="shared" si="243"/>
        <v>7745.5</v>
      </c>
      <c r="R1125" s="13">
        <f t="shared" si="255"/>
        <v>0</v>
      </c>
      <c r="S1125" s="84">
        <f t="shared" si="241"/>
        <v>7745.5</v>
      </c>
      <c r="T1125" s="13">
        <f t="shared" si="255"/>
        <v>-141.9</v>
      </c>
      <c r="U1125" s="84">
        <f t="shared" si="239"/>
        <v>7603.6</v>
      </c>
    </row>
    <row r="1126" spans="1:22" ht="49.5">
      <c r="A1126" s="61" t="str">
        <f ca="1">IF(ISERROR(MATCH(F1126,Код_КВР,0)),"",INDIRECT(ADDRESS(MATCH(F1126,Код_КВР,0)+1,2,,,"КВР")))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26" s="126">
        <v>808</v>
      </c>
      <c r="C1126" s="8" t="s">
        <v>220</v>
      </c>
      <c r="D1126" s="8" t="s">
        <v>214</v>
      </c>
      <c r="E1126" s="126" t="s">
        <v>518</v>
      </c>
      <c r="F1126" s="126">
        <v>611</v>
      </c>
      <c r="G1126" s="69">
        <v>7747.3</v>
      </c>
      <c r="H1126" s="69"/>
      <c r="I1126" s="69">
        <f t="shared" si="254"/>
        <v>7747.3</v>
      </c>
      <c r="J1126" s="69"/>
      <c r="K1126" s="84">
        <f t="shared" si="249"/>
        <v>7747.3</v>
      </c>
      <c r="L1126" s="13">
        <v>-1.8</v>
      </c>
      <c r="M1126" s="84">
        <f t="shared" si="250"/>
        <v>7745.5</v>
      </c>
      <c r="N1126" s="13"/>
      <c r="O1126" s="84">
        <f t="shared" si="251"/>
        <v>7745.5</v>
      </c>
      <c r="P1126" s="13"/>
      <c r="Q1126" s="84">
        <f t="shared" si="243"/>
        <v>7745.5</v>
      </c>
      <c r="R1126" s="13"/>
      <c r="S1126" s="84">
        <f t="shared" si="241"/>
        <v>7745.5</v>
      </c>
      <c r="T1126" s="13">
        <v>-141.9</v>
      </c>
      <c r="U1126" s="84">
        <f t="shared" si="239"/>
        <v>7603.6</v>
      </c>
    </row>
    <row r="1127" spans="1:22" ht="33">
      <c r="A1127" s="61" t="str">
        <f ca="1">IF(ISERROR(MATCH(E1127,Код_КЦСР,0)),"",INDIRECT(ADDRESS(MATCH(E1127,Код_КЦСР,0)+1,2,,,"КЦСР")))</f>
        <v>Муниципальная программа «Охрана окружающей среды» на 2013-2022 годы</v>
      </c>
      <c r="B1127" s="126">
        <v>808</v>
      </c>
      <c r="C1127" s="8" t="s">
        <v>220</v>
      </c>
      <c r="D1127" s="8" t="s">
        <v>214</v>
      </c>
      <c r="E1127" s="126" t="s">
        <v>535</v>
      </c>
      <c r="F1127" s="126"/>
      <c r="G1127" s="69">
        <f t="shared" ref="G1127:T1130" si="256">G1128</f>
        <v>10</v>
      </c>
      <c r="H1127" s="69">
        <f t="shared" si="256"/>
        <v>0</v>
      </c>
      <c r="I1127" s="69">
        <f t="shared" si="254"/>
        <v>10</v>
      </c>
      <c r="J1127" s="69">
        <f t="shared" si="256"/>
        <v>0</v>
      </c>
      <c r="K1127" s="84">
        <f t="shared" si="249"/>
        <v>10</v>
      </c>
      <c r="L1127" s="13">
        <f t="shared" si="256"/>
        <v>0</v>
      </c>
      <c r="M1127" s="84">
        <f t="shared" si="250"/>
        <v>10</v>
      </c>
      <c r="N1127" s="13">
        <f t="shared" si="256"/>
        <v>0</v>
      </c>
      <c r="O1127" s="84">
        <f t="shared" si="251"/>
        <v>10</v>
      </c>
      <c r="P1127" s="13">
        <f t="shared" si="256"/>
        <v>0</v>
      </c>
      <c r="Q1127" s="84">
        <f t="shared" si="243"/>
        <v>10</v>
      </c>
      <c r="R1127" s="13">
        <f t="shared" si="256"/>
        <v>0</v>
      </c>
      <c r="S1127" s="84">
        <f t="shared" si="241"/>
        <v>10</v>
      </c>
      <c r="T1127" s="13">
        <f t="shared" si="256"/>
        <v>0</v>
      </c>
      <c r="U1127" s="84">
        <f t="shared" si="239"/>
        <v>10</v>
      </c>
    </row>
    <row r="1128" spans="1:22" ht="33">
      <c r="A1128" s="61" t="str">
        <f ca="1">IF(ISERROR(MATCH(E1128,Код_КЦСР,0)),"",INDIRECT(ADDRESS(MATCH(E1128,Код_КЦСР,0)+1,2,,,"КЦСР")))</f>
        <v>Организация мероприятий по экологическому образованию и воспитанию населения</v>
      </c>
      <c r="B1128" s="126">
        <v>808</v>
      </c>
      <c r="C1128" s="8" t="s">
        <v>220</v>
      </c>
      <c r="D1128" s="8" t="s">
        <v>214</v>
      </c>
      <c r="E1128" s="126" t="s">
        <v>539</v>
      </c>
      <c r="F1128" s="126"/>
      <c r="G1128" s="69">
        <f t="shared" si="256"/>
        <v>10</v>
      </c>
      <c r="H1128" s="69">
        <f t="shared" si="256"/>
        <v>0</v>
      </c>
      <c r="I1128" s="69">
        <f t="shared" si="254"/>
        <v>10</v>
      </c>
      <c r="J1128" s="69">
        <f t="shared" si="256"/>
        <v>0</v>
      </c>
      <c r="K1128" s="84">
        <f t="shared" si="249"/>
        <v>10</v>
      </c>
      <c r="L1128" s="13">
        <f t="shared" si="256"/>
        <v>0</v>
      </c>
      <c r="M1128" s="84">
        <f t="shared" si="250"/>
        <v>10</v>
      </c>
      <c r="N1128" s="13">
        <f t="shared" si="256"/>
        <v>0</v>
      </c>
      <c r="O1128" s="84">
        <f t="shared" si="251"/>
        <v>10</v>
      </c>
      <c r="P1128" s="13">
        <f t="shared" si="256"/>
        <v>0</v>
      </c>
      <c r="Q1128" s="84">
        <f t="shared" si="243"/>
        <v>10</v>
      </c>
      <c r="R1128" s="13">
        <f t="shared" si="256"/>
        <v>0</v>
      </c>
      <c r="S1128" s="84">
        <f t="shared" si="241"/>
        <v>10</v>
      </c>
      <c r="T1128" s="13">
        <f t="shared" si="256"/>
        <v>0</v>
      </c>
      <c r="U1128" s="84">
        <f t="shared" si="239"/>
        <v>10</v>
      </c>
    </row>
    <row r="1129" spans="1:22" ht="33">
      <c r="A1129" s="61" t="str">
        <f ca="1">IF(ISERROR(MATCH(F1129,Код_КВР,0)),"",INDIRECT(ADDRESS(MATCH(F1129,Код_КВР,0)+1,2,,,"КВР")))</f>
        <v>Предоставление субсидий бюджетным, автономным учреждениям и иным некоммерческим организациям</v>
      </c>
      <c r="B1129" s="126">
        <v>808</v>
      </c>
      <c r="C1129" s="8" t="s">
        <v>220</v>
      </c>
      <c r="D1129" s="8" t="s">
        <v>214</v>
      </c>
      <c r="E1129" s="126" t="s">
        <v>539</v>
      </c>
      <c r="F1129" s="126">
        <v>600</v>
      </c>
      <c r="G1129" s="69">
        <f t="shared" si="256"/>
        <v>10</v>
      </c>
      <c r="H1129" s="69">
        <f t="shared" si="256"/>
        <v>0</v>
      </c>
      <c r="I1129" s="69">
        <f t="shared" si="254"/>
        <v>10</v>
      </c>
      <c r="J1129" s="69">
        <f t="shared" si="256"/>
        <v>0</v>
      </c>
      <c r="K1129" s="84">
        <f t="shared" si="249"/>
        <v>10</v>
      </c>
      <c r="L1129" s="13">
        <f t="shared" si="256"/>
        <v>0</v>
      </c>
      <c r="M1129" s="84">
        <f t="shared" si="250"/>
        <v>10</v>
      </c>
      <c r="N1129" s="13">
        <f t="shared" si="256"/>
        <v>0</v>
      </c>
      <c r="O1129" s="84">
        <f t="shared" si="251"/>
        <v>10</v>
      </c>
      <c r="P1129" s="13">
        <f t="shared" si="256"/>
        <v>0</v>
      </c>
      <c r="Q1129" s="84">
        <f t="shared" si="243"/>
        <v>10</v>
      </c>
      <c r="R1129" s="13">
        <f t="shared" si="256"/>
        <v>0</v>
      </c>
      <c r="S1129" s="84">
        <f t="shared" si="241"/>
        <v>10</v>
      </c>
      <c r="T1129" s="13">
        <f t="shared" si="256"/>
        <v>0</v>
      </c>
      <c r="U1129" s="84">
        <f t="shared" si="239"/>
        <v>10</v>
      </c>
    </row>
    <row r="1130" spans="1:22">
      <c r="A1130" s="61" t="str">
        <f ca="1">IF(ISERROR(MATCH(F1130,Код_КВР,0)),"",INDIRECT(ADDRESS(MATCH(F1130,Код_КВР,0)+1,2,,,"КВР")))</f>
        <v>Субсидии бюджетным учреждениям</v>
      </c>
      <c r="B1130" s="126">
        <v>808</v>
      </c>
      <c r="C1130" s="8" t="s">
        <v>220</v>
      </c>
      <c r="D1130" s="8" t="s">
        <v>214</v>
      </c>
      <c r="E1130" s="126" t="s">
        <v>539</v>
      </c>
      <c r="F1130" s="126">
        <v>610</v>
      </c>
      <c r="G1130" s="69">
        <f t="shared" si="256"/>
        <v>10</v>
      </c>
      <c r="H1130" s="69">
        <f t="shared" si="256"/>
        <v>0</v>
      </c>
      <c r="I1130" s="69">
        <f t="shared" si="254"/>
        <v>10</v>
      </c>
      <c r="J1130" s="69">
        <f t="shared" si="256"/>
        <v>0</v>
      </c>
      <c r="K1130" s="84">
        <f t="shared" si="249"/>
        <v>10</v>
      </c>
      <c r="L1130" s="13">
        <f t="shared" si="256"/>
        <v>0</v>
      </c>
      <c r="M1130" s="84">
        <f t="shared" si="250"/>
        <v>10</v>
      </c>
      <c r="N1130" s="13">
        <f t="shared" si="256"/>
        <v>0</v>
      </c>
      <c r="O1130" s="84">
        <f t="shared" si="251"/>
        <v>10</v>
      </c>
      <c r="P1130" s="13">
        <f t="shared" si="256"/>
        <v>0</v>
      </c>
      <c r="Q1130" s="84">
        <f t="shared" si="243"/>
        <v>10</v>
      </c>
      <c r="R1130" s="13">
        <f t="shared" si="256"/>
        <v>0</v>
      </c>
      <c r="S1130" s="84">
        <f t="shared" si="241"/>
        <v>10</v>
      </c>
      <c r="T1130" s="13">
        <f t="shared" si="256"/>
        <v>0</v>
      </c>
      <c r="U1130" s="84">
        <f t="shared" si="239"/>
        <v>10</v>
      </c>
    </row>
    <row r="1131" spans="1:22">
      <c r="A1131" s="61" t="str">
        <f ca="1">IF(ISERROR(MATCH(F1131,Код_КВР,0)),"",INDIRECT(ADDRESS(MATCH(F1131,Код_КВР,0)+1,2,,,"КВР")))</f>
        <v>Субсидии бюджетным учреждениям на иные цели</v>
      </c>
      <c r="B1131" s="126">
        <v>808</v>
      </c>
      <c r="C1131" s="8" t="s">
        <v>220</v>
      </c>
      <c r="D1131" s="8" t="s">
        <v>214</v>
      </c>
      <c r="E1131" s="126" t="s">
        <v>539</v>
      </c>
      <c r="F1131" s="126">
        <v>612</v>
      </c>
      <c r="G1131" s="69">
        <v>10</v>
      </c>
      <c r="H1131" s="69"/>
      <c r="I1131" s="69">
        <f t="shared" si="254"/>
        <v>10</v>
      </c>
      <c r="J1131" s="69"/>
      <c r="K1131" s="84">
        <f t="shared" si="249"/>
        <v>10</v>
      </c>
      <c r="L1131" s="13"/>
      <c r="M1131" s="84">
        <f t="shared" si="250"/>
        <v>10</v>
      </c>
      <c r="N1131" s="13"/>
      <c r="O1131" s="84">
        <f t="shared" si="251"/>
        <v>10</v>
      </c>
      <c r="P1131" s="13"/>
      <c r="Q1131" s="84">
        <f t="shared" si="243"/>
        <v>10</v>
      </c>
      <c r="R1131" s="13"/>
      <c r="S1131" s="84">
        <f t="shared" si="241"/>
        <v>10</v>
      </c>
      <c r="T1131" s="13"/>
      <c r="U1131" s="84">
        <f t="shared" si="239"/>
        <v>10</v>
      </c>
    </row>
    <row r="1132" spans="1:22" hidden="1">
      <c r="A1132" s="61" t="str">
        <f ca="1">IF(ISERROR(MATCH(E1132,Код_КЦСР,0)),"",INDIRECT(ADDRESS(MATCH(E1132,Код_КЦСР,0)+1,2,,,"КЦСР")))</f>
        <v>Муниципальная программа «Здоровый город» на 2014-2022 годы</v>
      </c>
      <c r="B1132" s="100">
        <v>808</v>
      </c>
      <c r="C1132" s="8" t="s">
        <v>220</v>
      </c>
      <c r="D1132" s="8" t="s">
        <v>214</v>
      </c>
      <c r="E1132" s="100" t="s">
        <v>566</v>
      </c>
      <c r="F1132" s="100"/>
      <c r="G1132" s="69">
        <f>G1133+G1137+G1141+G1145</f>
        <v>0</v>
      </c>
      <c r="H1132" s="69">
        <f>H1133+H1137+H1141+H1145</f>
        <v>0</v>
      </c>
      <c r="I1132" s="69">
        <f t="shared" si="254"/>
        <v>0</v>
      </c>
      <c r="J1132" s="69">
        <f>J1133+J1137+J1141+J1145</f>
        <v>0</v>
      </c>
      <c r="K1132" s="84">
        <f t="shared" si="249"/>
        <v>0</v>
      </c>
      <c r="L1132" s="13">
        <f>L1133+L1137+L1141+L1145</f>
        <v>0</v>
      </c>
      <c r="M1132" s="84">
        <f t="shared" si="250"/>
        <v>0</v>
      </c>
      <c r="N1132" s="13">
        <f>N1133+N1137+N1141+N1145</f>
        <v>0</v>
      </c>
      <c r="O1132" s="84">
        <f t="shared" si="251"/>
        <v>0</v>
      </c>
      <c r="P1132" s="13">
        <f>P1133+P1137+P1141+P1145</f>
        <v>0</v>
      </c>
      <c r="Q1132" s="84">
        <f t="shared" si="243"/>
        <v>0</v>
      </c>
      <c r="R1132" s="13">
        <f>R1133+R1137+R1141+R1145</f>
        <v>0</v>
      </c>
      <c r="S1132" s="84">
        <f t="shared" si="241"/>
        <v>0</v>
      </c>
      <c r="T1132" s="13">
        <f>T1133+T1137+T1141+T1145</f>
        <v>0</v>
      </c>
      <c r="U1132" s="84">
        <f t="shared" si="239"/>
        <v>0</v>
      </c>
      <c r="V1132" s="142" t="s">
        <v>706</v>
      </c>
    </row>
    <row r="1133" spans="1:22" hidden="1">
      <c r="A1133" s="61" t="str">
        <f ca="1">IF(ISERROR(MATCH(E1133,Код_КЦСР,0)),"",INDIRECT(ADDRESS(MATCH(E1133,Код_КЦСР,0)+1,2,,,"КЦСР")))</f>
        <v>Сохранение и укрепление здоровья детей и подростков</v>
      </c>
      <c r="B1133" s="100">
        <v>808</v>
      </c>
      <c r="C1133" s="8" t="s">
        <v>220</v>
      </c>
      <c r="D1133" s="8" t="s">
        <v>214</v>
      </c>
      <c r="E1133" s="100" t="s">
        <v>569</v>
      </c>
      <c r="F1133" s="100"/>
      <c r="G1133" s="69">
        <f t="shared" ref="G1133:T1135" si="257">G1134</f>
        <v>0</v>
      </c>
      <c r="H1133" s="69">
        <f t="shared" si="257"/>
        <v>0</v>
      </c>
      <c r="I1133" s="69">
        <f t="shared" si="254"/>
        <v>0</v>
      </c>
      <c r="J1133" s="69">
        <f t="shared" si="257"/>
        <v>0</v>
      </c>
      <c r="K1133" s="84">
        <f t="shared" si="249"/>
        <v>0</v>
      </c>
      <c r="L1133" s="13">
        <f t="shared" si="257"/>
        <v>0</v>
      </c>
      <c r="M1133" s="84">
        <f t="shared" si="250"/>
        <v>0</v>
      </c>
      <c r="N1133" s="13">
        <f t="shared" si="257"/>
        <v>0</v>
      </c>
      <c r="O1133" s="84">
        <f t="shared" si="251"/>
        <v>0</v>
      </c>
      <c r="P1133" s="13">
        <f t="shared" si="257"/>
        <v>0</v>
      </c>
      <c r="Q1133" s="84">
        <f t="shared" si="243"/>
        <v>0</v>
      </c>
      <c r="R1133" s="13">
        <f t="shared" si="257"/>
        <v>0</v>
      </c>
      <c r="S1133" s="84">
        <f t="shared" si="241"/>
        <v>0</v>
      </c>
      <c r="T1133" s="13">
        <f t="shared" si="257"/>
        <v>0</v>
      </c>
      <c r="U1133" s="84">
        <f t="shared" ref="U1133:U1214" si="258">S1133+T1133</f>
        <v>0</v>
      </c>
      <c r="V1133" s="142" t="s">
        <v>706</v>
      </c>
    </row>
    <row r="1134" spans="1:22" ht="33" hidden="1">
      <c r="A1134" s="61" t="str">
        <f ca="1">IF(ISERROR(MATCH(F1134,Код_КВР,0)),"",INDIRECT(ADDRESS(MATCH(F1134,Код_КВР,0)+1,2,,,"КВР")))</f>
        <v>Предоставление субсидий бюджетным, автономным учреждениям и иным некоммерческим организациям</v>
      </c>
      <c r="B1134" s="100">
        <v>808</v>
      </c>
      <c r="C1134" s="8" t="s">
        <v>220</v>
      </c>
      <c r="D1134" s="8" t="s">
        <v>214</v>
      </c>
      <c r="E1134" s="100" t="s">
        <v>569</v>
      </c>
      <c r="F1134" s="100">
        <v>600</v>
      </c>
      <c r="G1134" s="69">
        <f t="shared" si="257"/>
        <v>0</v>
      </c>
      <c r="H1134" s="69">
        <f t="shared" si="257"/>
        <v>0</v>
      </c>
      <c r="I1134" s="69">
        <f t="shared" si="254"/>
        <v>0</v>
      </c>
      <c r="J1134" s="69">
        <f t="shared" si="257"/>
        <v>0</v>
      </c>
      <c r="K1134" s="84">
        <f t="shared" si="249"/>
        <v>0</v>
      </c>
      <c r="L1134" s="13">
        <f t="shared" si="257"/>
        <v>0</v>
      </c>
      <c r="M1134" s="84">
        <f t="shared" si="250"/>
        <v>0</v>
      </c>
      <c r="N1134" s="13">
        <f t="shared" si="257"/>
        <v>0</v>
      </c>
      <c r="O1134" s="84">
        <f t="shared" si="251"/>
        <v>0</v>
      </c>
      <c r="P1134" s="13">
        <f t="shared" si="257"/>
        <v>0</v>
      </c>
      <c r="Q1134" s="84">
        <f t="shared" si="243"/>
        <v>0</v>
      </c>
      <c r="R1134" s="13">
        <f t="shared" si="257"/>
        <v>0</v>
      </c>
      <c r="S1134" s="84">
        <f t="shared" si="241"/>
        <v>0</v>
      </c>
      <c r="T1134" s="13">
        <f t="shared" si="257"/>
        <v>0</v>
      </c>
      <c r="U1134" s="84">
        <f t="shared" si="258"/>
        <v>0</v>
      </c>
      <c r="V1134" s="142" t="s">
        <v>706</v>
      </c>
    </row>
    <row r="1135" spans="1:22" hidden="1">
      <c r="A1135" s="61" t="str">
        <f ca="1">IF(ISERROR(MATCH(F1135,Код_КВР,0)),"",INDIRECT(ADDRESS(MATCH(F1135,Код_КВР,0)+1,2,,,"КВР")))</f>
        <v>Субсидии бюджетным учреждениям</v>
      </c>
      <c r="B1135" s="100">
        <v>808</v>
      </c>
      <c r="C1135" s="8" t="s">
        <v>220</v>
      </c>
      <c r="D1135" s="8" t="s">
        <v>214</v>
      </c>
      <c r="E1135" s="100" t="s">
        <v>569</v>
      </c>
      <c r="F1135" s="100">
        <v>610</v>
      </c>
      <c r="G1135" s="69">
        <f t="shared" si="257"/>
        <v>0</v>
      </c>
      <c r="H1135" s="69">
        <f t="shared" si="257"/>
        <v>0</v>
      </c>
      <c r="I1135" s="69">
        <f t="shared" si="254"/>
        <v>0</v>
      </c>
      <c r="J1135" s="69">
        <f t="shared" si="257"/>
        <v>0</v>
      </c>
      <c r="K1135" s="84">
        <f t="shared" si="249"/>
        <v>0</v>
      </c>
      <c r="L1135" s="13">
        <f t="shared" si="257"/>
        <v>0</v>
      </c>
      <c r="M1135" s="84">
        <f t="shared" si="250"/>
        <v>0</v>
      </c>
      <c r="N1135" s="13">
        <f t="shared" si="257"/>
        <v>0</v>
      </c>
      <c r="O1135" s="84">
        <f t="shared" si="251"/>
        <v>0</v>
      </c>
      <c r="P1135" s="13">
        <f t="shared" si="257"/>
        <v>0</v>
      </c>
      <c r="Q1135" s="84">
        <f t="shared" si="243"/>
        <v>0</v>
      </c>
      <c r="R1135" s="13">
        <f t="shared" si="257"/>
        <v>0</v>
      </c>
      <c r="S1135" s="84">
        <f t="shared" si="241"/>
        <v>0</v>
      </c>
      <c r="T1135" s="13">
        <f t="shared" si="257"/>
        <v>0</v>
      </c>
      <c r="U1135" s="84">
        <f t="shared" si="258"/>
        <v>0</v>
      </c>
      <c r="V1135" s="142" t="s">
        <v>706</v>
      </c>
    </row>
    <row r="1136" spans="1:22" hidden="1">
      <c r="A1136" s="61" t="str">
        <f ca="1">IF(ISERROR(MATCH(F1136,Код_КВР,0)),"",INDIRECT(ADDRESS(MATCH(F1136,Код_КВР,0)+1,2,,,"КВР")))</f>
        <v>Субсидии бюджетным учреждениям на иные цели</v>
      </c>
      <c r="B1136" s="100">
        <v>808</v>
      </c>
      <c r="C1136" s="8" t="s">
        <v>220</v>
      </c>
      <c r="D1136" s="8" t="s">
        <v>214</v>
      </c>
      <c r="E1136" s="100" t="s">
        <v>569</v>
      </c>
      <c r="F1136" s="100">
        <v>612</v>
      </c>
      <c r="G1136" s="69"/>
      <c r="H1136" s="69"/>
      <c r="I1136" s="69">
        <f t="shared" si="254"/>
        <v>0</v>
      </c>
      <c r="J1136" s="69"/>
      <c r="K1136" s="84">
        <f t="shared" si="249"/>
        <v>0</v>
      </c>
      <c r="L1136" s="13"/>
      <c r="M1136" s="84">
        <f t="shared" si="250"/>
        <v>0</v>
      </c>
      <c r="N1136" s="13"/>
      <c r="O1136" s="84">
        <f t="shared" si="251"/>
        <v>0</v>
      </c>
      <c r="P1136" s="13"/>
      <c r="Q1136" s="84">
        <f t="shared" si="243"/>
        <v>0</v>
      </c>
      <c r="R1136" s="13"/>
      <c r="S1136" s="84">
        <f t="shared" si="241"/>
        <v>0</v>
      </c>
      <c r="T1136" s="13"/>
      <c r="U1136" s="84">
        <f t="shared" si="258"/>
        <v>0</v>
      </c>
      <c r="V1136" s="142" t="s">
        <v>706</v>
      </c>
    </row>
    <row r="1137" spans="1:22" hidden="1">
      <c r="A1137" s="61" t="str">
        <f ca="1">IF(ISERROR(MATCH(E1137,Код_КЦСР,0)),"",INDIRECT(ADDRESS(MATCH(E1137,Код_КЦСР,0)+1,2,,,"КЦСР")))</f>
        <v>Пропаганда здорового образа жизни</v>
      </c>
      <c r="B1137" s="100">
        <v>808</v>
      </c>
      <c r="C1137" s="8" t="s">
        <v>220</v>
      </c>
      <c r="D1137" s="8" t="s">
        <v>214</v>
      </c>
      <c r="E1137" s="100" t="s">
        <v>571</v>
      </c>
      <c r="F1137" s="100"/>
      <c r="G1137" s="69">
        <f>G1138+G1147</f>
        <v>0</v>
      </c>
      <c r="H1137" s="69">
        <f>H1138+H1147</f>
        <v>0</v>
      </c>
      <c r="I1137" s="69">
        <f t="shared" si="254"/>
        <v>0</v>
      </c>
      <c r="J1137" s="69">
        <f>J1138+J1147</f>
        <v>0</v>
      </c>
      <c r="K1137" s="84">
        <f t="shared" si="249"/>
        <v>0</v>
      </c>
      <c r="L1137" s="13">
        <f>L1138+L1147</f>
        <v>0</v>
      </c>
      <c r="M1137" s="84">
        <f t="shared" si="250"/>
        <v>0</v>
      </c>
      <c r="N1137" s="13">
        <f>N1138+N1147</f>
        <v>0</v>
      </c>
      <c r="O1137" s="84">
        <f t="shared" si="251"/>
        <v>0</v>
      </c>
      <c r="P1137" s="13">
        <f>P1138+P1147</f>
        <v>0</v>
      </c>
      <c r="Q1137" s="84">
        <f t="shared" si="243"/>
        <v>0</v>
      </c>
      <c r="R1137" s="13">
        <f>R1138+R1147</f>
        <v>0</v>
      </c>
      <c r="S1137" s="84">
        <f t="shared" si="241"/>
        <v>0</v>
      </c>
      <c r="T1137" s="13">
        <f>T1138+T1147</f>
        <v>0</v>
      </c>
      <c r="U1137" s="84">
        <f t="shared" si="258"/>
        <v>0</v>
      </c>
      <c r="V1137" s="142" t="s">
        <v>706</v>
      </c>
    </row>
    <row r="1138" spans="1:22" hidden="1">
      <c r="A1138" s="61" t="str">
        <f ca="1">IF(ISERROR(MATCH(F1138,Код_КВР,0)),"",INDIRECT(ADDRESS(MATCH(F1138,Код_КВР,0)+1,2,,,"КВР")))</f>
        <v>Закупка товаров, работ и услуг для муниципальных нужд</v>
      </c>
      <c r="B1138" s="100">
        <v>808</v>
      </c>
      <c r="C1138" s="8" t="s">
        <v>220</v>
      </c>
      <c r="D1138" s="8" t="s">
        <v>214</v>
      </c>
      <c r="E1138" s="100" t="s">
        <v>571</v>
      </c>
      <c r="F1138" s="100">
        <v>200</v>
      </c>
      <c r="G1138" s="69">
        <f>G1139</f>
        <v>0</v>
      </c>
      <c r="H1138" s="69">
        <f>H1139</f>
        <v>0</v>
      </c>
      <c r="I1138" s="69">
        <f t="shared" si="254"/>
        <v>0</v>
      </c>
      <c r="J1138" s="69">
        <f>J1139</f>
        <v>0</v>
      </c>
      <c r="K1138" s="84">
        <f t="shared" si="249"/>
        <v>0</v>
      </c>
      <c r="L1138" s="13">
        <f>L1139</f>
        <v>0</v>
      </c>
      <c r="M1138" s="84">
        <f t="shared" si="250"/>
        <v>0</v>
      </c>
      <c r="N1138" s="13">
        <f>N1139</f>
        <v>0</v>
      </c>
      <c r="O1138" s="84">
        <f t="shared" si="251"/>
        <v>0</v>
      </c>
      <c r="P1138" s="13">
        <f>P1139</f>
        <v>0</v>
      </c>
      <c r="Q1138" s="84">
        <f t="shared" si="243"/>
        <v>0</v>
      </c>
      <c r="R1138" s="13">
        <f>R1139</f>
        <v>0</v>
      </c>
      <c r="S1138" s="84">
        <f t="shared" si="241"/>
        <v>0</v>
      </c>
      <c r="T1138" s="13">
        <f>T1139</f>
        <v>0</v>
      </c>
      <c r="U1138" s="84">
        <f t="shared" si="258"/>
        <v>0</v>
      </c>
      <c r="V1138" s="142" t="s">
        <v>706</v>
      </c>
    </row>
    <row r="1139" spans="1:22" ht="33" hidden="1">
      <c r="A1139" s="61" t="str">
        <f ca="1">IF(ISERROR(MATCH(F1139,Код_КВР,0)),"",INDIRECT(ADDRESS(MATCH(F1139,Код_КВР,0)+1,2,,,"КВР")))</f>
        <v>Иные закупки товаров, работ и услуг для обеспечения муниципальных нужд</v>
      </c>
      <c r="B1139" s="100">
        <v>808</v>
      </c>
      <c r="C1139" s="8" t="s">
        <v>220</v>
      </c>
      <c r="D1139" s="8" t="s">
        <v>214</v>
      </c>
      <c r="E1139" s="100" t="s">
        <v>571</v>
      </c>
      <c r="F1139" s="100">
        <v>240</v>
      </c>
      <c r="G1139" s="69">
        <f>G1140</f>
        <v>0</v>
      </c>
      <c r="H1139" s="69">
        <f>H1140</f>
        <v>0</v>
      </c>
      <c r="I1139" s="69">
        <f t="shared" si="254"/>
        <v>0</v>
      </c>
      <c r="J1139" s="69">
        <f>J1140</f>
        <v>0</v>
      </c>
      <c r="K1139" s="84">
        <f t="shared" si="249"/>
        <v>0</v>
      </c>
      <c r="L1139" s="13">
        <f>L1140</f>
        <v>0</v>
      </c>
      <c r="M1139" s="84">
        <f t="shared" si="250"/>
        <v>0</v>
      </c>
      <c r="N1139" s="13">
        <f>N1140</f>
        <v>0</v>
      </c>
      <c r="O1139" s="84">
        <f t="shared" si="251"/>
        <v>0</v>
      </c>
      <c r="P1139" s="13">
        <f>P1140</f>
        <v>0</v>
      </c>
      <c r="Q1139" s="84">
        <f t="shared" si="243"/>
        <v>0</v>
      </c>
      <c r="R1139" s="13">
        <f>R1140</f>
        <v>0</v>
      </c>
      <c r="S1139" s="84">
        <f t="shared" si="241"/>
        <v>0</v>
      </c>
      <c r="T1139" s="13">
        <f>T1140</f>
        <v>0</v>
      </c>
      <c r="U1139" s="84">
        <f t="shared" si="258"/>
        <v>0</v>
      </c>
      <c r="V1139" s="142" t="s">
        <v>706</v>
      </c>
    </row>
    <row r="1140" spans="1:22" ht="33" hidden="1">
      <c r="A1140" s="61" t="str">
        <f ca="1">IF(ISERROR(MATCH(F1140,Код_КВР,0)),"",INDIRECT(ADDRESS(MATCH(F1140,Код_КВР,0)+1,2,,,"КВР")))</f>
        <v xml:space="preserve">Прочая закупка товаров, работ и услуг для обеспечения муниципальных нужд         </v>
      </c>
      <c r="B1140" s="100">
        <v>808</v>
      </c>
      <c r="C1140" s="8" t="s">
        <v>220</v>
      </c>
      <c r="D1140" s="8" t="s">
        <v>214</v>
      </c>
      <c r="E1140" s="100" t="s">
        <v>571</v>
      </c>
      <c r="F1140" s="100">
        <v>244</v>
      </c>
      <c r="G1140" s="69"/>
      <c r="H1140" s="69"/>
      <c r="I1140" s="69">
        <f t="shared" si="254"/>
        <v>0</v>
      </c>
      <c r="J1140" s="69"/>
      <c r="K1140" s="84">
        <f t="shared" si="249"/>
        <v>0</v>
      </c>
      <c r="L1140" s="13"/>
      <c r="M1140" s="84">
        <f t="shared" si="250"/>
        <v>0</v>
      </c>
      <c r="N1140" s="13"/>
      <c r="O1140" s="84">
        <f t="shared" si="251"/>
        <v>0</v>
      </c>
      <c r="P1140" s="13"/>
      <c r="Q1140" s="84">
        <f t="shared" si="243"/>
        <v>0</v>
      </c>
      <c r="R1140" s="13"/>
      <c r="S1140" s="84">
        <f t="shared" si="241"/>
        <v>0</v>
      </c>
      <c r="T1140" s="13"/>
      <c r="U1140" s="84">
        <f t="shared" si="258"/>
        <v>0</v>
      </c>
      <c r="V1140" s="142" t="s">
        <v>706</v>
      </c>
    </row>
    <row r="1141" spans="1:22" hidden="1">
      <c r="A1141" s="61" t="str">
        <f ca="1">IF(ISERROR(MATCH(E1141,Код_КЦСР,0)),"",INDIRECT(ADDRESS(MATCH(E1141,Код_КЦСР,0)+1,2,,,"КЦСР")))</f>
        <v>Здоровье на рабочем месте</v>
      </c>
      <c r="B1141" s="100">
        <v>808</v>
      </c>
      <c r="C1141" s="8" t="s">
        <v>220</v>
      </c>
      <c r="D1141" s="8" t="s">
        <v>214</v>
      </c>
      <c r="E1141" s="100" t="s">
        <v>573</v>
      </c>
      <c r="F1141" s="100"/>
      <c r="G1141" s="69">
        <f t="shared" ref="G1141:T1143" si="259">G1142</f>
        <v>0</v>
      </c>
      <c r="H1141" s="69">
        <f t="shared" si="259"/>
        <v>0</v>
      </c>
      <c r="I1141" s="69">
        <f t="shared" si="254"/>
        <v>0</v>
      </c>
      <c r="J1141" s="69">
        <f t="shared" si="259"/>
        <v>0</v>
      </c>
      <c r="K1141" s="84">
        <f t="shared" si="249"/>
        <v>0</v>
      </c>
      <c r="L1141" s="13">
        <f t="shared" si="259"/>
        <v>0</v>
      </c>
      <c r="M1141" s="84">
        <f t="shared" si="250"/>
        <v>0</v>
      </c>
      <c r="N1141" s="13">
        <f t="shared" si="259"/>
        <v>0</v>
      </c>
      <c r="O1141" s="84">
        <f t="shared" si="251"/>
        <v>0</v>
      </c>
      <c r="P1141" s="13">
        <f t="shared" si="259"/>
        <v>0</v>
      </c>
      <c r="Q1141" s="84">
        <f t="shared" si="243"/>
        <v>0</v>
      </c>
      <c r="R1141" s="13">
        <f t="shared" si="259"/>
        <v>0</v>
      </c>
      <c r="S1141" s="84">
        <f t="shared" si="241"/>
        <v>0</v>
      </c>
      <c r="T1141" s="13">
        <f t="shared" si="259"/>
        <v>0</v>
      </c>
      <c r="U1141" s="84">
        <f t="shared" si="258"/>
        <v>0</v>
      </c>
      <c r="V1141" s="142" t="s">
        <v>706</v>
      </c>
    </row>
    <row r="1142" spans="1:22" hidden="1">
      <c r="A1142" s="61" t="str">
        <f ca="1">IF(ISERROR(MATCH(F1142,Код_КВР,0)),"",INDIRECT(ADDRESS(MATCH(F1142,Код_КВР,0)+1,2,,,"КВР")))</f>
        <v>Закупка товаров, работ и услуг для муниципальных нужд</v>
      </c>
      <c r="B1142" s="100">
        <v>808</v>
      </c>
      <c r="C1142" s="8" t="s">
        <v>220</v>
      </c>
      <c r="D1142" s="8" t="s">
        <v>214</v>
      </c>
      <c r="E1142" s="100" t="s">
        <v>573</v>
      </c>
      <c r="F1142" s="100">
        <v>200</v>
      </c>
      <c r="G1142" s="69">
        <f t="shared" si="259"/>
        <v>0</v>
      </c>
      <c r="H1142" s="69">
        <f t="shared" si="259"/>
        <v>0</v>
      </c>
      <c r="I1142" s="69">
        <f t="shared" si="254"/>
        <v>0</v>
      </c>
      <c r="J1142" s="69">
        <f t="shared" si="259"/>
        <v>0</v>
      </c>
      <c r="K1142" s="84">
        <f t="shared" si="249"/>
        <v>0</v>
      </c>
      <c r="L1142" s="13">
        <f t="shared" si="259"/>
        <v>0</v>
      </c>
      <c r="M1142" s="84">
        <f t="shared" si="250"/>
        <v>0</v>
      </c>
      <c r="N1142" s="13">
        <f t="shared" si="259"/>
        <v>0</v>
      </c>
      <c r="O1142" s="84">
        <f t="shared" si="251"/>
        <v>0</v>
      </c>
      <c r="P1142" s="13">
        <f t="shared" si="259"/>
        <v>0</v>
      </c>
      <c r="Q1142" s="84">
        <f t="shared" si="243"/>
        <v>0</v>
      </c>
      <c r="R1142" s="13">
        <f t="shared" si="259"/>
        <v>0</v>
      </c>
      <c r="S1142" s="84">
        <f t="shared" ref="S1142:S1223" si="260">Q1142+R1142</f>
        <v>0</v>
      </c>
      <c r="T1142" s="13">
        <f t="shared" si="259"/>
        <v>0</v>
      </c>
      <c r="U1142" s="84">
        <f t="shared" si="258"/>
        <v>0</v>
      </c>
      <c r="V1142" s="142" t="s">
        <v>706</v>
      </c>
    </row>
    <row r="1143" spans="1:22" ht="33" hidden="1">
      <c r="A1143" s="61" t="str">
        <f ca="1">IF(ISERROR(MATCH(F1143,Код_КВР,0)),"",INDIRECT(ADDRESS(MATCH(F1143,Код_КВР,0)+1,2,,,"КВР")))</f>
        <v>Иные закупки товаров, работ и услуг для обеспечения муниципальных нужд</v>
      </c>
      <c r="B1143" s="100">
        <v>808</v>
      </c>
      <c r="C1143" s="8" t="s">
        <v>220</v>
      </c>
      <c r="D1143" s="8" t="s">
        <v>214</v>
      </c>
      <c r="E1143" s="100" t="s">
        <v>573</v>
      </c>
      <c r="F1143" s="100">
        <v>240</v>
      </c>
      <c r="G1143" s="69">
        <f t="shared" si="259"/>
        <v>0</v>
      </c>
      <c r="H1143" s="69">
        <f t="shared" si="259"/>
        <v>0</v>
      </c>
      <c r="I1143" s="69">
        <f t="shared" si="254"/>
        <v>0</v>
      </c>
      <c r="J1143" s="69">
        <f t="shared" si="259"/>
        <v>0</v>
      </c>
      <c r="K1143" s="84">
        <f t="shared" si="249"/>
        <v>0</v>
      </c>
      <c r="L1143" s="13">
        <f t="shared" si="259"/>
        <v>0</v>
      </c>
      <c r="M1143" s="84">
        <f t="shared" si="250"/>
        <v>0</v>
      </c>
      <c r="N1143" s="13">
        <f t="shared" si="259"/>
        <v>0</v>
      </c>
      <c r="O1143" s="84">
        <f t="shared" si="251"/>
        <v>0</v>
      </c>
      <c r="P1143" s="13">
        <f t="shared" si="259"/>
        <v>0</v>
      </c>
      <c r="Q1143" s="84">
        <f t="shared" si="243"/>
        <v>0</v>
      </c>
      <c r="R1143" s="13">
        <f t="shared" si="259"/>
        <v>0</v>
      </c>
      <c r="S1143" s="84">
        <f t="shared" si="260"/>
        <v>0</v>
      </c>
      <c r="T1143" s="13">
        <f t="shared" si="259"/>
        <v>0</v>
      </c>
      <c r="U1143" s="84">
        <f t="shared" si="258"/>
        <v>0</v>
      </c>
      <c r="V1143" s="142" t="s">
        <v>706</v>
      </c>
    </row>
    <row r="1144" spans="1:22" ht="33" hidden="1">
      <c r="A1144" s="61" t="str">
        <f ca="1">IF(ISERROR(MATCH(F1144,Код_КВР,0)),"",INDIRECT(ADDRESS(MATCH(F1144,Код_КВР,0)+1,2,,,"КВР")))</f>
        <v xml:space="preserve">Прочая закупка товаров, работ и услуг для обеспечения муниципальных нужд         </v>
      </c>
      <c r="B1144" s="100">
        <v>808</v>
      </c>
      <c r="C1144" s="8" t="s">
        <v>220</v>
      </c>
      <c r="D1144" s="8" t="s">
        <v>214</v>
      </c>
      <c r="E1144" s="100" t="s">
        <v>573</v>
      </c>
      <c r="F1144" s="100">
        <v>244</v>
      </c>
      <c r="G1144" s="69"/>
      <c r="H1144" s="69"/>
      <c r="I1144" s="69">
        <f t="shared" si="254"/>
        <v>0</v>
      </c>
      <c r="J1144" s="69"/>
      <c r="K1144" s="84">
        <f t="shared" si="249"/>
        <v>0</v>
      </c>
      <c r="L1144" s="13"/>
      <c r="M1144" s="84">
        <f t="shared" si="250"/>
        <v>0</v>
      </c>
      <c r="N1144" s="13"/>
      <c r="O1144" s="84">
        <f t="shared" si="251"/>
        <v>0</v>
      </c>
      <c r="P1144" s="13"/>
      <c r="Q1144" s="84">
        <f t="shared" si="243"/>
        <v>0</v>
      </c>
      <c r="R1144" s="13"/>
      <c r="S1144" s="84">
        <f t="shared" si="260"/>
        <v>0</v>
      </c>
      <c r="T1144" s="13"/>
      <c r="U1144" s="84">
        <f t="shared" si="258"/>
        <v>0</v>
      </c>
      <c r="V1144" s="142" t="s">
        <v>706</v>
      </c>
    </row>
    <row r="1145" spans="1:22" hidden="1">
      <c r="A1145" s="61" t="str">
        <f ca="1">IF(ISERROR(MATCH(E1145,Код_КЦСР,0)),"",INDIRECT(ADDRESS(MATCH(E1145,Код_КЦСР,0)+1,2,,,"КЦСР")))</f>
        <v>Активное долголетие</v>
      </c>
      <c r="B1145" s="100">
        <v>808</v>
      </c>
      <c r="C1145" s="8" t="s">
        <v>220</v>
      </c>
      <c r="D1145" s="8" t="s">
        <v>214</v>
      </c>
      <c r="E1145" s="100" t="s">
        <v>576</v>
      </c>
      <c r="F1145" s="100"/>
      <c r="G1145" s="69">
        <f t="shared" ref="G1145:T1147" si="261">G1146</f>
        <v>0</v>
      </c>
      <c r="H1145" s="69">
        <f t="shared" si="261"/>
        <v>0</v>
      </c>
      <c r="I1145" s="69">
        <f t="shared" si="254"/>
        <v>0</v>
      </c>
      <c r="J1145" s="69">
        <f t="shared" si="261"/>
        <v>0</v>
      </c>
      <c r="K1145" s="84">
        <f t="shared" si="249"/>
        <v>0</v>
      </c>
      <c r="L1145" s="13">
        <f t="shared" si="261"/>
        <v>0</v>
      </c>
      <c r="M1145" s="84">
        <f t="shared" si="250"/>
        <v>0</v>
      </c>
      <c r="N1145" s="13">
        <f t="shared" si="261"/>
        <v>0</v>
      </c>
      <c r="O1145" s="84">
        <f t="shared" si="251"/>
        <v>0</v>
      </c>
      <c r="P1145" s="13">
        <f t="shared" si="261"/>
        <v>0</v>
      </c>
      <c r="Q1145" s="84">
        <f t="shared" si="243"/>
        <v>0</v>
      </c>
      <c r="R1145" s="13">
        <f t="shared" si="261"/>
        <v>0</v>
      </c>
      <c r="S1145" s="84">
        <f t="shared" si="260"/>
        <v>0</v>
      </c>
      <c r="T1145" s="13">
        <f t="shared" si="261"/>
        <v>0</v>
      </c>
      <c r="U1145" s="84">
        <f t="shared" si="258"/>
        <v>0</v>
      </c>
      <c r="V1145" s="142" t="s">
        <v>706</v>
      </c>
    </row>
    <row r="1146" spans="1:22" hidden="1">
      <c r="A1146" s="61" t="str">
        <f ca="1">IF(ISERROR(MATCH(F1146,Код_КВР,0)),"",INDIRECT(ADDRESS(MATCH(F1146,Код_КВР,0)+1,2,,,"КВР")))</f>
        <v>Закупка товаров, работ и услуг для муниципальных нужд</v>
      </c>
      <c r="B1146" s="100">
        <v>808</v>
      </c>
      <c r="C1146" s="8" t="s">
        <v>220</v>
      </c>
      <c r="D1146" s="8" t="s">
        <v>214</v>
      </c>
      <c r="E1146" s="100" t="s">
        <v>576</v>
      </c>
      <c r="F1146" s="100">
        <v>200</v>
      </c>
      <c r="G1146" s="69">
        <f t="shared" si="261"/>
        <v>0</v>
      </c>
      <c r="H1146" s="69">
        <f t="shared" si="261"/>
        <v>0</v>
      </c>
      <c r="I1146" s="69">
        <f t="shared" si="254"/>
        <v>0</v>
      </c>
      <c r="J1146" s="69">
        <f t="shared" si="261"/>
        <v>0</v>
      </c>
      <c r="K1146" s="84">
        <f t="shared" si="249"/>
        <v>0</v>
      </c>
      <c r="L1146" s="13">
        <f t="shared" si="261"/>
        <v>0</v>
      </c>
      <c r="M1146" s="84">
        <f t="shared" si="250"/>
        <v>0</v>
      </c>
      <c r="N1146" s="13">
        <f t="shared" si="261"/>
        <v>0</v>
      </c>
      <c r="O1146" s="84">
        <f t="shared" si="251"/>
        <v>0</v>
      </c>
      <c r="P1146" s="13">
        <f t="shared" si="261"/>
        <v>0</v>
      </c>
      <c r="Q1146" s="84">
        <f t="shared" si="243"/>
        <v>0</v>
      </c>
      <c r="R1146" s="13">
        <f t="shared" si="261"/>
        <v>0</v>
      </c>
      <c r="S1146" s="84">
        <f t="shared" si="260"/>
        <v>0</v>
      </c>
      <c r="T1146" s="13">
        <f t="shared" si="261"/>
        <v>0</v>
      </c>
      <c r="U1146" s="84">
        <f t="shared" si="258"/>
        <v>0</v>
      </c>
      <c r="V1146" s="142" t="s">
        <v>706</v>
      </c>
    </row>
    <row r="1147" spans="1:22" ht="33" hidden="1">
      <c r="A1147" s="61" t="str">
        <f ca="1">IF(ISERROR(MATCH(F1147,Код_КВР,0)),"",INDIRECT(ADDRESS(MATCH(F1147,Код_КВР,0)+1,2,,,"КВР")))</f>
        <v>Иные закупки товаров, работ и услуг для обеспечения муниципальных нужд</v>
      </c>
      <c r="B1147" s="100">
        <v>808</v>
      </c>
      <c r="C1147" s="8" t="s">
        <v>220</v>
      </c>
      <c r="D1147" s="8" t="s">
        <v>214</v>
      </c>
      <c r="E1147" s="100" t="s">
        <v>576</v>
      </c>
      <c r="F1147" s="100">
        <v>240</v>
      </c>
      <c r="G1147" s="69">
        <f t="shared" si="261"/>
        <v>0</v>
      </c>
      <c r="H1147" s="69">
        <f t="shared" si="261"/>
        <v>0</v>
      </c>
      <c r="I1147" s="69">
        <f t="shared" si="254"/>
        <v>0</v>
      </c>
      <c r="J1147" s="69">
        <f t="shared" si="261"/>
        <v>0</v>
      </c>
      <c r="K1147" s="84">
        <f t="shared" si="249"/>
        <v>0</v>
      </c>
      <c r="L1147" s="13">
        <f t="shared" si="261"/>
        <v>0</v>
      </c>
      <c r="M1147" s="84">
        <f t="shared" si="250"/>
        <v>0</v>
      </c>
      <c r="N1147" s="13">
        <f t="shared" si="261"/>
        <v>0</v>
      </c>
      <c r="O1147" s="84">
        <f t="shared" si="251"/>
        <v>0</v>
      </c>
      <c r="P1147" s="13">
        <f t="shared" si="261"/>
        <v>0</v>
      </c>
      <c r="Q1147" s="84">
        <f t="shared" si="243"/>
        <v>0</v>
      </c>
      <c r="R1147" s="13">
        <f t="shared" si="261"/>
        <v>0</v>
      </c>
      <c r="S1147" s="84">
        <f t="shared" si="260"/>
        <v>0</v>
      </c>
      <c r="T1147" s="13">
        <f t="shared" si="261"/>
        <v>0</v>
      </c>
      <c r="U1147" s="84">
        <f t="shared" si="258"/>
        <v>0</v>
      </c>
      <c r="V1147" s="142" t="s">
        <v>706</v>
      </c>
    </row>
    <row r="1148" spans="1:22" ht="33" hidden="1">
      <c r="A1148" s="61" t="str">
        <f ca="1">IF(ISERROR(MATCH(F1148,Код_КВР,0)),"",INDIRECT(ADDRESS(MATCH(F1148,Код_КВР,0)+1,2,,,"КВР")))</f>
        <v xml:space="preserve">Прочая закупка товаров, работ и услуг для обеспечения муниципальных нужд         </v>
      </c>
      <c r="B1148" s="100">
        <v>808</v>
      </c>
      <c r="C1148" s="8" t="s">
        <v>220</v>
      </c>
      <c r="D1148" s="8" t="s">
        <v>214</v>
      </c>
      <c r="E1148" s="100" t="s">
        <v>576</v>
      </c>
      <c r="F1148" s="100">
        <v>244</v>
      </c>
      <c r="G1148" s="69"/>
      <c r="H1148" s="69"/>
      <c r="I1148" s="69">
        <f t="shared" si="254"/>
        <v>0</v>
      </c>
      <c r="J1148" s="69"/>
      <c r="K1148" s="84">
        <f t="shared" si="249"/>
        <v>0</v>
      </c>
      <c r="L1148" s="13"/>
      <c r="M1148" s="84">
        <f t="shared" si="250"/>
        <v>0</v>
      </c>
      <c r="N1148" s="13"/>
      <c r="O1148" s="84">
        <f t="shared" si="251"/>
        <v>0</v>
      </c>
      <c r="P1148" s="13"/>
      <c r="Q1148" s="84">
        <f t="shared" ref="Q1148:Q1230" si="262">O1148+P1148</f>
        <v>0</v>
      </c>
      <c r="R1148" s="13"/>
      <c r="S1148" s="84">
        <f t="shared" si="260"/>
        <v>0</v>
      </c>
      <c r="T1148" s="13"/>
      <c r="U1148" s="84">
        <f t="shared" si="258"/>
        <v>0</v>
      </c>
      <c r="V1148" s="142" t="s">
        <v>706</v>
      </c>
    </row>
    <row r="1149" spans="1:22" ht="33">
      <c r="A1149" s="61" t="str">
        <f ca="1">IF(ISERROR(MATCH(E1149,Код_КЦСР,0)),"",INDIRECT(ADDRESS(MATCH(E1149,Код_КЦСР,0)+1,2,,,"КЦСР")))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149" s="126">
        <v>808</v>
      </c>
      <c r="C1149" s="8" t="s">
        <v>220</v>
      </c>
      <c r="D1149" s="8" t="s">
        <v>214</v>
      </c>
      <c r="E1149" s="126" t="s">
        <v>78</v>
      </c>
      <c r="F1149" s="126"/>
      <c r="G1149" s="69">
        <f>G1150</f>
        <v>696.4</v>
      </c>
      <c r="H1149" s="69">
        <f>H1150</f>
        <v>0</v>
      </c>
      <c r="I1149" s="69">
        <f t="shared" si="254"/>
        <v>696.4</v>
      </c>
      <c r="J1149" s="69">
        <f>J1150</f>
        <v>0</v>
      </c>
      <c r="K1149" s="84">
        <f t="shared" si="249"/>
        <v>696.4</v>
      </c>
      <c r="L1149" s="13">
        <f>L1150</f>
        <v>0</v>
      </c>
      <c r="M1149" s="84">
        <f t="shared" si="250"/>
        <v>696.4</v>
      </c>
      <c r="N1149" s="13">
        <f>N1150</f>
        <v>0</v>
      </c>
      <c r="O1149" s="84">
        <f t="shared" si="251"/>
        <v>696.4</v>
      </c>
      <c r="P1149" s="13">
        <f>P1150</f>
        <v>0</v>
      </c>
      <c r="Q1149" s="84">
        <f t="shared" si="262"/>
        <v>696.4</v>
      </c>
      <c r="R1149" s="13">
        <f>R1150</f>
        <v>0</v>
      </c>
      <c r="S1149" s="84">
        <f t="shared" si="260"/>
        <v>696.4</v>
      </c>
      <c r="T1149" s="13">
        <f>T1150</f>
        <v>-50.000000000000014</v>
      </c>
      <c r="U1149" s="84">
        <f t="shared" si="258"/>
        <v>646.4</v>
      </c>
    </row>
    <row r="1150" spans="1:22">
      <c r="A1150" s="61" t="str">
        <f ca="1">IF(ISERROR(MATCH(E1150,Код_КЦСР,0)),"",INDIRECT(ADDRESS(MATCH(E1150,Код_КЦСР,0)+1,2,,,"КЦСР")))</f>
        <v>Обеспечение пожарной безопасности муниципальных учреждений города</v>
      </c>
      <c r="B1150" s="126">
        <v>808</v>
      </c>
      <c r="C1150" s="8" t="s">
        <v>220</v>
      </c>
      <c r="D1150" s="8" t="s">
        <v>214</v>
      </c>
      <c r="E1150" s="126" t="s">
        <v>80</v>
      </c>
      <c r="F1150" s="126"/>
      <c r="G1150" s="69">
        <f>G1151+G1155+G1173</f>
        <v>696.4</v>
      </c>
      <c r="H1150" s="69">
        <f>H1151+H1155+H1173</f>
        <v>0</v>
      </c>
      <c r="I1150" s="69">
        <f t="shared" si="254"/>
        <v>696.4</v>
      </c>
      <c r="J1150" s="69">
        <f>J1151+J1155+J1173</f>
        <v>0</v>
      </c>
      <c r="K1150" s="84">
        <f t="shared" si="249"/>
        <v>696.4</v>
      </c>
      <c r="L1150" s="13">
        <f>L1151+L1155+L1173</f>
        <v>0</v>
      </c>
      <c r="M1150" s="84">
        <f t="shared" si="250"/>
        <v>696.4</v>
      </c>
      <c r="N1150" s="13">
        <f>N1151+N1155+N1173</f>
        <v>0</v>
      </c>
      <c r="O1150" s="84">
        <f t="shared" si="251"/>
        <v>696.4</v>
      </c>
      <c r="P1150" s="13">
        <f>P1151+P1155+P1173</f>
        <v>0</v>
      </c>
      <c r="Q1150" s="84">
        <f t="shared" si="262"/>
        <v>696.4</v>
      </c>
      <c r="R1150" s="13">
        <f>R1151+R1155+R1173</f>
        <v>0</v>
      </c>
      <c r="S1150" s="84">
        <f t="shared" si="260"/>
        <v>696.4</v>
      </c>
      <c r="T1150" s="13">
        <f>T1151+T1161+T1165+T1169+T1155+T1173</f>
        <v>-50.000000000000014</v>
      </c>
      <c r="U1150" s="84">
        <f t="shared" si="258"/>
        <v>646.4</v>
      </c>
    </row>
    <row r="1151" spans="1:22" ht="49.5">
      <c r="A1151" s="61" t="str">
        <f ca="1">IF(ISERROR(MATCH(E1151,Код_КЦСР,0)),"",INDIRECT(ADDRESS(MATCH(E1151,Код_КЦСР,0)+1,2,,,"КЦСР")))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151" s="126">
        <v>808</v>
      </c>
      <c r="C1151" s="8" t="s">
        <v>220</v>
      </c>
      <c r="D1151" s="8" t="s">
        <v>214</v>
      </c>
      <c r="E1151" s="126" t="s">
        <v>82</v>
      </c>
      <c r="F1151" s="126"/>
      <c r="G1151" s="69">
        <f t="shared" ref="G1151:T1153" si="263">G1152</f>
        <v>591</v>
      </c>
      <c r="H1151" s="69">
        <f t="shared" si="263"/>
        <v>0</v>
      </c>
      <c r="I1151" s="69">
        <f t="shared" si="254"/>
        <v>591</v>
      </c>
      <c r="J1151" s="69">
        <f t="shared" si="263"/>
        <v>0</v>
      </c>
      <c r="K1151" s="84">
        <f t="shared" si="249"/>
        <v>591</v>
      </c>
      <c r="L1151" s="13">
        <f t="shared" si="263"/>
        <v>0</v>
      </c>
      <c r="M1151" s="84">
        <f t="shared" si="250"/>
        <v>591</v>
      </c>
      <c r="N1151" s="13">
        <f t="shared" si="263"/>
        <v>0</v>
      </c>
      <c r="O1151" s="84">
        <f t="shared" si="251"/>
        <v>591</v>
      </c>
      <c r="P1151" s="13">
        <f t="shared" si="263"/>
        <v>0</v>
      </c>
      <c r="Q1151" s="84">
        <f t="shared" si="262"/>
        <v>591</v>
      </c>
      <c r="R1151" s="13">
        <f t="shared" si="263"/>
        <v>0</v>
      </c>
      <c r="S1151" s="84">
        <f t="shared" si="260"/>
        <v>591</v>
      </c>
      <c r="T1151" s="13">
        <f>T1152</f>
        <v>-145.80000000000001</v>
      </c>
      <c r="U1151" s="84">
        <f t="shared" si="258"/>
        <v>445.2</v>
      </c>
    </row>
    <row r="1152" spans="1:22" ht="33">
      <c r="A1152" s="61" t="str">
        <f ca="1">IF(ISERROR(MATCH(F1152,Код_КВР,0)),"",INDIRECT(ADDRESS(MATCH(F1152,Код_КВР,0)+1,2,,,"КВР")))</f>
        <v>Предоставление субсидий бюджетным, автономным учреждениям и иным некоммерческим организациям</v>
      </c>
      <c r="B1152" s="126">
        <v>808</v>
      </c>
      <c r="C1152" s="8" t="s">
        <v>220</v>
      </c>
      <c r="D1152" s="8" t="s">
        <v>214</v>
      </c>
      <c r="E1152" s="126" t="s">
        <v>82</v>
      </c>
      <c r="F1152" s="126">
        <v>600</v>
      </c>
      <c r="G1152" s="69">
        <f t="shared" si="263"/>
        <v>591</v>
      </c>
      <c r="H1152" s="69">
        <f t="shared" si="263"/>
        <v>0</v>
      </c>
      <c r="I1152" s="69">
        <f t="shared" si="254"/>
        <v>591</v>
      </c>
      <c r="J1152" s="69">
        <f t="shared" si="263"/>
        <v>0</v>
      </c>
      <c r="K1152" s="84">
        <f t="shared" si="249"/>
        <v>591</v>
      </c>
      <c r="L1152" s="13">
        <f t="shared" si="263"/>
        <v>0</v>
      </c>
      <c r="M1152" s="84">
        <f t="shared" si="250"/>
        <v>591</v>
      </c>
      <c r="N1152" s="13">
        <f t="shared" si="263"/>
        <v>0</v>
      </c>
      <c r="O1152" s="84">
        <f t="shared" si="251"/>
        <v>591</v>
      </c>
      <c r="P1152" s="13">
        <f t="shared" si="263"/>
        <v>0</v>
      </c>
      <c r="Q1152" s="84">
        <f t="shared" si="262"/>
        <v>591</v>
      </c>
      <c r="R1152" s="13">
        <f t="shared" si="263"/>
        <v>0</v>
      </c>
      <c r="S1152" s="84">
        <f t="shared" si="260"/>
        <v>591</v>
      </c>
      <c r="T1152" s="13">
        <f t="shared" si="263"/>
        <v>-145.80000000000001</v>
      </c>
      <c r="U1152" s="84">
        <f t="shared" si="258"/>
        <v>445.2</v>
      </c>
    </row>
    <row r="1153" spans="1:22">
      <c r="A1153" s="61" t="str">
        <f ca="1">IF(ISERROR(MATCH(F1153,Код_КВР,0)),"",INDIRECT(ADDRESS(MATCH(F1153,Код_КВР,0)+1,2,,,"КВР")))</f>
        <v>Субсидии бюджетным учреждениям</v>
      </c>
      <c r="B1153" s="126">
        <v>808</v>
      </c>
      <c r="C1153" s="8" t="s">
        <v>220</v>
      </c>
      <c r="D1153" s="8" t="s">
        <v>214</v>
      </c>
      <c r="E1153" s="126" t="s">
        <v>82</v>
      </c>
      <c r="F1153" s="126">
        <v>610</v>
      </c>
      <c r="G1153" s="69">
        <f t="shared" si="263"/>
        <v>591</v>
      </c>
      <c r="H1153" s="69">
        <f t="shared" si="263"/>
        <v>0</v>
      </c>
      <c r="I1153" s="69">
        <f t="shared" si="254"/>
        <v>591</v>
      </c>
      <c r="J1153" s="69">
        <f t="shared" si="263"/>
        <v>0</v>
      </c>
      <c r="K1153" s="84">
        <f t="shared" si="249"/>
        <v>591</v>
      </c>
      <c r="L1153" s="13">
        <f t="shared" si="263"/>
        <v>0</v>
      </c>
      <c r="M1153" s="84">
        <f t="shared" si="250"/>
        <v>591</v>
      </c>
      <c r="N1153" s="13">
        <f t="shared" si="263"/>
        <v>0</v>
      </c>
      <c r="O1153" s="84">
        <f t="shared" si="251"/>
        <v>591</v>
      </c>
      <c r="P1153" s="13">
        <f t="shared" si="263"/>
        <v>0</v>
      </c>
      <c r="Q1153" s="84">
        <f t="shared" si="262"/>
        <v>591</v>
      </c>
      <c r="R1153" s="13">
        <f t="shared" si="263"/>
        <v>0</v>
      </c>
      <c r="S1153" s="84">
        <f t="shared" si="260"/>
        <v>591</v>
      </c>
      <c r="T1153" s="13">
        <f t="shared" si="263"/>
        <v>-145.80000000000001</v>
      </c>
      <c r="U1153" s="84">
        <f t="shared" si="258"/>
        <v>445.2</v>
      </c>
    </row>
    <row r="1154" spans="1:22">
      <c r="A1154" s="61" t="str">
        <f ca="1">IF(ISERROR(MATCH(F1154,Код_КВР,0)),"",INDIRECT(ADDRESS(MATCH(F1154,Код_КВР,0)+1,2,,,"КВР")))</f>
        <v>Субсидии бюджетным учреждениям на иные цели</v>
      </c>
      <c r="B1154" s="126">
        <v>808</v>
      </c>
      <c r="C1154" s="8" t="s">
        <v>220</v>
      </c>
      <c r="D1154" s="8" t="s">
        <v>214</v>
      </c>
      <c r="E1154" s="126" t="s">
        <v>82</v>
      </c>
      <c r="F1154" s="126">
        <v>612</v>
      </c>
      <c r="G1154" s="69">
        <v>591</v>
      </c>
      <c r="H1154" s="69"/>
      <c r="I1154" s="69">
        <f t="shared" si="254"/>
        <v>591</v>
      </c>
      <c r="J1154" s="69"/>
      <c r="K1154" s="84">
        <f t="shared" si="249"/>
        <v>591</v>
      </c>
      <c r="L1154" s="13"/>
      <c r="M1154" s="84">
        <f t="shared" si="250"/>
        <v>591</v>
      </c>
      <c r="N1154" s="13"/>
      <c r="O1154" s="84">
        <f t="shared" si="251"/>
        <v>591</v>
      </c>
      <c r="P1154" s="13"/>
      <c r="Q1154" s="84">
        <f t="shared" si="262"/>
        <v>591</v>
      </c>
      <c r="R1154" s="13"/>
      <c r="S1154" s="84">
        <f t="shared" si="260"/>
        <v>591</v>
      </c>
      <c r="T1154" s="13">
        <v>-145.80000000000001</v>
      </c>
      <c r="U1154" s="84">
        <f t="shared" si="258"/>
        <v>445.2</v>
      </c>
    </row>
    <row r="1155" spans="1:22" hidden="1">
      <c r="A1155" s="61" t="str">
        <f ca="1">IF(ISERROR(MATCH(E1155,Код_КЦСР,0)),"",INDIRECT(ADDRESS(MATCH(E1155,Код_КЦСР,0)+1,2,,,"КЦСР")))</f>
        <v>Ремонт и оборудование эвакуационных путей  зданий</v>
      </c>
      <c r="B1155" s="100">
        <v>808</v>
      </c>
      <c r="C1155" s="8" t="s">
        <v>220</v>
      </c>
      <c r="D1155" s="8" t="s">
        <v>214</v>
      </c>
      <c r="E1155" s="100" t="s">
        <v>86</v>
      </c>
      <c r="F1155" s="100"/>
      <c r="G1155" s="69">
        <f>G1156</f>
        <v>0</v>
      </c>
      <c r="H1155" s="69">
        <f>H1156</f>
        <v>0</v>
      </c>
      <c r="I1155" s="69">
        <f t="shared" si="254"/>
        <v>0</v>
      </c>
      <c r="J1155" s="69">
        <f>J1156</f>
        <v>0</v>
      </c>
      <c r="K1155" s="84">
        <f t="shared" si="249"/>
        <v>0</v>
      </c>
      <c r="L1155" s="13">
        <f>L1156</f>
        <v>0</v>
      </c>
      <c r="M1155" s="84">
        <f t="shared" si="250"/>
        <v>0</v>
      </c>
      <c r="N1155" s="13">
        <f>N1156</f>
        <v>0</v>
      </c>
      <c r="O1155" s="84">
        <f t="shared" si="251"/>
        <v>0</v>
      </c>
      <c r="P1155" s="13">
        <f>P1156</f>
        <v>0</v>
      </c>
      <c r="Q1155" s="84">
        <f t="shared" si="262"/>
        <v>0</v>
      </c>
      <c r="R1155" s="13">
        <f>R1156</f>
        <v>0</v>
      </c>
      <c r="S1155" s="84">
        <f t="shared" si="260"/>
        <v>0</v>
      </c>
      <c r="T1155" s="13">
        <f>T1156</f>
        <v>0</v>
      </c>
      <c r="U1155" s="84">
        <f t="shared" si="258"/>
        <v>0</v>
      </c>
      <c r="V1155" s="142" t="s">
        <v>706</v>
      </c>
    </row>
    <row r="1156" spans="1:22" ht="33" hidden="1">
      <c r="A1156" s="61" t="str">
        <f ca="1">IF(ISERROR(MATCH(F1156,Код_КВР,0)),"",INDIRECT(ADDRESS(MATCH(F1156,Код_КВР,0)+1,2,,,"КВР")))</f>
        <v>Предоставление субсидий бюджетным, автономным учреждениям и иным некоммерческим организациям</v>
      </c>
      <c r="B1156" s="100">
        <v>808</v>
      </c>
      <c r="C1156" s="8" t="s">
        <v>220</v>
      </c>
      <c r="D1156" s="8" t="s">
        <v>214</v>
      </c>
      <c r="E1156" s="100" t="s">
        <v>86</v>
      </c>
      <c r="F1156" s="100">
        <v>600</v>
      </c>
      <c r="G1156" s="69">
        <f>G1157+G1159</f>
        <v>0</v>
      </c>
      <c r="H1156" s="69">
        <f>H1157+H1159</f>
        <v>0</v>
      </c>
      <c r="I1156" s="69">
        <f t="shared" si="254"/>
        <v>0</v>
      </c>
      <c r="J1156" s="69">
        <f>J1157+J1159</f>
        <v>0</v>
      </c>
      <c r="K1156" s="84">
        <f t="shared" si="249"/>
        <v>0</v>
      </c>
      <c r="L1156" s="13">
        <f>L1157+L1159</f>
        <v>0</v>
      </c>
      <c r="M1156" s="84">
        <f t="shared" si="250"/>
        <v>0</v>
      </c>
      <c r="N1156" s="13">
        <f>N1157+N1159</f>
        <v>0</v>
      </c>
      <c r="O1156" s="84">
        <f t="shared" si="251"/>
        <v>0</v>
      </c>
      <c r="P1156" s="13">
        <f>P1157+P1159</f>
        <v>0</v>
      </c>
      <c r="Q1156" s="84">
        <f t="shared" si="262"/>
        <v>0</v>
      </c>
      <c r="R1156" s="13">
        <f>R1157+R1159</f>
        <v>0</v>
      </c>
      <c r="S1156" s="84">
        <f t="shared" si="260"/>
        <v>0</v>
      </c>
      <c r="T1156" s="13">
        <f>T1157+T1159</f>
        <v>0</v>
      </c>
      <c r="U1156" s="84">
        <f t="shared" si="258"/>
        <v>0</v>
      </c>
      <c r="V1156" s="142" t="s">
        <v>706</v>
      </c>
    </row>
    <row r="1157" spans="1:22" hidden="1">
      <c r="A1157" s="61" t="str">
        <f ca="1">IF(ISERROR(MATCH(F1157,Код_КВР,0)),"",INDIRECT(ADDRESS(MATCH(F1157,Код_КВР,0)+1,2,,,"КВР")))</f>
        <v>Субсидии бюджетным учреждениям</v>
      </c>
      <c r="B1157" s="100">
        <v>808</v>
      </c>
      <c r="C1157" s="8" t="s">
        <v>220</v>
      </c>
      <c r="D1157" s="8" t="s">
        <v>214</v>
      </c>
      <c r="E1157" s="100" t="s">
        <v>86</v>
      </c>
      <c r="F1157" s="100">
        <v>610</v>
      </c>
      <c r="G1157" s="69">
        <f>G1158</f>
        <v>0</v>
      </c>
      <c r="H1157" s="69">
        <f>H1158</f>
        <v>0</v>
      </c>
      <c r="I1157" s="69">
        <f t="shared" si="254"/>
        <v>0</v>
      </c>
      <c r="J1157" s="69">
        <f>J1158</f>
        <v>0</v>
      </c>
      <c r="K1157" s="84">
        <f t="shared" si="249"/>
        <v>0</v>
      </c>
      <c r="L1157" s="13">
        <f>L1158</f>
        <v>0</v>
      </c>
      <c r="M1157" s="84">
        <f t="shared" si="250"/>
        <v>0</v>
      </c>
      <c r="N1157" s="13">
        <f>N1158</f>
        <v>0</v>
      </c>
      <c r="O1157" s="84">
        <f t="shared" si="251"/>
        <v>0</v>
      </c>
      <c r="P1157" s="13">
        <f>P1158</f>
        <v>0</v>
      </c>
      <c r="Q1157" s="84">
        <f t="shared" si="262"/>
        <v>0</v>
      </c>
      <c r="R1157" s="13">
        <f>R1158</f>
        <v>0</v>
      </c>
      <c r="S1157" s="84">
        <f t="shared" si="260"/>
        <v>0</v>
      </c>
      <c r="T1157" s="13">
        <f>T1158</f>
        <v>0</v>
      </c>
      <c r="U1157" s="84">
        <f t="shared" si="258"/>
        <v>0</v>
      </c>
      <c r="V1157" s="142" t="s">
        <v>706</v>
      </c>
    </row>
    <row r="1158" spans="1:22" hidden="1">
      <c r="A1158" s="61" t="str">
        <f ca="1">IF(ISERROR(MATCH(F1158,Код_КВР,0)),"",INDIRECT(ADDRESS(MATCH(F1158,Код_КВР,0)+1,2,,,"КВР")))</f>
        <v>Субсидии бюджетным учреждениям на иные цели</v>
      </c>
      <c r="B1158" s="100">
        <v>808</v>
      </c>
      <c r="C1158" s="8" t="s">
        <v>220</v>
      </c>
      <c r="D1158" s="8" t="s">
        <v>214</v>
      </c>
      <c r="E1158" s="100" t="s">
        <v>86</v>
      </c>
      <c r="F1158" s="100">
        <v>612</v>
      </c>
      <c r="G1158" s="69"/>
      <c r="H1158" s="69"/>
      <c r="I1158" s="69">
        <f t="shared" si="254"/>
        <v>0</v>
      </c>
      <c r="J1158" s="69"/>
      <c r="K1158" s="84">
        <f t="shared" si="249"/>
        <v>0</v>
      </c>
      <c r="L1158" s="13"/>
      <c r="M1158" s="84">
        <f t="shared" si="250"/>
        <v>0</v>
      </c>
      <c r="N1158" s="13"/>
      <c r="O1158" s="84">
        <f t="shared" si="251"/>
        <v>0</v>
      </c>
      <c r="P1158" s="13"/>
      <c r="Q1158" s="84">
        <f t="shared" si="262"/>
        <v>0</v>
      </c>
      <c r="R1158" s="13"/>
      <c r="S1158" s="84">
        <f t="shared" si="260"/>
        <v>0</v>
      </c>
      <c r="T1158" s="13"/>
      <c r="U1158" s="84">
        <f t="shared" si="258"/>
        <v>0</v>
      </c>
      <c r="V1158" s="142" t="s">
        <v>706</v>
      </c>
    </row>
    <row r="1159" spans="1:22" hidden="1">
      <c r="A1159" s="61" t="str">
        <f ca="1">IF(ISERROR(MATCH(F1159,Код_КВР,0)),"",INDIRECT(ADDRESS(MATCH(F1159,Код_КВР,0)+1,2,,,"КВР")))</f>
        <v>Субсидии автономным учреждениям</v>
      </c>
      <c r="B1159" s="100">
        <v>808</v>
      </c>
      <c r="C1159" s="8" t="s">
        <v>220</v>
      </c>
      <c r="D1159" s="8" t="s">
        <v>214</v>
      </c>
      <c r="E1159" s="100" t="s">
        <v>86</v>
      </c>
      <c r="F1159" s="100">
        <v>620</v>
      </c>
      <c r="G1159" s="69">
        <f>G1160</f>
        <v>0</v>
      </c>
      <c r="H1159" s="69">
        <f>H1160</f>
        <v>0</v>
      </c>
      <c r="I1159" s="69">
        <f t="shared" si="254"/>
        <v>0</v>
      </c>
      <c r="J1159" s="69">
        <f>J1160</f>
        <v>0</v>
      </c>
      <c r="K1159" s="84">
        <f t="shared" si="249"/>
        <v>0</v>
      </c>
      <c r="L1159" s="13">
        <f>L1160</f>
        <v>0</v>
      </c>
      <c r="M1159" s="84">
        <f t="shared" si="250"/>
        <v>0</v>
      </c>
      <c r="N1159" s="13">
        <f>N1160</f>
        <v>0</v>
      </c>
      <c r="O1159" s="84">
        <f t="shared" si="251"/>
        <v>0</v>
      </c>
      <c r="P1159" s="13">
        <f>P1160</f>
        <v>0</v>
      </c>
      <c r="Q1159" s="84">
        <f t="shared" si="262"/>
        <v>0</v>
      </c>
      <c r="R1159" s="13">
        <f>R1160</f>
        <v>0</v>
      </c>
      <c r="S1159" s="84">
        <f t="shared" si="260"/>
        <v>0</v>
      </c>
      <c r="T1159" s="13">
        <f>T1160</f>
        <v>0</v>
      </c>
      <c r="U1159" s="84">
        <f t="shared" si="258"/>
        <v>0</v>
      </c>
      <c r="V1159" s="142" t="s">
        <v>706</v>
      </c>
    </row>
    <row r="1160" spans="1:22" hidden="1">
      <c r="A1160" s="61" t="str">
        <f ca="1">IF(ISERROR(MATCH(F1160,Код_КВР,0)),"",INDIRECT(ADDRESS(MATCH(F1160,Код_КВР,0)+1,2,,,"КВР")))</f>
        <v>Субсидии автономным учреждениям на иные цели</v>
      </c>
      <c r="B1160" s="100">
        <v>808</v>
      </c>
      <c r="C1160" s="8" t="s">
        <v>220</v>
      </c>
      <c r="D1160" s="8" t="s">
        <v>214</v>
      </c>
      <c r="E1160" s="100" t="s">
        <v>86</v>
      </c>
      <c r="F1160" s="100">
        <v>622</v>
      </c>
      <c r="G1160" s="69"/>
      <c r="H1160" s="69"/>
      <c r="I1160" s="69">
        <f t="shared" si="254"/>
        <v>0</v>
      </c>
      <c r="J1160" s="69"/>
      <c r="K1160" s="84">
        <f t="shared" si="249"/>
        <v>0</v>
      </c>
      <c r="L1160" s="13"/>
      <c r="M1160" s="84">
        <f t="shared" si="250"/>
        <v>0</v>
      </c>
      <c r="N1160" s="13"/>
      <c r="O1160" s="84">
        <f t="shared" si="251"/>
        <v>0</v>
      </c>
      <c r="P1160" s="13"/>
      <c r="Q1160" s="84">
        <f t="shared" si="262"/>
        <v>0</v>
      </c>
      <c r="R1160" s="13"/>
      <c r="S1160" s="84">
        <f t="shared" si="260"/>
        <v>0</v>
      </c>
      <c r="T1160" s="13"/>
      <c r="U1160" s="84">
        <f t="shared" si="258"/>
        <v>0</v>
      </c>
      <c r="V1160" s="142" t="s">
        <v>706</v>
      </c>
    </row>
    <row r="1161" spans="1:22" ht="20.25" customHeight="1">
      <c r="A1161" s="61" t="str">
        <f ca="1">IF(ISERROR(MATCH(E1161,Код_КЦСР,0)),"",INDIRECT(ADDRESS(MATCH(E1161,Код_КЦСР,0)+1,2,,,"КЦСР")))</f>
        <v>Ремонт и обслуживание электрооборудования зданий</v>
      </c>
      <c r="B1161" s="126">
        <v>808</v>
      </c>
      <c r="C1161" s="8" t="s">
        <v>220</v>
      </c>
      <c r="D1161" s="8" t="s">
        <v>214</v>
      </c>
      <c r="E1161" s="126" t="s">
        <v>88</v>
      </c>
      <c r="F1161" s="126"/>
      <c r="G1161" s="69"/>
      <c r="H1161" s="69"/>
      <c r="I1161" s="69"/>
      <c r="J1161" s="69"/>
      <c r="K1161" s="84"/>
      <c r="L1161" s="13"/>
      <c r="M1161" s="84"/>
      <c r="N1161" s="13"/>
      <c r="O1161" s="84"/>
      <c r="P1161" s="13"/>
      <c r="Q1161" s="84"/>
      <c r="R1161" s="13"/>
      <c r="S1161" s="84"/>
      <c r="T1161" s="13">
        <f t="shared" ref="T1161:T1171" si="264">T1162</f>
        <v>14.9</v>
      </c>
      <c r="U1161" s="84">
        <f t="shared" si="258"/>
        <v>14.9</v>
      </c>
    </row>
    <row r="1162" spans="1:22" ht="33">
      <c r="A1162" s="61" t="str">
        <f ca="1">IF(ISERROR(MATCH(F1162,Код_КВР,0)),"",INDIRECT(ADDRESS(MATCH(F1162,Код_КВР,0)+1,2,,,"КВР")))</f>
        <v>Предоставление субсидий бюджетным, автономным учреждениям и иным некоммерческим организациям</v>
      </c>
      <c r="B1162" s="126">
        <v>808</v>
      </c>
      <c r="C1162" s="8" t="s">
        <v>220</v>
      </c>
      <c r="D1162" s="8" t="s">
        <v>214</v>
      </c>
      <c r="E1162" s="126" t="s">
        <v>88</v>
      </c>
      <c r="F1162" s="126">
        <v>600</v>
      </c>
      <c r="G1162" s="69"/>
      <c r="H1162" s="69"/>
      <c r="I1162" s="69"/>
      <c r="J1162" s="69"/>
      <c r="K1162" s="84"/>
      <c r="L1162" s="13"/>
      <c r="M1162" s="84"/>
      <c r="N1162" s="13"/>
      <c r="O1162" s="84"/>
      <c r="P1162" s="13"/>
      <c r="Q1162" s="84"/>
      <c r="R1162" s="13"/>
      <c r="S1162" s="84"/>
      <c r="T1162" s="13">
        <f t="shared" si="264"/>
        <v>14.9</v>
      </c>
      <c r="U1162" s="84">
        <f t="shared" si="258"/>
        <v>14.9</v>
      </c>
    </row>
    <row r="1163" spans="1:22">
      <c r="A1163" s="61" t="str">
        <f ca="1">IF(ISERROR(MATCH(F1163,Код_КВР,0)),"",INDIRECT(ADDRESS(MATCH(F1163,Код_КВР,0)+1,2,,,"КВР")))</f>
        <v>Субсидии бюджетным учреждениям</v>
      </c>
      <c r="B1163" s="126">
        <v>808</v>
      </c>
      <c r="C1163" s="8" t="s">
        <v>220</v>
      </c>
      <c r="D1163" s="8" t="s">
        <v>214</v>
      </c>
      <c r="E1163" s="126" t="s">
        <v>88</v>
      </c>
      <c r="F1163" s="126">
        <v>610</v>
      </c>
      <c r="G1163" s="69"/>
      <c r="H1163" s="69"/>
      <c r="I1163" s="69"/>
      <c r="J1163" s="69"/>
      <c r="K1163" s="84"/>
      <c r="L1163" s="13"/>
      <c r="M1163" s="84"/>
      <c r="N1163" s="13"/>
      <c r="O1163" s="84"/>
      <c r="P1163" s="13"/>
      <c r="Q1163" s="84"/>
      <c r="R1163" s="13"/>
      <c r="S1163" s="84"/>
      <c r="T1163" s="13">
        <f t="shared" si="264"/>
        <v>14.9</v>
      </c>
      <c r="U1163" s="84">
        <f t="shared" si="258"/>
        <v>14.9</v>
      </c>
    </row>
    <row r="1164" spans="1:22">
      <c r="A1164" s="61" t="str">
        <f ca="1">IF(ISERROR(MATCH(F1164,Код_КВР,0)),"",INDIRECT(ADDRESS(MATCH(F1164,Код_КВР,0)+1,2,,,"КВР")))</f>
        <v>Субсидии бюджетным учреждениям на иные цели</v>
      </c>
      <c r="B1164" s="126">
        <v>808</v>
      </c>
      <c r="C1164" s="8" t="s">
        <v>220</v>
      </c>
      <c r="D1164" s="8" t="s">
        <v>214</v>
      </c>
      <c r="E1164" s="126" t="s">
        <v>88</v>
      </c>
      <c r="F1164" s="126">
        <v>612</v>
      </c>
      <c r="G1164" s="69"/>
      <c r="H1164" s="69"/>
      <c r="I1164" s="69"/>
      <c r="J1164" s="69"/>
      <c r="K1164" s="84"/>
      <c r="L1164" s="13"/>
      <c r="M1164" s="84"/>
      <c r="N1164" s="13"/>
      <c r="O1164" s="84"/>
      <c r="P1164" s="13"/>
      <c r="Q1164" s="84"/>
      <c r="R1164" s="13"/>
      <c r="S1164" s="84"/>
      <c r="T1164" s="13">
        <v>14.9</v>
      </c>
      <c r="U1164" s="84">
        <f t="shared" si="258"/>
        <v>14.9</v>
      </c>
    </row>
    <row r="1165" spans="1:22" ht="38.25" customHeight="1">
      <c r="A1165" s="61" t="str">
        <f ca="1">IF(ISERROR(MATCH(E1165,Код_КЦСР,0)),"",INDIRECT(ADDRESS(MATCH(E1165,Код_КЦСР,0)+1,2,,,"КЦСР")))</f>
        <v>Комплектование, ремонт и испытание внутреннего противопожарного водоснабжения зданий (ПК)</v>
      </c>
      <c r="B1165" s="126">
        <v>808</v>
      </c>
      <c r="C1165" s="8" t="s">
        <v>220</v>
      </c>
      <c r="D1165" s="8" t="s">
        <v>214</v>
      </c>
      <c r="E1165" s="126" t="s">
        <v>92</v>
      </c>
      <c r="F1165" s="126"/>
      <c r="G1165" s="69"/>
      <c r="H1165" s="69"/>
      <c r="I1165" s="69"/>
      <c r="J1165" s="69"/>
      <c r="K1165" s="84"/>
      <c r="L1165" s="13"/>
      <c r="M1165" s="84"/>
      <c r="N1165" s="13"/>
      <c r="O1165" s="84"/>
      <c r="P1165" s="13"/>
      <c r="Q1165" s="84"/>
      <c r="R1165" s="13"/>
      <c r="S1165" s="84"/>
      <c r="T1165" s="13">
        <f t="shared" si="264"/>
        <v>37.799999999999997</v>
      </c>
      <c r="U1165" s="84">
        <f t="shared" si="258"/>
        <v>37.799999999999997</v>
      </c>
    </row>
    <row r="1166" spans="1:22" ht="33">
      <c r="A1166" s="61" t="str">
        <f ca="1">IF(ISERROR(MATCH(F1166,Код_КВР,0)),"",INDIRECT(ADDRESS(MATCH(F1166,Код_КВР,0)+1,2,,,"КВР")))</f>
        <v>Предоставление субсидий бюджетным, автономным учреждениям и иным некоммерческим организациям</v>
      </c>
      <c r="B1166" s="126">
        <v>808</v>
      </c>
      <c r="C1166" s="8" t="s">
        <v>220</v>
      </c>
      <c r="D1166" s="8" t="s">
        <v>214</v>
      </c>
      <c r="E1166" s="126" t="s">
        <v>92</v>
      </c>
      <c r="F1166" s="126">
        <v>600</v>
      </c>
      <c r="G1166" s="69"/>
      <c r="H1166" s="69"/>
      <c r="I1166" s="69"/>
      <c r="J1166" s="69"/>
      <c r="K1166" s="84"/>
      <c r="L1166" s="13"/>
      <c r="M1166" s="84"/>
      <c r="N1166" s="13"/>
      <c r="O1166" s="84"/>
      <c r="P1166" s="13"/>
      <c r="Q1166" s="84"/>
      <c r="R1166" s="13"/>
      <c r="S1166" s="84"/>
      <c r="T1166" s="13">
        <f t="shared" si="264"/>
        <v>37.799999999999997</v>
      </c>
      <c r="U1166" s="84">
        <f t="shared" si="258"/>
        <v>37.799999999999997</v>
      </c>
    </row>
    <row r="1167" spans="1:22">
      <c r="A1167" s="61" t="str">
        <f ca="1">IF(ISERROR(MATCH(F1167,Код_КВР,0)),"",INDIRECT(ADDRESS(MATCH(F1167,Код_КВР,0)+1,2,,,"КВР")))</f>
        <v>Субсидии бюджетным учреждениям</v>
      </c>
      <c r="B1167" s="126">
        <v>808</v>
      </c>
      <c r="C1167" s="8" t="s">
        <v>220</v>
      </c>
      <c r="D1167" s="8" t="s">
        <v>214</v>
      </c>
      <c r="E1167" s="126" t="s">
        <v>92</v>
      </c>
      <c r="F1167" s="126">
        <v>610</v>
      </c>
      <c r="G1167" s="69"/>
      <c r="H1167" s="69"/>
      <c r="I1167" s="69"/>
      <c r="J1167" s="69"/>
      <c r="K1167" s="84"/>
      <c r="L1167" s="13"/>
      <c r="M1167" s="84"/>
      <c r="N1167" s="13"/>
      <c r="O1167" s="84"/>
      <c r="P1167" s="13"/>
      <c r="Q1167" s="84"/>
      <c r="R1167" s="13"/>
      <c r="S1167" s="84"/>
      <c r="T1167" s="13">
        <f t="shared" si="264"/>
        <v>37.799999999999997</v>
      </c>
      <c r="U1167" s="84">
        <f t="shared" si="258"/>
        <v>37.799999999999997</v>
      </c>
    </row>
    <row r="1168" spans="1:22">
      <c r="A1168" s="61" t="str">
        <f ca="1">IF(ISERROR(MATCH(F1168,Код_КВР,0)),"",INDIRECT(ADDRESS(MATCH(F1168,Код_КВР,0)+1,2,,,"КВР")))</f>
        <v>Субсидии бюджетным учреждениям на иные цели</v>
      </c>
      <c r="B1168" s="126">
        <v>808</v>
      </c>
      <c r="C1168" s="8" t="s">
        <v>220</v>
      </c>
      <c r="D1168" s="8" t="s">
        <v>214</v>
      </c>
      <c r="E1168" s="126" t="s">
        <v>92</v>
      </c>
      <c r="F1168" s="126">
        <v>612</v>
      </c>
      <c r="G1168" s="69"/>
      <c r="H1168" s="69"/>
      <c r="I1168" s="69"/>
      <c r="J1168" s="69"/>
      <c r="K1168" s="84"/>
      <c r="L1168" s="13"/>
      <c r="M1168" s="84"/>
      <c r="N1168" s="13"/>
      <c r="O1168" s="84"/>
      <c r="P1168" s="13"/>
      <c r="Q1168" s="84"/>
      <c r="R1168" s="13"/>
      <c r="S1168" s="84"/>
      <c r="T1168" s="13">
        <v>37.799999999999997</v>
      </c>
      <c r="U1168" s="84">
        <f t="shared" si="258"/>
        <v>37.799999999999997</v>
      </c>
    </row>
    <row r="1169" spans="1:22" ht="33">
      <c r="A1169" s="61" t="str">
        <f ca="1">IF(ISERROR(MATCH(E1169,Код_КЦСР,0)),"",INDIRECT(ADDRESS(MATCH(E1169,Код_КЦСР,0)+1,2,,,"КЦСР")))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1169" s="126">
        <v>808</v>
      </c>
      <c r="C1169" s="8" t="s">
        <v>220</v>
      </c>
      <c r="D1169" s="8" t="s">
        <v>214</v>
      </c>
      <c r="E1169" s="126" t="s">
        <v>94</v>
      </c>
      <c r="F1169" s="126"/>
      <c r="G1169" s="69"/>
      <c r="H1169" s="69"/>
      <c r="I1169" s="69"/>
      <c r="J1169" s="69"/>
      <c r="K1169" s="84"/>
      <c r="L1169" s="13"/>
      <c r="M1169" s="84"/>
      <c r="N1169" s="13"/>
      <c r="O1169" s="84"/>
      <c r="P1169" s="13"/>
      <c r="Q1169" s="84"/>
      <c r="R1169" s="13"/>
      <c r="S1169" s="84"/>
      <c r="T1169" s="13">
        <f t="shared" si="264"/>
        <v>148.5</v>
      </c>
      <c r="U1169" s="84">
        <f t="shared" si="258"/>
        <v>148.5</v>
      </c>
    </row>
    <row r="1170" spans="1:22" ht="33">
      <c r="A1170" s="61" t="str">
        <f ca="1">IF(ISERROR(MATCH(F1170,Код_КВР,0)),"",INDIRECT(ADDRESS(MATCH(F1170,Код_КВР,0)+1,2,,,"КВР")))</f>
        <v>Предоставление субсидий бюджетным, автономным учреждениям и иным некоммерческим организациям</v>
      </c>
      <c r="B1170" s="126">
        <v>808</v>
      </c>
      <c r="C1170" s="8" t="s">
        <v>220</v>
      </c>
      <c r="D1170" s="8" t="s">
        <v>214</v>
      </c>
      <c r="E1170" s="126" t="s">
        <v>94</v>
      </c>
      <c r="F1170" s="126">
        <v>600</v>
      </c>
      <c r="G1170" s="69"/>
      <c r="H1170" s="69"/>
      <c r="I1170" s="69"/>
      <c r="J1170" s="69"/>
      <c r="K1170" s="84"/>
      <c r="L1170" s="13"/>
      <c r="M1170" s="84"/>
      <c r="N1170" s="13"/>
      <c r="O1170" s="84"/>
      <c r="P1170" s="13"/>
      <c r="Q1170" s="84"/>
      <c r="R1170" s="13"/>
      <c r="S1170" s="84"/>
      <c r="T1170" s="13">
        <f t="shared" si="264"/>
        <v>148.5</v>
      </c>
      <c r="U1170" s="84">
        <f t="shared" si="258"/>
        <v>148.5</v>
      </c>
    </row>
    <row r="1171" spans="1:22">
      <c r="A1171" s="61" t="str">
        <f ca="1">IF(ISERROR(MATCH(F1171,Код_КВР,0)),"",INDIRECT(ADDRESS(MATCH(F1171,Код_КВР,0)+1,2,,,"КВР")))</f>
        <v>Субсидии бюджетным учреждениям</v>
      </c>
      <c r="B1171" s="126">
        <v>808</v>
      </c>
      <c r="C1171" s="8" t="s">
        <v>220</v>
      </c>
      <c r="D1171" s="8" t="s">
        <v>214</v>
      </c>
      <c r="E1171" s="126" t="s">
        <v>94</v>
      </c>
      <c r="F1171" s="126">
        <v>610</v>
      </c>
      <c r="G1171" s="69"/>
      <c r="H1171" s="69"/>
      <c r="I1171" s="69"/>
      <c r="J1171" s="69"/>
      <c r="K1171" s="84"/>
      <c r="L1171" s="13"/>
      <c r="M1171" s="84"/>
      <c r="N1171" s="13"/>
      <c r="O1171" s="84"/>
      <c r="P1171" s="13"/>
      <c r="Q1171" s="84"/>
      <c r="R1171" s="13"/>
      <c r="S1171" s="84"/>
      <c r="T1171" s="13">
        <f t="shared" si="264"/>
        <v>148.5</v>
      </c>
      <c r="U1171" s="84">
        <f t="shared" si="258"/>
        <v>148.5</v>
      </c>
    </row>
    <row r="1172" spans="1:22">
      <c r="A1172" s="61" t="str">
        <f ca="1">IF(ISERROR(MATCH(F1172,Код_КВР,0)),"",INDIRECT(ADDRESS(MATCH(F1172,Код_КВР,0)+1,2,,,"КВР")))</f>
        <v>Субсидии бюджетным учреждениям на иные цели</v>
      </c>
      <c r="B1172" s="126">
        <v>808</v>
      </c>
      <c r="C1172" s="8" t="s">
        <v>220</v>
      </c>
      <c r="D1172" s="8" t="s">
        <v>214</v>
      </c>
      <c r="E1172" s="126" t="s">
        <v>94</v>
      </c>
      <c r="F1172" s="126">
        <v>612</v>
      </c>
      <c r="G1172" s="69"/>
      <c r="H1172" s="69"/>
      <c r="I1172" s="69"/>
      <c r="J1172" s="69"/>
      <c r="K1172" s="84"/>
      <c r="L1172" s="13"/>
      <c r="M1172" s="84"/>
      <c r="N1172" s="13"/>
      <c r="O1172" s="84"/>
      <c r="P1172" s="13"/>
      <c r="Q1172" s="84"/>
      <c r="R1172" s="13"/>
      <c r="S1172" s="84"/>
      <c r="T1172" s="13">
        <v>148.5</v>
      </c>
      <c r="U1172" s="84">
        <f t="shared" si="258"/>
        <v>148.5</v>
      </c>
    </row>
    <row r="1173" spans="1:22" hidden="1">
      <c r="A1173" s="61" t="str">
        <f ca="1">IF(ISERROR(MATCH(E1173,Код_КЦСР,0)),"",INDIRECT(ADDRESS(MATCH(E1173,Код_КЦСР,0)+1,2,,,"КЦСР")))</f>
        <v>Установка распашных решеток на окнах зданий</v>
      </c>
      <c r="B1173" s="126">
        <v>808</v>
      </c>
      <c r="C1173" s="8" t="s">
        <v>220</v>
      </c>
      <c r="D1173" s="8" t="s">
        <v>214</v>
      </c>
      <c r="E1173" s="126" t="s">
        <v>102</v>
      </c>
      <c r="F1173" s="126"/>
      <c r="G1173" s="69">
        <f>G1174</f>
        <v>105.4</v>
      </c>
      <c r="H1173" s="69">
        <f>H1174</f>
        <v>0</v>
      </c>
      <c r="I1173" s="69">
        <f t="shared" si="254"/>
        <v>105.4</v>
      </c>
      <c r="J1173" s="69">
        <f>J1174</f>
        <v>0</v>
      </c>
      <c r="K1173" s="84">
        <f t="shared" si="249"/>
        <v>105.4</v>
      </c>
      <c r="L1173" s="13">
        <f>L1174</f>
        <v>0</v>
      </c>
      <c r="M1173" s="84">
        <f t="shared" si="250"/>
        <v>105.4</v>
      </c>
      <c r="N1173" s="13">
        <f>N1174</f>
        <v>0</v>
      </c>
      <c r="O1173" s="84">
        <f t="shared" si="251"/>
        <v>105.4</v>
      </c>
      <c r="P1173" s="13">
        <f>P1174</f>
        <v>0</v>
      </c>
      <c r="Q1173" s="84">
        <f t="shared" si="262"/>
        <v>105.4</v>
      </c>
      <c r="R1173" s="13">
        <f>R1174</f>
        <v>0</v>
      </c>
      <c r="S1173" s="84">
        <f t="shared" si="260"/>
        <v>105.4</v>
      </c>
      <c r="T1173" s="13">
        <f>T1174</f>
        <v>-105.4</v>
      </c>
      <c r="U1173" s="84">
        <f t="shared" si="258"/>
        <v>0</v>
      </c>
      <c r="V1173" s="142" t="s">
        <v>706</v>
      </c>
    </row>
    <row r="1174" spans="1:22" ht="33" hidden="1">
      <c r="A1174" s="61" t="str">
        <f ca="1">IF(ISERROR(MATCH(F1174,Код_КВР,0)),"",INDIRECT(ADDRESS(MATCH(F1174,Код_КВР,0)+1,2,,,"КВР")))</f>
        <v>Предоставление субсидий бюджетным, автономным учреждениям и иным некоммерческим организациям</v>
      </c>
      <c r="B1174" s="126">
        <v>808</v>
      </c>
      <c r="C1174" s="8" t="s">
        <v>220</v>
      </c>
      <c r="D1174" s="8" t="s">
        <v>214</v>
      </c>
      <c r="E1174" s="126" t="s">
        <v>102</v>
      </c>
      <c r="F1174" s="126">
        <v>600</v>
      </c>
      <c r="G1174" s="69">
        <f>G1175+G1177</f>
        <v>105.4</v>
      </c>
      <c r="H1174" s="69">
        <f>H1175+H1177</f>
        <v>0</v>
      </c>
      <c r="I1174" s="69">
        <f t="shared" si="254"/>
        <v>105.4</v>
      </c>
      <c r="J1174" s="69">
        <f>J1175+J1177</f>
        <v>0</v>
      </c>
      <c r="K1174" s="84">
        <f t="shared" si="249"/>
        <v>105.4</v>
      </c>
      <c r="L1174" s="13">
        <f>L1175+L1177</f>
        <v>0</v>
      </c>
      <c r="M1174" s="84">
        <f t="shared" si="250"/>
        <v>105.4</v>
      </c>
      <c r="N1174" s="13">
        <f>N1175+N1177</f>
        <v>0</v>
      </c>
      <c r="O1174" s="84">
        <f t="shared" si="251"/>
        <v>105.4</v>
      </c>
      <c r="P1174" s="13">
        <f>P1175+P1177</f>
        <v>0</v>
      </c>
      <c r="Q1174" s="84">
        <f t="shared" si="262"/>
        <v>105.4</v>
      </c>
      <c r="R1174" s="13">
        <f>R1175+R1177</f>
        <v>0</v>
      </c>
      <c r="S1174" s="84">
        <f t="shared" si="260"/>
        <v>105.4</v>
      </c>
      <c r="T1174" s="13">
        <f>T1175+T1177</f>
        <v>-105.4</v>
      </c>
      <c r="U1174" s="84">
        <f t="shared" si="258"/>
        <v>0</v>
      </c>
      <c r="V1174" s="142" t="s">
        <v>706</v>
      </c>
    </row>
    <row r="1175" spans="1:22" hidden="1">
      <c r="A1175" s="61" t="str">
        <f ca="1">IF(ISERROR(MATCH(F1175,Код_КВР,0)),"",INDIRECT(ADDRESS(MATCH(F1175,Код_КВР,0)+1,2,,,"КВР")))</f>
        <v>Субсидии бюджетным учреждениям</v>
      </c>
      <c r="B1175" s="126">
        <v>808</v>
      </c>
      <c r="C1175" s="8" t="s">
        <v>220</v>
      </c>
      <c r="D1175" s="8" t="s">
        <v>214</v>
      </c>
      <c r="E1175" s="126" t="s">
        <v>102</v>
      </c>
      <c r="F1175" s="126">
        <v>610</v>
      </c>
      <c r="G1175" s="69">
        <f>G1176</f>
        <v>55.4</v>
      </c>
      <c r="H1175" s="69">
        <f>H1176</f>
        <v>0</v>
      </c>
      <c r="I1175" s="69">
        <f t="shared" si="254"/>
        <v>55.4</v>
      </c>
      <c r="J1175" s="69">
        <f>J1176</f>
        <v>0</v>
      </c>
      <c r="K1175" s="84">
        <f t="shared" si="249"/>
        <v>55.4</v>
      </c>
      <c r="L1175" s="13">
        <f>L1176</f>
        <v>0</v>
      </c>
      <c r="M1175" s="84">
        <f t="shared" si="250"/>
        <v>55.4</v>
      </c>
      <c r="N1175" s="13">
        <f>N1176</f>
        <v>0</v>
      </c>
      <c r="O1175" s="84">
        <f t="shared" si="251"/>
        <v>55.4</v>
      </c>
      <c r="P1175" s="13">
        <f>P1176</f>
        <v>0</v>
      </c>
      <c r="Q1175" s="84">
        <f t="shared" si="262"/>
        <v>55.4</v>
      </c>
      <c r="R1175" s="13">
        <f>R1176</f>
        <v>0</v>
      </c>
      <c r="S1175" s="84">
        <f t="shared" si="260"/>
        <v>55.4</v>
      </c>
      <c r="T1175" s="13">
        <f>T1176</f>
        <v>-55.4</v>
      </c>
      <c r="U1175" s="84">
        <f t="shared" si="258"/>
        <v>0</v>
      </c>
      <c r="V1175" s="142" t="s">
        <v>706</v>
      </c>
    </row>
    <row r="1176" spans="1:22" hidden="1">
      <c r="A1176" s="61" t="str">
        <f ca="1">IF(ISERROR(MATCH(F1176,Код_КВР,0)),"",INDIRECT(ADDRESS(MATCH(F1176,Код_КВР,0)+1,2,,,"КВР")))</f>
        <v>Субсидии бюджетным учреждениям на иные цели</v>
      </c>
      <c r="B1176" s="126">
        <v>808</v>
      </c>
      <c r="C1176" s="8" t="s">
        <v>220</v>
      </c>
      <c r="D1176" s="8" t="s">
        <v>214</v>
      </c>
      <c r="E1176" s="126" t="s">
        <v>102</v>
      </c>
      <c r="F1176" s="126">
        <v>612</v>
      </c>
      <c r="G1176" s="69">
        <v>55.4</v>
      </c>
      <c r="H1176" s="69"/>
      <c r="I1176" s="69">
        <f t="shared" si="254"/>
        <v>55.4</v>
      </c>
      <c r="J1176" s="69"/>
      <c r="K1176" s="84">
        <f t="shared" si="249"/>
        <v>55.4</v>
      </c>
      <c r="L1176" s="13"/>
      <c r="M1176" s="84">
        <f t="shared" si="250"/>
        <v>55.4</v>
      </c>
      <c r="N1176" s="13"/>
      <c r="O1176" s="84">
        <f t="shared" si="251"/>
        <v>55.4</v>
      </c>
      <c r="P1176" s="13"/>
      <c r="Q1176" s="84">
        <f t="shared" si="262"/>
        <v>55.4</v>
      </c>
      <c r="R1176" s="13"/>
      <c r="S1176" s="84">
        <f t="shared" si="260"/>
        <v>55.4</v>
      </c>
      <c r="T1176" s="13">
        <v>-55.4</v>
      </c>
      <c r="U1176" s="84">
        <f t="shared" si="258"/>
        <v>0</v>
      </c>
      <c r="V1176" s="142" t="s">
        <v>706</v>
      </c>
    </row>
    <row r="1177" spans="1:22" hidden="1">
      <c r="A1177" s="61" t="str">
        <f ca="1">IF(ISERROR(MATCH(F1177,Код_КВР,0)),"",INDIRECT(ADDRESS(MATCH(F1177,Код_КВР,0)+1,2,,,"КВР")))</f>
        <v>Субсидии автономным учреждениям</v>
      </c>
      <c r="B1177" s="126">
        <v>808</v>
      </c>
      <c r="C1177" s="8" t="s">
        <v>220</v>
      </c>
      <c r="D1177" s="8" t="s">
        <v>214</v>
      </c>
      <c r="E1177" s="126" t="s">
        <v>102</v>
      </c>
      <c r="F1177" s="126">
        <v>620</v>
      </c>
      <c r="G1177" s="69">
        <f>G1178</f>
        <v>50</v>
      </c>
      <c r="H1177" s="69">
        <f>H1178</f>
        <v>0</v>
      </c>
      <c r="I1177" s="69">
        <f t="shared" si="254"/>
        <v>50</v>
      </c>
      <c r="J1177" s="69">
        <f>J1178</f>
        <v>0</v>
      </c>
      <c r="K1177" s="84">
        <f t="shared" si="249"/>
        <v>50</v>
      </c>
      <c r="L1177" s="13">
        <f>L1178</f>
        <v>0</v>
      </c>
      <c r="M1177" s="84">
        <f t="shared" si="250"/>
        <v>50</v>
      </c>
      <c r="N1177" s="13">
        <f>N1178</f>
        <v>0</v>
      </c>
      <c r="O1177" s="84">
        <f t="shared" si="251"/>
        <v>50</v>
      </c>
      <c r="P1177" s="13">
        <f>P1178</f>
        <v>0</v>
      </c>
      <c r="Q1177" s="84">
        <f t="shared" si="262"/>
        <v>50</v>
      </c>
      <c r="R1177" s="13">
        <f>R1178</f>
        <v>0</v>
      </c>
      <c r="S1177" s="84">
        <f t="shared" si="260"/>
        <v>50</v>
      </c>
      <c r="T1177" s="13">
        <f>T1178</f>
        <v>-50</v>
      </c>
      <c r="U1177" s="84">
        <f>S1177+T1177</f>
        <v>0</v>
      </c>
      <c r="V1177" s="142" t="s">
        <v>706</v>
      </c>
    </row>
    <row r="1178" spans="1:22" hidden="1">
      <c r="A1178" s="61" t="str">
        <f ca="1">IF(ISERROR(MATCH(F1178,Код_КВР,0)),"",INDIRECT(ADDRESS(MATCH(F1178,Код_КВР,0)+1,2,,,"КВР")))</f>
        <v>Субсидии автономным учреждениям на иные цели</v>
      </c>
      <c r="B1178" s="126">
        <v>808</v>
      </c>
      <c r="C1178" s="8" t="s">
        <v>220</v>
      </c>
      <c r="D1178" s="8" t="s">
        <v>214</v>
      </c>
      <c r="E1178" s="126" t="s">
        <v>102</v>
      </c>
      <c r="F1178" s="126">
        <v>622</v>
      </c>
      <c r="G1178" s="69">
        <v>50</v>
      </c>
      <c r="H1178" s="69"/>
      <c r="I1178" s="69">
        <f t="shared" si="254"/>
        <v>50</v>
      </c>
      <c r="J1178" s="69"/>
      <c r="K1178" s="84">
        <f t="shared" si="249"/>
        <v>50</v>
      </c>
      <c r="L1178" s="13"/>
      <c r="M1178" s="84">
        <f t="shared" si="250"/>
        <v>50</v>
      </c>
      <c r="N1178" s="13"/>
      <c r="O1178" s="84">
        <f t="shared" si="251"/>
        <v>50</v>
      </c>
      <c r="P1178" s="13"/>
      <c r="Q1178" s="84">
        <f t="shared" si="262"/>
        <v>50</v>
      </c>
      <c r="R1178" s="13"/>
      <c r="S1178" s="84">
        <f t="shared" si="260"/>
        <v>50</v>
      </c>
      <c r="T1178" s="13">
        <v>-50</v>
      </c>
      <c r="U1178" s="84">
        <f>S1178+T1178</f>
        <v>0</v>
      </c>
      <c r="V1178" s="142" t="s">
        <v>706</v>
      </c>
    </row>
    <row r="1179" spans="1:22">
      <c r="A1179" s="61" t="str">
        <f ca="1">IF(ISERROR(MATCH(E1179,Код_КЦСР,0)),"",INDIRECT(ADDRESS(MATCH(E1179,Код_КЦСР,0)+1,2,,,"КЦСР")))</f>
        <v>Резервные фонды Правительства области</v>
      </c>
      <c r="B1179" s="126">
        <v>808</v>
      </c>
      <c r="C1179" s="8" t="s">
        <v>220</v>
      </c>
      <c r="D1179" s="8" t="s">
        <v>214</v>
      </c>
      <c r="E1179" s="126" t="s">
        <v>686</v>
      </c>
      <c r="F1179" s="126"/>
      <c r="G1179" s="69"/>
      <c r="H1179" s="69"/>
      <c r="I1179" s="69"/>
      <c r="J1179" s="69"/>
      <c r="K1179" s="84"/>
      <c r="L1179" s="13"/>
      <c r="M1179" s="84"/>
      <c r="N1179" s="13"/>
      <c r="O1179" s="84"/>
      <c r="P1179" s="13"/>
      <c r="Q1179" s="84"/>
      <c r="R1179" s="13"/>
      <c r="S1179" s="84"/>
      <c r="T1179" s="13">
        <f>T1180</f>
        <v>200</v>
      </c>
      <c r="U1179" s="84">
        <f t="shared" si="258"/>
        <v>200</v>
      </c>
    </row>
    <row r="1180" spans="1:22" ht="57" customHeight="1">
      <c r="A1180" s="61" t="str">
        <f ca="1">IF(ISERROR(MATCH(E1180,Код_КЦСР,0)),"",INDIRECT(ADDRESS(MATCH(E1180,Код_КЦСР,0)+1,2,,,"КЦСР")))</f>
        <v>Резервные фонды исполнительных органов государственной власти субъектов Российской Федерации (на частичное финансирование непредвиденных расходов по созданию детских музейных центров)</v>
      </c>
      <c r="B1180" s="126">
        <v>808</v>
      </c>
      <c r="C1180" s="8" t="s">
        <v>220</v>
      </c>
      <c r="D1180" s="8" t="s">
        <v>214</v>
      </c>
      <c r="E1180" s="126" t="s">
        <v>688</v>
      </c>
      <c r="F1180" s="126"/>
      <c r="G1180" s="69"/>
      <c r="H1180" s="69"/>
      <c r="I1180" s="69"/>
      <c r="J1180" s="69"/>
      <c r="K1180" s="84"/>
      <c r="L1180" s="13"/>
      <c r="M1180" s="84"/>
      <c r="N1180" s="13"/>
      <c r="O1180" s="84"/>
      <c r="P1180" s="13"/>
      <c r="Q1180" s="84"/>
      <c r="R1180" s="13"/>
      <c r="S1180" s="84"/>
      <c r="T1180" s="13">
        <f>T1181</f>
        <v>200</v>
      </c>
      <c r="U1180" s="84">
        <f t="shared" si="258"/>
        <v>200</v>
      </c>
    </row>
    <row r="1181" spans="1:22" ht="33">
      <c r="A1181" s="61" t="str">
        <f ca="1">IF(ISERROR(MATCH(F1181,Код_КВР,0)),"",INDIRECT(ADDRESS(MATCH(F1181,Код_КВР,0)+1,2,,,"КВР")))</f>
        <v>Предоставление субсидий бюджетным, автономным учреждениям и иным некоммерческим организациям</v>
      </c>
      <c r="B1181" s="126">
        <v>808</v>
      </c>
      <c r="C1181" s="8" t="s">
        <v>220</v>
      </c>
      <c r="D1181" s="8" t="s">
        <v>214</v>
      </c>
      <c r="E1181" s="126" t="s">
        <v>688</v>
      </c>
      <c r="F1181" s="126">
        <v>600</v>
      </c>
      <c r="G1181" s="69"/>
      <c r="H1181" s="69"/>
      <c r="I1181" s="69"/>
      <c r="J1181" s="69"/>
      <c r="K1181" s="84"/>
      <c r="L1181" s="13"/>
      <c r="M1181" s="84"/>
      <c r="N1181" s="13"/>
      <c r="O1181" s="84"/>
      <c r="P1181" s="13"/>
      <c r="Q1181" s="84"/>
      <c r="R1181" s="13"/>
      <c r="S1181" s="84"/>
      <c r="T1181" s="13">
        <f>T1182</f>
        <v>200</v>
      </c>
      <c r="U1181" s="84">
        <f t="shared" si="258"/>
        <v>200</v>
      </c>
    </row>
    <row r="1182" spans="1:22">
      <c r="A1182" s="61" t="str">
        <f ca="1">IF(ISERROR(MATCH(F1182,Код_КВР,0)),"",INDIRECT(ADDRESS(MATCH(F1182,Код_КВР,0)+1,2,,,"КВР")))</f>
        <v>Субсидии бюджетным учреждениям</v>
      </c>
      <c r="B1182" s="126">
        <v>808</v>
      </c>
      <c r="C1182" s="8" t="s">
        <v>220</v>
      </c>
      <c r="D1182" s="8" t="s">
        <v>214</v>
      </c>
      <c r="E1182" s="126" t="s">
        <v>688</v>
      </c>
      <c r="F1182" s="126">
        <v>610</v>
      </c>
      <c r="G1182" s="69"/>
      <c r="H1182" s="69"/>
      <c r="I1182" s="69"/>
      <c r="J1182" s="69"/>
      <c r="K1182" s="84"/>
      <c r="L1182" s="13"/>
      <c r="M1182" s="84"/>
      <c r="N1182" s="13"/>
      <c r="O1182" s="84"/>
      <c r="P1182" s="13"/>
      <c r="Q1182" s="84"/>
      <c r="R1182" s="13"/>
      <c r="S1182" s="84"/>
      <c r="T1182" s="13">
        <f>T1183</f>
        <v>200</v>
      </c>
      <c r="U1182" s="84">
        <f>S1182+T1182</f>
        <v>200</v>
      </c>
    </row>
    <row r="1183" spans="1:22">
      <c r="A1183" s="61" t="str">
        <f ca="1">IF(ISERROR(MATCH(F1183,Код_КВР,0)),"",INDIRECT(ADDRESS(MATCH(F1183,Код_КВР,0)+1,2,,,"КВР")))</f>
        <v>Субсидии бюджетным учреждениям на иные цели</v>
      </c>
      <c r="B1183" s="126">
        <v>808</v>
      </c>
      <c r="C1183" s="8" t="s">
        <v>220</v>
      </c>
      <c r="D1183" s="8" t="s">
        <v>214</v>
      </c>
      <c r="E1183" s="126" t="s">
        <v>688</v>
      </c>
      <c r="F1183" s="126">
        <v>612</v>
      </c>
      <c r="G1183" s="69"/>
      <c r="H1183" s="69"/>
      <c r="I1183" s="69"/>
      <c r="J1183" s="69"/>
      <c r="K1183" s="84"/>
      <c r="L1183" s="13"/>
      <c r="M1183" s="84"/>
      <c r="N1183" s="13"/>
      <c r="O1183" s="84"/>
      <c r="P1183" s="13"/>
      <c r="Q1183" s="84"/>
      <c r="R1183" s="13"/>
      <c r="S1183" s="84"/>
      <c r="T1183" s="13">
        <v>200</v>
      </c>
      <c r="U1183" s="84">
        <f t="shared" si="258"/>
        <v>200</v>
      </c>
    </row>
    <row r="1184" spans="1:22" ht="33">
      <c r="A1184" s="61" t="str">
        <f ca="1">IF(ISERROR(MATCH(E1184,Код_КЦСР,0)),"",INDIRECT(ADDRESS(MATCH(E1184,Код_КЦСР,0)+1,2,,,"КЦСР")))</f>
        <v>Непрограммные направления деятельности органов местного самоуправления</v>
      </c>
      <c r="B1184" s="126">
        <v>808</v>
      </c>
      <c r="C1184" s="8" t="s">
        <v>220</v>
      </c>
      <c r="D1184" s="8" t="s">
        <v>214</v>
      </c>
      <c r="E1184" s="126" t="s">
        <v>295</v>
      </c>
      <c r="F1184" s="126"/>
      <c r="G1184" s="69">
        <f t="shared" ref="G1184:T1186" si="265">G1185</f>
        <v>8849.2999999999993</v>
      </c>
      <c r="H1184" s="69">
        <f t="shared" si="265"/>
        <v>0</v>
      </c>
      <c r="I1184" s="69">
        <f t="shared" si="254"/>
        <v>8849.2999999999993</v>
      </c>
      <c r="J1184" s="69">
        <f t="shared" si="265"/>
        <v>36</v>
      </c>
      <c r="K1184" s="84">
        <f t="shared" si="249"/>
        <v>8885.2999999999993</v>
      </c>
      <c r="L1184" s="13">
        <f t="shared" si="265"/>
        <v>0</v>
      </c>
      <c r="M1184" s="84">
        <f t="shared" si="250"/>
        <v>8885.2999999999993</v>
      </c>
      <c r="N1184" s="13">
        <f t="shared" si="265"/>
        <v>0</v>
      </c>
      <c r="O1184" s="84">
        <f t="shared" si="251"/>
        <v>8885.2999999999993</v>
      </c>
      <c r="P1184" s="13">
        <f t="shared" si="265"/>
        <v>0</v>
      </c>
      <c r="Q1184" s="84">
        <f t="shared" si="262"/>
        <v>8885.2999999999993</v>
      </c>
      <c r="R1184" s="13">
        <f t="shared" si="265"/>
        <v>0</v>
      </c>
      <c r="S1184" s="84">
        <f t="shared" si="260"/>
        <v>8885.2999999999993</v>
      </c>
      <c r="T1184" s="13">
        <f t="shared" si="265"/>
        <v>-75</v>
      </c>
      <c r="U1184" s="84">
        <f t="shared" si="258"/>
        <v>8810.2999999999993</v>
      </c>
    </row>
    <row r="1185" spans="1:21">
      <c r="A1185" s="61" t="str">
        <f ca="1">IF(ISERROR(MATCH(E1185,Код_КЦСР,0)),"",INDIRECT(ADDRESS(MATCH(E1185,Код_КЦСР,0)+1,2,,,"КЦСР")))</f>
        <v>Расходы, не включенные в муниципальные программы города Череповца</v>
      </c>
      <c r="B1185" s="126">
        <v>808</v>
      </c>
      <c r="C1185" s="8" t="s">
        <v>220</v>
      </c>
      <c r="D1185" s="8" t="s">
        <v>214</v>
      </c>
      <c r="E1185" s="126" t="s">
        <v>297</v>
      </c>
      <c r="F1185" s="126"/>
      <c r="G1185" s="69">
        <f t="shared" si="265"/>
        <v>8849.2999999999993</v>
      </c>
      <c r="H1185" s="69">
        <f t="shared" si="265"/>
        <v>0</v>
      </c>
      <c r="I1185" s="69">
        <f t="shared" si="254"/>
        <v>8849.2999999999993</v>
      </c>
      <c r="J1185" s="69">
        <f>J1186+J1196</f>
        <v>36</v>
      </c>
      <c r="K1185" s="84">
        <f t="shared" si="249"/>
        <v>8885.2999999999993</v>
      </c>
      <c r="L1185" s="13">
        <f>L1186+L1196</f>
        <v>0</v>
      </c>
      <c r="M1185" s="84">
        <f t="shared" si="250"/>
        <v>8885.2999999999993</v>
      </c>
      <c r="N1185" s="13">
        <f>N1186+N1196</f>
        <v>0</v>
      </c>
      <c r="O1185" s="84">
        <f t="shared" si="251"/>
        <v>8885.2999999999993</v>
      </c>
      <c r="P1185" s="13">
        <f>P1186+P1196</f>
        <v>0</v>
      </c>
      <c r="Q1185" s="84">
        <f t="shared" si="262"/>
        <v>8885.2999999999993</v>
      </c>
      <c r="R1185" s="13">
        <f>R1186+R1196</f>
        <v>0</v>
      </c>
      <c r="S1185" s="84">
        <f t="shared" si="260"/>
        <v>8885.2999999999993</v>
      </c>
      <c r="T1185" s="13">
        <f>T1186+T1196</f>
        <v>-75</v>
      </c>
      <c r="U1185" s="84">
        <f t="shared" si="258"/>
        <v>8810.2999999999993</v>
      </c>
    </row>
    <row r="1186" spans="1:21" ht="33">
      <c r="A1186" s="61" t="str">
        <f ca="1">IF(ISERROR(MATCH(E1186,Код_КЦСР,0)),"",INDIRECT(ADDRESS(MATCH(E1186,Код_КЦСР,0)+1,2,,,"КЦСР")))</f>
        <v>Руководство и управление в сфере установленных функций органов местного самоуправления</v>
      </c>
      <c r="B1186" s="126">
        <v>808</v>
      </c>
      <c r="C1186" s="8" t="s">
        <v>220</v>
      </c>
      <c r="D1186" s="8" t="s">
        <v>214</v>
      </c>
      <c r="E1186" s="126" t="s">
        <v>299</v>
      </c>
      <c r="F1186" s="126"/>
      <c r="G1186" s="69">
        <f t="shared" si="265"/>
        <v>8849.2999999999993</v>
      </c>
      <c r="H1186" s="69">
        <f t="shared" si="265"/>
        <v>0</v>
      </c>
      <c r="I1186" s="69">
        <f t="shared" si="254"/>
        <v>8849.2999999999993</v>
      </c>
      <c r="J1186" s="69">
        <f t="shared" si="265"/>
        <v>0</v>
      </c>
      <c r="K1186" s="84">
        <f t="shared" ref="K1186:K1260" si="266">I1186+J1186</f>
        <v>8849.2999999999993</v>
      </c>
      <c r="L1186" s="13">
        <f t="shared" si="265"/>
        <v>0</v>
      </c>
      <c r="M1186" s="84">
        <f t="shared" si="250"/>
        <v>8849.2999999999993</v>
      </c>
      <c r="N1186" s="13">
        <f t="shared" si="265"/>
        <v>0</v>
      </c>
      <c r="O1186" s="84">
        <f t="shared" si="251"/>
        <v>8849.2999999999993</v>
      </c>
      <c r="P1186" s="13">
        <f t="shared" si="265"/>
        <v>0</v>
      </c>
      <c r="Q1186" s="84">
        <f t="shared" si="262"/>
        <v>8849.2999999999993</v>
      </c>
      <c r="R1186" s="13">
        <f t="shared" si="265"/>
        <v>0</v>
      </c>
      <c r="S1186" s="84">
        <f t="shared" si="260"/>
        <v>8849.2999999999993</v>
      </c>
      <c r="T1186" s="13">
        <f t="shared" si="265"/>
        <v>-75</v>
      </c>
      <c r="U1186" s="84">
        <f t="shared" si="258"/>
        <v>8774.2999999999993</v>
      </c>
    </row>
    <row r="1187" spans="1:21">
      <c r="A1187" s="61" t="str">
        <f ca="1">IF(ISERROR(MATCH(E1187,Код_КЦСР,0)),"",INDIRECT(ADDRESS(MATCH(E1187,Код_КЦСР,0)+1,2,,,"КЦСР")))</f>
        <v>Центральный аппарат</v>
      </c>
      <c r="B1187" s="126">
        <v>808</v>
      </c>
      <c r="C1187" s="8" t="s">
        <v>220</v>
      </c>
      <c r="D1187" s="8" t="s">
        <v>214</v>
      </c>
      <c r="E1187" s="126" t="s">
        <v>302</v>
      </c>
      <c r="F1187" s="126"/>
      <c r="G1187" s="69">
        <f>G1188+G1190+G1193</f>
        <v>8849.2999999999993</v>
      </c>
      <c r="H1187" s="69">
        <f>H1188+H1190+H1193</f>
        <v>0</v>
      </c>
      <c r="I1187" s="69">
        <f t="shared" si="254"/>
        <v>8849.2999999999993</v>
      </c>
      <c r="J1187" s="69">
        <f>J1188+J1190+J1193</f>
        <v>0</v>
      </c>
      <c r="K1187" s="84">
        <f t="shared" si="266"/>
        <v>8849.2999999999993</v>
      </c>
      <c r="L1187" s="13">
        <f>L1188+L1190+L1193</f>
        <v>0</v>
      </c>
      <c r="M1187" s="84">
        <f t="shared" si="250"/>
        <v>8849.2999999999993</v>
      </c>
      <c r="N1187" s="13">
        <f>N1188+N1190+N1193</f>
        <v>0</v>
      </c>
      <c r="O1187" s="84">
        <f t="shared" si="251"/>
        <v>8849.2999999999993</v>
      </c>
      <c r="P1187" s="13">
        <f>P1188+P1190+P1193</f>
        <v>0</v>
      </c>
      <c r="Q1187" s="84">
        <f t="shared" si="262"/>
        <v>8849.2999999999993</v>
      </c>
      <c r="R1187" s="13">
        <f>R1188+R1190+R1193</f>
        <v>0</v>
      </c>
      <c r="S1187" s="84">
        <f t="shared" si="260"/>
        <v>8849.2999999999993</v>
      </c>
      <c r="T1187" s="13">
        <f>T1188+T1190+T1193</f>
        <v>-75</v>
      </c>
      <c r="U1187" s="84">
        <f t="shared" si="258"/>
        <v>8774.2999999999993</v>
      </c>
    </row>
    <row r="1188" spans="1:21" ht="33">
      <c r="A1188" s="61" t="str">
        <f t="shared" ref="A1188:A1194" ca="1" si="267">IF(ISERROR(MATCH(F1188,Код_КВР,0)),"",INDIRECT(ADDRESS(MATCH(F1188,Код_КВР,0)+1,2,,,"КВР")))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88" s="126">
        <v>808</v>
      </c>
      <c r="C1188" s="8" t="s">
        <v>220</v>
      </c>
      <c r="D1188" s="8" t="s">
        <v>214</v>
      </c>
      <c r="E1188" s="126" t="s">
        <v>302</v>
      </c>
      <c r="F1188" s="126">
        <v>100</v>
      </c>
      <c r="G1188" s="69">
        <f>G1189</f>
        <v>8833.5</v>
      </c>
      <c r="H1188" s="69">
        <f>H1189</f>
        <v>0</v>
      </c>
      <c r="I1188" s="69">
        <f t="shared" si="254"/>
        <v>8833.5</v>
      </c>
      <c r="J1188" s="69">
        <f>J1189</f>
        <v>0</v>
      </c>
      <c r="K1188" s="84">
        <f t="shared" si="266"/>
        <v>8833.5</v>
      </c>
      <c r="L1188" s="13">
        <f>L1189</f>
        <v>0</v>
      </c>
      <c r="M1188" s="84">
        <f t="shared" si="250"/>
        <v>8833.5</v>
      </c>
      <c r="N1188" s="13">
        <f>N1189</f>
        <v>0</v>
      </c>
      <c r="O1188" s="84">
        <f t="shared" si="251"/>
        <v>8833.5</v>
      </c>
      <c r="P1188" s="13">
        <f>P1189</f>
        <v>0</v>
      </c>
      <c r="Q1188" s="84">
        <f t="shared" si="262"/>
        <v>8833.5</v>
      </c>
      <c r="R1188" s="13">
        <f>R1189</f>
        <v>0</v>
      </c>
      <c r="S1188" s="84">
        <f t="shared" si="260"/>
        <v>8833.5</v>
      </c>
      <c r="T1188" s="13">
        <f>T1189</f>
        <v>-73.5</v>
      </c>
      <c r="U1188" s="84">
        <f t="shared" si="258"/>
        <v>8760</v>
      </c>
    </row>
    <row r="1189" spans="1:21">
      <c r="A1189" s="61" t="str">
        <f t="shared" ca="1" si="267"/>
        <v>Расходы на выплаты персоналу муниципальных органов</v>
      </c>
      <c r="B1189" s="126">
        <v>808</v>
      </c>
      <c r="C1189" s="8" t="s">
        <v>220</v>
      </c>
      <c r="D1189" s="8" t="s">
        <v>214</v>
      </c>
      <c r="E1189" s="126" t="s">
        <v>302</v>
      </c>
      <c r="F1189" s="126">
        <v>120</v>
      </c>
      <c r="G1189" s="69">
        <v>8833.5</v>
      </c>
      <c r="H1189" s="69"/>
      <c r="I1189" s="69">
        <f t="shared" si="254"/>
        <v>8833.5</v>
      </c>
      <c r="J1189" s="69"/>
      <c r="K1189" s="84">
        <f t="shared" si="266"/>
        <v>8833.5</v>
      </c>
      <c r="L1189" s="13"/>
      <c r="M1189" s="84">
        <f t="shared" si="250"/>
        <v>8833.5</v>
      </c>
      <c r="N1189" s="13"/>
      <c r="O1189" s="84">
        <f t="shared" si="251"/>
        <v>8833.5</v>
      </c>
      <c r="P1189" s="13"/>
      <c r="Q1189" s="84">
        <f t="shared" si="262"/>
        <v>8833.5</v>
      </c>
      <c r="R1189" s="13"/>
      <c r="S1189" s="84">
        <f t="shared" si="260"/>
        <v>8833.5</v>
      </c>
      <c r="T1189" s="13">
        <f>-49.8-2.1-10.9-10.7</f>
        <v>-73.5</v>
      </c>
      <c r="U1189" s="84">
        <f t="shared" si="258"/>
        <v>8760</v>
      </c>
    </row>
    <row r="1190" spans="1:21">
      <c r="A1190" s="61" t="str">
        <f t="shared" ca="1" si="267"/>
        <v>Закупка товаров, работ и услуг для муниципальных нужд</v>
      </c>
      <c r="B1190" s="126">
        <v>808</v>
      </c>
      <c r="C1190" s="8" t="s">
        <v>220</v>
      </c>
      <c r="D1190" s="8" t="s">
        <v>214</v>
      </c>
      <c r="E1190" s="126" t="s">
        <v>302</v>
      </c>
      <c r="F1190" s="126">
        <v>200</v>
      </c>
      <c r="G1190" s="69">
        <f>G1191</f>
        <v>14.3</v>
      </c>
      <c r="H1190" s="69">
        <f>H1191</f>
        <v>0</v>
      </c>
      <c r="I1190" s="69">
        <f t="shared" si="254"/>
        <v>14.3</v>
      </c>
      <c r="J1190" s="69">
        <f>J1191</f>
        <v>0</v>
      </c>
      <c r="K1190" s="84">
        <f t="shared" si="266"/>
        <v>14.3</v>
      </c>
      <c r="L1190" s="13">
        <f>L1191</f>
        <v>0</v>
      </c>
      <c r="M1190" s="84">
        <f t="shared" si="250"/>
        <v>14.3</v>
      </c>
      <c r="N1190" s="13">
        <f>N1191</f>
        <v>0</v>
      </c>
      <c r="O1190" s="84">
        <f t="shared" si="251"/>
        <v>14.3</v>
      </c>
      <c r="P1190" s="13">
        <f>P1191</f>
        <v>0</v>
      </c>
      <c r="Q1190" s="84">
        <f t="shared" si="262"/>
        <v>14.3</v>
      </c>
      <c r="R1190" s="13">
        <f>R1191</f>
        <v>0</v>
      </c>
      <c r="S1190" s="84">
        <f t="shared" si="260"/>
        <v>14.3</v>
      </c>
      <c r="T1190" s="13">
        <f>T1191</f>
        <v>-1.5</v>
      </c>
      <c r="U1190" s="84">
        <f t="shared" si="258"/>
        <v>12.8</v>
      </c>
    </row>
    <row r="1191" spans="1:21" ht="33">
      <c r="A1191" s="61" t="str">
        <f t="shared" ca="1" si="267"/>
        <v>Иные закупки товаров, работ и услуг для обеспечения муниципальных нужд</v>
      </c>
      <c r="B1191" s="126">
        <v>808</v>
      </c>
      <c r="C1191" s="8" t="s">
        <v>220</v>
      </c>
      <c r="D1191" s="8" t="s">
        <v>214</v>
      </c>
      <c r="E1191" s="126" t="s">
        <v>302</v>
      </c>
      <c r="F1191" s="126">
        <v>240</v>
      </c>
      <c r="G1191" s="69">
        <f>G1192</f>
        <v>14.3</v>
      </c>
      <c r="H1191" s="69">
        <f>H1192</f>
        <v>0</v>
      </c>
      <c r="I1191" s="69">
        <f t="shared" si="254"/>
        <v>14.3</v>
      </c>
      <c r="J1191" s="69">
        <f>J1192</f>
        <v>0</v>
      </c>
      <c r="K1191" s="84">
        <f t="shared" si="266"/>
        <v>14.3</v>
      </c>
      <c r="L1191" s="13">
        <f>L1192</f>
        <v>0</v>
      </c>
      <c r="M1191" s="84">
        <f t="shared" ref="M1191:M1256" si="268">K1191+L1191</f>
        <v>14.3</v>
      </c>
      <c r="N1191" s="13">
        <f>N1192</f>
        <v>0</v>
      </c>
      <c r="O1191" s="84">
        <f t="shared" ref="O1191:O1256" si="269">M1191+N1191</f>
        <v>14.3</v>
      </c>
      <c r="P1191" s="13">
        <f>P1192</f>
        <v>0</v>
      </c>
      <c r="Q1191" s="84">
        <f t="shared" si="262"/>
        <v>14.3</v>
      </c>
      <c r="R1191" s="13">
        <f>R1192</f>
        <v>0</v>
      </c>
      <c r="S1191" s="84">
        <f t="shared" si="260"/>
        <v>14.3</v>
      </c>
      <c r="T1191" s="13">
        <f>T1192</f>
        <v>-1.5</v>
      </c>
      <c r="U1191" s="84">
        <f t="shared" si="258"/>
        <v>12.8</v>
      </c>
    </row>
    <row r="1192" spans="1:21" ht="33">
      <c r="A1192" s="61" t="str">
        <f t="shared" ca="1" si="267"/>
        <v xml:space="preserve">Прочая закупка товаров, работ и услуг для обеспечения муниципальных нужд         </v>
      </c>
      <c r="B1192" s="126">
        <v>808</v>
      </c>
      <c r="C1192" s="8" t="s">
        <v>220</v>
      </c>
      <c r="D1192" s="8" t="s">
        <v>214</v>
      </c>
      <c r="E1192" s="126" t="s">
        <v>302</v>
      </c>
      <c r="F1192" s="126">
        <v>244</v>
      </c>
      <c r="G1192" s="69">
        <v>14.3</v>
      </c>
      <c r="H1192" s="69"/>
      <c r="I1192" s="69">
        <f t="shared" si="254"/>
        <v>14.3</v>
      </c>
      <c r="J1192" s="69"/>
      <c r="K1192" s="84">
        <f t="shared" si="266"/>
        <v>14.3</v>
      </c>
      <c r="L1192" s="13"/>
      <c r="M1192" s="84">
        <f t="shared" si="268"/>
        <v>14.3</v>
      </c>
      <c r="N1192" s="13"/>
      <c r="O1192" s="84">
        <f t="shared" si="269"/>
        <v>14.3</v>
      </c>
      <c r="P1192" s="13"/>
      <c r="Q1192" s="84">
        <f t="shared" si="262"/>
        <v>14.3</v>
      </c>
      <c r="R1192" s="13"/>
      <c r="S1192" s="84">
        <f t="shared" si="260"/>
        <v>14.3</v>
      </c>
      <c r="T1192" s="13">
        <v>-1.5</v>
      </c>
      <c r="U1192" s="84">
        <f t="shared" si="258"/>
        <v>12.8</v>
      </c>
    </row>
    <row r="1193" spans="1:21">
      <c r="A1193" s="61" t="str">
        <f t="shared" ca="1" si="267"/>
        <v>Иные бюджетные ассигнования</v>
      </c>
      <c r="B1193" s="126">
        <v>808</v>
      </c>
      <c r="C1193" s="8" t="s">
        <v>220</v>
      </c>
      <c r="D1193" s="8" t="s">
        <v>214</v>
      </c>
      <c r="E1193" s="126" t="s">
        <v>302</v>
      </c>
      <c r="F1193" s="126">
        <v>800</v>
      </c>
      <c r="G1193" s="69">
        <f>G1194</f>
        <v>1.5</v>
      </c>
      <c r="H1193" s="69">
        <f>H1194</f>
        <v>0</v>
      </c>
      <c r="I1193" s="69">
        <f t="shared" si="254"/>
        <v>1.5</v>
      </c>
      <c r="J1193" s="69">
        <f>J1194</f>
        <v>0</v>
      </c>
      <c r="K1193" s="84">
        <f t="shared" si="266"/>
        <v>1.5</v>
      </c>
      <c r="L1193" s="13">
        <f>L1194</f>
        <v>0</v>
      </c>
      <c r="M1193" s="84">
        <f t="shared" si="268"/>
        <v>1.5</v>
      </c>
      <c r="N1193" s="13">
        <f>N1194</f>
        <v>0</v>
      </c>
      <c r="O1193" s="84">
        <f t="shared" si="269"/>
        <v>1.5</v>
      </c>
      <c r="P1193" s="13">
        <f>P1194</f>
        <v>0</v>
      </c>
      <c r="Q1193" s="84">
        <f t="shared" si="262"/>
        <v>1.5</v>
      </c>
      <c r="R1193" s="13">
        <f>R1194</f>
        <v>0</v>
      </c>
      <c r="S1193" s="84">
        <f t="shared" si="260"/>
        <v>1.5</v>
      </c>
      <c r="T1193" s="13">
        <f>T1194</f>
        <v>0</v>
      </c>
      <c r="U1193" s="84">
        <f t="shared" si="258"/>
        <v>1.5</v>
      </c>
    </row>
    <row r="1194" spans="1:21">
      <c r="A1194" s="61" t="str">
        <f t="shared" ca="1" si="267"/>
        <v>Уплата налогов, сборов и иных платежей</v>
      </c>
      <c r="B1194" s="126">
        <v>808</v>
      </c>
      <c r="C1194" s="8" t="s">
        <v>220</v>
      </c>
      <c r="D1194" s="8" t="s">
        <v>214</v>
      </c>
      <c r="E1194" s="126" t="s">
        <v>302</v>
      </c>
      <c r="F1194" s="126">
        <v>850</v>
      </c>
      <c r="G1194" s="69">
        <f>G1195</f>
        <v>1.5</v>
      </c>
      <c r="H1194" s="69">
        <f>H1195</f>
        <v>0</v>
      </c>
      <c r="I1194" s="69">
        <f t="shared" si="254"/>
        <v>1.5</v>
      </c>
      <c r="J1194" s="69">
        <f>J1195</f>
        <v>0</v>
      </c>
      <c r="K1194" s="84">
        <f t="shared" si="266"/>
        <v>1.5</v>
      </c>
      <c r="L1194" s="13">
        <f>L1195</f>
        <v>0</v>
      </c>
      <c r="M1194" s="84">
        <f t="shared" si="268"/>
        <v>1.5</v>
      </c>
      <c r="N1194" s="13">
        <f>N1195</f>
        <v>0</v>
      </c>
      <c r="O1194" s="84">
        <f t="shared" si="269"/>
        <v>1.5</v>
      </c>
      <c r="P1194" s="13">
        <f>P1195</f>
        <v>0</v>
      </c>
      <c r="Q1194" s="84">
        <f t="shared" si="262"/>
        <v>1.5</v>
      </c>
      <c r="R1194" s="13">
        <f>R1195</f>
        <v>0</v>
      </c>
      <c r="S1194" s="84">
        <f t="shared" si="260"/>
        <v>1.5</v>
      </c>
      <c r="T1194" s="13">
        <f>T1195</f>
        <v>0</v>
      </c>
      <c r="U1194" s="84">
        <f t="shared" si="258"/>
        <v>1.5</v>
      </c>
    </row>
    <row r="1195" spans="1:21">
      <c r="A1195" s="61" t="str">
        <f ca="1">IF(ISERROR(MATCH(F1195,Код_КВР,0)),"",INDIRECT(ADDRESS(MATCH(F1195,Код_КВР,0)+1,2,,,"КВР")))</f>
        <v>Уплата прочих налогов, сборов и иных платежей</v>
      </c>
      <c r="B1195" s="126">
        <v>808</v>
      </c>
      <c r="C1195" s="8" t="s">
        <v>220</v>
      </c>
      <c r="D1195" s="8" t="s">
        <v>214</v>
      </c>
      <c r="E1195" s="126" t="s">
        <v>302</v>
      </c>
      <c r="F1195" s="126">
        <v>852</v>
      </c>
      <c r="G1195" s="69">
        <v>1.5</v>
      </c>
      <c r="H1195" s="69"/>
      <c r="I1195" s="69">
        <f t="shared" si="254"/>
        <v>1.5</v>
      </c>
      <c r="J1195" s="69"/>
      <c r="K1195" s="84">
        <f t="shared" si="266"/>
        <v>1.5</v>
      </c>
      <c r="L1195" s="13"/>
      <c r="M1195" s="84">
        <f t="shared" si="268"/>
        <v>1.5</v>
      </c>
      <c r="N1195" s="13"/>
      <c r="O1195" s="84">
        <f t="shared" si="269"/>
        <v>1.5</v>
      </c>
      <c r="P1195" s="13"/>
      <c r="Q1195" s="84">
        <f t="shared" si="262"/>
        <v>1.5</v>
      </c>
      <c r="R1195" s="13"/>
      <c r="S1195" s="84">
        <f t="shared" si="260"/>
        <v>1.5</v>
      </c>
      <c r="T1195" s="13"/>
      <c r="U1195" s="84">
        <f t="shared" si="258"/>
        <v>1.5</v>
      </c>
    </row>
    <row r="1196" spans="1:21">
      <c r="A1196" s="61" t="str">
        <f ca="1">IF(ISERROR(MATCH(E1196,Код_КЦСР,0)),"",INDIRECT(ADDRESS(MATCH(E1196,Код_КЦСР,0)+1,2,,,"КЦСР")))</f>
        <v>Кредиторская задолженность, сложившаяся по итогам 2013 года</v>
      </c>
      <c r="B1196" s="126">
        <v>808</v>
      </c>
      <c r="C1196" s="8" t="s">
        <v>220</v>
      </c>
      <c r="D1196" s="8" t="s">
        <v>214</v>
      </c>
      <c r="E1196" s="126" t="s">
        <v>367</v>
      </c>
      <c r="F1196" s="126"/>
      <c r="G1196" s="69"/>
      <c r="H1196" s="69"/>
      <c r="I1196" s="69"/>
      <c r="J1196" s="69">
        <f>J1197</f>
        <v>36</v>
      </c>
      <c r="K1196" s="84">
        <f t="shared" si="266"/>
        <v>36</v>
      </c>
      <c r="L1196" s="13">
        <f>L1197</f>
        <v>0</v>
      </c>
      <c r="M1196" s="84">
        <f t="shared" si="268"/>
        <v>36</v>
      </c>
      <c r="N1196" s="13">
        <f>N1197</f>
        <v>0</v>
      </c>
      <c r="O1196" s="84">
        <f t="shared" si="269"/>
        <v>36</v>
      </c>
      <c r="P1196" s="13">
        <f>P1197</f>
        <v>0</v>
      </c>
      <c r="Q1196" s="84">
        <f t="shared" si="262"/>
        <v>36</v>
      </c>
      <c r="R1196" s="13">
        <f>R1197</f>
        <v>0</v>
      </c>
      <c r="S1196" s="84">
        <f t="shared" si="260"/>
        <v>36</v>
      </c>
      <c r="T1196" s="13">
        <f>T1197</f>
        <v>0</v>
      </c>
      <c r="U1196" s="84">
        <f t="shared" si="258"/>
        <v>36</v>
      </c>
    </row>
    <row r="1197" spans="1:21" ht="33">
      <c r="A1197" s="61" t="str">
        <f ca="1">IF(ISERROR(MATCH(F1197,Код_КВР,0)),"",INDIRECT(ADDRESS(MATCH(F1197,Код_КВР,0)+1,2,,,"КВР")))</f>
        <v>Предоставление субсидий бюджетным, автономным учреждениям и иным некоммерческим организациям</v>
      </c>
      <c r="B1197" s="126">
        <v>808</v>
      </c>
      <c r="C1197" s="8" t="s">
        <v>220</v>
      </c>
      <c r="D1197" s="8" t="s">
        <v>214</v>
      </c>
      <c r="E1197" s="126" t="s">
        <v>367</v>
      </c>
      <c r="F1197" s="126">
        <v>600</v>
      </c>
      <c r="G1197" s="69"/>
      <c r="H1197" s="69"/>
      <c r="I1197" s="69"/>
      <c r="J1197" s="69">
        <f>J1198</f>
        <v>36</v>
      </c>
      <c r="K1197" s="84">
        <f t="shared" si="266"/>
        <v>36</v>
      </c>
      <c r="L1197" s="13">
        <f>L1198</f>
        <v>0</v>
      </c>
      <c r="M1197" s="84">
        <f t="shared" si="268"/>
        <v>36</v>
      </c>
      <c r="N1197" s="13">
        <f>N1198</f>
        <v>0</v>
      </c>
      <c r="O1197" s="84">
        <f t="shared" si="269"/>
        <v>36</v>
      </c>
      <c r="P1197" s="13">
        <f>P1198</f>
        <v>0</v>
      </c>
      <c r="Q1197" s="84">
        <f t="shared" si="262"/>
        <v>36</v>
      </c>
      <c r="R1197" s="13">
        <f>R1198</f>
        <v>0</v>
      </c>
      <c r="S1197" s="84">
        <f t="shared" si="260"/>
        <v>36</v>
      </c>
      <c r="T1197" s="13">
        <f>T1198</f>
        <v>0</v>
      </c>
      <c r="U1197" s="84">
        <f t="shared" si="258"/>
        <v>36</v>
      </c>
    </row>
    <row r="1198" spans="1:21">
      <c r="A1198" s="61" t="str">
        <f ca="1">IF(ISERROR(MATCH(F1198,Код_КВР,0)),"",INDIRECT(ADDRESS(MATCH(F1198,Код_КВР,0)+1,2,,,"КВР")))</f>
        <v>Субсидии бюджетным учреждениям</v>
      </c>
      <c r="B1198" s="126">
        <v>808</v>
      </c>
      <c r="C1198" s="8" t="s">
        <v>220</v>
      </c>
      <c r="D1198" s="8" t="s">
        <v>214</v>
      </c>
      <c r="E1198" s="126" t="s">
        <v>367</v>
      </c>
      <c r="F1198" s="126">
        <v>610</v>
      </c>
      <c r="G1198" s="69"/>
      <c r="H1198" s="69"/>
      <c r="I1198" s="69"/>
      <c r="J1198" s="69">
        <f>J1199</f>
        <v>36</v>
      </c>
      <c r="K1198" s="84">
        <f t="shared" si="266"/>
        <v>36</v>
      </c>
      <c r="L1198" s="13">
        <f>L1199</f>
        <v>0</v>
      </c>
      <c r="M1198" s="84">
        <f t="shared" si="268"/>
        <v>36</v>
      </c>
      <c r="N1198" s="13">
        <f>N1199</f>
        <v>0</v>
      </c>
      <c r="O1198" s="84">
        <f t="shared" si="269"/>
        <v>36</v>
      </c>
      <c r="P1198" s="13">
        <f>P1199</f>
        <v>0</v>
      </c>
      <c r="Q1198" s="84">
        <f t="shared" si="262"/>
        <v>36</v>
      </c>
      <c r="R1198" s="13">
        <f>R1199</f>
        <v>0</v>
      </c>
      <c r="S1198" s="84">
        <f t="shared" si="260"/>
        <v>36</v>
      </c>
      <c r="T1198" s="13">
        <f>T1199</f>
        <v>0</v>
      </c>
      <c r="U1198" s="84">
        <f t="shared" si="258"/>
        <v>36</v>
      </c>
    </row>
    <row r="1199" spans="1:21">
      <c r="A1199" s="61" t="str">
        <f ca="1">IF(ISERROR(MATCH(F1199,Код_КВР,0)),"",INDIRECT(ADDRESS(MATCH(F1199,Код_КВР,0)+1,2,,,"КВР")))</f>
        <v>Субсидии бюджетным учреждениям на иные цели</v>
      </c>
      <c r="B1199" s="126">
        <v>808</v>
      </c>
      <c r="C1199" s="8" t="s">
        <v>220</v>
      </c>
      <c r="D1199" s="8" t="s">
        <v>214</v>
      </c>
      <c r="E1199" s="126" t="s">
        <v>367</v>
      </c>
      <c r="F1199" s="126">
        <v>612</v>
      </c>
      <c r="G1199" s="69"/>
      <c r="H1199" s="69"/>
      <c r="I1199" s="69"/>
      <c r="J1199" s="69">
        <v>36</v>
      </c>
      <c r="K1199" s="84">
        <f t="shared" si="266"/>
        <v>36</v>
      </c>
      <c r="L1199" s="13"/>
      <c r="M1199" s="84">
        <f t="shared" si="268"/>
        <v>36</v>
      </c>
      <c r="N1199" s="13"/>
      <c r="O1199" s="84">
        <f t="shared" si="269"/>
        <v>36</v>
      </c>
      <c r="P1199" s="13"/>
      <c r="Q1199" s="84">
        <f t="shared" si="262"/>
        <v>36</v>
      </c>
      <c r="R1199" s="13"/>
      <c r="S1199" s="84">
        <f t="shared" si="260"/>
        <v>36</v>
      </c>
      <c r="T1199" s="13"/>
      <c r="U1199" s="84">
        <f t="shared" si="258"/>
        <v>36</v>
      </c>
    </row>
    <row r="1200" spans="1:21">
      <c r="A1200" s="61" t="str">
        <f ca="1">IF(ISERROR(MATCH(B1200,Код_ППП,0)),"",INDIRECT(ADDRESS(MATCH(B1200,Код_ППП,0)+1,2,,,"ППП")))</f>
        <v>КОМИТЕТ ПО ФИЗИЧЕСКОЙ КУЛЬТУРЕ И СПОРТУ МЭРИИ ГОРОДА</v>
      </c>
      <c r="B1200" s="126">
        <v>809</v>
      </c>
      <c r="C1200" s="8"/>
      <c r="D1200" s="8"/>
      <c r="E1200" s="126"/>
      <c r="F1200" s="126"/>
      <c r="G1200" s="69">
        <f>G1201+G1238</f>
        <v>338730.7</v>
      </c>
      <c r="H1200" s="69">
        <f>H1201+H1238</f>
        <v>0</v>
      </c>
      <c r="I1200" s="69">
        <f t="shared" si="254"/>
        <v>338730.7</v>
      </c>
      <c r="J1200" s="69">
        <f>J1201+J1238</f>
        <v>1981.2</v>
      </c>
      <c r="K1200" s="84">
        <f t="shared" si="266"/>
        <v>340711.9</v>
      </c>
      <c r="L1200" s="13">
        <f>L1201+L1238</f>
        <v>-80.7</v>
      </c>
      <c r="M1200" s="84">
        <f t="shared" si="268"/>
        <v>340631.2</v>
      </c>
      <c r="N1200" s="13">
        <f>N1201+N1238</f>
        <v>0</v>
      </c>
      <c r="O1200" s="84">
        <f t="shared" si="269"/>
        <v>340631.2</v>
      </c>
      <c r="P1200" s="13">
        <f>P1201+P1238</f>
        <v>-3959.5</v>
      </c>
      <c r="Q1200" s="84">
        <f t="shared" si="262"/>
        <v>336671.7</v>
      </c>
      <c r="R1200" s="13">
        <f>R1201+R1238</f>
        <v>-9775</v>
      </c>
      <c r="S1200" s="84">
        <f t="shared" si="260"/>
        <v>326896.7</v>
      </c>
      <c r="T1200" s="13">
        <f>T1201+T1238</f>
        <v>0</v>
      </c>
      <c r="U1200" s="84">
        <f t="shared" si="258"/>
        <v>326896.7</v>
      </c>
    </row>
    <row r="1201" spans="1:21">
      <c r="A1201" s="61" t="str">
        <f ca="1">IF(ISERROR(MATCH(C1201,Код_Раздел,0)),"",INDIRECT(ADDRESS(MATCH(C1201,Код_Раздел,0)+1,2,,,"Раздел")))</f>
        <v>Образование</v>
      </c>
      <c r="B1201" s="126">
        <v>809</v>
      </c>
      <c r="C1201" s="8" t="s">
        <v>193</v>
      </c>
      <c r="D1201" s="8"/>
      <c r="E1201" s="126"/>
      <c r="F1201" s="126"/>
      <c r="G1201" s="69">
        <f>G1202+G1216</f>
        <v>123263.6</v>
      </c>
      <c r="H1201" s="69">
        <f>H1202+H1216</f>
        <v>908.8</v>
      </c>
      <c r="I1201" s="69">
        <f t="shared" si="254"/>
        <v>124172.40000000001</v>
      </c>
      <c r="J1201" s="69">
        <f>J1202+J1210+J1216</f>
        <v>471.29999999999995</v>
      </c>
      <c r="K1201" s="84">
        <f t="shared" si="266"/>
        <v>124643.70000000001</v>
      </c>
      <c r="L1201" s="13">
        <f>L1202+L1210+L1216</f>
        <v>-80.7</v>
      </c>
      <c r="M1201" s="84">
        <f t="shared" si="268"/>
        <v>124563.00000000001</v>
      </c>
      <c r="N1201" s="13">
        <f>N1202+N1210+N1216</f>
        <v>0</v>
      </c>
      <c r="O1201" s="84">
        <f t="shared" si="269"/>
        <v>124563.00000000001</v>
      </c>
      <c r="P1201" s="13">
        <f>P1202+P1210+P1216</f>
        <v>0</v>
      </c>
      <c r="Q1201" s="84">
        <f t="shared" si="262"/>
        <v>124563.00000000001</v>
      </c>
      <c r="R1201" s="13">
        <f>R1202+R1210+R1216</f>
        <v>0</v>
      </c>
      <c r="S1201" s="84">
        <f t="shared" si="260"/>
        <v>124563.00000000001</v>
      </c>
      <c r="T1201" s="13">
        <f>T1202+T1210+T1216</f>
        <v>0</v>
      </c>
      <c r="U1201" s="84">
        <f t="shared" si="258"/>
        <v>124563.00000000001</v>
      </c>
    </row>
    <row r="1202" spans="1:21">
      <c r="A1202" s="12" t="s">
        <v>248</v>
      </c>
      <c r="B1202" s="126">
        <v>809</v>
      </c>
      <c r="C1202" s="8" t="s">
        <v>193</v>
      </c>
      <c r="D1202" s="8" t="s">
        <v>212</v>
      </c>
      <c r="E1202" s="126"/>
      <c r="F1202" s="126"/>
      <c r="G1202" s="69">
        <f t="shared" ref="G1202:T1204" si="270">G1203</f>
        <v>115476.5</v>
      </c>
      <c r="H1202" s="69">
        <f t="shared" si="270"/>
        <v>908.8</v>
      </c>
      <c r="I1202" s="69">
        <f t="shared" si="254"/>
        <v>116385.3</v>
      </c>
      <c r="J1202" s="69">
        <f t="shared" si="270"/>
        <v>0</v>
      </c>
      <c r="K1202" s="84">
        <f t="shared" si="266"/>
        <v>116385.3</v>
      </c>
      <c r="L1202" s="13">
        <f t="shared" si="270"/>
        <v>-80.7</v>
      </c>
      <c r="M1202" s="84">
        <f t="shared" si="268"/>
        <v>116304.6</v>
      </c>
      <c r="N1202" s="13">
        <f t="shared" si="270"/>
        <v>0</v>
      </c>
      <c r="O1202" s="84">
        <f t="shared" si="269"/>
        <v>116304.6</v>
      </c>
      <c r="P1202" s="13">
        <f t="shared" si="270"/>
        <v>0</v>
      </c>
      <c r="Q1202" s="84">
        <f t="shared" si="262"/>
        <v>116304.6</v>
      </c>
      <c r="R1202" s="13">
        <f t="shared" si="270"/>
        <v>0</v>
      </c>
      <c r="S1202" s="84">
        <f t="shared" si="260"/>
        <v>116304.6</v>
      </c>
      <c r="T1202" s="13">
        <f t="shared" si="270"/>
        <v>0</v>
      </c>
      <c r="U1202" s="84">
        <f t="shared" si="258"/>
        <v>116304.6</v>
      </c>
    </row>
    <row r="1203" spans="1:21" ht="33">
      <c r="A1203" s="61" t="str">
        <f ca="1">IF(ISERROR(MATCH(E1203,Код_КЦСР,0)),"",INDIRECT(ADDRESS(MATCH(E1203,Код_КЦСР,0)+1,2,,,"КЦСР")))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203" s="126">
        <v>809</v>
      </c>
      <c r="C1203" s="8" t="s">
        <v>193</v>
      </c>
      <c r="D1203" s="8" t="s">
        <v>212</v>
      </c>
      <c r="E1203" s="126" t="s">
        <v>520</v>
      </c>
      <c r="F1203" s="126"/>
      <c r="G1203" s="69">
        <f t="shared" si="270"/>
        <v>115476.5</v>
      </c>
      <c r="H1203" s="69">
        <f t="shared" si="270"/>
        <v>908.8</v>
      </c>
      <c r="I1203" s="69">
        <f t="shared" si="254"/>
        <v>116385.3</v>
      </c>
      <c r="J1203" s="69">
        <f t="shared" si="270"/>
        <v>0</v>
      </c>
      <c r="K1203" s="84">
        <f t="shared" si="266"/>
        <v>116385.3</v>
      </c>
      <c r="L1203" s="13">
        <f t="shared" si="270"/>
        <v>-80.7</v>
      </c>
      <c r="M1203" s="84">
        <f t="shared" si="268"/>
        <v>116304.6</v>
      </c>
      <c r="N1203" s="13">
        <f t="shared" si="270"/>
        <v>0</v>
      </c>
      <c r="O1203" s="84">
        <f t="shared" si="269"/>
        <v>116304.6</v>
      </c>
      <c r="P1203" s="13">
        <f t="shared" si="270"/>
        <v>0</v>
      </c>
      <c r="Q1203" s="84">
        <f t="shared" si="262"/>
        <v>116304.6</v>
      </c>
      <c r="R1203" s="13">
        <f t="shared" si="270"/>
        <v>0</v>
      </c>
      <c r="S1203" s="84">
        <f t="shared" si="260"/>
        <v>116304.6</v>
      </c>
      <c r="T1203" s="13">
        <f t="shared" si="270"/>
        <v>0</v>
      </c>
      <c r="U1203" s="84">
        <f t="shared" si="258"/>
        <v>116304.6</v>
      </c>
    </row>
    <row r="1204" spans="1:21">
      <c r="A1204" s="61" t="str">
        <f ca="1">IF(ISERROR(MATCH(E1204,Код_КЦСР,0)),"",INDIRECT(ADDRESS(MATCH(E1204,Код_КЦСР,0)+1,2,,,"КЦСР")))</f>
        <v>Реализация  дополнительных общеобразовательных программ</v>
      </c>
      <c r="B1204" s="126">
        <v>809</v>
      </c>
      <c r="C1204" s="8" t="s">
        <v>193</v>
      </c>
      <c r="D1204" s="8" t="s">
        <v>212</v>
      </c>
      <c r="E1204" s="126" t="s">
        <v>525</v>
      </c>
      <c r="F1204" s="126"/>
      <c r="G1204" s="69">
        <f t="shared" si="270"/>
        <v>115476.5</v>
      </c>
      <c r="H1204" s="69">
        <f t="shared" si="270"/>
        <v>908.8</v>
      </c>
      <c r="I1204" s="69">
        <f t="shared" si="254"/>
        <v>116385.3</v>
      </c>
      <c r="J1204" s="69">
        <f t="shared" si="270"/>
        <v>0</v>
      </c>
      <c r="K1204" s="84">
        <f t="shared" si="266"/>
        <v>116385.3</v>
      </c>
      <c r="L1204" s="13">
        <f t="shared" si="270"/>
        <v>-80.7</v>
      </c>
      <c r="M1204" s="84">
        <f t="shared" si="268"/>
        <v>116304.6</v>
      </c>
      <c r="N1204" s="13">
        <f t="shared" si="270"/>
        <v>0</v>
      </c>
      <c r="O1204" s="84">
        <f t="shared" si="269"/>
        <v>116304.6</v>
      </c>
      <c r="P1204" s="13">
        <f t="shared" si="270"/>
        <v>0</v>
      </c>
      <c r="Q1204" s="84">
        <f t="shared" si="262"/>
        <v>116304.6</v>
      </c>
      <c r="R1204" s="13">
        <f t="shared" si="270"/>
        <v>0</v>
      </c>
      <c r="S1204" s="84">
        <f t="shared" si="260"/>
        <v>116304.6</v>
      </c>
      <c r="T1204" s="13">
        <f t="shared" si="270"/>
        <v>0</v>
      </c>
      <c r="U1204" s="84">
        <f t="shared" si="258"/>
        <v>116304.6</v>
      </c>
    </row>
    <row r="1205" spans="1:21" ht="33">
      <c r="A1205" s="61" t="str">
        <f ca="1">IF(ISERROR(MATCH(F1205,Код_КВР,0)),"",INDIRECT(ADDRESS(MATCH(F1205,Код_КВР,0)+1,2,,,"КВР")))</f>
        <v>Предоставление субсидий бюджетным, автономным учреждениям и иным некоммерческим организациям</v>
      </c>
      <c r="B1205" s="126">
        <v>809</v>
      </c>
      <c r="C1205" s="41" t="s">
        <v>193</v>
      </c>
      <c r="D1205" s="8" t="s">
        <v>212</v>
      </c>
      <c r="E1205" s="126" t="s">
        <v>525</v>
      </c>
      <c r="F1205" s="126">
        <v>600</v>
      </c>
      <c r="G1205" s="69">
        <f>G1206+G1208</f>
        <v>115476.5</v>
      </c>
      <c r="H1205" s="69">
        <f>H1206+H1208</f>
        <v>908.8</v>
      </c>
      <c r="I1205" s="69">
        <f t="shared" ref="I1205:I1275" si="271">G1205+H1205</f>
        <v>116385.3</v>
      </c>
      <c r="J1205" s="69">
        <f>J1206+J1208</f>
        <v>0</v>
      </c>
      <c r="K1205" s="84">
        <f t="shared" si="266"/>
        <v>116385.3</v>
      </c>
      <c r="L1205" s="13">
        <f>L1206+L1208</f>
        <v>-80.7</v>
      </c>
      <c r="M1205" s="84">
        <f t="shared" si="268"/>
        <v>116304.6</v>
      </c>
      <c r="N1205" s="13">
        <f>N1206+N1208</f>
        <v>0</v>
      </c>
      <c r="O1205" s="84">
        <f t="shared" si="269"/>
        <v>116304.6</v>
      </c>
      <c r="P1205" s="13">
        <f>P1206+P1208</f>
        <v>0</v>
      </c>
      <c r="Q1205" s="84">
        <f t="shared" si="262"/>
        <v>116304.6</v>
      </c>
      <c r="R1205" s="13">
        <f>R1206+R1208</f>
        <v>0</v>
      </c>
      <c r="S1205" s="84">
        <f t="shared" si="260"/>
        <v>116304.6</v>
      </c>
      <c r="T1205" s="13">
        <f>T1206+T1208</f>
        <v>0</v>
      </c>
      <c r="U1205" s="84">
        <f t="shared" si="258"/>
        <v>116304.6</v>
      </c>
    </row>
    <row r="1206" spans="1:21">
      <c r="A1206" s="61" t="str">
        <f ca="1">IF(ISERROR(MATCH(F1206,Код_КВР,0)),"",INDIRECT(ADDRESS(MATCH(F1206,Код_КВР,0)+1,2,,,"КВР")))</f>
        <v>Субсидии бюджетным учреждениям</v>
      </c>
      <c r="B1206" s="126">
        <v>809</v>
      </c>
      <c r="C1206" s="41" t="s">
        <v>193</v>
      </c>
      <c r="D1206" s="8" t="s">
        <v>212</v>
      </c>
      <c r="E1206" s="126" t="s">
        <v>525</v>
      </c>
      <c r="F1206" s="126">
        <v>610</v>
      </c>
      <c r="G1206" s="69">
        <f>G1207</f>
        <v>98039.6</v>
      </c>
      <c r="H1206" s="69">
        <f>H1207</f>
        <v>908.8</v>
      </c>
      <c r="I1206" s="69">
        <f t="shared" si="271"/>
        <v>98948.400000000009</v>
      </c>
      <c r="J1206" s="69">
        <f>J1207</f>
        <v>0</v>
      </c>
      <c r="K1206" s="84">
        <f t="shared" si="266"/>
        <v>98948.400000000009</v>
      </c>
      <c r="L1206" s="13">
        <f>L1207</f>
        <v>-73.2</v>
      </c>
      <c r="M1206" s="84">
        <f t="shared" si="268"/>
        <v>98875.200000000012</v>
      </c>
      <c r="N1206" s="13">
        <f>N1207</f>
        <v>0</v>
      </c>
      <c r="O1206" s="84">
        <f t="shared" si="269"/>
        <v>98875.200000000012</v>
      </c>
      <c r="P1206" s="13">
        <f>P1207</f>
        <v>0</v>
      </c>
      <c r="Q1206" s="84">
        <f t="shared" si="262"/>
        <v>98875.200000000012</v>
      </c>
      <c r="R1206" s="13">
        <f>R1207</f>
        <v>-854.3</v>
      </c>
      <c r="S1206" s="84">
        <f t="shared" si="260"/>
        <v>98020.900000000009</v>
      </c>
      <c r="T1206" s="13">
        <f>T1207</f>
        <v>-5561.5</v>
      </c>
      <c r="U1206" s="84">
        <f t="shared" si="258"/>
        <v>92459.400000000009</v>
      </c>
    </row>
    <row r="1207" spans="1:21" ht="49.5">
      <c r="A1207" s="61" t="str">
        <f ca="1">IF(ISERROR(MATCH(F1207,Код_КВР,0)),"",INDIRECT(ADDRESS(MATCH(F1207,Код_КВР,0)+1,2,,,"КВР")))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07" s="126">
        <v>809</v>
      </c>
      <c r="C1207" s="41" t="s">
        <v>193</v>
      </c>
      <c r="D1207" s="8" t="s">
        <v>212</v>
      </c>
      <c r="E1207" s="126" t="s">
        <v>525</v>
      </c>
      <c r="F1207" s="126">
        <v>611</v>
      </c>
      <c r="G1207" s="69">
        <v>98039.6</v>
      </c>
      <c r="H1207" s="69">
        <v>908.8</v>
      </c>
      <c r="I1207" s="69">
        <f t="shared" si="271"/>
        <v>98948.400000000009</v>
      </c>
      <c r="J1207" s="69"/>
      <c r="K1207" s="84">
        <f t="shared" si="266"/>
        <v>98948.400000000009</v>
      </c>
      <c r="L1207" s="13">
        <v>-73.2</v>
      </c>
      <c r="M1207" s="84">
        <f t="shared" si="268"/>
        <v>98875.200000000012</v>
      </c>
      <c r="N1207" s="13"/>
      <c r="O1207" s="84">
        <f t="shared" si="269"/>
        <v>98875.200000000012</v>
      </c>
      <c r="P1207" s="13"/>
      <c r="Q1207" s="84">
        <f t="shared" si="262"/>
        <v>98875.200000000012</v>
      </c>
      <c r="R1207" s="13">
        <v>-854.3</v>
      </c>
      <c r="S1207" s="84">
        <f t="shared" si="260"/>
        <v>98020.900000000009</v>
      </c>
      <c r="T1207" s="13">
        <v>-5561.5</v>
      </c>
      <c r="U1207" s="84">
        <f t="shared" si="258"/>
        <v>92459.400000000009</v>
      </c>
    </row>
    <row r="1208" spans="1:21">
      <c r="A1208" s="61" t="str">
        <f ca="1">IF(ISERROR(MATCH(F1208,Код_КВР,0)),"",INDIRECT(ADDRESS(MATCH(F1208,Код_КВР,0)+1,2,,,"КВР")))</f>
        <v>Субсидии автономным учреждениям</v>
      </c>
      <c r="B1208" s="126">
        <v>809</v>
      </c>
      <c r="C1208" s="41" t="s">
        <v>193</v>
      </c>
      <c r="D1208" s="8" t="s">
        <v>212</v>
      </c>
      <c r="E1208" s="126" t="s">
        <v>525</v>
      </c>
      <c r="F1208" s="126">
        <v>620</v>
      </c>
      <c r="G1208" s="69">
        <f>G1209</f>
        <v>17436.900000000001</v>
      </c>
      <c r="H1208" s="69">
        <f>H1209</f>
        <v>0</v>
      </c>
      <c r="I1208" s="69">
        <f t="shared" si="271"/>
        <v>17436.900000000001</v>
      </c>
      <c r="J1208" s="69">
        <f>J1209</f>
        <v>0</v>
      </c>
      <c r="K1208" s="84">
        <f t="shared" si="266"/>
        <v>17436.900000000001</v>
      </c>
      <c r="L1208" s="13">
        <f>L1209</f>
        <v>-7.5</v>
      </c>
      <c r="M1208" s="84">
        <f t="shared" si="268"/>
        <v>17429.400000000001</v>
      </c>
      <c r="N1208" s="13">
        <f>N1209</f>
        <v>0</v>
      </c>
      <c r="O1208" s="84">
        <f t="shared" si="269"/>
        <v>17429.400000000001</v>
      </c>
      <c r="P1208" s="13">
        <f>P1209</f>
        <v>0</v>
      </c>
      <c r="Q1208" s="84">
        <f t="shared" si="262"/>
        <v>17429.400000000001</v>
      </c>
      <c r="R1208" s="13">
        <f>R1209</f>
        <v>854.3</v>
      </c>
      <c r="S1208" s="84">
        <f t="shared" si="260"/>
        <v>18283.7</v>
      </c>
      <c r="T1208" s="13">
        <f>T1209</f>
        <v>5561.5</v>
      </c>
      <c r="U1208" s="84">
        <f t="shared" si="258"/>
        <v>23845.200000000001</v>
      </c>
    </row>
    <row r="1209" spans="1:21" ht="49.5">
      <c r="A1209" s="61" t="str">
        <f ca="1">IF(ISERROR(MATCH(F1209,Код_КВР,0)),"",INDIRECT(ADDRESS(MATCH(F1209,Код_КВР,0)+1,2,,,"КВР")))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209" s="126">
        <v>809</v>
      </c>
      <c r="C1209" s="41" t="s">
        <v>193</v>
      </c>
      <c r="D1209" s="8" t="s">
        <v>212</v>
      </c>
      <c r="E1209" s="126" t="s">
        <v>525</v>
      </c>
      <c r="F1209" s="126">
        <v>621</v>
      </c>
      <c r="G1209" s="69">
        <v>17436.900000000001</v>
      </c>
      <c r="H1209" s="69"/>
      <c r="I1209" s="69">
        <f t="shared" si="271"/>
        <v>17436.900000000001</v>
      </c>
      <c r="J1209" s="69"/>
      <c r="K1209" s="84">
        <f t="shared" si="266"/>
        <v>17436.900000000001</v>
      </c>
      <c r="L1209" s="13">
        <v>-7.5</v>
      </c>
      <c r="M1209" s="84">
        <f t="shared" si="268"/>
        <v>17429.400000000001</v>
      </c>
      <c r="N1209" s="13"/>
      <c r="O1209" s="84">
        <f t="shared" si="269"/>
        <v>17429.400000000001</v>
      </c>
      <c r="P1209" s="13"/>
      <c r="Q1209" s="84">
        <f t="shared" si="262"/>
        <v>17429.400000000001</v>
      </c>
      <c r="R1209" s="13">
        <v>854.3</v>
      </c>
      <c r="S1209" s="84">
        <f t="shared" si="260"/>
        <v>18283.7</v>
      </c>
      <c r="T1209" s="13">
        <v>5561.5</v>
      </c>
      <c r="U1209" s="84">
        <f t="shared" si="258"/>
        <v>23845.200000000001</v>
      </c>
    </row>
    <row r="1210" spans="1:21">
      <c r="A1210" s="12" t="s">
        <v>197</v>
      </c>
      <c r="B1210" s="126">
        <v>809</v>
      </c>
      <c r="C1210" s="8" t="s">
        <v>193</v>
      </c>
      <c r="D1210" s="8" t="s">
        <v>193</v>
      </c>
      <c r="E1210" s="126"/>
      <c r="F1210" s="126"/>
      <c r="G1210" s="69"/>
      <c r="H1210" s="69"/>
      <c r="I1210" s="69"/>
      <c r="J1210" s="69">
        <f>J1211</f>
        <v>381.2</v>
      </c>
      <c r="K1210" s="84">
        <f t="shared" si="266"/>
        <v>381.2</v>
      </c>
      <c r="L1210" s="13">
        <f>L1211</f>
        <v>0</v>
      </c>
      <c r="M1210" s="84">
        <f t="shared" si="268"/>
        <v>381.2</v>
      </c>
      <c r="N1210" s="13">
        <f>N1211</f>
        <v>0</v>
      </c>
      <c r="O1210" s="84">
        <f t="shared" si="269"/>
        <v>381.2</v>
      </c>
      <c r="P1210" s="13">
        <f>P1211</f>
        <v>0</v>
      </c>
      <c r="Q1210" s="84">
        <f t="shared" si="262"/>
        <v>381.2</v>
      </c>
      <c r="R1210" s="13">
        <f>R1211</f>
        <v>0</v>
      </c>
      <c r="S1210" s="84">
        <f t="shared" si="260"/>
        <v>381.2</v>
      </c>
      <c r="T1210" s="13">
        <f>T1211</f>
        <v>0</v>
      </c>
      <c r="U1210" s="84">
        <f t="shared" si="258"/>
        <v>381.2</v>
      </c>
    </row>
    <row r="1211" spans="1:21" ht="33">
      <c r="A1211" s="61" t="str">
        <f ca="1">IF(ISERROR(MATCH(E1211,Код_КЦСР,0)),"",INDIRECT(ADDRESS(MATCH(E1211,Код_КЦСР,0)+1,2,,,"КЦСР")))</f>
        <v>Муниципальная программа «Социальная поддержка граждан» на 2014-2018 годы</v>
      </c>
      <c r="B1211" s="126">
        <v>809</v>
      </c>
      <c r="C1211" s="8" t="s">
        <v>193</v>
      </c>
      <c r="D1211" s="8" t="s">
        <v>193</v>
      </c>
      <c r="E1211" s="126" t="s">
        <v>5</v>
      </c>
      <c r="F1211" s="126"/>
      <c r="G1211" s="69"/>
      <c r="H1211" s="69"/>
      <c r="I1211" s="69"/>
      <c r="J1211" s="69">
        <f>J1213</f>
        <v>381.2</v>
      </c>
      <c r="K1211" s="84">
        <f t="shared" si="266"/>
        <v>381.2</v>
      </c>
      <c r="L1211" s="13">
        <f>L1213</f>
        <v>0</v>
      </c>
      <c r="M1211" s="84">
        <f t="shared" si="268"/>
        <v>381.2</v>
      </c>
      <c r="N1211" s="13">
        <f>N1213</f>
        <v>0</v>
      </c>
      <c r="O1211" s="84">
        <f t="shared" si="269"/>
        <v>381.2</v>
      </c>
      <c r="P1211" s="13">
        <f>P1213</f>
        <v>0</v>
      </c>
      <c r="Q1211" s="84">
        <f t="shared" si="262"/>
        <v>381.2</v>
      </c>
      <c r="R1211" s="13">
        <f>R1213</f>
        <v>0</v>
      </c>
      <c r="S1211" s="84">
        <f>Q1211+R1211</f>
        <v>381.2</v>
      </c>
      <c r="T1211" s="13">
        <f>T1213</f>
        <v>0</v>
      </c>
      <c r="U1211" s="84">
        <f t="shared" si="258"/>
        <v>381.2</v>
      </c>
    </row>
    <row r="1212" spans="1:21" ht="86.25" customHeight="1">
      <c r="A1212" s="61" t="str">
        <f ca="1">IF(ISERROR(MATCH(E1212,Код_КЦСР,0)),"",INDIRECT(ADDRESS(MATCH(E1212,Код_КЦСР,0)+1,2,,,"КЦСР")))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12" s="126">
        <v>809</v>
      </c>
      <c r="C1212" s="8" t="s">
        <v>193</v>
      </c>
      <c r="D1212" s="8" t="s">
        <v>193</v>
      </c>
      <c r="E1212" s="126" t="s">
        <v>402</v>
      </c>
      <c r="F1212" s="126"/>
      <c r="G1212" s="69"/>
      <c r="H1212" s="69"/>
      <c r="I1212" s="69"/>
      <c r="J1212" s="69"/>
      <c r="K1212" s="84"/>
      <c r="L1212" s="13"/>
      <c r="M1212" s="84"/>
      <c r="N1212" s="13"/>
      <c r="O1212" s="84"/>
      <c r="P1212" s="13"/>
      <c r="Q1212" s="84"/>
      <c r="R1212" s="13"/>
      <c r="S1212" s="84">
        <f>S1213</f>
        <v>381.2</v>
      </c>
      <c r="T1212" s="13"/>
      <c r="U1212" s="84">
        <f t="shared" si="258"/>
        <v>381.2</v>
      </c>
    </row>
    <row r="1213" spans="1:21" ht="33">
      <c r="A1213" s="61" t="str">
        <f ca="1">IF(ISERROR(MATCH(F1213,Код_КВР,0)),"",INDIRECT(ADDRESS(MATCH(F1213,Код_КВР,0)+1,2,,,"КВР")))</f>
        <v>Предоставление субсидий бюджетным, автономным учреждениям и иным некоммерческим организациям</v>
      </c>
      <c r="B1213" s="126">
        <v>809</v>
      </c>
      <c r="C1213" s="8" t="s">
        <v>193</v>
      </c>
      <c r="D1213" s="8" t="s">
        <v>193</v>
      </c>
      <c r="E1213" s="126" t="s">
        <v>402</v>
      </c>
      <c r="F1213" s="126">
        <v>600</v>
      </c>
      <c r="G1213" s="69"/>
      <c r="H1213" s="69"/>
      <c r="I1213" s="69"/>
      <c r="J1213" s="69">
        <f>J1214</f>
        <v>381.2</v>
      </c>
      <c r="K1213" s="84">
        <f t="shared" si="266"/>
        <v>381.2</v>
      </c>
      <c r="L1213" s="13">
        <f>L1214</f>
        <v>0</v>
      </c>
      <c r="M1213" s="84">
        <f t="shared" si="268"/>
        <v>381.2</v>
      </c>
      <c r="N1213" s="13">
        <f>N1214</f>
        <v>0</v>
      </c>
      <c r="O1213" s="84">
        <f t="shared" si="269"/>
        <v>381.2</v>
      </c>
      <c r="P1213" s="13">
        <f>P1214</f>
        <v>0</v>
      </c>
      <c r="Q1213" s="84">
        <f t="shared" si="262"/>
        <v>381.2</v>
      </c>
      <c r="R1213" s="13">
        <f>R1214</f>
        <v>0</v>
      </c>
      <c r="S1213" s="84">
        <f t="shared" si="260"/>
        <v>381.2</v>
      </c>
      <c r="T1213" s="13">
        <f>T1214</f>
        <v>0</v>
      </c>
      <c r="U1213" s="84">
        <f t="shared" si="258"/>
        <v>381.2</v>
      </c>
    </row>
    <row r="1214" spans="1:21">
      <c r="A1214" s="61" t="str">
        <f ca="1">IF(ISERROR(MATCH(F1214,Код_КВР,0)),"",INDIRECT(ADDRESS(MATCH(F1214,Код_КВР,0)+1,2,,,"КВР")))</f>
        <v>Субсидии бюджетным учреждениям</v>
      </c>
      <c r="B1214" s="126">
        <v>809</v>
      </c>
      <c r="C1214" s="8" t="s">
        <v>193</v>
      </c>
      <c r="D1214" s="8" t="s">
        <v>193</v>
      </c>
      <c r="E1214" s="126" t="s">
        <v>402</v>
      </c>
      <c r="F1214" s="126">
        <v>610</v>
      </c>
      <c r="G1214" s="69"/>
      <c r="H1214" s="69"/>
      <c r="I1214" s="69"/>
      <c r="J1214" s="69">
        <f>J1215</f>
        <v>381.2</v>
      </c>
      <c r="K1214" s="84">
        <f t="shared" si="266"/>
        <v>381.2</v>
      </c>
      <c r="L1214" s="13">
        <f>L1215</f>
        <v>0</v>
      </c>
      <c r="M1214" s="84">
        <f t="shared" si="268"/>
        <v>381.2</v>
      </c>
      <c r="N1214" s="13">
        <f>N1215</f>
        <v>0</v>
      </c>
      <c r="O1214" s="84">
        <f t="shared" si="269"/>
        <v>381.2</v>
      </c>
      <c r="P1214" s="13">
        <f>P1215</f>
        <v>0</v>
      </c>
      <c r="Q1214" s="84">
        <f t="shared" si="262"/>
        <v>381.2</v>
      </c>
      <c r="R1214" s="13">
        <f>R1215</f>
        <v>0</v>
      </c>
      <c r="S1214" s="84">
        <f t="shared" si="260"/>
        <v>381.2</v>
      </c>
      <c r="T1214" s="13">
        <f>T1215</f>
        <v>0</v>
      </c>
      <c r="U1214" s="84">
        <f t="shared" si="258"/>
        <v>381.2</v>
      </c>
    </row>
    <row r="1215" spans="1:21">
      <c r="A1215" s="61" t="str">
        <f ca="1">IF(ISERROR(MATCH(F1215,Код_КВР,0)),"",INDIRECT(ADDRESS(MATCH(F1215,Код_КВР,0)+1,2,,,"КВР")))</f>
        <v>Субсидии бюджетным учреждениям на иные цели</v>
      </c>
      <c r="B1215" s="126">
        <v>809</v>
      </c>
      <c r="C1215" s="8" t="s">
        <v>193</v>
      </c>
      <c r="D1215" s="8" t="s">
        <v>193</v>
      </c>
      <c r="E1215" s="126" t="s">
        <v>402</v>
      </c>
      <c r="F1215" s="126">
        <v>612</v>
      </c>
      <c r="G1215" s="69"/>
      <c r="H1215" s="69"/>
      <c r="I1215" s="69"/>
      <c r="J1215" s="69">
        <v>381.2</v>
      </c>
      <c r="K1215" s="84">
        <f t="shared" si="266"/>
        <v>381.2</v>
      </c>
      <c r="L1215" s="13"/>
      <c r="M1215" s="84">
        <f t="shared" si="268"/>
        <v>381.2</v>
      </c>
      <c r="N1215" s="13"/>
      <c r="O1215" s="84">
        <f t="shared" si="269"/>
        <v>381.2</v>
      </c>
      <c r="P1215" s="13"/>
      <c r="Q1215" s="84">
        <f t="shared" si="262"/>
        <v>381.2</v>
      </c>
      <c r="R1215" s="13"/>
      <c r="S1215" s="84">
        <f t="shared" si="260"/>
        <v>381.2</v>
      </c>
      <c r="T1215" s="13"/>
      <c r="U1215" s="84">
        <f t="shared" ref="U1215:U1279" si="272">S1215+T1215</f>
        <v>381.2</v>
      </c>
    </row>
    <row r="1216" spans="1:21">
      <c r="A1216" s="12" t="s">
        <v>249</v>
      </c>
      <c r="B1216" s="126">
        <v>809</v>
      </c>
      <c r="C1216" s="8" t="s">
        <v>193</v>
      </c>
      <c r="D1216" s="8" t="s">
        <v>217</v>
      </c>
      <c r="E1216" s="126"/>
      <c r="F1216" s="126"/>
      <c r="G1216" s="69">
        <f>G1217+G1224</f>
        <v>7787.1</v>
      </c>
      <c r="H1216" s="69">
        <f>H1217+H1224</f>
        <v>0</v>
      </c>
      <c r="I1216" s="69">
        <f t="shared" si="271"/>
        <v>7787.1</v>
      </c>
      <c r="J1216" s="69">
        <f>J1217+J1224</f>
        <v>90.1</v>
      </c>
      <c r="K1216" s="84">
        <f t="shared" si="266"/>
        <v>7877.2000000000007</v>
      </c>
      <c r="L1216" s="13">
        <f>L1217+L1224</f>
        <v>0</v>
      </c>
      <c r="M1216" s="84">
        <f t="shared" si="268"/>
        <v>7877.2000000000007</v>
      </c>
      <c r="N1216" s="13">
        <f>N1217+N1224</f>
        <v>0</v>
      </c>
      <c r="O1216" s="84">
        <f t="shared" si="269"/>
        <v>7877.2000000000007</v>
      </c>
      <c r="P1216" s="13">
        <f>P1217+P1224</f>
        <v>0</v>
      </c>
      <c r="Q1216" s="84">
        <f t="shared" si="262"/>
        <v>7877.2000000000007</v>
      </c>
      <c r="R1216" s="13">
        <f>R1217+R1224</f>
        <v>0</v>
      </c>
      <c r="S1216" s="84">
        <f t="shared" si="260"/>
        <v>7877.2000000000007</v>
      </c>
      <c r="T1216" s="13">
        <f>T1217+T1224</f>
        <v>0</v>
      </c>
      <c r="U1216" s="84">
        <f t="shared" si="272"/>
        <v>7877.2000000000007</v>
      </c>
    </row>
    <row r="1217" spans="1:22" ht="33">
      <c r="A1217" s="61" t="str">
        <f ca="1">IF(ISERROR(MATCH(E1217,Код_КЦСР,0)),"",INDIRECT(ADDRESS(MATCH(E1217,Код_КЦСР,0)+1,2,,,"КЦСР")))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217" s="126">
        <v>809</v>
      </c>
      <c r="C1217" s="8" t="s">
        <v>193</v>
      </c>
      <c r="D1217" s="8" t="s">
        <v>217</v>
      </c>
      <c r="E1217" s="126" t="s">
        <v>520</v>
      </c>
      <c r="F1217" s="126"/>
      <c r="G1217" s="69">
        <f>G1218</f>
        <v>7563.1</v>
      </c>
      <c r="H1217" s="69">
        <f>H1218</f>
        <v>0</v>
      </c>
      <c r="I1217" s="69">
        <f t="shared" si="271"/>
        <v>7563.1</v>
      </c>
      <c r="J1217" s="69">
        <f>J1218</f>
        <v>90.1</v>
      </c>
      <c r="K1217" s="84">
        <f t="shared" si="266"/>
        <v>7653.2000000000007</v>
      </c>
      <c r="L1217" s="13">
        <f>L1218</f>
        <v>0</v>
      </c>
      <c r="M1217" s="84">
        <f t="shared" si="268"/>
        <v>7653.2000000000007</v>
      </c>
      <c r="N1217" s="13">
        <f>N1218</f>
        <v>0</v>
      </c>
      <c r="O1217" s="84">
        <f t="shared" si="269"/>
        <v>7653.2000000000007</v>
      </c>
      <c r="P1217" s="13">
        <f>P1218</f>
        <v>0</v>
      </c>
      <c r="Q1217" s="84">
        <f t="shared" si="262"/>
        <v>7653.2000000000007</v>
      </c>
      <c r="R1217" s="13">
        <f>R1218</f>
        <v>0</v>
      </c>
      <c r="S1217" s="84">
        <f t="shared" si="260"/>
        <v>7653.2000000000007</v>
      </c>
      <c r="T1217" s="13">
        <f>T1218</f>
        <v>0</v>
      </c>
      <c r="U1217" s="84">
        <f t="shared" si="272"/>
        <v>7653.2000000000007</v>
      </c>
    </row>
    <row r="1218" spans="1:22">
      <c r="A1218" s="61" t="str">
        <f ca="1">IF(ISERROR(MATCH(E1218,Код_КЦСР,0)),"",INDIRECT(ADDRESS(MATCH(E1218,Код_КЦСР,0)+1,2,,,"КЦСР")))</f>
        <v>Спортивный город</v>
      </c>
      <c r="B1218" s="126">
        <v>809</v>
      </c>
      <c r="C1218" s="8" t="s">
        <v>193</v>
      </c>
      <c r="D1218" s="8" t="s">
        <v>217</v>
      </c>
      <c r="E1218" s="126" t="s">
        <v>529</v>
      </c>
      <c r="F1218" s="126"/>
      <c r="G1218" s="69">
        <f>G1219</f>
        <v>7563.1</v>
      </c>
      <c r="H1218" s="69">
        <f>H1219</f>
        <v>0</v>
      </c>
      <c r="I1218" s="69">
        <f t="shared" si="271"/>
        <v>7563.1</v>
      </c>
      <c r="J1218" s="69">
        <f>J1219</f>
        <v>90.1</v>
      </c>
      <c r="K1218" s="84">
        <f t="shared" si="266"/>
        <v>7653.2000000000007</v>
      </c>
      <c r="L1218" s="13">
        <f>L1219</f>
        <v>0</v>
      </c>
      <c r="M1218" s="84">
        <f t="shared" si="268"/>
        <v>7653.2000000000007</v>
      </c>
      <c r="N1218" s="13">
        <f>N1219</f>
        <v>0</v>
      </c>
      <c r="O1218" s="84">
        <f t="shared" si="269"/>
        <v>7653.2000000000007</v>
      </c>
      <c r="P1218" s="13">
        <f>P1219</f>
        <v>0</v>
      </c>
      <c r="Q1218" s="84">
        <f t="shared" si="262"/>
        <v>7653.2000000000007</v>
      </c>
      <c r="R1218" s="13">
        <f>R1219</f>
        <v>0</v>
      </c>
      <c r="S1218" s="84">
        <f t="shared" si="260"/>
        <v>7653.2000000000007</v>
      </c>
      <c r="T1218" s="13">
        <f>T1219</f>
        <v>0</v>
      </c>
      <c r="U1218" s="84">
        <f t="shared" si="272"/>
        <v>7653.2000000000007</v>
      </c>
    </row>
    <row r="1219" spans="1:22" ht="33">
      <c r="A1219" s="61" t="str">
        <f ca="1">IF(ISERROR(MATCH(F1219,Код_КВР,0)),"",INDIRECT(ADDRESS(MATCH(F1219,Код_КВР,0)+1,2,,,"КВР")))</f>
        <v>Предоставление субсидий бюджетным, автономным учреждениям и иным некоммерческим организациям</v>
      </c>
      <c r="B1219" s="126">
        <v>809</v>
      </c>
      <c r="C1219" s="41" t="s">
        <v>193</v>
      </c>
      <c r="D1219" s="8" t="s">
        <v>217</v>
      </c>
      <c r="E1219" s="126" t="s">
        <v>529</v>
      </c>
      <c r="F1219" s="126">
        <v>600</v>
      </c>
      <c r="G1219" s="69">
        <f>G1220+G1222</f>
        <v>7563.1</v>
      </c>
      <c r="H1219" s="69">
        <f>H1220+H1222</f>
        <v>0</v>
      </c>
      <c r="I1219" s="69">
        <f t="shared" si="271"/>
        <v>7563.1</v>
      </c>
      <c r="J1219" s="69">
        <f>J1220+J1222</f>
        <v>90.1</v>
      </c>
      <c r="K1219" s="84">
        <f t="shared" si="266"/>
        <v>7653.2000000000007</v>
      </c>
      <c r="L1219" s="13">
        <f>L1220+L1222</f>
        <v>0</v>
      </c>
      <c r="M1219" s="84">
        <f t="shared" si="268"/>
        <v>7653.2000000000007</v>
      </c>
      <c r="N1219" s="13">
        <f>N1220+N1222</f>
        <v>0</v>
      </c>
      <c r="O1219" s="84">
        <f t="shared" si="269"/>
        <v>7653.2000000000007</v>
      </c>
      <c r="P1219" s="13">
        <f>P1220+P1222</f>
        <v>0</v>
      </c>
      <c r="Q1219" s="84">
        <f t="shared" si="262"/>
        <v>7653.2000000000007</v>
      </c>
      <c r="R1219" s="13">
        <f>R1220+R1222</f>
        <v>0</v>
      </c>
      <c r="S1219" s="84">
        <f t="shared" si="260"/>
        <v>7653.2000000000007</v>
      </c>
      <c r="T1219" s="13">
        <f>T1220+T1222</f>
        <v>0</v>
      </c>
      <c r="U1219" s="84">
        <f t="shared" si="272"/>
        <v>7653.2000000000007</v>
      </c>
    </row>
    <row r="1220" spans="1:22">
      <c r="A1220" s="61" t="str">
        <f ca="1">IF(ISERROR(MATCH(F1220,Код_КВР,0)),"",INDIRECT(ADDRESS(MATCH(F1220,Код_КВР,0)+1,2,,,"КВР")))</f>
        <v>Субсидии бюджетным учреждениям</v>
      </c>
      <c r="B1220" s="126">
        <v>809</v>
      </c>
      <c r="C1220" s="41" t="s">
        <v>193</v>
      </c>
      <c r="D1220" s="8" t="s">
        <v>217</v>
      </c>
      <c r="E1220" s="126" t="s">
        <v>529</v>
      </c>
      <c r="F1220" s="126">
        <v>610</v>
      </c>
      <c r="G1220" s="69">
        <f>G1221</f>
        <v>6732.6</v>
      </c>
      <c r="H1220" s="69">
        <f>H1221</f>
        <v>0</v>
      </c>
      <c r="I1220" s="69">
        <f t="shared" si="271"/>
        <v>6732.6</v>
      </c>
      <c r="J1220" s="69">
        <f>J1221</f>
        <v>90.1</v>
      </c>
      <c r="K1220" s="84">
        <f t="shared" si="266"/>
        <v>6822.7000000000007</v>
      </c>
      <c r="L1220" s="13">
        <f>L1221</f>
        <v>0</v>
      </c>
      <c r="M1220" s="84">
        <f t="shared" si="268"/>
        <v>6822.7000000000007</v>
      </c>
      <c r="N1220" s="13">
        <f>N1221</f>
        <v>0</v>
      </c>
      <c r="O1220" s="84">
        <f t="shared" si="269"/>
        <v>6822.7000000000007</v>
      </c>
      <c r="P1220" s="13">
        <f>P1221</f>
        <v>0</v>
      </c>
      <c r="Q1220" s="84">
        <f t="shared" si="262"/>
        <v>6822.7000000000007</v>
      </c>
      <c r="R1220" s="13">
        <f>R1221</f>
        <v>0</v>
      </c>
      <c r="S1220" s="84">
        <f t="shared" si="260"/>
        <v>6822.7000000000007</v>
      </c>
      <c r="T1220" s="13">
        <f>T1221</f>
        <v>0</v>
      </c>
      <c r="U1220" s="84">
        <f t="shared" si="272"/>
        <v>6822.7000000000007</v>
      </c>
    </row>
    <row r="1221" spans="1:22">
      <c r="A1221" s="61" t="str">
        <f ca="1">IF(ISERROR(MATCH(F1221,Код_КВР,0)),"",INDIRECT(ADDRESS(MATCH(F1221,Код_КВР,0)+1,2,,,"КВР")))</f>
        <v>Субсидии бюджетным учреждениям на иные цели</v>
      </c>
      <c r="B1221" s="126">
        <v>809</v>
      </c>
      <c r="C1221" s="41" t="s">
        <v>193</v>
      </c>
      <c r="D1221" s="8" t="s">
        <v>217</v>
      </c>
      <c r="E1221" s="126" t="s">
        <v>529</v>
      </c>
      <c r="F1221" s="126">
        <v>612</v>
      </c>
      <c r="G1221" s="69">
        <v>6732.6</v>
      </c>
      <c r="H1221" s="69"/>
      <c r="I1221" s="69">
        <f t="shared" si="271"/>
        <v>6732.6</v>
      </c>
      <c r="J1221" s="69">
        <v>90.1</v>
      </c>
      <c r="K1221" s="84">
        <f t="shared" si="266"/>
        <v>6822.7000000000007</v>
      </c>
      <c r="L1221" s="13"/>
      <c r="M1221" s="84">
        <f t="shared" si="268"/>
        <v>6822.7000000000007</v>
      </c>
      <c r="N1221" s="13"/>
      <c r="O1221" s="84">
        <f t="shared" si="269"/>
        <v>6822.7000000000007</v>
      </c>
      <c r="P1221" s="13"/>
      <c r="Q1221" s="84">
        <f t="shared" si="262"/>
        <v>6822.7000000000007</v>
      </c>
      <c r="R1221" s="13"/>
      <c r="S1221" s="84">
        <f t="shared" si="260"/>
        <v>6822.7000000000007</v>
      </c>
      <c r="T1221" s="13"/>
      <c r="U1221" s="84">
        <f t="shared" si="272"/>
        <v>6822.7000000000007</v>
      </c>
    </row>
    <row r="1222" spans="1:22">
      <c r="A1222" s="61" t="str">
        <f ca="1">IF(ISERROR(MATCH(F1222,Код_КВР,0)),"",INDIRECT(ADDRESS(MATCH(F1222,Код_КВР,0)+1,2,,,"КВР")))</f>
        <v>Субсидии автономным учреждениям</v>
      </c>
      <c r="B1222" s="126">
        <v>809</v>
      </c>
      <c r="C1222" s="41" t="s">
        <v>193</v>
      </c>
      <c r="D1222" s="8" t="s">
        <v>217</v>
      </c>
      <c r="E1222" s="126" t="s">
        <v>529</v>
      </c>
      <c r="F1222" s="126">
        <v>620</v>
      </c>
      <c r="G1222" s="69">
        <f>G1223</f>
        <v>830.5</v>
      </c>
      <c r="H1222" s="69">
        <f>H1223</f>
        <v>0</v>
      </c>
      <c r="I1222" s="69">
        <f t="shared" si="271"/>
        <v>830.5</v>
      </c>
      <c r="J1222" s="69">
        <f>J1223</f>
        <v>0</v>
      </c>
      <c r="K1222" s="84">
        <f t="shared" si="266"/>
        <v>830.5</v>
      </c>
      <c r="L1222" s="13">
        <f>L1223</f>
        <v>0</v>
      </c>
      <c r="M1222" s="84">
        <f t="shared" si="268"/>
        <v>830.5</v>
      </c>
      <c r="N1222" s="13">
        <f>N1223</f>
        <v>0</v>
      </c>
      <c r="O1222" s="84">
        <f t="shared" si="269"/>
        <v>830.5</v>
      </c>
      <c r="P1222" s="13">
        <f>P1223</f>
        <v>0</v>
      </c>
      <c r="Q1222" s="84">
        <f t="shared" si="262"/>
        <v>830.5</v>
      </c>
      <c r="R1222" s="13">
        <f>R1223</f>
        <v>0</v>
      </c>
      <c r="S1222" s="84">
        <f t="shared" si="260"/>
        <v>830.5</v>
      </c>
      <c r="T1222" s="13">
        <f>T1223</f>
        <v>0</v>
      </c>
      <c r="U1222" s="84">
        <f t="shared" si="272"/>
        <v>830.5</v>
      </c>
    </row>
    <row r="1223" spans="1:22">
      <c r="A1223" s="61" t="str">
        <f ca="1">IF(ISERROR(MATCH(F1223,Код_КВР,0)),"",INDIRECT(ADDRESS(MATCH(F1223,Код_КВР,0)+1,2,,,"КВР")))</f>
        <v>Субсидии автономным учреждениям на иные цели</v>
      </c>
      <c r="B1223" s="126">
        <v>809</v>
      </c>
      <c r="C1223" s="41" t="s">
        <v>193</v>
      </c>
      <c r="D1223" s="8" t="s">
        <v>217</v>
      </c>
      <c r="E1223" s="126" t="s">
        <v>529</v>
      </c>
      <c r="F1223" s="126">
        <v>622</v>
      </c>
      <c r="G1223" s="69">
        <v>830.5</v>
      </c>
      <c r="H1223" s="69"/>
      <c r="I1223" s="69">
        <f t="shared" si="271"/>
        <v>830.5</v>
      </c>
      <c r="J1223" s="69"/>
      <c r="K1223" s="84">
        <f t="shared" si="266"/>
        <v>830.5</v>
      </c>
      <c r="L1223" s="13"/>
      <c r="M1223" s="84">
        <f t="shared" si="268"/>
        <v>830.5</v>
      </c>
      <c r="N1223" s="13"/>
      <c r="O1223" s="84">
        <f t="shared" si="269"/>
        <v>830.5</v>
      </c>
      <c r="P1223" s="13"/>
      <c r="Q1223" s="84">
        <f t="shared" si="262"/>
        <v>830.5</v>
      </c>
      <c r="R1223" s="13"/>
      <c r="S1223" s="84">
        <f t="shared" si="260"/>
        <v>830.5</v>
      </c>
      <c r="T1223" s="13"/>
      <c r="U1223" s="84">
        <f t="shared" si="272"/>
        <v>830.5</v>
      </c>
    </row>
    <row r="1224" spans="1:22" ht="33">
      <c r="A1224" s="61" t="str">
        <f ca="1">IF(ISERROR(MATCH(E1224,Код_КЦСР,0)),"",INDIRECT(ADDRESS(MATCH(E1224,Код_КЦСР,0)+1,2,,,"КЦСР")))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224" s="126">
        <v>809</v>
      </c>
      <c r="C1224" s="8" t="s">
        <v>193</v>
      </c>
      <c r="D1224" s="8" t="s">
        <v>217</v>
      </c>
      <c r="E1224" s="126" t="s">
        <v>78</v>
      </c>
      <c r="F1224" s="126"/>
      <c r="G1224" s="69">
        <f>G1225</f>
        <v>224</v>
      </c>
      <c r="H1224" s="69">
        <f>H1226+H1232</f>
        <v>0</v>
      </c>
      <c r="I1224" s="69">
        <f>G1224+H1224</f>
        <v>224</v>
      </c>
      <c r="J1224" s="69">
        <f>J1226+J1232</f>
        <v>0</v>
      </c>
      <c r="K1224" s="84">
        <f t="shared" si="266"/>
        <v>224</v>
      </c>
      <c r="L1224" s="13">
        <f>L1226+L1232</f>
        <v>0</v>
      </c>
      <c r="M1224" s="84">
        <f t="shared" si="268"/>
        <v>224</v>
      </c>
      <c r="N1224" s="13">
        <f>N1226+N1232</f>
        <v>0</v>
      </c>
      <c r="O1224" s="84">
        <f t="shared" si="269"/>
        <v>224</v>
      </c>
      <c r="P1224" s="13">
        <f>P1226+P1232</f>
        <v>0</v>
      </c>
      <c r="Q1224" s="84">
        <f t="shared" si="262"/>
        <v>224</v>
      </c>
      <c r="R1224" s="13">
        <f>R1226+R1232</f>
        <v>0</v>
      </c>
      <c r="S1224" s="84">
        <f>Q1224+R1224</f>
        <v>224</v>
      </c>
      <c r="T1224" s="13">
        <f>T1226+T1232</f>
        <v>0</v>
      </c>
      <c r="U1224" s="84">
        <f t="shared" si="272"/>
        <v>224</v>
      </c>
    </row>
    <row r="1225" spans="1:22">
      <c r="A1225" s="61" t="str">
        <f ca="1">IF(ISERROR(MATCH(E1225,Код_КЦСР,0)),"",INDIRECT(ADDRESS(MATCH(E1225,Код_КЦСР,0)+1,2,,,"КЦСР")))</f>
        <v>Обеспечение пожарной безопасности муниципальных учреждений города</v>
      </c>
      <c r="B1225" s="126">
        <v>809</v>
      </c>
      <c r="C1225" s="8" t="s">
        <v>193</v>
      </c>
      <c r="D1225" s="8" t="s">
        <v>217</v>
      </c>
      <c r="E1225" s="126" t="s">
        <v>80</v>
      </c>
      <c r="F1225" s="126"/>
      <c r="G1225" s="69">
        <f>G1226+G1232</f>
        <v>224</v>
      </c>
      <c r="H1225" s="69"/>
      <c r="I1225" s="69">
        <f t="shared" si="271"/>
        <v>224</v>
      </c>
      <c r="J1225" s="69"/>
      <c r="K1225" s="84">
        <f t="shared" si="266"/>
        <v>224</v>
      </c>
      <c r="L1225" s="13"/>
      <c r="M1225" s="84">
        <f t="shared" si="268"/>
        <v>224</v>
      </c>
      <c r="N1225" s="13"/>
      <c r="O1225" s="84">
        <f t="shared" si="269"/>
        <v>224</v>
      </c>
      <c r="P1225" s="13"/>
      <c r="Q1225" s="84">
        <f t="shared" si="262"/>
        <v>224</v>
      </c>
      <c r="R1225" s="13"/>
      <c r="S1225" s="84">
        <f t="shared" ref="S1225:S1288" si="273">Q1225+R1225</f>
        <v>224</v>
      </c>
      <c r="T1225" s="13"/>
      <c r="U1225" s="84">
        <f t="shared" si="272"/>
        <v>224</v>
      </c>
    </row>
    <row r="1226" spans="1:22" ht="49.5">
      <c r="A1226" s="61" t="str">
        <f ca="1">IF(ISERROR(MATCH(E1226,Код_КЦСР,0)),"",INDIRECT(ADDRESS(MATCH(E1226,Код_КЦСР,0)+1,2,,,"КЦСР")))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226" s="126">
        <v>809</v>
      </c>
      <c r="C1226" s="41" t="s">
        <v>193</v>
      </c>
      <c r="D1226" s="8" t="s">
        <v>217</v>
      </c>
      <c r="E1226" s="126" t="s">
        <v>82</v>
      </c>
      <c r="F1226" s="126"/>
      <c r="G1226" s="69">
        <f>G1227</f>
        <v>177</v>
      </c>
      <c r="H1226" s="69">
        <f>H1227</f>
        <v>0</v>
      </c>
      <c r="I1226" s="69">
        <f>G1226+H1226</f>
        <v>177</v>
      </c>
      <c r="J1226" s="69">
        <f>J1227</f>
        <v>0</v>
      </c>
      <c r="K1226" s="84">
        <f t="shared" si="266"/>
        <v>177</v>
      </c>
      <c r="L1226" s="13">
        <f>L1227</f>
        <v>0</v>
      </c>
      <c r="M1226" s="84">
        <f t="shared" si="268"/>
        <v>177</v>
      </c>
      <c r="N1226" s="13">
        <f>N1227</f>
        <v>0</v>
      </c>
      <c r="O1226" s="84">
        <f t="shared" si="269"/>
        <v>177</v>
      </c>
      <c r="P1226" s="13">
        <f>P1227</f>
        <v>0</v>
      </c>
      <c r="Q1226" s="84">
        <f t="shared" si="262"/>
        <v>177</v>
      </c>
      <c r="R1226" s="13">
        <f>R1227</f>
        <v>0</v>
      </c>
      <c r="S1226" s="84">
        <f t="shared" si="273"/>
        <v>177</v>
      </c>
      <c r="T1226" s="13">
        <f>T1227</f>
        <v>0</v>
      </c>
      <c r="U1226" s="84">
        <f t="shared" si="272"/>
        <v>177</v>
      </c>
    </row>
    <row r="1227" spans="1:22" ht="33">
      <c r="A1227" s="61" t="str">
        <f ca="1">IF(ISERROR(MATCH(F1227,Код_КВР,0)),"",INDIRECT(ADDRESS(MATCH(F1227,Код_КВР,0)+1,2,,,"КВР")))</f>
        <v>Предоставление субсидий бюджетным, автономным учреждениям и иным некоммерческим организациям</v>
      </c>
      <c r="B1227" s="126">
        <v>809</v>
      </c>
      <c r="C1227" s="41" t="s">
        <v>193</v>
      </c>
      <c r="D1227" s="8" t="s">
        <v>217</v>
      </c>
      <c r="E1227" s="126" t="s">
        <v>82</v>
      </c>
      <c r="F1227" s="126">
        <v>600</v>
      </c>
      <c r="G1227" s="69">
        <f>G1228+G1230</f>
        <v>177</v>
      </c>
      <c r="H1227" s="69">
        <f>H1228+H1230</f>
        <v>0</v>
      </c>
      <c r="I1227" s="69">
        <f t="shared" si="271"/>
        <v>177</v>
      </c>
      <c r="J1227" s="69">
        <f>J1228+J1230</f>
        <v>0</v>
      </c>
      <c r="K1227" s="84">
        <f t="shared" si="266"/>
        <v>177</v>
      </c>
      <c r="L1227" s="13">
        <f>L1228+L1230</f>
        <v>0</v>
      </c>
      <c r="M1227" s="84">
        <f t="shared" si="268"/>
        <v>177</v>
      </c>
      <c r="N1227" s="13">
        <f>N1228+N1230</f>
        <v>0</v>
      </c>
      <c r="O1227" s="84">
        <f t="shared" si="269"/>
        <v>177</v>
      </c>
      <c r="P1227" s="13">
        <f>P1228+P1230</f>
        <v>0</v>
      </c>
      <c r="Q1227" s="84">
        <f t="shared" si="262"/>
        <v>177</v>
      </c>
      <c r="R1227" s="13">
        <f>R1228+R1230</f>
        <v>0</v>
      </c>
      <c r="S1227" s="84">
        <f t="shared" si="273"/>
        <v>177</v>
      </c>
      <c r="T1227" s="13">
        <f>T1228+T1230</f>
        <v>0</v>
      </c>
      <c r="U1227" s="84">
        <f t="shared" si="272"/>
        <v>177</v>
      </c>
    </row>
    <row r="1228" spans="1:22">
      <c r="A1228" s="61" t="str">
        <f ca="1">IF(ISERROR(MATCH(F1228,Код_КВР,0)),"",INDIRECT(ADDRESS(MATCH(F1228,Код_КВР,0)+1,2,,,"КВР")))</f>
        <v>Субсидии бюджетным учреждениям</v>
      </c>
      <c r="B1228" s="126">
        <v>809</v>
      </c>
      <c r="C1228" s="41" t="s">
        <v>193</v>
      </c>
      <c r="D1228" s="8" t="s">
        <v>217</v>
      </c>
      <c r="E1228" s="126" t="s">
        <v>82</v>
      </c>
      <c r="F1228" s="126">
        <v>610</v>
      </c>
      <c r="G1228" s="69">
        <f>G1229</f>
        <v>177</v>
      </c>
      <c r="H1228" s="69">
        <f>H1229</f>
        <v>0</v>
      </c>
      <c r="I1228" s="69">
        <f t="shared" si="271"/>
        <v>177</v>
      </c>
      <c r="J1228" s="69">
        <f>J1229</f>
        <v>0</v>
      </c>
      <c r="K1228" s="84">
        <f t="shared" si="266"/>
        <v>177</v>
      </c>
      <c r="L1228" s="13">
        <f>L1229</f>
        <v>0</v>
      </c>
      <c r="M1228" s="84">
        <f t="shared" si="268"/>
        <v>177</v>
      </c>
      <c r="N1228" s="13">
        <f>N1229</f>
        <v>0</v>
      </c>
      <c r="O1228" s="84">
        <f t="shared" si="269"/>
        <v>177</v>
      </c>
      <c r="P1228" s="13">
        <f>P1229</f>
        <v>0</v>
      </c>
      <c r="Q1228" s="84">
        <f t="shared" si="262"/>
        <v>177</v>
      </c>
      <c r="R1228" s="13">
        <f>R1229</f>
        <v>0</v>
      </c>
      <c r="S1228" s="84">
        <f t="shared" si="273"/>
        <v>177</v>
      </c>
      <c r="T1228" s="13">
        <f>T1229</f>
        <v>0</v>
      </c>
      <c r="U1228" s="84">
        <f t="shared" si="272"/>
        <v>177</v>
      </c>
    </row>
    <row r="1229" spans="1:22">
      <c r="A1229" s="61" t="str">
        <f ca="1">IF(ISERROR(MATCH(F1229,Код_КВР,0)),"",INDIRECT(ADDRESS(MATCH(F1229,Код_КВР,0)+1,2,,,"КВР")))</f>
        <v>Субсидии бюджетным учреждениям на иные цели</v>
      </c>
      <c r="B1229" s="126">
        <v>809</v>
      </c>
      <c r="C1229" s="41" t="s">
        <v>193</v>
      </c>
      <c r="D1229" s="8" t="s">
        <v>217</v>
      </c>
      <c r="E1229" s="126" t="s">
        <v>82</v>
      </c>
      <c r="F1229" s="126">
        <v>612</v>
      </c>
      <c r="G1229" s="69">
        <v>177</v>
      </c>
      <c r="H1229" s="69"/>
      <c r="I1229" s="69">
        <f t="shared" si="271"/>
        <v>177</v>
      </c>
      <c r="J1229" s="69"/>
      <c r="K1229" s="84">
        <f t="shared" si="266"/>
        <v>177</v>
      </c>
      <c r="L1229" s="13"/>
      <c r="M1229" s="84">
        <f t="shared" si="268"/>
        <v>177</v>
      </c>
      <c r="N1229" s="13"/>
      <c r="O1229" s="84">
        <f t="shared" si="269"/>
        <v>177</v>
      </c>
      <c r="P1229" s="13"/>
      <c r="Q1229" s="84">
        <f t="shared" si="262"/>
        <v>177</v>
      </c>
      <c r="R1229" s="13"/>
      <c r="S1229" s="84">
        <f t="shared" si="273"/>
        <v>177</v>
      </c>
      <c r="T1229" s="13"/>
      <c r="U1229" s="84">
        <f t="shared" si="272"/>
        <v>177</v>
      </c>
    </row>
    <row r="1230" spans="1:22" hidden="1">
      <c r="A1230" s="61" t="str">
        <f ca="1">IF(ISERROR(MATCH(F1230,Код_КВР,0)),"",INDIRECT(ADDRESS(MATCH(F1230,Код_КВР,0)+1,2,,,"КВР")))</f>
        <v>Субсидии автономным учреждениям</v>
      </c>
      <c r="B1230" s="100">
        <v>809</v>
      </c>
      <c r="C1230" s="41" t="s">
        <v>193</v>
      </c>
      <c r="D1230" s="8" t="s">
        <v>217</v>
      </c>
      <c r="E1230" s="100" t="s">
        <v>82</v>
      </c>
      <c r="F1230" s="100">
        <v>620</v>
      </c>
      <c r="G1230" s="69">
        <f>G1231</f>
        <v>0</v>
      </c>
      <c r="H1230" s="69">
        <f>H1231</f>
        <v>0</v>
      </c>
      <c r="I1230" s="69">
        <f t="shared" si="271"/>
        <v>0</v>
      </c>
      <c r="J1230" s="69">
        <f>J1231</f>
        <v>0</v>
      </c>
      <c r="K1230" s="84">
        <f t="shared" si="266"/>
        <v>0</v>
      </c>
      <c r="L1230" s="13">
        <f>L1231</f>
        <v>0</v>
      </c>
      <c r="M1230" s="84">
        <f t="shared" si="268"/>
        <v>0</v>
      </c>
      <c r="N1230" s="13">
        <f>N1231</f>
        <v>0</v>
      </c>
      <c r="O1230" s="84">
        <f t="shared" si="269"/>
        <v>0</v>
      </c>
      <c r="P1230" s="13">
        <f>P1231</f>
        <v>0</v>
      </c>
      <c r="Q1230" s="84">
        <f t="shared" si="262"/>
        <v>0</v>
      </c>
      <c r="R1230" s="13">
        <f>R1231</f>
        <v>0</v>
      </c>
      <c r="S1230" s="84">
        <f t="shared" si="273"/>
        <v>0</v>
      </c>
      <c r="T1230" s="13">
        <f>T1231</f>
        <v>0</v>
      </c>
      <c r="U1230" s="84">
        <f t="shared" si="272"/>
        <v>0</v>
      </c>
      <c r="V1230" s="142" t="s">
        <v>706</v>
      </c>
    </row>
    <row r="1231" spans="1:22" hidden="1">
      <c r="A1231" s="61" t="str">
        <f ca="1">IF(ISERROR(MATCH(F1231,Код_КВР,0)),"",INDIRECT(ADDRESS(MATCH(F1231,Код_КВР,0)+1,2,,,"КВР")))</f>
        <v>Субсидии автономным учреждениям на иные цели</v>
      </c>
      <c r="B1231" s="100">
        <v>809</v>
      </c>
      <c r="C1231" s="41" t="s">
        <v>193</v>
      </c>
      <c r="D1231" s="8" t="s">
        <v>217</v>
      </c>
      <c r="E1231" s="100" t="s">
        <v>82</v>
      </c>
      <c r="F1231" s="100">
        <v>622</v>
      </c>
      <c r="G1231" s="69"/>
      <c r="H1231" s="69"/>
      <c r="I1231" s="69">
        <f t="shared" si="271"/>
        <v>0</v>
      </c>
      <c r="J1231" s="69"/>
      <c r="K1231" s="84">
        <f t="shared" si="266"/>
        <v>0</v>
      </c>
      <c r="L1231" s="13"/>
      <c r="M1231" s="84">
        <f t="shared" si="268"/>
        <v>0</v>
      </c>
      <c r="N1231" s="13"/>
      <c r="O1231" s="84">
        <f t="shared" si="269"/>
        <v>0</v>
      </c>
      <c r="P1231" s="13"/>
      <c r="Q1231" s="84">
        <f t="shared" ref="Q1231:Q1294" si="274">O1231+P1231</f>
        <v>0</v>
      </c>
      <c r="R1231" s="13"/>
      <c r="S1231" s="84">
        <f t="shared" si="273"/>
        <v>0</v>
      </c>
      <c r="T1231" s="13"/>
      <c r="U1231" s="84">
        <f t="shared" si="272"/>
        <v>0</v>
      </c>
      <c r="V1231" s="142" t="s">
        <v>706</v>
      </c>
    </row>
    <row r="1232" spans="1:22">
      <c r="A1232" s="61" t="str">
        <f ca="1">IF(ISERROR(MATCH(E1232,Код_КЦСР,0)),"",INDIRECT(ADDRESS(MATCH(E1232,Код_КЦСР,0)+1,2,,,"КЦСР")))</f>
        <v>Ремонт и оборудование эвакуационных путей  зданий</v>
      </c>
      <c r="B1232" s="126">
        <v>809</v>
      </c>
      <c r="C1232" s="41" t="s">
        <v>193</v>
      </c>
      <c r="D1232" s="8" t="s">
        <v>217</v>
      </c>
      <c r="E1232" s="126" t="s">
        <v>86</v>
      </c>
      <c r="F1232" s="126"/>
      <c r="G1232" s="69">
        <f>G1233</f>
        <v>47</v>
      </c>
      <c r="H1232" s="69">
        <f>H1233</f>
        <v>0</v>
      </c>
      <c r="I1232" s="69">
        <f t="shared" si="271"/>
        <v>47</v>
      </c>
      <c r="J1232" s="69">
        <f>J1233</f>
        <v>0</v>
      </c>
      <c r="K1232" s="84">
        <f t="shared" si="266"/>
        <v>47</v>
      </c>
      <c r="L1232" s="13">
        <f>L1233</f>
        <v>0</v>
      </c>
      <c r="M1232" s="84">
        <f t="shared" si="268"/>
        <v>47</v>
      </c>
      <c r="N1232" s="13">
        <f>N1233</f>
        <v>0</v>
      </c>
      <c r="O1232" s="84">
        <f t="shared" si="269"/>
        <v>47</v>
      </c>
      <c r="P1232" s="13">
        <f>P1233</f>
        <v>0</v>
      </c>
      <c r="Q1232" s="84">
        <f t="shared" si="274"/>
        <v>47</v>
      </c>
      <c r="R1232" s="13">
        <f>R1233</f>
        <v>0</v>
      </c>
      <c r="S1232" s="84">
        <f t="shared" si="273"/>
        <v>47</v>
      </c>
      <c r="T1232" s="13">
        <f>T1233</f>
        <v>0</v>
      </c>
      <c r="U1232" s="84">
        <f t="shared" si="272"/>
        <v>47</v>
      </c>
    </row>
    <row r="1233" spans="1:22" ht="33">
      <c r="A1233" s="61" t="str">
        <f ca="1">IF(ISERROR(MATCH(F1233,Код_КВР,0)),"",INDIRECT(ADDRESS(MATCH(F1233,Код_КВР,0)+1,2,,,"КВР")))</f>
        <v>Предоставление субсидий бюджетным, автономным учреждениям и иным некоммерческим организациям</v>
      </c>
      <c r="B1233" s="126">
        <v>809</v>
      </c>
      <c r="C1233" s="41" t="s">
        <v>193</v>
      </c>
      <c r="D1233" s="8" t="s">
        <v>217</v>
      </c>
      <c r="E1233" s="126" t="s">
        <v>86</v>
      </c>
      <c r="F1233" s="126">
        <v>600</v>
      </c>
      <c r="G1233" s="69">
        <f>G1234+G1236</f>
        <v>47</v>
      </c>
      <c r="H1233" s="69">
        <f>H1234+H1236</f>
        <v>0</v>
      </c>
      <c r="I1233" s="69">
        <f t="shared" si="271"/>
        <v>47</v>
      </c>
      <c r="J1233" s="69">
        <f>J1234+J1236</f>
        <v>0</v>
      </c>
      <c r="K1233" s="84">
        <f t="shared" si="266"/>
        <v>47</v>
      </c>
      <c r="L1233" s="13">
        <f>L1234+L1236</f>
        <v>0</v>
      </c>
      <c r="M1233" s="84">
        <f t="shared" si="268"/>
        <v>47</v>
      </c>
      <c r="N1233" s="13">
        <f>N1234+N1236</f>
        <v>0</v>
      </c>
      <c r="O1233" s="84">
        <f t="shared" si="269"/>
        <v>47</v>
      </c>
      <c r="P1233" s="13">
        <f>P1234+P1236</f>
        <v>0</v>
      </c>
      <c r="Q1233" s="84">
        <f t="shared" si="274"/>
        <v>47</v>
      </c>
      <c r="R1233" s="13">
        <f>R1234+R1236</f>
        <v>0</v>
      </c>
      <c r="S1233" s="84">
        <f t="shared" si="273"/>
        <v>47</v>
      </c>
      <c r="T1233" s="13">
        <f>T1234+T1236</f>
        <v>0</v>
      </c>
      <c r="U1233" s="84">
        <f t="shared" si="272"/>
        <v>47</v>
      </c>
    </row>
    <row r="1234" spans="1:22">
      <c r="A1234" s="61" t="str">
        <f ca="1">IF(ISERROR(MATCH(F1234,Код_КВР,0)),"",INDIRECT(ADDRESS(MATCH(F1234,Код_КВР,0)+1,2,,,"КВР")))</f>
        <v>Субсидии бюджетным учреждениям</v>
      </c>
      <c r="B1234" s="126">
        <v>809</v>
      </c>
      <c r="C1234" s="41" t="s">
        <v>193</v>
      </c>
      <c r="D1234" s="8" t="s">
        <v>217</v>
      </c>
      <c r="E1234" s="126" t="s">
        <v>86</v>
      </c>
      <c r="F1234" s="126">
        <v>610</v>
      </c>
      <c r="G1234" s="69">
        <f>G1235</f>
        <v>47</v>
      </c>
      <c r="H1234" s="69">
        <f>H1235</f>
        <v>0</v>
      </c>
      <c r="I1234" s="69">
        <f t="shared" si="271"/>
        <v>47</v>
      </c>
      <c r="J1234" s="69">
        <f>J1235</f>
        <v>0</v>
      </c>
      <c r="K1234" s="84">
        <f t="shared" si="266"/>
        <v>47</v>
      </c>
      <c r="L1234" s="13">
        <f>L1235</f>
        <v>0</v>
      </c>
      <c r="M1234" s="84">
        <f t="shared" si="268"/>
        <v>47</v>
      </c>
      <c r="N1234" s="13">
        <f>N1235</f>
        <v>0</v>
      </c>
      <c r="O1234" s="84">
        <f t="shared" si="269"/>
        <v>47</v>
      </c>
      <c r="P1234" s="13">
        <f>P1235</f>
        <v>0</v>
      </c>
      <c r="Q1234" s="84">
        <f t="shared" si="274"/>
        <v>47</v>
      </c>
      <c r="R1234" s="13">
        <f>R1235</f>
        <v>0</v>
      </c>
      <c r="S1234" s="84">
        <f t="shared" si="273"/>
        <v>47</v>
      </c>
      <c r="T1234" s="13">
        <f>T1235</f>
        <v>0</v>
      </c>
      <c r="U1234" s="84">
        <f t="shared" si="272"/>
        <v>47</v>
      </c>
    </row>
    <row r="1235" spans="1:22">
      <c r="A1235" s="61" t="str">
        <f ca="1">IF(ISERROR(MATCH(F1235,Код_КВР,0)),"",INDIRECT(ADDRESS(MATCH(F1235,Код_КВР,0)+1,2,,,"КВР")))</f>
        <v>Субсидии бюджетным учреждениям на иные цели</v>
      </c>
      <c r="B1235" s="126">
        <v>809</v>
      </c>
      <c r="C1235" s="41" t="s">
        <v>193</v>
      </c>
      <c r="D1235" s="8" t="s">
        <v>217</v>
      </c>
      <c r="E1235" s="126" t="s">
        <v>86</v>
      </c>
      <c r="F1235" s="126">
        <v>612</v>
      </c>
      <c r="G1235" s="69">
        <v>47</v>
      </c>
      <c r="H1235" s="69"/>
      <c r="I1235" s="69">
        <f t="shared" si="271"/>
        <v>47</v>
      </c>
      <c r="J1235" s="69"/>
      <c r="K1235" s="84">
        <f t="shared" si="266"/>
        <v>47</v>
      </c>
      <c r="L1235" s="13"/>
      <c r="M1235" s="84">
        <f t="shared" si="268"/>
        <v>47</v>
      </c>
      <c r="N1235" s="13"/>
      <c r="O1235" s="84">
        <f t="shared" si="269"/>
        <v>47</v>
      </c>
      <c r="P1235" s="13"/>
      <c r="Q1235" s="84">
        <f t="shared" si="274"/>
        <v>47</v>
      </c>
      <c r="R1235" s="13"/>
      <c r="S1235" s="84">
        <f t="shared" si="273"/>
        <v>47</v>
      </c>
      <c r="T1235" s="13"/>
      <c r="U1235" s="84">
        <f t="shared" si="272"/>
        <v>47</v>
      </c>
    </row>
    <row r="1236" spans="1:22" s="110" customFormat="1" hidden="1">
      <c r="A1236" s="103" t="str">
        <f ca="1">IF(ISERROR(MATCH(F1236,Код_КВР,0)),"",INDIRECT(ADDRESS(MATCH(F1236,Код_КВР,0)+1,2,,,"КВР")))</f>
        <v>Субсидии автономным учреждениям</v>
      </c>
      <c r="B1236" s="104">
        <v>809</v>
      </c>
      <c r="C1236" s="105" t="s">
        <v>193</v>
      </c>
      <c r="D1236" s="106" t="s">
        <v>217</v>
      </c>
      <c r="E1236" s="104" t="s">
        <v>86</v>
      </c>
      <c r="F1236" s="104">
        <v>620</v>
      </c>
      <c r="G1236" s="107">
        <f>G1237</f>
        <v>0</v>
      </c>
      <c r="H1236" s="107">
        <f>H1237</f>
        <v>0</v>
      </c>
      <c r="I1236" s="107">
        <f t="shared" si="271"/>
        <v>0</v>
      </c>
      <c r="J1236" s="107">
        <f>J1237</f>
        <v>0</v>
      </c>
      <c r="K1236" s="108">
        <f t="shared" si="266"/>
        <v>0</v>
      </c>
      <c r="L1236" s="109">
        <f>L1237</f>
        <v>0</v>
      </c>
      <c r="M1236" s="108">
        <f t="shared" si="268"/>
        <v>0</v>
      </c>
      <c r="N1236" s="109">
        <f>N1237</f>
        <v>0</v>
      </c>
      <c r="O1236" s="108">
        <f t="shared" si="269"/>
        <v>0</v>
      </c>
      <c r="P1236" s="109">
        <f>P1237</f>
        <v>0</v>
      </c>
      <c r="Q1236" s="108">
        <f t="shared" si="274"/>
        <v>0</v>
      </c>
      <c r="R1236" s="109">
        <f>R1237</f>
        <v>0</v>
      </c>
      <c r="S1236" s="108">
        <f t="shared" si="273"/>
        <v>0</v>
      </c>
      <c r="T1236" s="109">
        <f>T1237</f>
        <v>0</v>
      </c>
      <c r="U1236" s="108">
        <f t="shared" si="272"/>
        <v>0</v>
      </c>
      <c r="V1236" s="142" t="s">
        <v>706</v>
      </c>
    </row>
    <row r="1237" spans="1:22" s="110" customFormat="1" hidden="1">
      <c r="A1237" s="103" t="str">
        <f ca="1">IF(ISERROR(MATCH(F1237,Код_КВР,0)),"",INDIRECT(ADDRESS(MATCH(F1237,Код_КВР,0)+1,2,,,"КВР")))</f>
        <v>Субсидии автономным учреждениям на иные цели</v>
      </c>
      <c r="B1237" s="104">
        <v>809</v>
      </c>
      <c r="C1237" s="105" t="s">
        <v>193</v>
      </c>
      <c r="D1237" s="106" t="s">
        <v>217</v>
      </c>
      <c r="E1237" s="104" t="s">
        <v>86</v>
      </c>
      <c r="F1237" s="104">
        <v>622</v>
      </c>
      <c r="G1237" s="107"/>
      <c r="H1237" s="107"/>
      <c r="I1237" s="107">
        <f t="shared" si="271"/>
        <v>0</v>
      </c>
      <c r="J1237" s="107"/>
      <c r="K1237" s="108">
        <f t="shared" si="266"/>
        <v>0</v>
      </c>
      <c r="L1237" s="109"/>
      <c r="M1237" s="108">
        <f t="shared" si="268"/>
        <v>0</v>
      </c>
      <c r="N1237" s="109"/>
      <c r="O1237" s="108">
        <f t="shared" si="269"/>
        <v>0</v>
      </c>
      <c r="P1237" s="109"/>
      <c r="Q1237" s="108">
        <f t="shared" si="274"/>
        <v>0</v>
      </c>
      <c r="R1237" s="109"/>
      <c r="S1237" s="108">
        <f t="shared" si="273"/>
        <v>0</v>
      </c>
      <c r="T1237" s="109"/>
      <c r="U1237" s="108">
        <f t="shared" si="272"/>
        <v>0</v>
      </c>
      <c r="V1237" s="142" t="s">
        <v>706</v>
      </c>
    </row>
    <row r="1238" spans="1:22">
      <c r="A1238" s="61" t="str">
        <f ca="1">IF(ISERROR(MATCH(C1238,Код_Раздел,0)),"",INDIRECT(ADDRESS(MATCH(C1238,Код_Раздел,0)+1,2,,,"Раздел")))</f>
        <v>Физическая культура и спорт</v>
      </c>
      <c r="B1238" s="126">
        <v>809</v>
      </c>
      <c r="C1238" s="8" t="s">
        <v>222</v>
      </c>
      <c r="D1238" s="8"/>
      <c r="E1238" s="126"/>
      <c r="F1238" s="126"/>
      <c r="G1238" s="69">
        <f>G1239+G1270+G1281</f>
        <v>215467.1</v>
      </c>
      <c r="H1238" s="69">
        <f>H1239+H1270+H1281</f>
        <v>-908.79999999999927</v>
      </c>
      <c r="I1238" s="69">
        <f t="shared" si="271"/>
        <v>214558.30000000002</v>
      </c>
      <c r="J1238" s="69">
        <f>J1239+J1270+J1281</f>
        <v>1509.9</v>
      </c>
      <c r="K1238" s="84">
        <f t="shared" si="266"/>
        <v>216068.2</v>
      </c>
      <c r="L1238" s="13">
        <f>L1239+L1270+L1281</f>
        <v>0</v>
      </c>
      <c r="M1238" s="84">
        <f t="shared" si="268"/>
        <v>216068.2</v>
      </c>
      <c r="N1238" s="13">
        <f>N1239+N1270+N1281</f>
        <v>0</v>
      </c>
      <c r="O1238" s="84">
        <f t="shared" si="269"/>
        <v>216068.2</v>
      </c>
      <c r="P1238" s="13">
        <f>P1239+P1270+P1281</f>
        <v>-3959.5</v>
      </c>
      <c r="Q1238" s="84">
        <f t="shared" si="274"/>
        <v>212108.7</v>
      </c>
      <c r="R1238" s="13">
        <f>R1239+R1270+R1281</f>
        <v>-9775</v>
      </c>
      <c r="S1238" s="84">
        <f t="shared" si="273"/>
        <v>202333.7</v>
      </c>
      <c r="T1238" s="13">
        <f>T1239+T1270+T1281</f>
        <v>0</v>
      </c>
      <c r="U1238" s="84">
        <f t="shared" si="272"/>
        <v>202333.7</v>
      </c>
    </row>
    <row r="1239" spans="1:22">
      <c r="A1239" s="12" t="s">
        <v>184</v>
      </c>
      <c r="B1239" s="126">
        <v>809</v>
      </c>
      <c r="C1239" s="8" t="s">
        <v>222</v>
      </c>
      <c r="D1239" s="8" t="s">
        <v>211</v>
      </c>
      <c r="E1239" s="126"/>
      <c r="F1239" s="126"/>
      <c r="G1239" s="69">
        <f>G1240+G1265</f>
        <v>205283.9</v>
      </c>
      <c r="H1239" s="69">
        <f>H1240+H1265</f>
        <v>-908.79999999999927</v>
      </c>
      <c r="I1239" s="69">
        <f t="shared" si="271"/>
        <v>204375.1</v>
      </c>
      <c r="J1239" s="69">
        <f>J1240+J1265</f>
        <v>-205</v>
      </c>
      <c r="K1239" s="84">
        <f t="shared" si="266"/>
        <v>204170.1</v>
      </c>
      <c r="L1239" s="13">
        <f>L1240+L1265</f>
        <v>0</v>
      </c>
      <c r="M1239" s="84">
        <f t="shared" si="268"/>
        <v>204170.1</v>
      </c>
      <c r="N1239" s="13">
        <f>N1240+N1265</f>
        <v>0</v>
      </c>
      <c r="O1239" s="84">
        <f t="shared" si="269"/>
        <v>204170.1</v>
      </c>
      <c r="P1239" s="13">
        <f>P1240+P1265</f>
        <v>-3959.5</v>
      </c>
      <c r="Q1239" s="84">
        <f t="shared" si="274"/>
        <v>200210.6</v>
      </c>
      <c r="R1239" s="13">
        <f>R1240+R1265</f>
        <v>-9775</v>
      </c>
      <c r="S1239" s="84">
        <f t="shared" si="273"/>
        <v>190435.6</v>
      </c>
      <c r="T1239" s="13">
        <f>T1240+T1265</f>
        <v>0</v>
      </c>
      <c r="U1239" s="84">
        <f t="shared" si="272"/>
        <v>190435.6</v>
      </c>
    </row>
    <row r="1240" spans="1:22" ht="33">
      <c r="A1240" s="61" t="str">
        <f ca="1">IF(ISERROR(MATCH(E1240,Код_КЦСР,0)),"",INDIRECT(ADDRESS(MATCH(E1240,Код_КЦСР,0)+1,2,,,"КЦСР")))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240" s="126">
        <v>809</v>
      </c>
      <c r="C1240" s="8" t="s">
        <v>222</v>
      </c>
      <c r="D1240" s="8" t="s">
        <v>211</v>
      </c>
      <c r="E1240" s="126" t="s">
        <v>520</v>
      </c>
      <c r="F1240" s="126"/>
      <c r="G1240" s="69">
        <f>G1241+G1245+G1251+G1260</f>
        <v>205283.9</v>
      </c>
      <c r="H1240" s="69">
        <f>H1241+H1245+H1251+H1260</f>
        <v>-908.79999999999927</v>
      </c>
      <c r="I1240" s="69">
        <f t="shared" si="271"/>
        <v>204375.1</v>
      </c>
      <c r="J1240" s="69">
        <f>J1241+J1245+J1251+J1260</f>
        <v>-205</v>
      </c>
      <c r="K1240" s="84">
        <f t="shared" si="266"/>
        <v>204170.1</v>
      </c>
      <c r="L1240" s="13">
        <f>L1241+L1245+L1251+L1260</f>
        <v>0</v>
      </c>
      <c r="M1240" s="84">
        <f t="shared" si="268"/>
        <v>204170.1</v>
      </c>
      <c r="N1240" s="13">
        <f>N1241+N1245+N1251+N1260</f>
        <v>0</v>
      </c>
      <c r="O1240" s="84">
        <f t="shared" si="269"/>
        <v>204170.1</v>
      </c>
      <c r="P1240" s="13">
        <f>P1241+P1245+P1251+P1260</f>
        <v>-3959.5</v>
      </c>
      <c r="Q1240" s="84">
        <f t="shared" si="274"/>
        <v>200210.6</v>
      </c>
      <c r="R1240" s="13">
        <f>R1241+R1245+R1251+R1260</f>
        <v>-9775</v>
      </c>
      <c r="S1240" s="84">
        <f t="shared" si="273"/>
        <v>190435.6</v>
      </c>
      <c r="T1240" s="13">
        <f>T1241+T1245+T1251+T1260</f>
        <v>0</v>
      </c>
      <c r="U1240" s="84">
        <f t="shared" si="272"/>
        <v>190435.6</v>
      </c>
    </row>
    <row r="1241" spans="1:22">
      <c r="A1241" s="61" t="str">
        <f ca="1">IF(ISERROR(MATCH(E1241,Код_КЦСР,0)),"",INDIRECT(ADDRESS(MATCH(E1241,Код_КЦСР,0)+1,2,,,"КЦСР")))</f>
        <v>Обеспечение доступа к спортивным объектам</v>
      </c>
      <c r="B1241" s="126">
        <v>809</v>
      </c>
      <c r="C1241" s="8" t="s">
        <v>222</v>
      </c>
      <c r="D1241" s="8" t="s">
        <v>211</v>
      </c>
      <c r="E1241" s="126" t="s">
        <v>522</v>
      </c>
      <c r="F1241" s="126"/>
      <c r="G1241" s="69">
        <f t="shared" ref="G1241:T1243" si="275">G1242</f>
        <v>176820.9</v>
      </c>
      <c r="H1241" s="69">
        <f t="shared" si="275"/>
        <v>-10908.8</v>
      </c>
      <c r="I1241" s="69">
        <f t="shared" si="271"/>
        <v>165912.1</v>
      </c>
      <c r="J1241" s="69">
        <f t="shared" si="275"/>
        <v>0</v>
      </c>
      <c r="K1241" s="84">
        <f t="shared" si="266"/>
        <v>165912.1</v>
      </c>
      <c r="L1241" s="13">
        <f t="shared" si="275"/>
        <v>0</v>
      </c>
      <c r="M1241" s="84">
        <f t="shared" si="268"/>
        <v>165912.1</v>
      </c>
      <c r="N1241" s="13">
        <f t="shared" si="275"/>
        <v>0</v>
      </c>
      <c r="O1241" s="84">
        <f t="shared" si="269"/>
        <v>165912.1</v>
      </c>
      <c r="P1241" s="13">
        <f t="shared" si="275"/>
        <v>0</v>
      </c>
      <c r="Q1241" s="84">
        <f t="shared" si="274"/>
        <v>165912.1</v>
      </c>
      <c r="R1241" s="13">
        <f t="shared" si="275"/>
        <v>-29775</v>
      </c>
      <c r="S1241" s="84">
        <f t="shared" si="273"/>
        <v>136137.1</v>
      </c>
      <c r="T1241" s="13">
        <f t="shared" si="275"/>
        <v>0</v>
      </c>
      <c r="U1241" s="84">
        <f t="shared" si="272"/>
        <v>136137.1</v>
      </c>
    </row>
    <row r="1242" spans="1:22" ht="33">
      <c r="A1242" s="61" t="str">
        <f ca="1">IF(ISERROR(MATCH(F1242,Код_КВР,0)),"",INDIRECT(ADDRESS(MATCH(F1242,Код_КВР,0)+1,2,,,"КВР")))</f>
        <v>Предоставление субсидий бюджетным, автономным учреждениям и иным некоммерческим организациям</v>
      </c>
      <c r="B1242" s="126">
        <v>809</v>
      </c>
      <c r="C1242" s="41" t="s">
        <v>222</v>
      </c>
      <c r="D1242" s="8" t="s">
        <v>211</v>
      </c>
      <c r="E1242" s="126" t="s">
        <v>522</v>
      </c>
      <c r="F1242" s="126">
        <v>600</v>
      </c>
      <c r="G1242" s="69">
        <f t="shared" si="275"/>
        <v>176820.9</v>
      </c>
      <c r="H1242" s="69">
        <f t="shared" si="275"/>
        <v>-10908.8</v>
      </c>
      <c r="I1242" s="69">
        <f t="shared" si="271"/>
        <v>165912.1</v>
      </c>
      <c r="J1242" s="69">
        <f t="shared" si="275"/>
        <v>0</v>
      </c>
      <c r="K1242" s="84">
        <f t="shared" si="266"/>
        <v>165912.1</v>
      </c>
      <c r="L1242" s="13">
        <f t="shared" si="275"/>
        <v>0</v>
      </c>
      <c r="M1242" s="84">
        <f t="shared" si="268"/>
        <v>165912.1</v>
      </c>
      <c r="N1242" s="13">
        <f t="shared" si="275"/>
        <v>0</v>
      </c>
      <c r="O1242" s="84">
        <f t="shared" si="269"/>
        <v>165912.1</v>
      </c>
      <c r="P1242" s="13">
        <f t="shared" si="275"/>
        <v>0</v>
      </c>
      <c r="Q1242" s="84">
        <f t="shared" si="274"/>
        <v>165912.1</v>
      </c>
      <c r="R1242" s="13">
        <f t="shared" si="275"/>
        <v>-29775</v>
      </c>
      <c r="S1242" s="84">
        <f t="shared" si="273"/>
        <v>136137.1</v>
      </c>
      <c r="T1242" s="13">
        <f t="shared" si="275"/>
        <v>0</v>
      </c>
      <c r="U1242" s="84">
        <f t="shared" si="272"/>
        <v>136137.1</v>
      </c>
    </row>
    <row r="1243" spans="1:22">
      <c r="A1243" s="61" t="str">
        <f ca="1">IF(ISERROR(MATCH(F1243,Код_КВР,0)),"",INDIRECT(ADDRESS(MATCH(F1243,Код_КВР,0)+1,2,,,"КВР")))</f>
        <v>Субсидии автономным учреждениям</v>
      </c>
      <c r="B1243" s="126">
        <v>809</v>
      </c>
      <c r="C1243" s="41" t="s">
        <v>222</v>
      </c>
      <c r="D1243" s="8" t="s">
        <v>211</v>
      </c>
      <c r="E1243" s="126" t="s">
        <v>522</v>
      </c>
      <c r="F1243" s="126">
        <v>620</v>
      </c>
      <c r="G1243" s="69">
        <f t="shared" si="275"/>
        <v>176820.9</v>
      </c>
      <c r="H1243" s="69">
        <f t="shared" si="275"/>
        <v>-10908.8</v>
      </c>
      <c r="I1243" s="69">
        <f t="shared" si="271"/>
        <v>165912.1</v>
      </c>
      <c r="J1243" s="69">
        <f t="shared" si="275"/>
        <v>0</v>
      </c>
      <c r="K1243" s="84">
        <f t="shared" si="266"/>
        <v>165912.1</v>
      </c>
      <c r="L1243" s="13">
        <f t="shared" si="275"/>
        <v>0</v>
      </c>
      <c r="M1243" s="84">
        <f t="shared" si="268"/>
        <v>165912.1</v>
      </c>
      <c r="N1243" s="13">
        <f t="shared" si="275"/>
        <v>0</v>
      </c>
      <c r="O1243" s="84">
        <f t="shared" si="269"/>
        <v>165912.1</v>
      </c>
      <c r="P1243" s="13">
        <f t="shared" si="275"/>
        <v>0</v>
      </c>
      <c r="Q1243" s="84">
        <f t="shared" si="274"/>
        <v>165912.1</v>
      </c>
      <c r="R1243" s="13">
        <f t="shared" si="275"/>
        <v>-29775</v>
      </c>
      <c r="S1243" s="84">
        <f t="shared" si="273"/>
        <v>136137.1</v>
      </c>
      <c r="T1243" s="13">
        <f t="shared" si="275"/>
        <v>0</v>
      </c>
      <c r="U1243" s="84">
        <f t="shared" si="272"/>
        <v>136137.1</v>
      </c>
    </row>
    <row r="1244" spans="1:22" ht="49.5">
      <c r="A1244" s="61" t="str">
        <f ca="1">IF(ISERROR(MATCH(F1244,Код_КВР,0)),"",INDIRECT(ADDRESS(MATCH(F1244,Код_КВР,0)+1,2,,,"КВР")))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244" s="126">
        <v>809</v>
      </c>
      <c r="C1244" s="41" t="s">
        <v>222</v>
      </c>
      <c r="D1244" s="8" t="s">
        <v>211</v>
      </c>
      <c r="E1244" s="126" t="s">
        <v>522</v>
      </c>
      <c r="F1244" s="126">
        <v>621</v>
      </c>
      <c r="G1244" s="69">
        <v>176820.9</v>
      </c>
      <c r="H1244" s="69">
        <v>-10908.8</v>
      </c>
      <c r="I1244" s="69">
        <f t="shared" si="271"/>
        <v>165912.1</v>
      </c>
      <c r="J1244" s="69"/>
      <c r="K1244" s="84">
        <f t="shared" si="266"/>
        <v>165912.1</v>
      </c>
      <c r="L1244" s="13"/>
      <c r="M1244" s="84">
        <f t="shared" si="268"/>
        <v>165912.1</v>
      </c>
      <c r="N1244" s="13"/>
      <c r="O1244" s="84">
        <f t="shared" si="269"/>
        <v>165912.1</v>
      </c>
      <c r="P1244" s="13"/>
      <c r="Q1244" s="84">
        <f t="shared" si="274"/>
        <v>165912.1</v>
      </c>
      <c r="R1244" s="13">
        <v>-29775</v>
      </c>
      <c r="S1244" s="84">
        <f t="shared" si="273"/>
        <v>136137.1</v>
      </c>
      <c r="T1244" s="13"/>
      <c r="U1244" s="84">
        <f t="shared" si="272"/>
        <v>136137.1</v>
      </c>
    </row>
    <row r="1245" spans="1:22" ht="49.5">
      <c r="A1245" s="61" t="str">
        <f ca="1">IF(ISERROR(MATCH(E1245,Код_КЦСР,0)),"",INDIRECT(ADDRESS(MATCH(E1245,Код_КЦСР,0)+1,2,,,"КЦСР")))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всероссийского, международного)</v>
      </c>
      <c r="B1245" s="126">
        <v>809</v>
      </c>
      <c r="C1245" s="8" t="s">
        <v>222</v>
      </c>
      <c r="D1245" s="8" t="s">
        <v>211</v>
      </c>
      <c r="E1245" s="126" t="s">
        <v>524</v>
      </c>
      <c r="F1245" s="126"/>
      <c r="G1245" s="69">
        <f>G1246</f>
        <v>18569.3</v>
      </c>
      <c r="H1245" s="69">
        <f>H1246</f>
        <v>0</v>
      </c>
      <c r="I1245" s="69">
        <f t="shared" si="271"/>
        <v>18569.3</v>
      </c>
      <c r="J1245" s="69">
        <f>J1246</f>
        <v>0</v>
      </c>
      <c r="K1245" s="84">
        <f t="shared" si="266"/>
        <v>18569.3</v>
      </c>
      <c r="L1245" s="13">
        <f>L1246</f>
        <v>0</v>
      </c>
      <c r="M1245" s="84">
        <f t="shared" si="268"/>
        <v>18569.3</v>
      </c>
      <c r="N1245" s="13">
        <f>N1246</f>
        <v>0</v>
      </c>
      <c r="O1245" s="84">
        <f t="shared" si="269"/>
        <v>18569.3</v>
      </c>
      <c r="P1245" s="13">
        <f>P1246</f>
        <v>-3162</v>
      </c>
      <c r="Q1245" s="84">
        <f t="shared" si="274"/>
        <v>15407.3</v>
      </c>
      <c r="R1245" s="13">
        <f>R1246</f>
        <v>150</v>
      </c>
      <c r="S1245" s="84">
        <f t="shared" si="273"/>
        <v>15557.3</v>
      </c>
      <c r="T1245" s="13">
        <f>T1246</f>
        <v>0</v>
      </c>
      <c r="U1245" s="84">
        <f t="shared" si="272"/>
        <v>15557.3</v>
      </c>
    </row>
    <row r="1246" spans="1:22" ht="33">
      <c r="A1246" s="61" t="str">
        <f ca="1">IF(ISERROR(MATCH(F1246,Код_КВР,0)),"",INDIRECT(ADDRESS(MATCH(F1246,Код_КВР,0)+1,2,,,"КВР")))</f>
        <v>Предоставление субсидий бюджетным, автономным учреждениям и иным некоммерческим организациям</v>
      </c>
      <c r="B1246" s="126">
        <v>809</v>
      </c>
      <c r="C1246" s="8" t="s">
        <v>222</v>
      </c>
      <c r="D1246" s="8" t="s">
        <v>211</v>
      </c>
      <c r="E1246" s="126" t="s">
        <v>524</v>
      </c>
      <c r="F1246" s="126">
        <v>600</v>
      </c>
      <c r="G1246" s="69">
        <f>G1247+G1249</f>
        <v>18569.3</v>
      </c>
      <c r="H1246" s="69">
        <f>H1247+H1249</f>
        <v>0</v>
      </c>
      <c r="I1246" s="69">
        <f t="shared" si="271"/>
        <v>18569.3</v>
      </c>
      <c r="J1246" s="69">
        <f>J1247+J1249</f>
        <v>0</v>
      </c>
      <c r="K1246" s="84">
        <f t="shared" si="266"/>
        <v>18569.3</v>
      </c>
      <c r="L1246" s="13">
        <f>L1247+L1249</f>
        <v>0</v>
      </c>
      <c r="M1246" s="84">
        <f t="shared" si="268"/>
        <v>18569.3</v>
      </c>
      <c r="N1246" s="13">
        <f>N1247+N1249</f>
        <v>0</v>
      </c>
      <c r="O1246" s="84">
        <f t="shared" si="269"/>
        <v>18569.3</v>
      </c>
      <c r="P1246" s="13">
        <f>P1247+P1249</f>
        <v>-3162</v>
      </c>
      <c r="Q1246" s="84">
        <f t="shared" si="274"/>
        <v>15407.3</v>
      </c>
      <c r="R1246" s="13">
        <f>R1247+R1249</f>
        <v>150</v>
      </c>
      <c r="S1246" s="84">
        <f t="shared" si="273"/>
        <v>15557.3</v>
      </c>
      <c r="T1246" s="13">
        <f>T1247+T1249</f>
        <v>0</v>
      </c>
      <c r="U1246" s="84">
        <f t="shared" si="272"/>
        <v>15557.3</v>
      </c>
    </row>
    <row r="1247" spans="1:22">
      <c r="A1247" s="61" t="str">
        <f ca="1">IF(ISERROR(MATCH(F1247,Код_КВР,0)),"",INDIRECT(ADDRESS(MATCH(F1247,Код_КВР,0)+1,2,,,"КВР")))</f>
        <v>Субсидии бюджетным учреждениям</v>
      </c>
      <c r="B1247" s="126">
        <v>809</v>
      </c>
      <c r="C1247" s="8" t="s">
        <v>222</v>
      </c>
      <c r="D1247" s="8" t="s">
        <v>211</v>
      </c>
      <c r="E1247" s="126" t="s">
        <v>524</v>
      </c>
      <c r="F1247" s="126">
        <v>610</v>
      </c>
      <c r="G1247" s="69">
        <f>G1248</f>
        <v>15637.3</v>
      </c>
      <c r="H1247" s="69">
        <f>H1248</f>
        <v>0</v>
      </c>
      <c r="I1247" s="69">
        <f t="shared" si="271"/>
        <v>15637.3</v>
      </c>
      <c r="J1247" s="69">
        <f>J1248</f>
        <v>0</v>
      </c>
      <c r="K1247" s="84">
        <f t="shared" si="266"/>
        <v>15637.3</v>
      </c>
      <c r="L1247" s="13">
        <f>L1248</f>
        <v>0</v>
      </c>
      <c r="M1247" s="84">
        <f t="shared" si="268"/>
        <v>15637.3</v>
      </c>
      <c r="N1247" s="13">
        <f>N1248</f>
        <v>0</v>
      </c>
      <c r="O1247" s="84">
        <f t="shared" si="269"/>
        <v>15637.3</v>
      </c>
      <c r="P1247" s="13">
        <f>P1248</f>
        <v>-2986.3</v>
      </c>
      <c r="Q1247" s="84">
        <f t="shared" si="274"/>
        <v>12651</v>
      </c>
      <c r="R1247" s="13">
        <f>R1248</f>
        <v>-304.5</v>
      </c>
      <c r="S1247" s="84">
        <f t="shared" si="273"/>
        <v>12346.5</v>
      </c>
      <c r="T1247" s="13">
        <f>T1248</f>
        <v>-509.7</v>
      </c>
      <c r="U1247" s="84">
        <f t="shared" si="272"/>
        <v>11836.8</v>
      </c>
    </row>
    <row r="1248" spans="1:22" ht="49.5">
      <c r="A1248" s="61" t="str">
        <f ca="1">IF(ISERROR(MATCH(F1248,Код_КВР,0)),"",INDIRECT(ADDRESS(MATCH(F1248,Код_КВР,0)+1,2,,,"КВР")))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48" s="126">
        <v>809</v>
      </c>
      <c r="C1248" s="8" t="s">
        <v>222</v>
      </c>
      <c r="D1248" s="8" t="s">
        <v>211</v>
      </c>
      <c r="E1248" s="126" t="s">
        <v>524</v>
      </c>
      <c r="F1248" s="126">
        <v>611</v>
      </c>
      <c r="G1248" s="69">
        <v>15637.3</v>
      </c>
      <c r="H1248" s="69"/>
      <c r="I1248" s="69">
        <f t="shared" si="271"/>
        <v>15637.3</v>
      </c>
      <c r="J1248" s="69"/>
      <c r="K1248" s="84">
        <f t="shared" si="266"/>
        <v>15637.3</v>
      </c>
      <c r="L1248" s="13"/>
      <c r="M1248" s="84">
        <f t="shared" si="268"/>
        <v>15637.3</v>
      </c>
      <c r="N1248" s="13"/>
      <c r="O1248" s="84">
        <f t="shared" si="269"/>
        <v>15637.3</v>
      </c>
      <c r="P1248" s="13">
        <v>-2986.3</v>
      </c>
      <c r="Q1248" s="84">
        <f t="shared" si="274"/>
        <v>12651</v>
      </c>
      <c r="R1248" s="13">
        <v>-304.5</v>
      </c>
      <c r="S1248" s="84">
        <f t="shared" si="273"/>
        <v>12346.5</v>
      </c>
      <c r="T1248" s="13">
        <v>-509.7</v>
      </c>
      <c r="U1248" s="84">
        <f t="shared" si="272"/>
        <v>11836.8</v>
      </c>
    </row>
    <row r="1249" spans="1:21">
      <c r="A1249" s="61" t="str">
        <f ca="1">IF(ISERROR(MATCH(F1249,Код_КВР,0)),"",INDIRECT(ADDRESS(MATCH(F1249,Код_КВР,0)+1,2,,,"КВР")))</f>
        <v>Субсидии автономным учреждениям</v>
      </c>
      <c r="B1249" s="126">
        <v>809</v>
      </c>
      <c r="C1249" s="8" t="s">
        <v>222</v>
      </c>
      <c r="D1249" s="8" t="s">
        <v>211</v>
      </c>
      <c r="E1249" s="126" t="s">
        <v>524</v>
      </c>
      <c r="F1249" s="126">
        <v>620</v>
      </c>
      <c r="G1249" s="69">
        <f>G1250</f>
        <v>2932</v>
      </c>
      <c r="H1249" s="69">
        <f>H1250</f>
        <v>0</v>
      </c>
      <c r="I1249" s="69">
        <f t="shared" si="271"/>
        <v>2932</v>
      </c>
      <c r="J1249" s="69">
        <f>J1250</f>
        <v>0</v>
      </c>
      <c r="K1249" s="84">
        <f t="shared" si="266"/>
        <v>2932</v>
      </c>
      <c r="L1249" s="13">
        <f>L1250</f>
        <v>0</v>
      </c>
      <c r="M1249" s="84">
        <f t="shared" si="268"/>
        <v>2932</v>
      </c>
      <c r="N1249" s="13">
        <f>N1250</f>
        <v>0</v>
      </c>
      <c r="O1249" s="84">
        <f t="shared" si="269"/>
        <v>2932</v>
      </c>
      <c r="P1249" s="13">
        <f>P1250</f>
        <v>-175.7</v>
      </c>
      <c r="Q1249" s="84">
        <f t="shared" si="274"/>
        <v>2756.3</v>
      </c>
      <c r="R1249" s="13">
        <f>R1250</f>
        <v>454.5</v>
      </c>
      <c r="S1249" s="84">
        <f t="shared" si="273"/>
        <v>3210.8</v>
      </c>
      <c r="T1249" s="13">
        <f>T1250</f>
        <v>509.7</v>
      </c>
      <c r="U1249" s="84">
        <f t="shared" si="272"/>
        <v>3720.5</v>
      </c>
    </row>
    <row r="1250" spans="1:21" ht="49.5">
      <c r="A1250" s="61" t="str">
        <f ca="1">IF(ISERROR(MATCH(F1250,Код_КВР,0)),"",INDIRECT(ADDRESS(MATCH(F1250,Код_КВР,0)+1,2,,,"КВР")))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250" s="126">
        <v>809</v>
      </c>
      <c r="C1250" s="8" t="s">
        <v>222</v>
      </c>
      <c r="D1250" s="8" t="s">
        <v>211</v>
      </c>
      <c r="E1250" s="126" t="s">
        <v>524</v>
      </c>
      <c r="F1250" s="126">
        <v>621</v>
      </c>
      <c r="G1250" s="69">
        <v>2932</v>
      </c>
      <c r="H1250" s="69"/>
      <c r="I1250" s="69">
        <f t="shared" si="271"/>
        <v>2932</v>
      </c>
      <c r="J1250" s="69"/>
      <c r="K1250" s="84">
        <f t="shared" si="266"/>
        <v>2932</v>
      </c>
      <c r="L1250" s="13"/>
      <c r="M1250" s="84">
        <f t="shared" si="268"/>
        <v>2932</v>
      </c>
      <c r="N1250" s="13"/>
      <c r="O1250" s="84">
        <f t="shared" si="269"/>
        <v>2932</v>
      </c>
      <c r="P1250" s="13">
        <v>-175.7</v>
      </c>
      <c r="Q1250" s="84">
        <f t="shared" si="274"/>
        <v>2756.3</v>
      </c>
      <c r="R1250" s="13">
        <f>304.5+150</f>
        <v>454.5</v>
      </c>
      <c r="S1250" s="84">
        <f t="shared" si="273"/>
        <v>3210.8</v>
      </c>
      <c r="T1250" s="13">
        <v>509.7</v>
      </c>
      <c r="U1250" s="84">
        <f t="shared" si="272"/>
        <v>3720.5</v>
      </c>
    </row>
    <row r="1251" spans="1:21">
      <c r="A1251" s="61" t="str">
        <f ca="1">IF(ISERROR(MATCH(E1251,Код_КЦСР,0)),"",INDIRECT(ADDRESS(MATCH(E1251,Код_КЦСР,0)+1,2,,,"КЦСР")))</f>
        <v>Популяризация физической культуры и спорта</v>
      </c>
      <c r="B1251" s="126">
        <v>809</v>
      </c>
      <c r="C1251" s="8" t="s">
        <v>222</v>
      </c>
      <c r="D1251" s="8" t="s">
        <v>211</v>
      </c>
      <c r="E1251" s="126" t="s">
        <v>527</v>
      </c>
      <c r="F1251" s="126"/>
      <c r="G1251" s="69">
        <f>G1252+G1255</f>
        <v>4638.1000000000004</v>
      </c>
      <c r="H1251" s="69">
        <f>H1252+H1255</f>
        <v>0</v>
      </c>
      <c r="I1251" s="69">
        <f t="shared" si="271"/>
        <v>4638.1000000000004</v>
      </c>
      <c r="J1251" s="69">
        <f>J1252+J1255</f>
        <v>0</v>
      </c>
      <c r="K1251" s="84">
        <f t="shared" si="266"/>
        <v>4638.1000000000004</v>
      </c>
      <c r="L1251" s="13">
        <f>L1252+L1255</f>
        <v>0</v>
      </c>
      <c r="M1251" s="84">
        <f t="shared" si="268"/>
        <v>4638.1000000000004</v>
      </c>
      <c r="N1251" s="13">
        <f>N1252+N1255</f>
        <v>0</v>
      </c>
      <c r="O1251" s="84">
        <f t="shared" si="269"/>
        <v>4638.1000000000004</v>
      </c>
      <c r="P1251" s="13">
        <f>P1252+P1255</f>
        <v>-797.5</v>
      </c>
      <c r="Q1251" s="84">
        <f t="shared" si="274"/>
        <v>3840.6000000000004</v>
      </c>
      <c r="R1251" s="13">
        <f>R1252+R1255</f>
        <v>-149.99999999999994</v>
      </c>
      <c r="S1251" s="84">
        <f t="shared" si="273"/>
        <v>3690.6000000000004</v>
      </c>
      <c r="T1251" s="13">
        <f>T1252+T1255</f>
        <v>0</v>
      </c>
      <c r="U1251" s="84">
        <f t="shared" si="272"/>
        <v>3690.6000000000004</v>
      </c>
    </row>
    <row r="1252" spans="1:21">
      <c r="A1252" s="61" t="str">
        <f t="shared" ref="A1252:A1259" ca="1" si="276">IF(ISERROR(MATCH(F1252,Код_КВР,0)),"",INDIRECT(ADDRESS(MATCH(F1252,Код_КВР,0)+1,2,,,"КВР")))</f>
        <v>Закупка товаров, работ и услуг для муниципальных нужд</v>
      </c>
      <c r="B1252" s="126">
        <v>809</v>
      </c>
      <c r="C1252" s="8" t="s">
        <v>222</v>
      </c>
      <c r="D1252" s="8" t="s">
        <v>211</v>
      </c>
      <c r="E1252" s="126" t="s">
        <v>527</v>
      </c>
      <c r="F1252" s="126">
        <v>200</v>
      </c>
      <c r="G1252" s="69">
        <f>G1253</f>
        <v>622.79999999999995</v>
      </c>
      <c r="H1252" s="69">
        <f>H1253</f>
        <v>0</v>
      </c>
      <c r="I1252" s="69">
        <f t="shared" si="271"/>
        <v>622.79999999999995</v>
      </c>
      <c r="J1252" s="69">
        <f>J1253</f>
        <v>0</v>
      </c>
      <c r="K1252" s="84">
        <f t="shared" si="266"/>
        <v>622.79999999999995</v>
      </c>
      <c r="L1252" s="13">
        <f>L1253</f>
        <v>0</v>
      </c>
      <c r="M1252" s="84">
        <f t="shared" si="268"/>
        <v>622.79999999999995</v>
      </c>
      <c r="N1252" s="13">
        <f>N1253</f>
        <v>0</v>
      </c>
      <c r="O1252" s="84">
        <f t="shared" si="269"/>
        <v>622.79999999999995</v>
      </c>
      <c r="P1252" s="13">
        <f>P1253</f>
        <v>0</v>
      </c>
      <c r="Q1252" s="84">
        <f t="shared" si="274"/>
        <v>622.79999999999995</v>
      </c>
      <c r="R1252" s="13">
        <f>R1253</f>
        <v>-592.79999999999995</v>
      </c>
      <c r="S1252" s="84">
        <f t="shared" si="273"/>
        <v>30</v>
      </c>
      <c r="T1252" s="13">
        <f>T1253</f>
        <v>0</v>
      </c>
      <c r="U1252" s="84">
        <f t="shared" si="272"/>
        <v>30</v>
      </c>
    </row>
    <row r="1253" spans="1:21" ht="33">
      <c r="A1253" s="61" t="str">
        <f t="shared" ca="1" si="276"/>
        <v>Иные закупки товаров, работ и услуг для обеспечения муниципальных нужд</v>
      </c>
      <c r="B1253" s="126">
        <v>809</v>
      </c>
      <c r="C1253" s="8" t="s">
        <v>222</v>
      </c>
      <c r="D1253" s="8" t="s">
        <v>211</v>
      </c>
      <c r="E1253" s="126" t="s">
        <v>527</v>
      </c>
      <c r="F1253" s="126">
        <v>240</v>
      </c>
      <c r="G1253" s="69">
        <f>G1254</f>
        <v>622.79999999999995</v>
      </c>
      <c r="H1253" s="69">
        <f>H1254</f>
        <v>0</v>
      </c>
      <c r="I1253" s="69">
        <f t="shared" si="271"/>
        <v>622.79999999999995</v>
      </c>
      <c r="J1253" s="69">
        <f>J1254</f>
        <v>0</v>
      </c>
      <c r="K1253" s="84">
        <f t="shared" si="266"/>
        <v>622.79999999999995</v>
      </c>
      <c r="L1253" s="13">
        <f>L1254</f>
        <v>0</v>
      </c>
      <c r="M1253" s="84">
        <f t="shared" si="268"/>
        <v>622.79999999999995</v>
      </c>
      <c r="N1253" s="13">
        <f>N1254</f>
        <v>0</v>
      </c>
      <c r="O1253" s="84">
        <f t="shared" si="269"/>
        <v>622.79999999999995</v>
      </c>
      <c r="P1253" s="13">
        <f>P1254</f>
        <v>0</v>
      </c>
      <c r="Q1253" s="84">
        <f t="shared" si="274"/>
        <v>622.79999999999995</v>
      </c>
      <c r="R1253" s="13">
        <f>R1254</f>
        <v>-592.79999999999995</v>
      </c>
      <c r="S1253" s="84">
        <f t="shared" si="273"/>
        <v>30</v>
      </c>
      <c r="T1253" s="13">
        <f>T1254</f>
        <v>0</v>
      </c>
      <c r="U1253" s="84">
        <f t="shared" si="272"/>
        <v>30</v>
      </c>
    </row>
    <row r="1254" spans="1:21" ht="33">
      <c r="A1254" s="61" t="str">
        <f t="shared" ca="1" si="276"/>
        <v xml:space="preserve">Прочая закупка товаров, работ и услуг для обеспечения муниципальных нужд         </v>
      </c>
      <c r="B1254" s="126">
        <v>809</v>
      </c>
      <c r="C1254" s="8" t="s">
        <v>222</v>
      </c>
      <c r="D1254" s="8" t="s">
        <v>211</v>
      </c>
      <c r="E1254" s="126" t="s">
        <v>527</v>
      </c>
      <c r="F1254" s="126">
        <v>244</v>
      </c>
      <c r="G1254" s="69">
        <v>622.79999999999995</v>
      </c>
      <c r="H1254" s="69"/>
      <c r="I1254" s="69">
        <f t="shared" si="271"/>
        <v>622.79999999999995</v>
      </c>
      <c r="J1254" s="69"/>
      <c r="K1254" s="84">
        <f t="shared" si="266"/>
        <v>622.79999999999995</v>
      </c>
      <c r="L1254" s="13"/>
      <c r="M1254" s="84">
        <f t="shared" si="268"/>
        <v>622.79999999999995</v>
      </c>
      <c r="N1254" s="13"/>
      <c r="O1254" s="84">
        <f t="shared" si="269"/>
        <v>622.79999999999995</v>
      </c>
      <c r="P1254" s="13"/>
      <c r="Q1254" s="84">
        <f>O1254+P1254</f>
        <v>622.79999999999995</v>
      </c>
      <c r="R1254" s="13">
        <f>-353.9-88.4-150.5</f>
        <v>-592.79999999999995</v>
      </c>
      <c r="S1254" s="84">
        <f t="shared" si="273"/>
        <v>30</v>
      </c>
      <c r="T1254" s="13"/>
      <c r="U1254" s="84">
        <f t="shared" si="272"/>
        <v>30</v>
      </c>
    </row>
    <row r="1255" spans="1:21" ht="33">
      <c r="A1255" s="61" t="str">
        <f t="shared" ca="1" si="276"/>
        <v>Предоставление субсидий бюджетным, автономным учреждениям и иным некоммерческим организациям</v>
      </c>
      <c r="B1255" s="126">
        <v>809</v>
      </c>
      <c r="C1255" s="8" t="s">
        <v>222</v>
      </c>
      <c r="D1255" s="8" t="s">
        <v>211</v>
      </c>
      <c r="E1255" s="126" t="s">
        <v>527</v>
      </c>
      <c r="F1255" s="126">
        <v>600</v>
      </c>
      <c r="G1255" s="69">
        <f>G1256+G1258</f>
        <v>4015.3</v>
      </c>
      <c r="H1255" s="69">
        <f>H1256+H1258</f>
        <v>0</v>
      </c>
      <c r="I1255" s="69">
        <f t="shared" si="271"/>
        <v>4015.3</v>
      </c>
      <c r="J1255" s="69">
        <f>J1256+J1258</f>
        <v>0</v>
      </c>
      <c r="K1255" s="84">
        <f t="shared" si="266"/>
        <v>4015.3</v>
      </c>
      <c r="L1255" s="13">
        <f>L1256+L1258</f>
        <v>0</v>
      </c>
      <c r="M1255" s="84">
        <f t="shared" si="268"/>
        <v>4015.3</v>
      </c>
      <c r="N1255" s="13">
        <f>N1256+N1258</f>
        <v>0</v>
      </c>
      <c r="O1255" s="84">
        <f t="shared" si="269"/>
        <v>4015.3</v>
      </c>
      <c r="P1255" s="13">
        <f>P1256+P1258</f>
        <v>-797.5</v>
      </c>
      <c r="Q1255" s="84">
        <f t="shared" si="274"/>
        <v>3217.8</v>
      </c>
      <c r="R1255" s="13">
        <f>R1256+R1258</f>
        <v>442.8</v>
      </c>
      <c r="S1255" s="84">
        <f t="shared" si="273"/>
        <v>3660.6000000000004</v>
      </c>
      <c r="T1255" s="13">
        <f>T1256+T1258</f>
        <v>0</v>
      </c>
      <c r="U1255" s="84">
        <f t="shared" si="272"/>
        <v>3660.6000000000004</v>
      </c>
    </row>
    <row r="1256" spans="1:21">
      <c r="A1256" s="61" t="str">
        <f t="shared" ca="1" si="276"/>
        <v>Субсидии бюджетным учреждениям</v>
      </c>
      <c r="B1256" s="126">
        <v>809</v>
      </c>
      <c r="C1256" s="8" t="s">
        <v>222</v>
      </c>
      <c r="D1256" s="8" t="s">
        <v>211</v>
      </c>
      <c r="E1256" s="126" t="s">
        <v>527</v>
      </c>
      <c r="F1256" s="126">
        <v>610</v>
      </c>
      <c r="G1256" s="69">
        <f>G1257</f>
        <v>2939.9</v>
      </c>
      <c r="H1256" s="69">
        <f>H1257</f>
        <v>0</v>
      </c>
      <c r="I1256" s="69">
        <f t="shared" si="271"/>
        <v>2939.9</v>
      </c>
      <c r="J1256" s="69">
        <f>J1257</f>
        <v>0</v>
      </c>
      <c r="K1256" s="84">
        <f t="shared" si="266"/>
        <v>2939.9</v>
      </c>
      <c r="L1256" s="13">
        <f>L1257</f>
        <v>0</v>
      </c>
      <c r="M1256" s="84">
        <f t="shared" si="268"/>
        <v>2939.9</v>
      </c>
      <c r="N1256" s="13">
        <f>N1257</f>
        <v>0</v>
      </c>
      <c r="O1256" s="84">
        <f t="shared" si="269"/>
        <v>2939.9</v>
      </c>
      <c r="P1256" s="13">
        <f>P1257</f>
        <v>-794.5</v>
      </c>
      <c r="Q1256" s="84">
        <f t="shared" si="274"/>
        <v>2145.4</v>
      </c>
      <c r="R1256" s="13">
        <f>R1257</f>
        <v>-23</v>
      </c>
      <c r="S1256" s="84">
        <f t="shared" si="273"/>
        <v>2122.4</v>
      </c>
      <c r="T1256" s="13">
        <f>T1257</f>
        <v>0</v>
      </c>
      <c r="U1256" s="84">
        <f t="shared" si="272"/>
        <v>2122.4</v>
      </c>
    </row>
    <row r="1257" spans="1:21" ht="49.5">
      <c r="A1257" s="61" t="str">
        <f t="shared" ca="1" si="27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57" s="126">
        <v>809</v>
      </c>
      <c r="C1257" s="8" t="s">
        <v>222</v>
      </c>
      <c r="D1257" s="8" t="s">
        <v>211</v>
      </c>
      <c r="E1257" s="126" t="s">
        <v>527</v>
      </c>
      <c r="F1257" s="126">
        <v>611</v>
      </c>
      <c r="G1257" s="69">
        <v>2939.9</v>
      </c>
      <c r="H1257" s="69"/>
      <c r="I1257" s="69">
        <f t="shared" si="271"/>
        <v>2939.9</v>
      </c>
      <c r="J1257" s="69"/>
      <c r="K1257" s="84">
        <f t="shared" si="266"/>
        <v>2939.9</v>
      </c>
      <c r="L1257" s="13"/>
      <c r="M1257" s="84">
        <f t="shared" ref="M1257:M1327" si="277">K1257+L1257</f>
        <v>2939.9</v>
      </c>
      <c r="N1257" s="13"/>
      <c r="O1257" s="84">
        <f t="shared" ref="O1257:O1327" si="278">M1257+N1257</f>
        <v>2939.9</v>
      </c>
      <c r="P1257" s="13">
        <v>-794.5</v>
      </c>
      <c r="Q1257" s="84">
        <f t="shared" si="274"/>
        <v>2145.4</v>
      </c>
      <c r="R1257" s="13">
        <f>-23</f>
        <v>-23</v>
      </c>
      <c r="S1257" s="84">
        <f t="shared" si="273"/>
        <v>2122.4</v>
      </c>
      <c r="T1257" s="13"/>
      <c r="U1257" s="84">
        <f t="shared" si="272"/>
        <v>2122.4</v>
      </c>
    </row>
    <row r="1258" spans="1:21">
      <c r="A1258" s="61" t="str">
        <f t="shared" ca="1" si="276"/>
        <v>Субсидии автономным учреждениям</v>
      </c>
      <c r="B1258" s="126">
        <v>809</v>
      </c>
      <c r="C1258" s="8" t="s">
        <v>222</v>
      </c>
      <c r="D1258" s="8" t="s">
        <v>211</v>
      </c>
      <c r="E1258" s="126" t="s">
        <v>527</v>
      </c>
      <c r="F1258" s="126">
        <v>620</v>
      </c>
      <c r="G1258" s="69">
        <f>G1259</f>
        <v>1075.4000000000001</v>
      </c>
      <c r="H1258" s="69">
        <f>H1259</f>
        <v>0</v>
      </c>
      <c r="I1258" s="69">
        <f t="shared" si="271"/>
        <v>1075.4000000000001</v>
      </c>
      <c r="J1258" s="69">
        <f>J1259</f>
        <v>0</v>
      </c>
      <c r="K1258" s="84">
        <f t="shared" si="266"/>
        <v>1075.4000000000001</v>
      </c>
      <c r="L1258" s="13">
        <f>L1259</f>
        <v>0</v>
      </c>
      <c r="M1258" s="84">
        <f t="shared" si="277"/>
        <v>1075.4000000000001</v>
      </c>
      <c r="N1258" s="13">
        <f>N1259</f>
        <v>0</v>
      </c>
      <c r="O1258" s="84">
        <f t="shared" si="278"/>
        <v>1075.4000000000001</v>
      </c>
      <c r="P1258" s="13">
        <f>P1259</f>
        <v>-3</v>
      </c>
      <c r="Q1258" s="84">
        <f t="shared" si="274"/>
        <v>1072.4000000000001</v>
      </c>
      <c r="R1258" s="13">
        <f>R1259</f>
        <v>465.8</v>
      </c>
      <c r="S1258" s="84">
        <f t="shared" si="273"/>
        <v>1538.2</v>
      </c>
      <c r="T1258" s="13">
        <f>T1259</f>
        <v>0</v>
      </c>
      <c r="U1258" s="84">
        <f t="shared" si="272"/>
        <v>1538.2</v>
      </c>
    </row>
    <row r="1259" spans="1:21" ht="49.5">
      <c r="A1259" s="61" t="str">
        <f t="shared" ca="1" si="276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259" s="126">
        <v>809</v>
      </c>
      <c r="C1259" s="8" t="s">
        <v>222</v>
      </c>
      <c r="D1259" s="8" t="s">
        <v>211</v>
      </c>
      <c r="E1259" s="126" t="s">
        <v>527</v>
      </c>
      <c r="F1259" s="126">
        <v>621</v>
      </c>
      <c r="G1259" s="69">
        <v>1075.4000000000001</v>
      </c>
      <c r="H1259" s="69"/>
      <c r="I1259" s="69">
        <f t="shared" si="271"/>
        <v>1075.4000000000001</v>
      </c>
      <c r="J1259" s="69"/>
      <c r="K1259" s="84">
        <f t="shared" si="266"/>
        <v>1075.4000000000001</v>
      </c>
      <c r="L1259" s="13"/>
      <c r="M1259" s="84">
        <f t="shared" si="277"/>
        <v>1075.4000000000001</v>
      </c>
      <c r="N1259" s="13"/>
      <c r="O1259" s="84">
        <f t="shared" si="278"/>
        <v>1075.4000000000001</v>
      </c>
      <c r="P1259" s="13">
        <v>-3</v>
      </c>
      <c r="Q1259" s="84">
        <f t="shared" si="274"/>
        <v>1072.4000000000001</v>
      </c>
      <c r="R1259" s="13">
        <f>23+442.8</f>
        <v>465.8</v>
      </c>
      <c r="S1259" s="84">
        <f t="shared" si="273"/>
        <v>1538.2</v>
      </c>
      <c r="T1259" s="13"/>
      <c r="U1259" s="84">
        <f t="shared" si="272"/>
        <v>1538.2</v>
      </c>
    </row>
    <row r="1260" spans="1:21">
      <c r="A1260" s="61" t="str">
        <f ca="1">IF(ISERROR(MATCH(E1260,Код_КЦСР,0)),"",INDIRECT(ADDRESS(MATCH(E1260,Код_КЦСР,0)+1,2,,,"КЦСР")))</f>
        <v>Спортивный город</v>
      </c>
      <c r="B1260" s="126">
        <v>809</v>
      </c>
      <c r="C1260" s="8" t="s">
        <v>222</v>
      </c>
      <c r="D1260" s="8" t="s">
        <v>211</v>
      </c>
      <c r="E1260" s="126" t="s">
        <v>529</v>
      </c>
      <c r="F1260" s="126"/>
      <c r="G1260" s="69">
        <f>G1261</f>
        <v>5255.6</v>
      </c>
      <c r="H1260" s="69">
        <f>H1261</f>
        <v>10000</v>
      </c>
      <c r="I1260" s="69">
        <f t="shared" si="271"/>
        <v>15255.6</v>
      </c>
      <c r="J1260" s="69">
        <f>J1261</f>
        <v>-205</v>
      </c>
      <c r="K1260" s="84">
        <f t="shared" si="266"/>
        <v>15050.6</v>
      </c>
      <c r="L1260" s="13">
        <f>L1261</f>
        <v>0</v>
      </c>
      <c r="M1260" s="84">
        <f t="shared" si="277"/>
        <v>15050.6</v>
      </c>
      <c r="N1260" s="13">
        <f>N1261</f>
        <v>0</v>
      </c>
      <c r="O1260" s="84">
        <f t="shared" si="278"/>
        <v>15050.6</v>
      </c>
      <c r="P1260" s="13">
        <f>P1261</f>
        <v>0</v>
      </c>
      <c r="Q1260" s="84">
        <f t="shared" si="274"/>
        <v>15050.6</v>
      </c>
      <c r="R1260" s="13">
        <f>R1261</f>
        <v>20000</v>
      </c>
      <c r="S1260" s="84">
        <f t="shared" si="273"/>
        <v>35050.6</v>
      </c>
      <c r="T1260" s="13">
        <f>T1261</f>
        <v>0</v>
      </c>
      <c r="U1260" s="84">
        <f t="shared" si="272"/>
        <v>35050.6</v>
      </c>
    </row>
    <row r="1261" spans="1:21" ht="33">
      <c r="A1261" s="61" t="str">
        <f ca="1">IF(ISERROR(MATCH(F1261,Код_КВР,0)),"",INDIRECT(ADDRESS(MATCH(F1261,Код_КВР,0)+1,2,,,"КВР")))</f>
        <v>Предоставление субсидий бюджетным, автономным учреждениям и иным некоммерческим организациям</v>
      </c>
      <c r="B1261" s="126">
        <v>809</v>
      </c>
      <c r="C1261" s="8" t="s">
        <v>222</v>
      </c>
      <c r="D1261" s="8" t="s">
        <v>211</v>
      </c>
      <c r="E1261" s="126" t="s">
        <v>529</v>
      </c>
      <c r="F1261" s="126">
        <v>600</v>
      </c>
      <c r="G1261" s="69">
        <f>G1262+G1264</f>
        <v>5255.6</v>
      </c>
      <c r="H1261" s="69">
        <f>H1262+H1264</f>
        <v>10000</v>
      </c>
      <c r="I1261" s="69">
        <f t="shared" si="271"/>
        <v>15255.6</v>
      </c>
      <c r="J1261" s="69">
        <f>J1262+J1264</f>
        <v>-205</v>
      </c>
      <c r="K1261" s="84">
        <f t="shared" ref="K1261:K1342" si="279">I1261+J1261</f>
        <v>15050.6</v>
      </c>
      <c r="L1261" s="13">
        <f>L1262+L1264</f>
        <v>0</v>
      </c>
      <c r="M1261" s="84">
        <f t="shared" si="277"/>
        <v>15050.6</v>
      </c>
      <c r="N1261" s="13">
        <f>N1262+N1264</f>
        <v>0</v>
      </c>
      <c r="O1261" s="84">
        <f t="shared" si="278"/>
        <v>15050.6</v>
      </c>
      <c r="P1261" s="13">
        <f>P1262+P1264</f>
        <v>0</v>
      </c>
      <c r="Q1261" s="84">
        <f t="shared" si="274"/>
        <v>15050.6</v>
      </c>
      <c r="R1261" s="13">
        <f>R1262+R1264</f>
        <v>20000</v>
      </c>
      <c r="S1261" s="84">
        <f t="shared" si="273"/>
        <v>35050.6</v>
      </c>
      <c r="T1261" s="13">
        <f>T1262+T1264</f>
        <v>0</v>
      </c>
      <c r="U1261" s="84">
        <f t="shared" si="272"/>
        <v>35050.6</v>
      </c>
    </row>
    <row r="1262" spans="1:21">
      <c r="A1262" s="61" t="str">
        <f ca="1">IF(ISERROR(MATCH(F1262,Код_КВР,0)),"",INDIRECT(ADDRESS(MATCH(F1262,Код_КВР,0)+1,2,,,"КВР")))</f>
        <v>Субсидии автономным учреждениям</v>
      </c>
      <c r="B1262" s="126">
        <v>809</v>
      </c>
      <c r="C1262" s="8" t="s">
        <v>222</v>
      </c>
      <c r="D1262" s="8" t="s">
        <v>211</v>
      </c>
      <c r="E1262" s="126" t="s">
        <v>529</v>
      </c>
      <c r="F1262" s="126">
        <v>620</v>
      </c>
      <c r="G1262" s="69">
        <f>G1263</f>
        <v>5005.6000000000004</v>
      </c>
      <c r="H1262" s="69">
        <f>H1263</f>
        <v>0</v>
      </c>
      <c r="I1262" s="69">
        <f t="shared" si="271"/>
        <v>5005.6000000000004</v>
      </c>
      <c r="J1262" s="69">
        <f>J1263</f>
        <v>-255</v>
      </c>
      <c r="K1262" s="84">
        <f t="shared" si="279"/>
        <v>4750.6000000000004</v>
      </c>
      <c r="L1262" s="13">
        <f>L1263</f>
        <v>0</v>
      </c>
      <c r="M1262" s="84">
        <f t="shared" si="277"/>
        <v>4750.6000000000004</v>
      </c>
      <c r="N1262" s="13">
        <f>N1263</f>
        <v>0</v>
      </c>
      <c r="O1262" s="84">
        <f t="shared" si="278"/>
        <v>4750.6000000000004</v>
      </c>
      <c r="P1262" s="13">
        <f>P1263</f>
        <v>0</v>
      </c>
      <c r="Q1262" s="84">
        <f t="shared" si="274"/>
        <v>4750.6000000000004</v>
      </c>
      <c r="R1262" s="13">
        <f>R1263</f>
        <v>0</v>
      </c>
      <c r="S1262" s="84">
        <f t="shared" si="273"/>
        <v>4750.6000000000004</v>
      </c>
      <c r="T1262" s="13">
        <f>T1263</f>
        <v>0</v>
      </c>
      <c r="U1262" s="84">
        <f t="shared" si="272"/>
        <v>4750.6000000000004</v>
      </c>
    </row>
    <row r="1263" spans="1:21">
      <c r="A1263" s="61" t="str">
        <f ca="1">IF(ISERROR(MATCH(F1263,Код_КВР,0)),"",INDIRECT(ADDRESS(MATCH(F1263,Код_КВР,0)+1,2,,,"КВР")))</f>
        <v>Субсидии автономным учреждениям на иные цели</v>
      </c>
      <c r="B1263" s="126">
        <v>809</v>
      </c>
      <c r="C1263" s="8" t="s">
        <v>222</v>
      </c>
      <c r="D1263" s="8" t="s">
        <v>211</v>
      </c>
      <c r="E1263" s="126" t="s">
        <v>529</v>
      </c>
      <c r="F1263" s="126">
        <v>622</v>
      </c>
      <c r="G1263" s="69">
        <v>5005.6000000000004</v>
      </c>
      <c r="H1263" s="69"/>
      <c r="I1263" s="69">
        <f t="shared" si="271"/>
        <v>5005.6000000000004</v>
      </c>
      <c r="J1263" s="69">
        <v>-255</v>
      </c>
      <c r="K1263" s="84">
        <f t="shared" si="279"/>
        <v>4750.6000000000004</v>
      </c>
      <c r="L1263" s="13"/>
      <c r="M1263" s="84">
        <f t="shared" si="277"/>
        <v>4750.6000000000004</v>
      </c>
      <c r="N1263" s="13"/>
      <c r="O1263" s="84">
        <f t="shared" si="278"/>
        <v>4750.6000000000004</v>
      </c>
      <c r="P1263" s="13"/>
      <c r="Q1263" s="84">
        <f t="shared" si="274"/>
        <v>4750.6000000000004</v>
      </c>
      <c r="R1263" s="13"/>
      <c r="S1263" s="84">
        <f t="shared" si="273"/>
        <v>4750.6000000000004</v>
      </c>
      <c r="T1263" s="13"/>
      <c r="U1263" s="84">
        <f t="shared" si="272"/>
        <v>4750.6000000000004</v>
      </c>
    </row>
    <row r="1264" spans="1:21" ht="33">
      <c r="A1264" s="61" t="str">
        <f ca="1">IF(ISERROR(MATCH(F1264,Код_КВР,0)),"",INDIRECT(ADDRESS(MATCH(F1264,Код_КВР,0)+1,2,,,"КВР")))</f>
        <v>Субсидии некоммерческим организациям (за исключением государственных (муниципальных) учреждений)</v>
      </c>
      <c r="B1264" s="126">
        <v>809</v>
      </c>
      <c r="C1264" s="8" t="s">
        <v>222</v>
      </c>
      <c r="D1264" s="8" t="s">
        <v>211</v>
      </c>
      <c r="E1264" s="126" t="s">
        <v>529</v>
      </c>
      <c r="F1264" s="126">
        <v>630</v>
      </c>
      <c r="G1264" s="69">
        <v>250</v>
      </c>
      <c r="H1264" s="69">
        <v>10000</v>
      </c>
      <c r="I1264" s="69">
        <f t="shared" si="271"/>
        <v>10250</v>
      </c>
      <c r="J1264" s="69">
        <v>50</v>
      </c>
      <c r="K1264" s="84">
        <f t="shared" si="279"/>
        <v>10300</v>
      </c>
      <c r="L1264" s="13"/>
      <c r="M1264" s="84">
        <f t="shared" si="277"/>
        <v>10300</v>
      </c>
      <c r="N1264" s="13"/>
      <c r="O1264" s="84">
        <f t="shared" si="278"/>
        <v>10300</v>
      </c>
      <c r="P1264" s="13"/>
      <c r="Q1264" s="84">
        <f t="shared" si="274"/>
        <v>10300</v>
      </c>
      <c r="R1264" s="13">
        <v>20000</v>
      </c>
      <c r="S1264" s="84">
        <f t="shared" si="273"/>
        <v>30300</v>
      </c>
      <c r="T1264" s="13"/>
      <c r="U1264" s="84">
        <f t="shared" si="272"/>
        <v>30300</v>
      </c>
    </row>
    <row r="1265" spans="1:22" hidden="1">
      <c r="A1265" s="61" t="str">
        <f ca="1">IF(ISERROR(MATCH(E1265,Код_КЦСР,0)),"",INDIRECT(ADDRESS(MATCH(E1265,Код_КЦСР,0)+1,2,,,"КЦСР")))</f>
        <v>Муниципальная программа «Здоровый город» на 2014-2022 годы</v>
      </c>
      <c r="B1265" s="100">
        <v>809</v>
      </c>
      <c r="C1265" s="8" t="s">
        <v>222</v>
      </c>
      <c r="D1265" s="8" t="s">
        <v>211</v>
      </c>
      <c r="E1265" s="100" t="s">
        <v>566</v>
      </c>
      <c r="F1265" s="100"/>
      <c r="G1265" s="69">
        <f t="shared" ref="G1265:T1268" si="280">G1266</f>
        <v>0</v>
      </c>
      <c r="H1265" s="69">
        <f t="shared" si="280"/>
        <v>0</v>
      </c>
      <c r="I1265" s="69">
        <f t="shared" si="271"/>
        <v>0</v>
      </c>
      <c r="J1265" s="69">
        <f t="shared" si="280"/>
        <v>0</v>
      </c>
      <c r="K1265" s="84">
        <f t="shared" si="279"/>
        <v>0</v>
      </c>
      <c r="L1265" s="13">
        <f t="shared" si="280"/>
        <v>0</v>
      </c>
      <c r="M1265" s="84">
        <f t="shared" si="277"/>
        <v>0</v>
      </c>
      <c r="N1265" s="13">
        <f t="shared" si="280"/>
        <v>0</v>
      </c>
      <c r="O1265" s="84">
        <f t="shared" si="278"/>
        <v>0</v>
      </c>
      <c r="P1265" s="13">
        <f t="shared" si="280"/>
        <v>0</v>
      </c>
      <c r="Q1265" s="84">
        <f t="shared" si="274"/>
        <v>0</v>
      </c>
      <c r="R1265" s="13">
        <f t="shared" si="280"/>
        <v>0</v>
      </c>
      <c r="S1265" s="84">
        <f t="shared" si="273"/>
        <v>0</v>
      </c>
      <c r="T1265" s="13">
        <f t="shared" si="280"/>
        <v>0</v>
      </c>
      <c r="U1265" s="84">
        <f t="shared" si="272"/>
        <v>0</v>
      </c>
      <c r="V1265" s="142" t="s">
        <v>706</v>
      </c>
    </row>
    <row r="1266" spans="1:22" hidden="1">
      <c r="A1266" s="61" t="str">
        <f ca="1">IF(ISERROR(MATCH(E1266,Код_КЦСР,0)),"",INDIRECT(ADDRESS(MATCH(E1266,Код_КЦСР,0)+1,2,,,"КЦСР")))</f>
        <v>Сохранение и укрепление здоровья детей и подростков</v>
      </c>
      <c r="B1266" s="100">
        <v>809</v>
      </c>
      <c r="C1266" s="8" t="s">
        <v>222</v>
      </c>
      <c r="D1266" s="8" t="s">
        <v>211</v>
      </c>
      <c r="E1266" s="100" t="s">
        <v>569</v>
      </c>
      <c r="F1266" s="100"/>
      <c r="G1266" s="69">
        <f t="shared" si="280"/>
        <v>0</v>
      </c>
      <c r="H1266" s="69">
        <f t="shared" si="280"/>
        <v>0</v>
      </c>
      <c r="I1266" s="69">
        <f t="shared" si="271"/>
        <v>0</v>
      </c>
      <c r="J1266" s="69">
        <f t="shared" si="280"/>
        <v>0</v>
      </c>
      <c r="K1266" s="84">
        <f t="shared" si="279"/>
        <v>0</v>
      </c>
      <c r="L1266" s="13">
        <f t="shared" si="280"/>
        <v>0</v>
      </c>
      <c r="M1266" s="84">
        <f t="shared" si="277"/>
        <v>0</v>
      </c>
      <c r="N1266" s="13">
        <f t="shared" si="280"/>
        <v>0</v>
      </c>
      <c r="O1266" s="84">
        <f t="shared" si="278"/>
        <v>0</v>
      </c>
      <c r="P1266" s="13">
        <f t="shared" si="280"/>
        <v>0</v>
      </c>
      <c r="Q1266" s="84">
        <f t="shared" si="274"/>
        <v>0</v>
      </c>
      <c r="R1266" s="13">
        <f t="shared" si="280"/>
        <v>0</v>
      </c>
      <c r="S1266" s="84">
        <f t="shared" si="273"/>
        <v>0</v>
      </c>
      <c r="T1266" s="13">
        <f t="shared" si="280"/>
        <v>0</v>
      </c>
      <c r="U1266" s="84">
        <f t="shared" si="272"/>
        <v>0</v>
      </c>
      <c r="V1266" s="142" t="s">
        <v>706</v>
      </c>
    </row>
    <row r="1267" spans="1:22" ht="33" hidden="1">
      <c r="A1267" s="61" t="str">
        <f ca="1">IF(ISERROR(MATCH(F1267,Код_КВР,0)),"",INDIRECT(ADDRESS(MATCH(F1267,Код_КВР,0)+1,2,,,"КВР")))</f>
        <v>Предоставление субсидий бюджетным, автономным учреждениям и иным некоммерческим организациям</v>
      </c>
      <c r="B1267" s="100">
        <v>809</v>
      </c>
      <c r="C1267" s="8" t="s">
        <v>222</v>
      </c>
      <c r="D1267" s="8" t="s">
        <v>211</v>
      </c>
      <c r="E1267" s="100" t="s">
        <v>569</v>
      </c>
      <c r="F1267" s="100">
        <v>600</v>
      </c>
      <c r="G1267" s="69">
        <f t="shared" si="280"/>
        <v>0</v>
      </c>
      <c r="H1267" s="69">
        <f t="shared" si="280"/>
        <v>0</v>
      </c>
      <c r="I1267" s="69">
        <f t="shared" si="271"/>
        <v>0</v>
      </c>
      <c r="J1267" s="69">
        <f t="shared" si="280"/>
        <v>0</v>
      </c>
      <c r="K1267" s="84">
        <f t="shared" si="279"/>
        <v>0</v>
      </c>
      <c r="L1267" s="13">
        <f t="shared" si="280"/>
        <v>0</v>
      </c>
      <c r="M1267" s="84">
        <f t="shared" si="277"/>
        <v>0</v>
      </c>
      <c r="N1267" s="13">
        <f t="shared" si="280"/>
        <v>0</v>
      </c>
      <c r="O1267" s="84">
        <f t="shared" si="278"/>
        <v>0</v>
      </c>
      <c r="P1267" s="13">
        <f t="shared" si="280"/>
        <v>0</v>
      </c>
      <c r="Q1267" s="84">
        <f t="shared" si="274"/>
        <v>0</v>
      </c>
      <c r="R1267" s="13">
        <f t="shared" si="280"/>
        <v>0</v>
      </c>
      <c r="S1267" s="84">
        <f t="shared" si="273"/>
        <v>0</v>
      </c>
      <c r="T1267" s="13">
        <f t="shared" si="280"/>
        <v>0</v>
      </c>
      <c r="U1267" s="84">
        <f t="shared" si="272"/>
        <v>0</v>
      </c>
      <c r="V1267" s="142" t="s">
        <v>706</v>
      </c>
    </row>
    <row r="1268" spans="1:22" hidden="1">
      <c r="A1268" s="61" t="str">
        <f ca="1">IF(ISERROR(MATCH(F1268,Код_КВР,0)),"",INDIRECT(ADDRESS(MATCH(F1268,Код_КВР,0)+1,2,,,"КВР")))</f>
        <v>Субсидии автономным учреждениям</v>
      </c>
      <c r="B1268" s="100">
        <v>809</v>
      </c>
      <c r="C1268" s="8" t="s">
        <v>222</v>
      </c>
      <c r="D1268" s="8" t="s">
        <v>211</v>
      </c>
      <c r="E1268" s="100" t="s">
        <v>569</v>
      </c>
      <c r="F1268" s="100">
        <v>620</v>
      </c>
      <c r="G1268" s="69">
        <f t="shared" si="280"/>
        <v>0</v>
      </c>
      <c r="H1268" s="69">
        <f t="shared" si="280"/>
        <v>0</v>
      </c>
      <c r="I1268" s="69">
        <f t="shared" si="271"/>
        <v>0</v>
      </c>
      <c r="J1268" s="69">
        <f t="shared" si="280"/>
        <v>0</v>
      </c>
      <c r="K1268" s="84">
        <f t="shared" si="279"/>
        <v>0</v>
      </c>
      <c r="L1268" s="13">
        <f t="shared" si="280"/>
        <v>0</v>
      </c>
      <c r="M1268" s="84">
        <f t="shared" si="277"/>
        <v>0</v>
      </c>
      <c r="N1268" s="13">
        <f t="shared" si="280"/>
        <v>0</v>
      </c>
      <c r="O1268" s="84">
        <f t="shared" si="278"/>
        <v>0</v>
      </c>
      <c r="P1268" s="13">
        <f t="shared" si="280"/>
        <v>0</v>
      </c>
      <c r="Q1268" s="84">
        <f t="shared" si="274"/>
        <v>0</v>
      </c>
      <c r="R1268" s="13">
        <f t="shared" si="280"/>
        <v>0</v>
      </c>
      <c r="S1268" s="84">
        <f t="shared" si="273"/>
        <v>0</v>
      </c>
      <c r="T1268" s="13">
        <f t="shared" si="280"/>
        <v>0</v>
      </c>
      <c r="U1268" s="84">
        <f t="shared" si="272"/>
        <v>0</v>
      </c>
      <c r="V1268" s="142" t="s">
        <v>706</v>
      </c>
    </row>
    <row r="1269" spans="1:22" hidden="1">
      <c r="A1269" s="61" t="str">
        <f ca="1">IF(ISERROR(MATCH(F1269,Код_КВР,0)),"",INDIRECT(ADDRESS(MATCH(F1269,Код_КВР,0)+1,2,,,"КВР")))</f>
        <v>Субсидии автономным учреждениям на иные цели</v>
      </c>
      <c r="B1269" s="100">
        <v>809</v>
      </c>
      <c r="C1269" s="8" t="s">
        <v>222</v>
      </c>
      <c r="D1269" s="8" t="s">
        <v>211</v>
      </c>
      <c r="E1269" s="100" t="s">
        <v>569</v>
      </c>
      <c r="F1269" s="100">
        <v>622</v>
      </c>
      <c r="G1269" s="69"/>
      <c r="H1269" s="69"/>
      <c r="I1269" s="69">
        <f t="shared" si="271"/>
        <v>0</v>
      </c>
      <c r="J1269" s="69"/>
      <c r="K1269" s="84">
        <f t="shared" si="279"/>
        <v>0</v>
      </c>
      <c r="L1269" s="13"/>
      <c r="M1269" s="84">
        <f t="shared" si="277"/>
        <v>0</v>
      </c>
      <c r="N1269" s="13"/>
      <c r="O1269" s="84">
        <f t="shared" si="278"/>
        <v>0</v>
      </c>
      <c r="P1269" s="13"/>
      <c r="Q1269" s="84">
        <f t="shared" si="274"/>
        <v>0</v>
      </c>
      <c r="R1269" s="13"/>
      <c r="S1269" s="84">
        <f t="shared" si="273"/>
        <v>0</v>
      </c>
      <c r="T1269" s="13"/>
      <c r="U1269" s="84">
        <f t="shared" si="272"/>
        <v>0</v>
      </c>
      <c r="V1269" s="142" t="s">
        <v>706</v>
      </c>
    </row>
    <row r="1270" spans="1:22">
      <c r="A1270" s="12" t="s">
        <v>264</v>
      </c>
      <c r="B1270" s="126">
        <v>809</v>
      </c>
      <c r="C1270" s="8" t="s">
        <v>222</v>
      </c>
      <c r="D1270" s="8" t="s">
        <v>212</v>
      </c>
      <c r="E1270" s="126"/>
      <c r="F1270" s="126"/>
      <c r="G1270" s="69">
        <f t="shared" ref="G1270:T1274" si="281">G1271</f>
        <v>500</v>
      </c>
      <c r="H1270" s="69">
        <f t="shared" si="281"/>
        <v>0</v>
      </c>
      <c r="I1270" s="69">
        <f t="shared" si="271"/>
        <v>500</v>
      </c>
      <c r="J1270" s="69">
        <f>J1271+J1276</f>
        <v>1714.9</v>
      </c>
      <c r="K1270" s="84">
        <f t="shared" si="279"/>
        <v>2214.9</v>
      </c>
      <c r="L1270" s="13">
        <f>L1271+L1276</f>
        <v>0</v>
      </c>
      <c r="M1270" s="84">
        <f t="shared" si="277"/>
        <v>2214.9</v>
      </c>
      <c r="N1270" s="13">
        <f>N1271+N1276</f>
        <v>0</v>
      </c>
      <c r="O1270" s="84">
        <f t="shared" si="278"/>
        <v>2214.9</v>
      </c>
      <c r="P1270" s="13">
        <f>P1271+P1276</f>
        <v>0</v>
      </c>
      <c r="Q1270" s="84">
        <f t="shared" si="274"/>
        <v>2214.9</v>
      </c>
      <c r="R1270" s="13">
        <f>R1271+R1276</f>
        <v>0</v>
      </c>
      <c r="S1270" s="84">
        <f t="shared" si="273"/>
        <v>2214.9</v>
      </c>
      <c r="T1270" s="13">
        <f>T1271+T1276</f>
        <v>0</v>
      </c>
      <c r="U1270" s="84">
        <f t="shared" si="272"/>
        <v>2214.9</v>
      </c>
    </row>
    <row r="1271" spans="1:22" ht="33">
      <c r="A1271" s="61" t="str">
        <f ca="1">IF(ISERROR(MATCH(E1271,Код_КЦСР,0)),"",INDIRECT(ADDRESS(MATCH(E1271,Код_КЦСР,0)+1,2,,,"КЦСР")))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271" s="126">
        <v>809</v>
      </c>
      <c r="C1271" s="8" t="s">
        <v>222</v>
      </c>
      <c r="D1271" s="8" t="s">
        <v>212</v>
      </c>
      <c r="E1271" s="126" t="s">
        <v>520</v>
      </c>
      <c r="F1271" s="126"/>
      <c r="G1271" s="69">
        <f t="shared" si="281"/>
        <v>500</v>
      </c>
      <c r="H1271" s="69">
        <f t="shared" si="281"/>
        <v>0</v>
      </c>
      <c r="I1271" s="69">
        <f t="shared" si="271"/>
        <v>500</v>
      </c>
      <c r="J1271" s="69">
        <f t="shared" si="281"/>
        <v>114.9</v>
      </c>
      <c r="K1271" s="84">
        <f t="shared" si="279"/>
        <v>614.9</v>
      </c>
      <c r="L1271" s="13">
        <f t="shared" si="281"/>
        <v>0</v>
      </c>
      <c r="M1271" s="84">
        <f t="shared" si="277"/>
        <v>614.9</v>
      </c>
      <c r="N1271" s="13">
        <f t="shared" si="281"/>
        <v>0</v>
      </c>
      <c r="O1271" s="84">
        <f t="shared" si="278"/>
        <v>614.9</v>
      </c>
      <c r="P1271" s="13">
        <f t="shared" si="281"/>
        <v>0</v>
      </c>
      <c r="Q1271" s="84">
        <f t="shared" si="274"/>
        <v>614.9</v>
      </c>
      <c r="R1271" s="13">
        <f t="shared" si="281"/>
        <v>0</v>
      </c>
      <c r="S1271" s="84">
        <f t="shared" si="273"/>
        <v>614.9</v>
      </c>
      <c r="T1271" s="13">
        <f t="shared" si="281"/>
        <v>0</v>
      </c>
      <c r="U1271" s="84">
        <f t="shared" si="272"/>
        <v>614.9</v>
      </c>
    </row>
    <row r="1272" spans="1:22">
      <c r="A1272" s="61" t="str">
        <f ca="1">IF(ISERROR(MATCH(E1272,Код_КЦСР,0)),"",INDIRECT(ADDRESS(MATCH(E1272,Код_КЦСР,0)+1,2,,,"КЦСР")))</f>
        <v>Спортивный город</v>
      </c>
      <c r="B1272" s="126">
        <v>809</v>
      </c>
      <c r="C1272" s="8" t="s">
        <v>222</v>
      </c>
      <c r="D1272" s="8" t="s">
        <v>212</v>
      </c>
      <c r="E1272" s="126" t="s">
        <v>529</v>
      </c>
      <c r="F1272" s="126"/>
      <c r="G1272" s="69">
        <f t="shared" si="281"/>
        <v>500</v>
      </c>
      <c r="H1272" s="69">
        <f t="shared" si="281"/>
        <v>0</v>
      </c>
      <c r="I1272" s="69">
        <f t="shared" si="271"/>
        <v>500</v>
      </c>
      <c r="J1272" s="69">
        <f t="shared" si="281"/>
        <v>114.9</v>
      </c>
      <c r="K1272" s="84">
        <f t="shared" si="279"/>
        <v>614.9</v>
      </c>
      <c r="L1272" s="13">
        <f t="shared" si="281"/>
        <v>0</v>
      </c>
      <c r="M1272" s="84">
        <f t="shared" si="277"/>
        <v>614.9</v>
      </c>
      <c r="N1272" s="13">
        <f t="shared" si="281"/>
        <v>0</v>
      </c>
      <c r="O1272" s="84">
        <f t="shared" si="278"/>
        <v>614.9</v>
      </c>
      <c r="P1272" s="13">
        <f t="shared" si="281"/>
        <v>0</v>
      </c>
      <c r="Q1272" s="84">
        <f t="shared" si="274"/>
        <v>614.9</v>
      </c>
      <c r="R1272" s="13">
        <f t="shared" si="281"/>
        <v>0</v>
      </c>
      <c r="S1272" s="84">
        <f t="shared" si="273"/>
        <v>614.9</v>
      </c>
      <c r="T1272" s="13">
        <f t="shared" si="281"/>
        <v>0</v>
      </c>
      <c r="U1272" s="84">
        <f t="shared" si="272"/>
        <v>614.9</v>
      </c>
    </row>
    <row r="1273" spans="1:22" ht="33">
      <c r="A1273" s="61" t="str">
        <f ca="1">IF(ISERROR(MATCH(F1273,Код_КВР,0)),"",INDIRECT(ADDRESS(MATCH(F1273,Код_КВР,0)+1,2,,,"КВР")))</f>
        <v>Предоставление субсидий бюджетным, автономным учреждениям и иным некоммерческим организациям</v>
      </c>
      <c r="B1273" s="126">
        <v>809</v>
      </c>
      <c r="C1273" s="8" t="s">
        <v>222</v>
      </c>
      <c r="D1273" s="8" t="s">
        <v>212</v>
      </c>
      <c r="E1273" s="126" t="s">
        <v>529</v>
      </c>
      <c r="F1273" s="126">
        <v>600</v>
      </c>
      <c r="G1273" s="69">
        <f t="shared" si="281"/>
        <v>500</v>
      </c>
      <c r="H1273" s="69">
        <f t="shared" si="281"/>
        <v>0</v>
      </c>
      <c r="I1273" s="69">
        <f t="shared" si="271"/>
        <v>500</v>
      </c>
      <c r="J1273" s="69">
        <f t="shared" si="281"/>
        <v>114.9</v>
      </c>
      <c r="K1273" s="84">
        <f t="shared" si="279"/>
        <v>614.9</v>
      </c>
      <c r="L1273" s="13">
        <f t="shared" si="281"/>
        <v>0</v>
      </c>
      <c r="M1273" s="84">
        <f t="shared" si="277"/>
        <v>614.9</v>
      </c>
      <c r="N1273" s="13">
        <f t="shared" si="281"/>
        <v>0</v>
      </c>
      <c r="O1273" s="84">
        <f t="shared" si="278"/>
        <v>614.9</v>
      </c>
      <c r="P1273" s="13">
        <f t="shared" si="281"/>
        <v>0</v>
      </c>
      <c r="Q1273" s="84">
        <f t="shared" si="274"/>
        <v>614.9</v>
      </c>
      <c r="R1273" s="13">
        <f t="shared" si="281"/>
        <v>0</v>
      </c>
      <c r="S1273" s="84">
        <f t="shared" si="273"/>
        <v>614.9</v>
      </c>
      <c r="T1273" s="13">
        <f t="shared" si="281"/>
        <v>0</v>
      </c>
      <c r="U1273" s="84">
        <f t="shared" si="272"/>
        <v>614.9</v>
      </c>
    </row>
    <row r="1274" spans="1:22">
      <c r="A1274" s="61" t="str">
        <f ca="1">IF(ISERROR(MATCH(F1274,Код_КВР,0)),"",INDIRECT(ADDRESS(MATCH(F1274,Код_КВР,0)+1,2,,,"КВР")))</f>
        <v>Субсидии автономным учреждениям</v>
      </c>
      <c r="B1274" s="126">
        <v>809</v>
      </c>
      <c r="C1274" s="8" t="s">
        <v>222</v>
      </c>
      <c r="D1274" s="8" t="s">
        <v>212</v>
      </c>
      <c r="E1274" s="126" t="s">
        <v>529</v>
      </c>
      <c r="F1274" s="126">
        <v>620</v>
      </c>
      <c r="G1274" s="69">
        <f t="shared" si="281"/>
        <v>500</v>
      </c>
      <c r="H1274" s="69">
        <f t="shared" si="281"/>
        <v>0</v>
      </c>
      <c r="I1274" s="69">
        <f t="shared" si="271"/>
        <v>500</v>
      </c>
      <c r="J1274" s="69">
        <f t="shared" si="281"/>
        <v>114.9</v>
      </c>
      <c r="K1274" s="84">
        <f t="shared" si="279"/>
        <v>614.9</v>
      </c>
      <c r="L1274" s="13">
        <f t="shared" si="281"/>
        <v>0</v>
      </c>
      <c r="M1274" s="84">
        <f t="shared" si="277"/>
        <v>614.9</v>
      </c>
      <c r="N1274" s="13">
        <f t="shared" si="281"/>
        <v>0</v>
      </c>
      <c r="O1274" s="84">
        <f t="shared" si="278"/>
        <v>614.9</v>
      </c>
      <c r="P1274" s="13">
        <f t="shared" si="281"/>
        <v>0</v>
      </c>
      <c r="Q1274" s="84">
        <f t="shared" si="274"/>
        <v>614.9</v>
      </c>
      <c r="R1274" s="13">
        <f t="shared" si="281"/>
        <v>0</v>
      </c>
      <c r="S1274" s="84">
        <f t="shared" si="273"/>
        <v>614.9</v>
      </c>
      <c r="T1274" s="13">
        <f t="shared" si="281"/>
        <v>0</v>
      </c>
      <c r="U1274" s="84">
        <f t="shared" si="272"/>
        <v>614.9</v>
      </c>
    </row>
    <row r="1275" spans="1:22">
      <c r="A1275" s="61" t="str">
        <f ca="1">IF(ISERROR(MATCH(F1275,Код_КВР,0)),"",INDIRECT(ADDRESS(MATCH(F1275,Код_КВР,0)+1,2,,,"КВР")))</f>
        <v>Субсидии автономным учреждениям на иные цели</v>
      </c>
      <c r="B1275" s="126">
        <v>809</v>
      </c>
      <c r="C1275" s="8" t="s">
        <v>222</v>
      </c>
      <c r="D1275" s="8" t="s">
        <v>212</v>
      </c>
      <c r="E1275" s="126" t="s">
        <v>529</v>
      </c>
      <c r="F1275" s="126">
        <v>622</v>
      </c>
      <c r="G1275" s="69">
        <v>500</v>
      </c>
      <c r="H1275" s="69"/>
      <c r="I1275" s="69">
        <f t="shared" si="271"/>
        <v>500</v>
      </c>
      <c r="J1275" s="69">
        <v>114.9</v>
      </c>
      <c r="K1275" s="84">
        <f t="shared" si="279"/>
        <v>614.9</v>
      </c>
      <c r="L1275" s="13"/>
      <c r="M1275" s="84">
        <f t="shared" si="277"/>
        <v>614.9</v>
      </c>
      <c r="N1275" s="13"/>
      <c r="O1275" s="84">
        <f t="shared" si="278"/>
        <v>614.9</v>
      </c>
      <c r="P1275" s="13"/>
      <c r="Q1275" s="84">
        <f t="shared" si="274"/>
        <v>614.9</v>
      </c>
      <c r="R1275" s="13"/>
      <c r="S1275" s="84">
        <f t="shared" si="273"/>
        <v>614.9</v>
      </c>
      <c r="T1275" s="13"/>
      <c r="U1275" s="84">
        <f t="shared" si="272"/>
        <v>614.9</v>
      </c>
    </row>
    <row r="1276" spans="1:22" ht="33">
      <c r="A1276" s="61" t="str">
        <f ca="1">IF(ISERROR(MATCH(E1276,Код_КЦСР,0)),"",INDIRECT(ADDRESS(MATCH(E1276,Код_КЦСР,0)+1,2,,,"КЦСР")))</f>
        <v>Непрограммные направления деятельности органов местного самоуправления</v>
      </c>
      <c r="B1276" s="126">
        <v>809</v>
      </c>
      <c r="C1276" s="8" t="s">
        <v>222</v>
      </c>
      <c r="D1276" s="8" t="s">
        <v>212</v>
      </c>
      <c r="E1276" s="126" t="s">
        <v>295</v>
      </c>
      <c r="F1276" s="126"/>
      <c r="G1276" s="69"/>
      <c r="H1276" s="69"/>
      <c r="I1276" s="69"/>
      <c r="J1276" s="69">
        <f>J1277</f>
        <v>1600</v>
      </c>
      <c r="K1276" s="84">
        <f t="shared" si="279"/>
        <v>1600</v>
      </c>
      <c r="L1276" s="13">
        <f>L1277</f>
        <v>0</v>
      </c>
      <c r="M1276" s="84">
        <f t="shared" si="277"/>
        <v>1600</v>
      </c>
      <c r="N1276" s="13">
        <f>N1277</f>
        <v>0</v>
      </c>
      <c r="O1276" s="84">
        <f t="shared" si="278"/>
        <v>1600</v>
      </c>
      <c r="P1276" s="13">
        <f>P1277</f>
        <v>0</v>
      </c>
      <c r="Q1276" s="84">
        <f t="shared" si="274"/>
        <v>1600</v>
      </c>
      <c r="R1276" s="13">
        <f>R1277</f>
        <v>0</v>
      </c>
      <c r="S1276" s="84">
        <f t="shared" si="273"/>
        <v>1600</v>
      </c>
      <c r="T1276" s="13">
        <f>T1277</f>
        <v>0</v>
      </c>
      <c r="U1276" s="84">
        <f t="shared" si="272"/>
        <v>1600</v>
      </c>
    </row>
    <row r="1277" spans="1:22">
      <c r="A1277" s="61" t="str">
        <f ca="1">IF(ISERROR(MATCH(E1277,Код_КЦСР,0)),"",INDIRECT(ADDRESS(MATCH(E1277,Код_КЦСР,0)+1,2,,,"КЦСР")))</f>
        <v>Расходы, не включенные в муниципальные программы города Череповца</v>
      </c>
      <c r="B1277" s="126">
        <v>809</v>
      </c>
      <c r="C1277" s="8" t="s">
        <v>222</v>
      </c>
      <c r="D1277" s="8" t="s">
        <v>212</v>
      </c>
      <c r="E1277" s="126" t="s">
        <v>297</v>
      </c>
      <c r="F1277" s="126"/>
      <c r="G1277" s="69"/>
      <c r="H1277" s="69"/>
      <c r="I1277" s="69"/>
      <c r="J1277" s="69">
        <f>J1278</f>
        <v>1600</v>
      </c>
      <c r="K1277" s="84">
        <f t="shared" si="279"/>
        <v>1600</v>
      </c>
      <c r="L1277" s="13">
        <f>L1278</f>
        <v>0</v>
      </c>
      <c r="M1277" s="84">
        <f t="shared" si="277"/>
        <v>1600</v>
      </c>
      <c r="N1277" s="13">
        <f>N1278</f>
        <v>0</v>
      </c>
      <c r="O1277" s="84">
        <f t="shared" si="278"/>
        <v>1600</v>
      </c>
      <c r="P1277" s="13">
        <f>P1278</f>
        <v>0</v>
      </c>
      <c r="Q1277" s="84">
        <f t="shared" si="274"/>
        <v>1600</v>
      </c>
      <c r="R1277" s="13">
        <f>R1278</f>
        <v>0</v>
      </c>
      <c r="S1277" s="84">
        <f t="shared" si="273"/>
        <v>1600</v>
      </c>
      <c r="T1277" s="13">
        <f>T1278</f>
        <v>0</v>
      </c>
      <c r="U1277" s="84">
        <f t="shared" si="272"/>
        <v>1600</v>
      </c>
    </row>
    <row r="1278" spans="1:22">
      <c r="A1278" s="61" t="str">
        <f ca="1">IF(ISERROR(MATCH(E1278,Код_КЦСР,0)),"",INDIRECT(ADDRESS(MATCH(E1278,Код_КЦСР,0)+1,2,,,"КЦСР")))</f>
        <v>Кредиторская задолженность, сложившаяся по итогам 2013 года</v>
      </c>
      <c r="B1278" s="126">
        <v>809</v>
      </c>
      <c r="C1278" s="8" t="s">
        <v>222</v>
      </c>
      <c r="D1278" s="8" t="s">
        <v>212</v>
      </c>
      <c r="E1278" s="126" t="s">
        <v>367</v>
      </c>
      <c r="F1278" s="126"/>
      <c r="G1278" s="69"/>
      <c r="H1278" s="69"/>
      <c r="I1278" s="69"/>
      <c r="J1278" s="69">
        <f>J1279</f>
        <v>1600</v>
      </c>
      <c r="K1278" s="84">
        <f t="shared" si="279"/>
        <v>1600</v>
      </c>
      <c r="L1278" s="13">
        <f>L1279</f>
        <v>0</v>
      </c>
      <c r="M1278" s="84">
        <f t="shared" si="277"/>
        <v>1600</v>
      </c>
      <c r="N1278" s="13">
        <f>N1279</f>
        <v>0</v>
      </c>
      <c r="O1278" s="84">
        <f t="shared" si="278"/>
        <v>1600</v>
      </c>
      <c r="P1278" s="13">
        <f>P1279</f>
        <v>0</v>
      </c>
      <c r="Q1278" s="84">
        <f t="shared" si="274"/>
        <v>1600</v>
      </c>
      <c r="R1278" s="13">
        <f>R1279</f>
        <v>0</v>
      </c>
      <c r="S1278" s="84">
        <f t="shared" si="273"/>
        <v>1600</v>
      </c>
      <c r="T1278" s="13">
        <f>T1279</f>
        <v>0</v>
      </c>
      <c r="U1278" s="84">
        <f t="shared" si="272"/>
        <v>1600</v>
      </c>
    </row>
    <row r="1279" spans="1:22">
      <c r="A1279" s="61" t="str">
        <f ca="1">IF(ISERROR(MATCH(F1279,Код_КВР,0)),"",INDIRECT(ADDRESS(MATCH(F1279,Код_КВР,0)+1,2,,,"КВР")))</f>
        <v>Иные бюджетные ассигнования</v>
      </c>
      <c r="B1279" s="126">
        <v>809</v>
      </c>
      <c r="C1279" s="8" t="s">
        <v>222</v>
      </c>
      <c r="D1279" s="8" t="s">
        <v>212</v>
      </c>
      <c r="E1279" s="126" t="s">
        <v>367</v>
      </c>
      <c r="F1279" s="126">
        <v>800</v>
      </c>
      <c r="G1279" s="69"/>
      <c r="H1279" s="69"/>
      <c r="I1279" s="69"/>
      <c r="J1279" s="69">
        <f>J1280</f>
        <v>1600</v>
      </c>
      <c r="K1279" s="84">
        <f t="shared" si="279"/>
        <v>1600</v>
      </c>
      <c r="L1279" s="13">
        <f>L1280</f>
        <v>0</v>
      </c>
      <c r="M1279" s="84">
        <f t="shared" si="277"/>
        <v>1600</v>
      </c>
      <c r="N1279" s="13">
        <f>N1280</f>
        <v>0</v>
      </c>
      <c r="O1279" s="84">
        <f t="shared" si="278"/>
        <v>1600</v>
      </c>
      <c r="P1279" s="13">
        <f>P1280</f>
        <v>0</v>
      </c>
      <c r="Q1279" s="84">
        <f t="shared" si="274"/>
        <v>1600</v>
      </c>
      <c r="R1279" s="13">
        <f>R1280</f>
        <v>0</v>
      </c>
      <c r="S1279" s="84">
        <f t="shared" si="273"/>
        <v>1600</v>
      </c>
      <c r="T1279" s="13">
        <f>T1280</f>
        <v>0</v>
      </c>
      <c r="U1279" s="84">
        <f t="shared" si="272"/>
        <v>1600</v>
      </c>
    </row>
    <row r="1280" spans="1:22" ht="33">
      <c r="A1280" s="61" t="str">
        <f ca="1">IF(ISERROR(MATCH(F1280,Код_КВР,0)),"",INDIRECT(ADDRESS(MATCH(F1280,Код_КВР,0)+1,2,,,"КВР")))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280" s="126">
        <v>809</v>
      </c>
      <c r="C1280" s="8" t="s">
        <v>222</v>
      </c>
      <c r="D1280" s="8" t="s">
        <v>212</v>
      </c>
      <c r="E1280" s="126" t="s">
        <v>367</v>
      </c>
      <c r="F1280" s="126">
        <v>810</v>
      </c>
      <c r="G1280" s="69"/>
      <c r="H1280" s="69"/>
      <c r="I1280" s="69"/>
      <c r="J1280" s="69">
        <v>1600</v>
      </c>
      <c r="K1280" s="84">
        <f t="shared" si="279"/>
        <v>1600</v>
      </c>
      <c r="L1280" s="13"/>
      <c r="M1280" s="84">
        <f t="shared" si="277"/>
        <v>1600</v>
      </c>
      <c r="N1280" s="13"/>
      <c r="O1280" s="84">
        <f t="shared" si="278"/>
        <v>1600</v>
      </c>
      <c r="P1280" s="13"/>
      <c r="Q1280" s="84">
        <f t="shared" si="274"/>
        <v>1600</v>
      </c>
      <c r="R1280" s="13"/>
      <c r="S1280" s="84">
        <f t="shared" si="273"/>
        <v>1600</v>
      </c>
      <c r="T1280" s="13"/>
      <c r="U1280" s="84">
        <f t="shared" ref="U1280:U1354" si="282">S1280+T1280</f>
        <v>1600</v>
      </c>
    </row>
    <row r="1281" spans="1:21">
      <c r="A1281" s="12" t="s">
        <v>190</v>
      </c>
      <c r="B1281" s="126">
        <v>809</v>
      </c>
      <c r="C1281" s="8" t="s">
        <v>222</v>
      </c>
      <c r="D1281" s="8" t="s">
        <v>219</v>
      </c>
      <c r="E1281" s="126"/>
      <c r="F1281" s="126"/>
      <c r="G1281" s="69">
        <f>G1282+G1287</f>
        <v>9683.2000000000007</v>
      </c>
      <c r="H1281" s="69">
        <f>H1282+H1287</f>
        <v>0</v>
      </c>
      <c r="I1281" s="69">
        <f t="shared" ref="I1281:I1367" si="283">G1281+H1281</f>
        <v>9683.2000000000007</v>
      </c>
      <c r="J1281" s="69">
        <f>J1282+J1287</f>
        <v>0</v>
      </c>
      <c r="K1281" s="84">
        <f t="shared" si="279"/>
        <v>9683.2000000000007</v>
      </c>
      <c r="L1281" s="13">
        <f>L1282+L1287</f>
        <v>0</v>
      </c>
      <c r="M1281" s="84">
        <f t="shared" si="277"/>
        <v>9683.2000000000007</v>
      </c>
      <c r="N1281" s="13">
        <f>N1282+N1287</f>
        <v>0</v>
      </c>
      <c r="O1281" s="84">
        <f t="shared" si="278"/>
        <v>9683.2000000000007</v>
      </c>
      <c r="P1281" s="13">
        <f>P1282+P1287</f>
        <v>0</v>
      </c>
      <c r="Q1281" s="84">
        <f t="shared" si="274"/>
        <v>9683.2000000000007</v>
      </c>
      <c r="R1281" s="13">
        <f>R1282+R1287</f>
        <v>0</v>
      </c>
      <c r="S1281" s="84">
        <f t="shared" si="273"/>
        <v>9683.2000000000007</v>
      </c>
      <c r="T1281" s="13">
        <f>T1282+T1287</f>
        <v>0</v>
      </c>
      <c r="U1281" s="84">
        <f t="shared" si="282"/>
        <v>9683.2000000000007</v>
      </c>
    </row>
    <row r="1282" spans="1:21" ht="33">
      <c r="A1282" s="61" t="str">
        <f ca="1">IF(ISERROR(MATCH(E1282,Код_КЦСР,0)),"",INDIRECT(ADDRESS(MATCH(E1282,Код_КЦСР,0)+1,2,,,"КЦСР")))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282" s="126">
        <v>809</v>
      </c>
      <c r="C1282" s="8" t="s">
        <v>222</v>
      </c>
      <c r="D1282" s="8" t="s">
        <v>219</v>
      </c>
      <c r="E1282" s="126" t="s">
        <v>520</v>
      </c>
      <c r="F1282" s="126"/>
      <c r="G1282" s="69">
        <f t="shared" ref="G1282:T1285" si="284">G1283</f>
        <v>3827.4</v>
      </c>
      <c r="H1282" s="69">
        <f t="shared" si="284"/>
        <v>0</v>
      </c>
      <c r="I1282" s="69">
        <f t="shared" si="283"/>
        <v>3827.4</v>
      </c>
      <c r="J1282" s="69">
        <f t="shared" si="284"/>
        <v>0</v>
      </c>
      <c r="K1282" s="84">
        <f t="shared" si="279"/>
        <v>3827.4</v>
      </c>
      <c r="L1282" s="13">
        <f t="shared" si="284"/>
        <v>0</v>
      </c>
      <c r="M1282" s="84">
        <f t="shared" si="277"/>
        <v>3827.4</v>
      </c>
      <c r="N1282" s="13">
        <f t="shared" si="284"/>
        <v>0</v>
      </c>
      <c r="O1282" s="84">
        <f t="shared" si="278"/>
        <v>3827.4</v>
      </c>
      <c r="P1282" s="13">
        <f t="shared" si="284"/>
        <v>0</v>
      </c>
      <c r="Q1282" s="84">
        <f t="shared" si="274"/>
        <v>3827.4</v>
      </c>
      <c r="R1282" s="13">
        <f t="shared" si="284"/>
        <v>0</v>
      </c>
      <c r="S1282" s="84">
        <f t="shared" si="273"/>
        <v>3827.4</v>
      </c>
      <c r="T1282" s="13">
        <f t="shared" si="284"/>
        <v>0</v>
      </c>
      <c r="U1282" s="84">
        <f t="shared" si="282"/>
        <v>3827.4</v>
      </c>
    </row>
    <row r="1283" spans="1:21">
      <c r="A1283" s="61" t="str">
        <f ca="1">IF(ISERROR(MATCH(E1283,Код_КЦСР,0)),"",INDIRECT(ADDRESS(MATCH(E1283,Код_КЦСР,0)+1,2,,,"КЦСР")))</f>
        <v>Организация и ведение бухгалтерского (бюджетного) учета и отчетности</v>
      </c>
      <c r="B1283" s="126">
        <v>809</v>
      </c>
      <c r="C1283" s="8" t="s">
        <v>222</v>
      </c>
      <c r="D1283" s="8" t="s">
        <v>219</v>
      </c>
      <c r="E1283" s="126" t="s">
        <v>526</v>
      </c>
      <c r="F1283" s="126"/>
      <c r="G1283" s="69">
        <f t="shared" si="284"/>
        <v>3827.4</v>
      </c>
      <c r="H1283" s="69">
        <f t="shared" si="284"/>
        <v>0</v>
      </c>
      <c r="I1283" s="69">
        <f t="shared" si="283"/>
        <v>3827.4</v>
      </c>
      <c r="J1283" s="69">
        <f t="shared" si="284"/>
        <v>0</v>
      </c>
      <c r="K1283" s="84">
        <f t="shared" si="279"/>
        <v>3827.4</v>
      </c>
      <c r="L1283" s="13">
        <f t="shared" si="284"/>
        <v>0</v>
      </c>
      <c r="M1283" s="84">
        <f t="shared" si="277"/>
        <v>3827.4</v>
      </c>
      <c r="N1283" s="13">
        <f t="shared" si="284"/>
        <v>0</v>
      </c>
      <c r="O1283" s="84">
        <f t="shared" si="278"/>
        <v>3827.4</v>
      </c>
      <c r="P1283" s="13">
        <f t="shared" si="284"/>
        <v>0</v>
      </c>
      <c r="Q1283" s="84">
        <f t="shared" si="274"/>
        <v>3827.4</v>
      </c>
      <c r="R1283" s="13">
        <f t="shared" si="284"/>
        <v>0</v>
      </c>
      <c r="S1283" s="84">
        <f t="shared" si="273"/>
        <v>3827.4</v>
      </c>
      <c r="T1283" s="13">
        <f t="shared" si="284"/>
        <v>0</v>
      </c>
      <c r="U1283" s="84">
        <f t="shared" si="282"/>
        <v>3827.4</v>
      </c>
    </row>
    <row r="1284" spans="1:21" ht="33">
      <c r="A1284" s="61" t="str">
        <f ca="1">IF(ISERROR(MATCH(F1284,Код_КВР,0)),"",INDIRECT(ADDRESS(MATCH(F1284,Код_КВР,0)+1,2,,,"КВР")))</f>
        <v>Предоставление субсидий бюджетным, автономным учреждениям и иным некоммерческим организациям</v>
      </c>
      <c r="B1284" s="126">
        <v>809</v>
      </c>
      <c r="C1284" s="8" t="s">
        <v>222</v>
      </c>
      <c r="D1284" s="8" t="s">
        <v>219</v>
      </c>
      <c r="E1284" s="126" t="s">
        <v>526</v>
      </c>
      <c r="F1284" s="126">
        <v>600</v>
      </c>
      <c r="G1284" s="69">
        <f t="shared" si="284"/>
        <v>3827.4</v>
      </c>
      <c r="H1284" s="69">
        <f t="shared" si="284"/>
        <v>0</v>
      </c>
      <c r="I1284" s="69">
        <f t="shared" si="283"/>
        <v>3827.4</v>
      </c>
      <c r="J1284" s="69">
        <f t="shared" si="284"/>
        <v>0</v>
      </c>
      <c r="K1284" s="84">
        <f t="shared" si="279"/>
        <v>3827.4</v>
      </c>
      <c r="L1284" s="13">
        <f t="shared" si="284"/>
        <v>0</v>
      </c>
      <c r="M1284" s="84">
        <f t="shared" si="277"/>
        <v>3827.4</v>
      </c>
      <c r="N1284" s="13">
        <f t="shared" si="284"/>
        <v>0</v>
      </c>
      <c r="O1284" s="84">
        <f t="shared" si="278"/>
        <v>3827.4</v>
      </c>
      <c r="P1284" s="13">
        <f t="shared" si="284"/>
        <v>0</v>
      </c>
      <c r="Q1284" s="84">
        <f t="shared" si="274"/>
        <v>3827.4</v>
      </c>
      <c r="R1284" s="13">
        <f t="shared" si="284"/>
        <v>0</v>
      </c>
      <c r="S1284" s="84">
        <f t="shared" si="273"/>
        <v>3827.4</v>
      </c>
      <c r="T1284" s="13">
        <f t="shared" si="284"/>
        <v>0</v>
      </c>
      <c r="U1284" s="84">
        <f t="shared" si="282"/>
        <v>3827.4</v>
      </c>
    </row>
    <row r="1285" spans="1:21">
      <c r="A1285" s="61" t="str">
        <f ca="1">IF(ISERROR(MATCH(F1285,Код_КВР,0)),"",INDIRECT(ADDRESS(MATCH(F1285,Код_КВР,0)+1,2,,,"КВР")))</f>
        <v>Субсидии бюджетным учреждениям</v>
      </c>
      <c r="B1285" s="126">
        <v>809</v>
      </c>
      <c r="C1285" s="8" t="s">
        <v>222</v>
      </c>
      <c r="D1285" s="8" t="s">
        <v>219</v>
      </c>
      <c r="E1285" s="126" t="s">
        <v>526</v>
      </c>
      <c r="F1285" s="126">
        <v>610</v>
      </c>
      <c r="G1285" s="69">
        <f t="shared" si="284"/>
        <v>3827.4</v>
      </c>
      <c r="H1285" s="69">
        <f t="shared" si="284"/>
        <v>0</v>
      </c>
      <c r="I1285" s="69">
        <f t="shared" si="283"/>
        <v>3827.4</v>
      </c>
      <c r="J1285" s="69">
        <f t="shared" si="284"/>
        <v>0</v>
      </c>
      <c r="K1285" s="84">
        <f t="shared" si="279"/>
        <v>3827.4</v>
      </c>
      <c r="L1285" s="13">
        <f t="shared" si="284"/>
        <v>0</v>
      </c>
      <c r="M1285" s="84">
        <f t="shared" si="277"/>
        <v>3827.4</v>
      </c>
      <c r="N1285" s="13">
        <f t="shared" si="284"/>
        <v>0</v>
      </c>
      <c r="O1285" s="84">
        <f t="shared" si="278"/>
        <v>3827.4</v>
      </c>
      <c r="P1285" s="13">
        <f t="shared" si="284"/>
        <v>0</v>
      </c>
      <c r="Q1285" s="84">
        <f t="shared" si="274"/>
        <v>3827.4</v>
      </c>
      <c r="R1285" s="13">
        <f t="shared" si="284"/>
        <v>0</v>
      </c>
      <c r="S1285" s="84">
        <f t="shared" si="273"/>
        <v>3827.4</v>
      </c>
      <c r="T1285" s="13">
        <f t="shared" si="284"/>
        <v>0</v>
      </c>
      <c r="U1285" s="84">
        <f t="shared" si="282"/>
        <v>3827.4</v>
      </c>
    </row>
    <row r="1286" spans="1:21" ht="49.5">
      <c r="A1286" s="61" t="str">
        <f ca="1">IF(ISERROR(MATCH(F1286,Код_КВР,0)),"",INDIRECT(ADDRESS(MATCH(F1286,Код_КВР,0)+1,2,,,"КВР")))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86" s="126">
        <v>809</v>
      </c>
      <c r="C1286" s="8" t="s">
        <v>222</v>
      </c>
      <c r="D1286" s="8" t="s">
        <v>219</v>
      </c>
      <c r="E1286" s="126" t="s">
        <v>526</v>
      </c>
      <c r="F1286" s="126">
        <v>611</v>
      </c>
      <c r="G1286" s="69">
        <v>3827.4</v>
      </c>
      <c r="H1286" s="69"/>
      <c r="I1286" s="69">
        <f t="shared" si="283"/>
        <v>3827.4</v>
      </c>
      <c r="J1286" s="69"/>
      <c r="K1286" s="84">
        <f t="shared" si="279"/>
        <v>3827.4</v>
      </c>
      <c r="L1286" s="13"/>
      <c r="M1286" s="84">
        <f t="shared" si="277"/>
        <v>3827.4</v>
      </c>
      <c r="N1286" s="13"/>
      <c r="O1286" s="84">
        <f t="shared" si="278"/>
        <v>3827.4</v>
      </c>
      <c r="P1286" s="13"/>
      <c r="Q1286" s="84">
        <f t="shared" si="274"/>
        <v>3827.4</v>
      </c>
      <c r="R1286" s="13"/>
      <c r="S1286" s="84">
        <f t="shared" si="273"/>
        <v>3827.4</v>
      </c>
      <c r="T1286" s="13"/>
      <c r="U1286" s="84">
        <f t="shared" si="282"/>
        <v>3827.4</v>
      </c>
    </row>
    <row r="1287" spans="1:21" ht="33">
      <c r="A1287" s="61" t="str">
        <f ca="1">IF(ISERROR(MATCH(E1287,Код_КЦСР,0)),"",INDIRECT(ADDRESS(MATCH(E1287,Код_КЦСР,0)+1,2,,,"КЦСР")))</f>
        <v>Непрограммные направления деятельности органов местного самоуправления</v>
      </c>
      <c r="B1287" s="126">
        <v>809</v>
      </c>
      <c r="C1287" s="8" t="s">
        <v>222</v>
      </c>
      <c r="D1287" s="8" t="s">
        <v>219</v>
      </c>
      <c r="E1287" s="126" t="s">
        <v>295</v>
      </c>
      <c r="F1287" s="126"/>
      <c r="G1287" s="69">
        <f t="shared" ref="G1287:T1289" si="285">G1288</f>
        <v>5855.8</v>
      </c>
      <c r="H1287" s="69">
        <f t="shared" si="285"/>
        <v>0</v>
      </c>
      <c r="I1287" s="69">
        <f t="shared" si="283"/>
        <v>5855.8</v>
      </c>
      <c r="J1287" s="69">
        <f t="shared" si="285"/>
        <v>0</v>
      </c>
      <c r="K1287" s="84">
        <f t="shared" si="279"/>
        <v>5855.8</v>
      </c>
      <c r="L1287" s="13">
        <f t="shared" si="285"/>
        <v>0</v>
      </c>
      <c r="M1287" s="84">
        <f t="shared" si="277"/>
        <v>5855.8</v>
      </c>
      <c r="N1287" s="13">
        <f t="shared" si="285"/>
        <v>0</v>
      </c>
      <c r="O1287" s="84">
        <f t="shared" si="278"/>
        <v>5855.8</v>
      </c>
      <c r="P1287" s="13">
        <f t="shared" si="285"/>
        <v>0</v>
      </c>
      <c r="Q1287" s="84">
        <f t="shared" si="274"/>
        <v>5855.8</v>
      </c>
      <c r="R1287" s="13">
        <f t="shared" si="285"/>
        <v>0</v>
      </c>
      <c r="S1287" s="84">
        <f t="shared" si="273"/>
        <v>5855.8</v>
      </c>
      <c r="T1287" s="13">
        <f t="shared" si="285"/>
        <v>0</v>
      </c>
      <c r="U1287" s="84">
        <f t="shared" si="282"/>
        <v>5855.8</v>
      </c>
    </row>
    <row r="1288" spans="1:21">
      <c r="A1288" s="61" t="str">
        <f ca="1">IF(ISERROR(MATCH(E1288,Код_КЦСР,0)),"",INDIRECT(ADDRESS(MATCH(E1288,Код_КЦСР,0)+1,2,,,"КЦСР")))</f>
        <v>Расходы, не включенные в муниципальные программы города Череповца</v>
      </c>
      <c r="B1288" s="126">
        <v>809</v>
      </c>
      <c r="C1288" s="8" t="s">
        <v>222</v>
      </c>
      <c r="D1288" s="8" t="s">
        <v>219</v>
      </c>
      <c r="E1288" s="126" t="s">
        <v>297</v>
      </c>
      <c r="F1288" s="126"/>
      <c r="G1288" s="69">
        <f t="shared" si="285"/>
        <v>5855.8</v>
      </c>
      <c r="H1288" s="69">
        <f t="shared" si="285"/>
        <v>0</v>
      </c>
      <c r="I1288" s="69">
        <f t="shared" si="283"/>
        <v>5855.8</v>
      </c>
      <c r="J1288" s="69">
        <f t="shared" si="285"/>
        <v>0</v>
      </c>
      <c r="K1288" s="84">
        <f t="shared" si="279"/>
        <v>5855.8</v>
      </c>
      <c r="L1288" s="13">
        <f t="shared" si="285"/>
        <v>0</v>
      </c>
      <c r="M1288" s="84">
        <f t="shared" si="277"/>
        <v>5855.8</v>
      </c>
      <c r="N1288" s="13">
        <f t="shared" si="285"/>
        <v>0</v>
      </c>
      <c r="O1288" s="84">
        <f t="shared" si="278"/>
        <v>5855.8</v>
      </c>
      <c r="P1288" s="13">
        <f t="shared" si="285"/>
        <v>0</v>
      </c>
      <c r="Q1288" s="84">
        <f t="shared" si="274"/>
        <v>5855.8</v>
      </c>
      <c r="R1288" s="13">
        <f t="shared" si="285"/>
        <v>0</v>
      </c>
      <c r="S1288" s="84">
        <f t="shared" si="273"/>
        <v>5855.8</v>
      </c>
      <c r="T1288" s="13">
        <f t="shared" si="285"/>
        <v>0</v>
      </c>
      <c r="U1288" s="84">
        <f t="shared" si="282"/>
        <v>5855.8</v>
      </c>
    </row>
    <row r="1289" spans="1:21" ht="33">
      <c r="A1289" s="61" t="str">
        <f ca="1">IF(ISERROR(MATCH(E1289,Код_КЦСР,0)),"",INDIRECT(ADDRESS(MATCH(E1289,Код_КЦСР,0)+1,2,,,"КЦСР")))</f>
        <v>Руководство и управление в сфере установленных функций органов местного самоуправления</v>
      </c>
      <c r="B1289" s="126">
        <v>809</v>
      </c>
      <c r="C1289" s="8" t="s">
        <v>222</v>
      </c>
      <c r="D1289" s="8" t="s">
        <v>219</v>
      </c>
      <c r="E1289" s="126" t="s">
        <v>299</v>
      </c>
      <c r="F1289" s="126"/>
      <c r="G1289" s="69">
        <f t="shared" si="285"/>
        <v>5855.8</v>
      </c>
      <c r="H1289" s="69">
        <f t="shared" si="285"/>
        <v>0</v>
      </c>
      <c r="I1289" s="69">
        <f t="shared" si="283"/>
        <v>5855.8</v>
      </c>
      <c r="J1289" s="69">
        <f t="shared" si="285"/>
        <v>0</v>
      </c>
      <c r="K1289" s="84">
        <f t="shared" si="279"/>
        <v>5855.8</v>
      </c>
      <c r="L1289" s="13">
        <f t="shared" si="285"/>
        <v>0</v>
      </c>
      <c r="M1289" s="84">
        <f t="shared" si="277"/>
        <v>5855.8</v>
      </c>
      <c r="N1289" s="13">
        <f t="shared" si="285"/>
        <v>0</v>
      </c>
      <c r="O1289" s="84">
        <f t="shared" si="278"/>
        <v>5855.8</v>
      </c>
      <c r="P1289" s="13">
        <f t="shared" si="285"/>
        <v>0</v>
      </c>
      <c r="Q1289" s="84">
        <f t="shared" si="274"/>
        <v>5855.8</v>
      </c>
      <c r="R1289" s="13">
        <f t="shared" si="285"/>
        <v>0</v>
      </c>
      <c r="S1289" s="84">
        <f t="shared" ref="S1289:S1376" si="286">Q1289+R1289</f>
        <v>5855.8</v>
      </c>
      <c r="T1289" s="13">
        <f t="shared" si="285"/>
        <v>0</v>
      </c>
      <c r="U1289" s="84">
        <f t="shared" si="282"/>
        <v>5855.8</v>
      </c>
    </row>
    <row r="1290" spans="1:21">
      <c r="A1290" s="61" t="str">
        <f ca="1">IF(ISERROR(MATCH(E1290,Код_КЦСР,0)),"",INDIRECT(ADDRESS(MATCH(E1290,Код_КЦСР,0)+1,2,,,"КЦСР")))</f>
        <v>Центральный аппарат</v>
      </c>
      <c r="B1290" s="126">
        <v>809</v>
      </c>
      <c r="C1290" s="8" t="s">
        <v>222</v>
      </c>
      <c r="D1290" s="8" t="s">
        <v>219</v>
      </c>
      <c r="E1290" s="126" t="s">
        <v>302</v>
      </c>
      <c r="F1290" s="126"/>
      <c r="G1290" s="69">
        <f>G1291+G1293</f>
        <v>5855.8</v>
      </c>
      <c r="H1290" s="69">
        <f>H1291+H1293</f>
        <v>0</v>
      </c>
      <c r="I1290" s="69">
        <f t="shared" si="283"/>
        <v>5855.8</v>
      </c>
      <c r="J1290" s="69">
        <f>J1291+J1293</f>
        <v>0</v>
      </c>
      <c r="K1290" s="84">
        <f t="shared" si="279"/>
        <v>5855.8</v>
      </c>
      <c r="L1290" s="13">
        <f>L1291+L1293</f>
        <v>0</v>
      </c>
      <c r="M1290" s="84">
        <f t="shared" si="277"/>
        <v>5855.8</v>
      </c>
      <c r="N1290" s="13">
        <f>N1291+N1293</f>
        <v>0</v>
      </c>
      <c r="O1290" s="84">
        <f t="shared" si="278"/>
        <v>5855.8</v>
      </c>
      <c r="P1290" s="13">
        <f>P1291+P1293</f>
        <v>0</v>
      </c>
      <c r="Q1290" s="84">
        <f t="shared" si="274"/>
        <v>5855.8</v>
      </c>
      <c r="R1290" s="13">
        <f>R1291+R1293</f>
        <v>0</v>
      </c>
      <c r="S1290" s="84">
        <f t="shared" si="286"/>
        <v>5855.8</v>
      </c>
      <c r="T1290" s="13">
        <f>T1291+T1293</f>
        <v>0</v>
      </c>
      <c r="U1290" s="84">
        <f t="shared" si="282"/>
        <v>5855.8</v>
      </c>
    </row>
    <row r="1291" spans="1:21" ht="33">
      <c r="A1291" s="61" t="str">
        <f ca="1">IF(ISERROR(MATCH(F1291,Код_КВР,0)),"",INDIRECT(ADDRESS(MATCH(F1291,Код_КВР,0)+1,2,,,"КВР")))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1" s="126">
        <v>809</v>
      </c>
      <c r="C1291" s="8" t="s">
        <v>222</v>
      </c>
      <c r="D1291" s="8" t="s">
        <v>219</v>
      </c>
      <c r="E1291" s="126" t="s">
        <v>302</v>
      </c>
      <c r="F1291" s="126">
        <v>100</v>
      </c>
      <c r="G1291" s="69">
        <f>G1292</f>
        <v>5841</v>
      </c>
      <c r="H1291" s="69">
        <f>H1292</f>
        <v>0</v>
      </c>
      <c r="I1291" s="69">
        <f t="shared" si="283"/>
        <v>5841</v>
      </c>
      <c r="J1291" s="69">
        <f>J1292</f>
        <v>0</v>
      </c>
      <c r="K1291" s="84">
        <f t="shared" si="279"/>
        <v>5841</v>
      </c>
      <c r="L1291" s="13">
        <f>L1292</f>
        <v>0</v>
      </c>
      <c r="M1291" s="84">
        <f t="shared" si="277"/>
        <v>5841</v>
      </c>
      <c r="N1291" s="13">
        <f>N1292</f>
        <v>0</v>
      </c>
      <c r="O1291" s="84">
        <f t="shared" si="278"/>
        <v>5841</v>
      </c>
      <c r="P1291" s="13">
        <f>P1292</f>
        <v>0</v>
      </c>
      <c r="Q1291" s="84">
        <f t="shared" si="274"/>
        <v>5841</v>
      </c>
      <c r="R1291" s="13">
        <f>R1292</f>
        <v>0</v>
      </c>
      <c r="S1291" s="84">
        <f t="shared" si="286"/>
        <v>5841</v>
      </c>
      <c r="T1291" s="13">
        <f>T1292</f>
        <v>0</v>
      </c>
      <c r="U1291" s="84">
        <f t="shared" si="282"/>
        <v>5841</v>
      </c>
    </row>
    <row r="1292" spans="1:21">
      <c r="A1292" s="61" t="str">
        <f ca="1">IF(ISERROR(MATCH(F1292,Код_КВР,0)),"",INDIRECT(ADDRESS(MATCH(F1292,Код_КВР,0)+1,2,,,"КВР")))</f>
        <v>Расходы на выплаты персоналу муниципальных органов</v>
      </c>
      <c r="B1292" s="126">
        <v>809</v>
      </c>
      <c r="C1292" s="8" t="s">
        <v>222</v>
      </c>
      <c r="D1292" s="8" t="s">
        <v>219</v>
      </c>
      <c r="E1292" s="126" t="s">
        <v>302</v>
      </c>
      <c r="F1292" s="126">
        <v>120</v>
      </c>
      <c r="G1292" s="69">
        <v>5841</v>
      </c>
      <c r="H1292" s="69"/>
      <c r="I1292" s="69">
        <f t="shared" si="283"/>
        <v>5841</v>
      </c>
      <c r="J1292" s="69"/>
      <c r="K1292" s="84">
        <f t="shared" si="279"/>
        <v>5841</v>
      </c>
      <c r="L1292" s="13"/>
      <c r="M1292" s="84">
        <f t="shared" si="277"/>
        <v>5841</v>
      </c>
      <c r="N1292" s="13"/>
      <c r="O1292" s="84">
        <f t="shared" si="278"/>
        <v>5841</v>
      </c>
      <c r="P1292" s="13"/>
      <c r="Q1292" s="84">
        <f t="shared" si="274"/>
        <v>5841</v>
      </c>
      <c r="R1292" s="13"/>
      <c r="S1292" s="84">
        <f t="shared" si="286"/>
        <v>5841</v>
      </c>
      <c r="T1292" s="13"/>
      <c r="U1292" s="84">
        <f t="shared" si="282"/>
        <v>5841</v>
      </c>
    </row>
    <row r="1293" spans="1:21">
      <c r="A1293" s="61" t="str">
        <f ca="1">IF(ISERROR(MATCH(F1293,Код_КВР,0)),"",INDIRECT(ADDRESS(MATCH(F1293,Код_КВР,0)+1,2,,,"КВР")))</f>
        <v>Закупка товаров, работ и услуг для муниципальных нужд</v>
      </c>
      <c r="B1293" s="126">
        <v>809</v>
      </c>
      <c r="C1293" s="8" t="s">
        <v>222</v>
      </c>
      <c r="D1293" s="8" t="s">
        <v>219</v>
      </c>
      <c r="E1293" s="126" t="s">
        <v>302</v>
      </c>
      <c r="F1293" s="126">
        <v>200</v>
      </c>
      <c r="G1293" s="69">
        <f>G1294</f>
        <v>14.8</v>
      </c>
      <c r="H1293" s="69">
        <f>H1294</f>
        <v>0</v>
      </c>
      <c r="I1293" s="69">
        <f t="shared" si="283"/>
        <v>14.8</v>
      </c>
      <c r="J1293" s="69">
        <f>J1294</f>
        <v>0</v>
      </c>
      <c r="K1293" s="84">
        <f t="shared" si="279"/>
        <v>14.8</v>
      </c>
      <c r="L1293" s="13">
        <f>L1294</f>
        <v>0</v>
      </c>
      <c r="M1293" s="84">
        <f t="shared" si="277"/>
        <v>14.8</v>
      </c>
      <c r="N1293" s="13">
        <f>N1294</f>
        <v>0</v>
      </c>
      <c r="O1293" s="84">
        <f t="shared" si="278"/>
        <v>14.8</v>
      </c>
      <c r="P1293" s="13">
        <f>P1294</f>
        <v>0</v>
      </c>
      <c r="Q1293" s="84">
        <f t="shared" si="274"/>
        <v>14.8</v>
      </c>
      <c r="R1293" s="13">
        <f>R1294</f>
        <v>0</v>
      </c>
      <c r="S1293" s="84">
        <f t="shared" si="286"/>
        <v>14.8</v>
      </c>
      <c r="T1293" s="13">
        <f>T1294</f>
        <v>0</v>
      </c>
      <c r="U1293" s="84">
        <f t="shared" si="282"/>
        <v>14.8</v>
      </c>
    </row>
    <row r="1294" spans="1:21" ht="33">
      <c r="A1294" s="61" t="str">
        <f ca="1">IF(ISERROR(MATCH(F1294,Код_КВР,0)),"",INDIRECT(ADDRESS(MATCH(F1294,Код_КВР,0)+1,2,,,"КВР")))</f>
        <v>Иные закупки товаров, работ и услуг для обеспечения муниципальных нужд</v>
      </c>
      <c r="B1294" s="126">
        <v>809</v>
      </c>
      <c r="C1294" s="8" t="s">
        <v>222</v>
      </c>
      <c r="D1294" s="8" t="s">
        <v>219</v>
      </c>
      <c r="E1294" s="126" t="s">
        <v>302</v>
      </c>
      <c r="F1294" s="126">
        <v>240</v>
      </c>
      <c r="G1294" s="69">
        <f>G1295</f>
        <v>14.8</v>
      </c>
      <c r="H1294" s="69">
        <f>H1295</f>
        <v>0</v>
      </c>
      <c r="I1294" s="69">
        <f t="shared" si="283"/>
        <v>14.8</v>
      </c>
      <c r="J1294" s="69">
        <f>J1295</f>
        <v>0</v>
      </c>
      <c r="K1294" s="84">
        <f t="shared" si="279"/>
        <v>14.8</v>
      </c>
      <c r="L1294" s="13">
        <f>L1295</f>
        <v>0</v>
      </c>
      <c r="M1294" s="84">
        <f t="shared" si="277"/>
        <v>14.8</v>
      </c>
      <c r="N1294" s="13">
        <f>N1295</f>
        <v>0</v>
      </c>
      <c r="O1294" s="84">
        <f t="shared" si="278"/>
        <v>14.8</v>
      </c>
      <c r="P1294" s="13">
        <f>P1295</f>
        <v>0</v>
      </c>
      <c r="Q1294" s="84">
        <f t="shared" si="274"/>
        <v>14.8</v>
      </c>
      <c r="R1294" s="13">
        <f>R1295</f>
        <v>0</v>
      </c>
      <c r="S1294" s="84">
        <f t="shared" si="286"/>
        <v>14.8</v>
      </c>
      <c r="T1294" s="13">
        <f>T1295</f>
        <v>0</v>
      </c>
      <c r="U1294" s="84">
        <f t="shared" si="282"/>
        <v>14.8</v>
      </c>
    </row>
    <row r="1295" spans="1:21" ht="33">
      <c r="A1295" s="61" t="str">
        <f ca="1">IF(ISERROR(MATCH(F1295,Код_КВР,0)),"",INDIRECT(ADDRESS(MATCH(F1295,Код_КВР,0)+1,2,,,"КВР")))</f>
        <v xml:space="preserve">Прочая закупка товаров, работ и услуг для обеспечения муниципальных нужд         </v>
      </c>
      <c r="B1295" s="126">
        <v>809</v>
      </c>
      <c r="C1295" s="8" t="s">
        <v>222</v>
      </c>
      <c r="D1295" s="8" t="s">
        <v>219</v>
      </c>
      <c r="E1295" s="126" t="s">
        <v>302</v>
      </c>
      <c r="F1295" s="126">
        <v>244</v>
      </c>
      <c r="G1295" s="69">
        <v>14.8</v>
      </c>
      <c r="H1295" s="69"/>
      <c r="I1295" s="69">
        <f t="shared" si="283"/>
        <v>14.8</v>
      </c>
      <c r="J1295" s="69"/>
      <c r="K1295" s="84">
        <f t="shared" si="279"/>
        <v>14.8</v>
      </c>
      <c r="L1295" s="13"/>
      <c r="M1295" s="84">
        <f t="shared" si="277"/>
        <v>14.8</v>
      </c>
      <c r="N1295" s="13"/>
      <c r="O1295" s="84">
        <f t="shared" si="278"/>
        <v>14.8</v>
      </c>
      <c r="P1295" s="13"/>
      <c r="Q1295" s="84">
        <f t="shared" ref="Q1295:Q1382" si="287">O1295+P1295</f>
        <v>14.8</v>
      </c>
      <c r="R1295" s="13"/>
      <c r="S1295" s="84">
        <f>Q1295+R1295</f>
        <v>14.8</v>
      </c>
      <c r="T1295" s="13"/>
      <c r="U1295" s="84">
        <f t="shared" si="282"/>
        <v>14.8</v>
      </c>
    </row>
    <row r="1296" spans="1:21">
      <c r="A1296" s="61" t="str">
        <f ca="1">IF(ISERROR(MATCH(B1296,Код_ППП,0)),"",INDIRECT(ADDRESS(MATCH(B1296,Код_ППП,0)+1,2,,,"ППП")))</f>
        <v>КОМИТЕТ СОЦИАЛЬНОЙ ЗАЩИТЫ НАСЕЛЕНИЯ ГОРОДА</v>
      </c>
      <c r="B1296" s="126">
        <v>810</v>
      </c>
      <c r="C1296" s="8"/>
      <c r="D1296" s="8"/>
      <c r="E1296" s="126"/>
      <c r="F1296" s="126"/>
      <c r="G1296" s="69">
        <f>G1304+G1325</f>
        <v>897141.3</v>
      </c>
      <c r="H1296" s="69">
        <f>H1304+H1325</f>
        <v>0</v>
      </c>
      <c r="I1296" s="69">
        <f t="shared" si="283"/>
        <v>897141.3</v>
      </c>
      <c r="J1296" s="69">
        <f>J1304+J1325</f>
        <v>-4015.3</v>
      </c>
      <c r="K1296" s="84">
        <f t="shared" si="279"/>
        <v>893126</v>
      </c>
      <c r="L1296" s="13">
        <f>L1304+L1325</f>
        <v>-3790.2</v>
      </c>
      <c r="M1296" s="84">
        <f t="shared" si="277"/>
        <v>889335.8</v>
      </c>
      <c r="N1296" s="13">
        <f>N1304+N1325</f>
        <v>432</v>
      </c>
      <c r="O1296" s="84">
        <f t="shared" si="278"/>
        <v>889767.8</v>
      </c>
      <c r="P1296" s="13">
        <f>P1304+P1325</f>
        <v>0</v>
      </c>
      <c r="Q1296" s="84">
        <f t="shared" si="287"/>
        <v>889767.8</v>
      </c>
      <c r="R1296" s="13">
        <f>R1304+R1325</f>
        <v>67232.499999999985</v>
      </c>
      <c r="S1296" s="84">
        <f t="shared" si="286"/>
        <v>957000.3</v>
      </c>
      <c r="T1296" s="13">
        <f>T1297+T1304+T1325</f>
        <v>46697.30000000001</v>
      </c>
      <c r="U1296" s="84">
        <f t="shared" si="282"/>
        <v>1003697.6000000001</v>
      </c>
    </row>
    <row r="1297" spans="1:22">
      <c r="A1297" s="61" t="str">
        <f ca="1">IF(ISERROR(MATCH(C1297,Код_Раздел,0)),"",INDIRECT(ADDRESS(MATCH(C1297,Код_Раздел,0)+1,2,,,"Раздел")))</f>
        <v>Общегосударственные  вопросы</v>
      </c>
      <c r="B1297" s="126">
        <v>810</v>
      </c>
      <c r="C1297" s="8" t="s">
        <v>211</v>
      </c>
      <c r="D1297" s="8"/>
      <c r="E1297" s="126"/>
      <c r="F1297" s="126"/>
      <c r="G1297" s="69"/>
      <c r="H1297" s="69"/>
      <c r="I1297" s="69"/>
      <c r="J1297" s="69"/>
      <c r="K1297" s="84"/>
      <c r="L1297" s="13"/>
      <c r="M1297" s="84"/>
      <c r="N1297" s="13"/>
      <c r="O1297" s="84"/>
      <c r="P1297" s="13"/>
      <c r="Q1297" s="84"/>
      <c r="R1297" s="13"/>
      <c r="S1297" s="84"/>
      <c r="T1297" s="13">
        <f t="shared" ref="T1297:T1302" si="288">T1298</f>
        <v>126.4</v>
      </c>
      <c r="U1297" s="84">
        <f t="shared" si="282"/>
        <v>126.4</v>
      </c>
    </row>
    <row r="1298" spans="1:22">
      <c r="A1298" s="12" t="s">
        <v>235</v>
      </c>
      <c r="B1298" s="126">
        <v>810</v>
      </c>
      <c r="C1298" s="8" t="s">
        <v>211</v>
      </c>
      <c r="D1298" s="8" t="s">
        <v>188</v>
      </c>
      <c r="E1298" s="126"/>
      <c r="F1298" s="126"/>
      <c r="G1298" s="69"/>
      <c r="H1298" s="69"/>
      <c r="I1298" s="69"/>
      <c r="J1298" s="69"/>
      <c r="K1298" s="84"/>
      <c r="L1298" s="13"/>
      <c r="M1298" s="84"/>
      <c r="N1298" s="13"/>
      <c r="O1298" s="84"/>
      <c r="P1298" s="13"/>
      <c r="Q1298" s="84"/>
      <c r="R1298" s="13"/>
      <c r="S1298" s="84"/>
      <c r="T1298" s="13">
        <f t="shared" si="288"/>
        <v>126.4</v>
      </c>
      <c r="U1298" s="84">
        <f t="shared" si="282"/>
        <v>126.4</v>
      </c>
    </row>
    <row r="1299" spans="1:22" ht="39.75" customHeight="1">
      <c r="A1299" s="61" t="str">
        <f ca="1">IF(ISERROR(MATCH(E1299,Код_КЦСР,0)),"",INDIRECT(ADDRESS(MATCH(E1299,Код_КЦСР,0)+1,2,,,"КЦСР")))</f>
        <v>Непрограммные направления деятельности органов местного самоуправления</v>
      </c>
      <c r="B1299" s="126">
        <v>810</v>
      </c>
      <c r="C1299" s="8" t="s">
        <v>211</v>
      </c>
      <c r="D1299" s="8" t="s">
        <v>188</v>
      </c>
      <c r="E1299" s="126" t="s">
        <v>295</v>
      </c>
      <c r="F1299" s="126"/>
      <c r="G1299" s="69"/>
      <c r="H1299" s="69"/>
      <c r="I1299" s="69"/>
      <c r="J1299" s="69"/>
      <c r="K1299" s="84"/>
      <c r="L1299" s="13"/>
      <c r="M1299" s="84"/>
      <c r="N1299" s="13"/>
      <c r="O1299" s="84"/>
      <c r="P1299" s="13"/>
      <c r="Q1299" s="84"/>
      <c r="R1299" s="13"/>
      <c r="S1299" s="84"/>
      <c r="T1299" s="13">
        <f t="shared" si="288"/>
        <v>126.4</v>
      </c>
      <c r="U1299" s="84">
        <f t="shared" si="282"/>
        <v>126.4</v>
      </c>
    </row>
    <row r="1300" spans="1:22">
      <c r="A1300" s="61" t="str">
        <f ca="1">IF(ISERROR(MATCH(E1300,Код_КЦСР,0)),"",INDIRECT(ADDRESS(MATCH(E1300,Код_КЦСР,0)+1,2,,,"КЦСР")))</f>
        <v>Расходы, не включенные в муниципальные программы города Череповца</v>
      </c>
      <c r="B1300" s="126">
        <v>810</v>
      </c>
      <c r="C1300" s="8" t="s">
        <v>211</v>
      </c>
      <c r="D1300" s="8" t="s">
        <v>188</v>
      </c>
      <c r="E1300" s="126" t="s">
        <v>297</v>
      </c>
      <c r="F1300" s="126"/>
      <c r="G1300" s="69"/>
      <c r="H1300" s="69"/>
      <c r="I1300" s="69"/>
      <c r="J1300" s="69"/>
      <c r="K1300" s="84"/>
      <c r="L1300" s="13"/>
      <c r="M1300" s="84"/>
      <c r="N1300" s="13"/>
      <c r="O1300" s="84"/>
      <c r="P1300" s="13"/>
      <c r="Q1300" s="84"/>
      <c r="R1300" s="13"/>
      <c r="S1300" s="84"/>
      <c r="T1300" s="13">
        <f t="shared" si="288"/>
        <v>126.4</v>
      </c>
      <c r="U1300" s="84">
        <f t="shared" si="282"/>
        <v>126.4</v>
      </c>
    </row>
    <row r="1301" spans="1:22" ht="73.5" customHeight="1">
      <c r="A1301" s="61" t="str">
        <f ca="1">IF(ISERROR(MATCH(E1301,Код_КЦСР,0)),"",INDIRECT(ADDRESS(MATCH(E1301,Код_КЦСР,0)+1,2,,,"КЦСР")))</f>
        <v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за счет иных межбюджетных трансфертов из федерального бюджета</v>
      </c>
      <c r="B1301" s="126">
        <v>810</v>
      </c>
      <c r="C1301" s="8" t="s">
        <v>211</v>
      </c>
      <c r="D1301" s="8" t="s">
        <v>188</v>
      </c>
      <c r="E1301" s="126" t="s">
        <v>690</v>
      </c>
      <c r="F1301" s="126"/>
      <c r="G1301" s="69"/>
      <c r="H1301" s="69"/>
      <c r="I1301" s="69"/>
      <c r="J1301" s="69"/>
      <c r="K1301" s="84"/>
      <c r="L1301" s="13"/>
      <c r="M1301" s="84"/>
      <c r="N1301" s="13"/>
      <c r="O1301" s="84"/>
      <c r="P1301" s="13"/>
      <c r="Q1301" s="84"/>
      <c r="R1301" s="13"/>
      <c r="S1301" s="84"/>
      <c r="T1301" s="13">
        <f t="shared" si="288"/>
        <v>126.4</v>
      </c>
      <c r="U1301" s="84">
        <f t="shared" si="282"/>
        <v>126.4</v>
      </c>
    </row>
    <row r="1302" spans="1:22">
      <c r="A1302" s="61" t="str">
        <f ca="1">IF(ISERROR(MATCH(F1302,Код_КВР,0)),"",INDIRECT(ADDRESS(MATCH(F1302,Код_КВР,0)+1,2,,,"КВР")))</f>
        <v>Иные бюджетные ассигнования</v>
      </c>
      <c r="B1302" s="126">
        <v>810</v>
      </c>
      <c r="C1302" s="8" t="s">
        <v>211</v>
      </c>
      <c r="D1302" s="8" t="s">
        <v>188</v>
      </c>
      <c r="E1302" s="126" t="s">
        <v>690</v>
      </c>
      <c r="F1302" s="126">
        <v>800</v>
      </c>
      <c r="G1302" s="69"/>
      <c r="H1302" s="69"/>
      <c r="I1302" s="69"/>
      <c r="J1302" s="69"/>
      <c r="K1302" s="84"/>
      <c r="L1302" s="13"/>
      <c r="M1302" s="84"/>
      <c r="N1302" s="13"/>
      <c r="O1302" s="84"/>
      <c r="P1302" s="13"/>
      <c r="Q1302" s="84"/>
      <c r="R1302" s="13"/>
      <c r="S1302" s="84"/>
      <c r="T1302" s="13">
        <f t="shared" si="288"/>
        <v>126.4</v>
      </c>
      <c r="U1302" s="84">
        <f t="shared" ref="U1302" si="289">S1302+T1302</f>
        <v>126.4</v>
      </c>
    </row>
    <row r="1303" spans="1:22" ht="33">
      <c r="A1303" s="61" t="str">
        <f ca="1">IF(ISERROR(MATCH(F1303,Код_КВР,0)),"",INDIRECT(ADDRESS(MATCH(F1303,Код_КВР,0)+1,2,,,"КВР")))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303" s="126">
        <v>810</v>
      </c>
      <c r="C1303" s="8" t="s">
        <v>211</v>
      </c>
      <c r="D1303" s="8" t="s">
        <v>188</v>
      </c>
      <c r="E1303" s="126" t="s">
        <v>690</v>
      </c>
      <c r="F1303" s="126">
        <v>810</v>
      </c>
      <c r="G1303" s="69"/>
      <c r="H1303" s="69"/>
      <c r="I1303" s="69"/>
      <c r="J1303" s="69"/>
      <c r="K1303" s="84"/>
      <c r="L1303" s="13"/>
      <c r="M1303" s="84"/>
      <c r="N1303" s="13"/>
      <c r="O1303" s="84"/>
      <c r="P1303" s="13"/>
      <c r="Q1303" s="84"/>
      <c r="R1303" s="13"/>
      <c r="S1303" s="84"/>
      <c r="T1303" s="13">
        <v>126.4</v>
      </c>
      <c r="U1303" s="84">
        <f>S1303+T1303</f>
        <v>126.4</v>
      </c>
    </row>
    <row r="1304" spans="1:22">
      <c r="A1304" s="61" t="str">
        <f ca="1">IF(ISERROR(MATCH(C1304,Код_Раздел,0)),"",INDIRECT(ADDRESS(MATCH(C1304,Код_Раздел,0)+1,2,,,"Раздел")))</f>
        <v>Образование</v>
      </c>
      <c r="B1304" s="126">
        <v>810</v>
      </c>
      <c r="C1304" s="8" t="s">
        <v>193</v>
      </c>
      <c r="D1304" s="8"/>
      <c r="E1304" s="126"/>
      <c r="F1304" s="126"/>
      <c r="G1304" s="69">
        <f>G1305</f>
        <v>66536.100000000006</v>
      </c>
      <c r="H1304" s="69">
        <f>H1305</f>
        <v>0</v>
      </c>
      <c r="I1304" s="69">
        <f t="shared" si="283"/>
        <v>66536.100000000006</v>
      </c>
      <c r="J1304" s="69">
        <f>J1305</f>
        <v>-3297.1</v>
      </c>
      <c r="K1304" s="84">
        <f t="shared" si="279"/>
        <v>63239.000000000007</v>
      </c>
      <c r="L1304" s="13">
        <f>L1305</f>
        <v>-2965.2</v>
      </c>
      <c r="M1304" s="84">
        <f t="shared" si="277"/>
        <v>60273.80000000001</v>
      </c>
      <c r="N1304" s="13">
        <f>N1305</f>
        <v>0</v>
      </c>
      <c r="O1304" s="84">
        <f t="shared" si="278"/>
        <v>60273.80000000001</v>
      </c>
      <c r="P1304" s="13">
        <f>P1305</f>
        <v>0</v>
      </c>
      <c r="Q1304" s="84">
        <f t="shared" si="287"/>
        <v>60273.80000000001</v>
      </c>
      <c r="R1304" s="13">
        <f>R1305</f>
        <v>0</v>
      </c>
      <c r="S1304" s="84">
        <f t="shared" si="286"/>
        <v>60273.80000000001</v>
      </c>
      <c r="T1304" s="13">
        <f>T1305</f>
        <v>0</v>
      </c>
      <c r="U1304" s="84">
        <f t="shared" si="282"/>
        <v>60273.80000000001</v>
      </c>
    </row>
    <row r="1305" spans="1:22">
      <c r="A1305" s="12" t="s">
        <v>197</v>
      </c>
      <c r="B1305" s="126">
        <v>810</v>
      </c>
      <c r="C1305" s="8" t="s">
        <v>193</v>
      </c>
      <c r="D1305" s="8" t="s">
        <v>193</v>
      </c>
      <c r="E1305" s="126"/>
      <c r="F1305" s="126"/>
      <c r="G1305" s="69">
        <f>G1306</f>
        <v>66536.100000000006</v>
      </c>
      <c r="H1305" s="69">
        <f>H1306</f>
        <v>0</v>
      </c>
      <c r="I1305" s="69">
        <f t="shared" si="283"/>
        <v>66536.100000000006</v>
      </c>
      <c r="J1305" s="69">
        <f>J1306</f>
        <v>-3297.1</v>
      </c>
      <c r="K1305" s="84">
        <f t="shared" si="279"/>
        <v>63239.000000000007</v>
      </c>
      <c r="L1305" s="13">
        <f>L1306</f>
        <v>-2965.2</v>
      </c>
      <c r="M1305" s="84">
        <f t="shared" si="277"/>
        <v>60273.80000000001</v>
      </c>
      <c r="N1305" s="13">
        <f>N1306</f>
        <v>0</v>
      </c>
      <c r="O1305" s="84">
        <f t="shared" si="278"/>
        <v>60273.80000000001</v>
      </c>
      <c r="P1305" s="13">
        <f>P1306</f>
        <v>0</v>
      </c>
      <c r="Q1305" s="84">
        <f t="shared" si="287"/>
        <v>60273.80000000001</v>
      </c>
      <c r="R1305" s="13">
        <f>R1306</f>
        <v>0</v>
      </c>
      <c r="S1305" s="84">
        <f t="shared" si="286"/>
        <v>60273.80000000001</v>
      </c>
      <c r="T1305" s="13">
        <f>T1306</f>
        <v>0</v>
      </c>
      <c r="U1305" s="84">
        <f t="shared" si="282"/>
        <v>60273.80000000001</v>
      </c>
    </row>
    <row r="1306" spans="1:22" ht="33">
      <c r="A1306" s="61" t="str">
        <f ca="1">IF(ISERROR(MATCH(E1306,Код_КЦСР,0)),"",INDIRECT(ADDRESS(MATCH(E1306,Код_КЦСР,0)+1,2,,,"КЦСР")))</f>
        <v>Муниципальная программа «Социальная поддержка граждан» на 2014-2018 годы</v>
      </c>
      <c r="B1306" s="126">
        <v>810</v>
      </c>
      <c r="C1306" s="8" t="s">
        <v>193</v>
      </c>
      <c r="D1306" s="8" t="s">
        <v>193</v>
      </c>
      <c r="E1306" s="126" t="s">
        <v>5</v>
      </c>
      <c r="F1306" s="126"/>
      <c r="G1306" s="69">
        <f>G1307+G1311+G1317+G1321</f>
        <v>66536.100000000006</v>
      </c>
      <c r="H1306" s="69">
        <f>H1307+H1311+H1317+H1321</f>
        <v>0</v>
      </c>
      <c r="I1306" s="69">
        <f t="shared" si="283"/>
        <v>66536.100000000006</v>
      </c>
      <c r="J1306" s="69">
        <f>J1307+J1311+J1317+J1321</f>
        <v>-3297.1</v>
      </c>
      <c r="K1306" s="84">
        <f t="shared" si="279"/>
        <v>63239.000000000007</v>
      </c>
      <c r="L1306" s="13">
        <f>L1307+L1311+L1317+L1321</f>
        <v>-2965.2</v>
      </c>
      <c r="M1306" s="84">
        <f t="shared" si="277"/>
        <v>60273.80000000001</v>
      </c>
      <c r="N1306" s="13">
        <f>N1307+N1311+N1317+N1321</f>
        <v>0</v>
      </c>
      <c r="O1306" s="84">
        <f t="shared" si="278"/>
        <v>60273.80000000001</v>
      </c>
      <c r="P1306" s="13">
        <f>P1307+P1311+P1317+P1321</f>
        <v>0</v>
      </c>
      <c r="Q1306" s="84">
        <f t="shared" si="287"/>
        <v>60273.80000000001</v>
      </c>
      <c r="R1306" s="13">
        <f>R1307+R1311+R1317+R1321</f>
        <v>0</v>
      </c>
      <c r="S1306" s="84">
        <f t="shared" si="286"/>
        <v>60273.80000000001</v>
      </c>
      <c r="T1306" s="13">
        <f>T1307+T1311+T1317+T1321</f>
        <v>0</v>
      </c>
      <c r="U1306" s="84">
        <f t="shared" si="282"/>
        <v>60273.80000000001</v>
      </c>
    </row>
    <row r="1307" spans="1:22" ht="49.5">
      <c r="A1307" s="61" t="str">
        <f ca="1">IF(ISERROR(MATCH(E1307,Код_КЦСР,0)),"",INDIRECT(ADDRESS(MATCH(E1307,Код_КЦСР,0)+1,2,,,"КЦСР")))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307" s="126">
        <v>810</v>
      </c>
      <c r="C1307" s="8" t="s">
        <v>193</v>
      </c>
      <c r="D1307" s="8" t="s">
        <v>193</v>
      </c>
      <c r="E1307" s="126" t="s">
        <v>6</v>
      </c>
      <c r="F1307" s="126"/>
      <c r="G1307" s="69">
        <f t="shared" ref="G1307:T1309" si="290">G1308</f>
        <v>962.5</v>
      </c>
      <c r="H1307" s="69">
        <f t="shared" si="290"/>
        <v>0</v>
      </c>
      <c r="I1307" s="69">
        <f t="shared" si="283"/>
        <v>962.5</v>
      </c>
      <c r="J1307" s="69">
        <f t="shared" si="290"/>
        <v>0</v>
      </c>
      <c r="K1307" s="84">
        <f t="shared" si="279"/>
        <v>962.5</v>
      </c>
      <c r="L1307" s="13">
        <f t="shared" si="290"/>
        <v>0</v>
      </c>
      <c r="M1307" s="84">
        <f t="shared" si="277"/>
        <v>962.5</v>
      </c>
      <c r="N1307" s="13">
        <f t="shared" si="290"/>
        <v>0</v>
      </c>
      <c r="O1307" s="84">
        <f t="shared" si="278"/>
        <v>962.5</v>
      </c>
      <c r="P1307" s="13">
        <f t="shared" si="290"/>
        <v>0</v>
      </c>
      <c r="Q1307" s="84">
        <f t="shared" si="287"/>
        <v>962.5</v>
      </c>
      <c r="R1307" s="13">
        <f t="shared" si="290"/>
        <v>0</v>
      </c>
      <c r="S1307" s="84">
        <f t="shared" si="286"/>
        <v>962.5</v>
      </c>
      <c r="T1307" s="13">
        <f>T1308</f>
        <v>0</v>
      </c>
      <c r="U1307" s="84">
        <f t="shared" si="282"/>
        <v>962.5</v>
      </c>
    </row>
    <row r="1308" spans="1:22">
      <c r="A1308" s="61" t="str">
        <f ca="1">IF(ISERROR(MATCH(F1308,Код_КВР,0)),"",INDIRECT(ADDRESS(MATCH(F1308,Код_КВР,0)+1,2,,,"КВР")))</f>
        <v>Социальное обеспечение и иные выплаты населению</v>
      </c>
      <c r="B1308" s="126">
        <v>810</v>
      </c>
      <c r="C1308" s="8" t="s">
        <v>193</v>
      </c>
      <c r="D1308" s="8" t="s">
        <v>193</v>
      </c>
      <c r="E1308" s="126" t="s">
        <v>6</v>
      </c>
      <c r="F1308" s="126">
        <v>300</v>
      </c>
      <c r="G1308" s="69">
        <f t="shared" si="290"/>
        <v>962.5</v>
      </c>
      <c r="H1308" s="69">
        <f t="shared" si="290"/>
        <v>0</v>
      </c>
      <c r="I1308" s="69">
        <f t="shared" si="283"/>
        <v>962.5</v>
      </c>
      <c r="J1308" s="69">
        <f t="shared" si="290"/>
        <v>0</v>
      </c>
      <c r="K1308" s="84">
        <f t="shared" si="279"/>
        <v>962.5</v>
      </c>
      <c r="L1308" s="13">
        <f t="shared" si="290"/>
        <v>0</v>
      </c>
      <c r="M1308" s="84">
        <f t="shared" si="277"/>
        <v>962.5</v>
      </c>
      <c r="N1308" s="13">
        <f t="shared" si="290"/>
        <v>0</v>
      </c>
      <c r="O1308" s="84">
        <f t="shared" si="278"/>
        <v>962.5</v>
      </c>
      <c r="P1308" s="13">
        <f t="shared" si="290"/>
        <v>0</v>
      </c>
      <c r="Q1308" s="84">
        <f t="shared" si="287"/>
        <v>962.5</v>
      </c>
      <c r="R1308" s="13">
        <f t="shared" si="290"/>
        <v>0</v>
      </c>
      <c r="S1308" s="84">
        <f t="shared" si="286"/>
        <v>962.5</v>
      </c>
      <c r="T1308" s="13">
        <f t="shared" si="290"/>
        <v>0</v>
      </c>
      <c r="U1308" s="84">
        <f t="shared" si="282"/>
        <v>962.5</v>
      </c>
    </row>
    <row r="1309" spans="1:22" ht="33">
      <c r="A1309" s="61" t="str">
        <f ca="1">IF(ISERROR(MATCH(F1309,Код_КВР,0)),"",INDIRECT(ADDRESS(MATCH(F1309,Код_КВР,0)+1,2,,,"КВР")))</f>
        <v>Социальные выплаты гражданам, кроме публичных нормативных социальных выплат</v>
      </c>
      <c r="B1309" s="126">
        <v>810</v>
      </c>
      <c r="C1309" s="8" t="s">
        <v>193</v>
      </c>
      <c r="D1309" s="8" t="s">
        <v>193</v>
      </c>
      <c r="E1309" s="126" t="s">
        <v>6</v>
      </c>
      <c r="F1309" s="126">
        <v>320</v>
      </c>
      <c r="G1309" s="69">
        <f t="shared" si="290"/>
        <v>962.5</v>
      </c>
      <c r="H1309" s="69">
        <f t="shared" si="290"/>
        <v>0</v>
      </c>
      <c r="I1309" s="69">
        <f t="shared" si="283"/>
        <v>962.5</v>
      </c>
      <c r="J1309" s="69">
        <f t="shared" si="290"/>
        <v>0</v>
      </c>
      <c r="K1309" s="84">
        <f t="shared" si="279"/>
        <v>962.5</v>
      </c>
      <c r="L1309" s="13">
        <f t="shared" si="290"/>
        <v>0</v>
      </c>
      <c r="M1309" s="84">
        <f t="shared" si="277"/>
        <v>962.5</v>
      </c>
      <c r="N1309" s="13">
        <f t="shared" si="290"/>
        <v>0</v>
      </c>
      <c r="O1309" s="84">
        <f t="shared" si="278"/>
        <v>962.5</v>
      </c>
      <c r="P1309" s="13">
        <f t="shared" si="290"/>
        <v>0</v>
      </c>
      <c r="Q1309" s="84">
        <f t="shared" si="287"/>
        <v>962.5</v>
      </c>
      <c r="R1309" s="13">
        <f t="shared" si="290"/>
        <v>0</v>
      </c>
      <c r="S1309" s="84">
        <f t="shared" si="286"/>
        <v>962.5</v>
      </c>
      <c r="T1309" s="13">
        <f t="shared" si="290"/>
        <v>0</v>
      </c>
      <c r="U1309" s="84">
        <f t="shared" si="282"/>
        <v>962.5</v>
      </c>
    </row>
    <row r="1310" spans="1:22" ht="33">
      <c r="A1310" s="61" t="str">
        <f ca="1">IF(ISERROR(MATCH(F1310,Код_КВР,0)),"",INDIRECT(ADDRESS(MATCH(F1310,Код_КВР,0)+1,2,,,"КВР")))</f>
        <v>Приобретение товаров, работ, услуг в пользу граждан в целях их социального обеспечения</v>
      </c>
      <c r="B1310" s="126">
        <v>810</v>
      </c>
      <c r="C1310" s="8" t="s">
        <v>193</v>
      </c>
      <c r="D1310" s="8" t="s">
        <v>193</v>
      </c>
      <c r="E1310" s="126" t="s">
        <v>6</v>
      </c>
      <c r="F1310" s="126">
        <v>323</v>
      </c>
      <c r="G1310" s="69">
        <v>962.5</v>
      </c>
      <c r="H1310" s="69"/>
      <c r="I1310" s="69">
        <f t="shared" si="283"/>
        <v>962.5</v>
      </c>
      <c r="J1310" s="69"/>
      <c r="K1310" s="84">
        <f t="shared" si="279"/>
        <v>962.5</v>
      </c>
      <c r="L1310" s="13"/>
      <c r="M1310" s="84">
        <f t="shared" si="277"/>
        <v>962.5</v>
      </c>
      <c r="N1310" s="13"/>
      <c r="O1310" s="84">
        <f t="shared" si="278"/>
        <v>962.5</v>
      </c>
      <c r="P1310" s="13"/>
      <c r="Q1310" s="84">
        <f t="shared" si="287"/>
        <v>962.5</v>
      </c>
      <c r="R1310" s="13"/>
      <c r="S1310" s="84">
        <f t="shared" si="286"/>
        <v>962.5</v>
      </c>
      <c r="T1310" s="13"/>
      <c r="U1310" s="84">
        <f t="shared" si="282"/>
        <v>962.5</v>
      </c>
    </row>
    <row r="1311" spans="1:22" ht="65.25" customHeight="1">
      <c r="A1311" s="61" t="str">
        <f ca="1">IF(ISERROR(MATCH(E1311,Код_КЦСР,0)),"",INDIRECT(ADDRESS(MATCH(E1311,Код_КЦСР,0)+1,2,,,"КЦСР")))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311" s="126">
        <v>810</v>
      </c>
      <c r="C1311" s="8" t="s">
        <v>193</v>
      </c>
      <c r="D1311" s="8" t="s">
        <v>193</v>
      </c>
      <c r="E1311" s="126" t="s">
        <v>361</v>
      </c>
      <c r="F1311" s="126"/>
      <c r="G1311" s="69">
        <f t="shared" ref="G1311:T1313" si="291">G1312</f>
        <v>26528.400000000001</v>
      </c>
      <c r="H1311" s="69">
        <f t="shared" si="291"/>
        <v>0</v>
      </c>
      <c r="I1311" s="69">
        <f t="shared" si="283"/>
        <v>26528.400000000001</v>
      </c>
      <c r="J1311" s="69">
        <f>J1312+J1315</f>
        <v>0</v>
      </c>
      <c r="K1311" s="84">
        <f t="shared" si="279"/>
        <v>26528.400000000001</v>
      </c>
      <c r="L1311" s="13">
        <f>L1312+L1315</f>
        <v>-2965.2</v>
      </c>
      <c r="M1311" s="84">
        <f t="shared" si="277"/>
        <v>23563.200000000001</v>
      </c>
      <c r="N1311" s="13">
        <f>N1312+N1315</f>
        <v>0</v>
      </c>
      <c r="O1311" s="84">
        <f t="shared" si="278"/>
        <v>23563.200000000001</v>
      </c>
      <c r="P1311" s="13">
        <f>P1312+P1315</f>
        <v>0</v>
      </c>
      <c r="Q1311" s="84">
        <f t="shared" si="287"/>
        <v>23563.200000000001</v>
      </c>
      <c r="R1311" s="13">
        <f>R1312+R1315</f>
        <v>0</v>
      </c>
      <c r="S1311" s="84">
        <f t="shared" si="286"/>
        <v>23563.200000000001</v>
      </c>
      <c r="T1311" s="13">
        <f>T1312+T1315</f>
        <v>0</v>
      </c>
      <c r="U1311" s="84">
        <f t="shared" si="282"/>
        <v>23563.200000000001</v>
      </c>
    </row>
    <row r="1312" spans="1:22" hidden="1">
      <c r="A1312" s="61" t="str">
        <f ca="1">IF(ISERROR(MATCH(F1312,Код_КВР,0)),"",INDIRECT(ADDRESS(MATCH(F1312,Код_КВР,0)+1,2,,,"КВР")))</f>
        <v>Социальное обеспечение и иные выплаты населению</v>
      </c>
      <c r="B1312" s="100">
        <v>810</v>
      </c>
      <c r="C1312" s="8" t="s">
        <v>193</v>
      </c>
      <c r="D1312" s="8" t="s">
        <v>193</v>
      </c>
      <c r="E1312" s="100" t="s">
        <v>361</v>
      </c>
      <c r="F1312" s="100">
        <v>300</v>
      </c>
      <c r="G1312" s="69">
        <f t="shared" si="291"/>
        <v>26528.400000000001</v>
      </c>
      <c r="H1312" s="69">
        <f t="shared" si="291"/>
        <v>0</v>
      </c>
      <c r="I1312" s="69">
        <f t="shared" si="283"/>
        <v>26528.400000000001</v>
      </c>
      <c r="J1312" s="69">
        <f t="shared" si="291"/>
        <v>-26528.400000000001</v>
      </c>
      <c r="K1312" s="84">
        <f t="shared" si="279"/>
        <v>0</v>
      </c>
      <c r="L1312" s="13">
        <f t="shared" si="291"/>
        <v>0</v>
      </c>
      <c r="M1312" s="84">
        <f t="shared" si="277"/>
        <v>0</v>
      </c>
      <c r="N1312" s="13">
        <f t="shared" si="291"/>
        <v>0</v>
      </c>
      <c r="O1312" s="84">
        <f t="shared" si="278"/>
        <v>0</v>
      </c>
      <c r="P1312" s="13">
        <f t="shared" si="291"/>
        <v>0</v>
      </c>
      <c r="Q1312" s="84">
        <f t="shared" si="287"/>
        <v>0</v>
      </c>
      <c r="R1312" s="13">
        <f t="shared" si="291"/>
        <v>0</v>
      </c>
      <c r="S1312" s="84">
        <f t="shared" si="286"/>
        <v>0</v>
      </c>
      <c r="T1312" s="13">
        <f t="shared" si="291"/>
        <v>0</v>
      </c>
      <c r="U1312" s="84">
        <f t="shared" si="282"/>
        <v>0</v>
      </c>
      <c r="V1312" s="142" t="s">
        <v>706</v>
      </c>
    </row>
    <row r="1313" spans="1:22" ht="33" hidden="1">
      <c r="A1313" s="61" t="str">
        <f ca="1">IF(ISERROR(MATCH(F1313,Код_КВР,0)),"",INDIRECT(ADDRESS(MATCH(F1313,Код_КВР,0)+1,2,,,"КВР")))</f>
        <v>Социальные выплаты гражданам, кроме публичных нормативных социальных выплат</v>
      </c>
      <c r="B1313" s="100">
        <v>810</v>
      </c>
      <c r="C1313" s="8" t="s">
        <v>193</v>
      </c>
      <c r="D1313" s="8" t="s">
        <v>193</v>
      </c>
      <c r="E1313" s="100" t="s">
        <v>361</v>
      </c>
      <c r="F1313" s="100">
        <v>320</v>
      </c>
      <c r="G1313" s="69">
        <f t="shared" si="291"/>
        <v>26528.400000000001</v>
      </c>
      <c r="H1313" s="69">
        <f t="shared" si="291"/>
        <v>0</v>
      </c>
      <c r="I1313" s="69">
        <f t="shared" si="283"/>
        <v>26528.400000000001</v>
      </c>
      <c r="J1313" s="69">
        <f t="shared" si="291"/>
        <v>-26528.400000000001</v>
      </c>
      <c r="K1313" s="84">
        <f t="shared" si="279"/>
        <v>0</v>
      </c>
      <c r="L1313" s="13">
        <f t="shared" si="291"/>
        <v>0</v>
      </c>
      <c r="M1313" s="84">
        <f t="shared" si="277"/>
        <v>0</v>
      </c>
      <c r="N1313" s="13">
        <f t="shared" si="291"/>
        <v>0</v>
      </c>
      <c r="O1313" s="84">
        <f t="shared" si="278"/>
        <v>0</v>
      </c>
      <c r="P1313" s="13">
        <f t="shared" si="291"/>
        <v>0</v>
      </c>
      <c r="Q1313" s="84">
        <f t="shared" si="287"/>
        <v>0</v>
      </c>
      <c r="R1313" s="13">
        <f t="shared" si="291"/>
        <v>0</v>
      </c>
      <c r="S1313" s="84">
        <f t="shared" si="286"/>
        <v>0</v>
      </c>
      <c r="T1313" s="13">
        <f t="shared" si="291"/>
        <v>0</v>
      </c>
      <c r="U1313" s="84">
        <f t="shared" si="282"/>
        <v>0</v>
      </c>
      <c r="V1313" s="142" t="s">
        <v>706</v>
      </c>
    </row>
    <row r="1314" spans="1:22" ht="33" hidden="1">
      <c r="A1314" s="61" t="str">
        <f ca="1">IF(ISERROR(MATCH(F1314,Код_КВР,0)),"",INDIRECT(ADDRESS(MATCH(F1314,Код_КВР,0)+1,2,,,"КВР")))</f>
        <v>Приобретение товаров, работ, услуг в пользу граждан в целях их социального обеспечения</v>
      </c>
      <c r="B1314" s="100">
        <v>810</v>
      </c>
      <c r="C1314" s="8" t="s">
        <v>193</v>
      </c>
      <c r="D1314" s="8" t="s">
        <v>193</v>
      </c>
      <c r="E1314" s="100" t="s">
        <v>361</v>
      </c>
      <c r="F1314" s="100">
        <v>323</v>
      </c>
      <c r="G1314" s="69">
        <v>26528.400000000001</v>
      </c>
      <c r="H1314" s="69"/>
      <c r="I1314" s="69">
        <f t="shared" si="283"/>
        <v>26528.400000000001</v>
      </c>
      <c r="J1314" s="69">
        <v>-26528.400000000001</v>
      </c>
      <c r="K1314" s="84">
        <f t="shared" si="279"/>
        <v>0</v>
      </c>
      <c r="L1314" s="13"/>
      <c r="M1314" s="84">
        <f t="shared" si="277"/>
        <v>0</v>
      </c>
      <c r="N1314" s="13"/>
      <c r="O1314" s="84">
        <f t="shared" si="278"/>
        <v>0</v>
      </c>
      <c r="P1314" s="13"/>
      <c r="Q1314" s="84">
        <f t="shared" si="287"/>
        <v>0</v>
      </c>
      <c r="R1314" s="13"/>
      <c r="S1314" s="84">
        <f t="shared" si="286"/>
        <v>0</v>
      </c>
      <c r="T1314" s="13"/>
      <c r="U1314" s="84">
        <f t="shared" si="282"/>
        <v>0</v>
      </c>
      <c r="V1314" s="142" t="s">
        <v>706</v>
      </c>
    </row>
    <row r="1315" spans="1:22">
      <c r="A1315" s="61" t="str">
        <f ca="1">IF(ISERROR(MATCH(F1315,Код_КВР,0)),"",INDIRECT(ADDRESS(MATCH(F1315,Код_КВР,0)+1,2,,,"КВР")))</f>
        <v>Иные бюджетные ассигнования</v>
      </c>
      <c r="B1315" s="126">
        <v>810</v>
      </c>
      <c r="C1315" s="8" t="s">
        <v>193</v>
      </c>
      <c r="D1315" s="8" t="s">
        <v>193</v>
      </c>
      <c r="E1315" s="126" t="s">
        <v>361</v>
      </c>
      <c r="F1315" s="126">
        <v>800</v>
      </c>
      <c r="G1315" s="69"/>
      <c r="H1315" s="69"/>
      <c r="I1315" s="69"/>
      <c r="J1315" s="69">
        <f>J1316</f>
        <v>26528.400000000001</v>
      </c>
      <c r="K1315" s="84">
        <f t="shared" si="279"/>
        <v>26528.400000000001</v>
      </c>
      <c r="L1315" s="13">
        <f>L1316</f>
        <v>-2965.2</v>
      </c>
      <c r="M1315" s="84">
        <f t="shared" si="277"/>
        <v>23563.200000000001</v>
      </c>
      <c r="N1315" s="13">
        <f>N1316</f>
        <v>0</v>
      </c>
      <c r="O1315" s="84">
        <f t="shared" si="278"/>
        <v>23563.200000000001</v>
      </c>
      <c r="P1315" s="13">
        <f>P1316</f>
        <v>0</v>
      </c>
      <c r="Q1315" s="84">
        <f t="shared" si="287"/>
        <v>23563.200000000001</v>
      </c>
      <c r="R1315" s="13">
        <f>R1316</f>
        <v>0</v>
      </c>
      <c r="S1315" s="84">
        <f t="shared" si="286"/>
        <v>23563.200000000001</v>
      </c>
      <c r="T1315" s="13">
        <f>T1316</f>
        <v>0</v>
      </c>
      <c r="U1315" s="84">
        <f t="shared" si="282"/>
        <v>23563.200000000001</v>
      </c>
    </row>
    <row r="1316" spans="1:22" ht="33">
      <c r="A1316" s="61" t="str">
        <f ca="1">IF(ISERROR(MATCH(F1316,Код_КВР,0)),"",INDIRECT(ADDRESS(MATCH(F1316,Код_КВР,0)+1,2,,,"КВР")))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316" s="126">
        <v>810</v>
      </c>
      <c r="C1316" s="8" t="s">
        <v>193</v>
      </c>
      <c r="D1316" s="8" t="s">
        <v>193</v>
      </c>
      <c r="E1316" s="126" t="s">
        <v>361</v>
      </c>
      <c r="F1316" s="126">
        <v>810</v>
      </c>
      <c r="G1316" s="69"/>
      <c r="H1316" s="69"/>
      <c r="I1316" s="69"/>
      <c r="J1316" s="69">
        <v>26528.400000000001</v>
      </c>
      <c r="K1316" s="84">
        <f t="shared" si="279"/>
        <v>26528.400000000001</v>
      </c>
      <c r="L1316" s="13">
        <f>-2965.2</f>
        <v>-2965.2</v>
      </c>
      <c r="M1316" s="84">
        <f t="shared" si="277"/>
        <v>23563.200000000001</v>
      </c>
      <c r="N1316" s="13"/>
      <c r="O1316" s="84">
        <f t="shared" si="278"/>
        <v>23563.200000000001</v>
      </c>
      <c r="P1316" s="13"/>
      <c r="Q1316" s="84">
        <f t="shared" si="287"/>
        <v>23563.200000000001</v>
      </c>
      <c r="R1316" s="13"/>
      <c r="S1316" s="84">
        <f t="shared" si="286"/>
        <v>23563.200000000001</v>
      </c>
      <c r="T1316" s="13"/>
      <c r="U1316" s="84">
        <f>S1316+T1316</f>
        <v>23563.200000000001</v>
      </c>
    </row>
    <row r="1317" spans="1:22" ht="33">
      <c r="A1317" s="61" t="str">
        <f ca="1">IF(ISERROR(MATCH(E1317,Код_КЦСР,0)),"",INDIRECT(ADDRESS(MATCH(E1317,Код_КЦСР,0)+1,2,,,"КЦСР")))</f>
        <v>Мероприятия по проведению оздоровительной кампании детей за счет субвенций из федерального бюджета</v>
      </c>
      <c r="B1317" s="126">
        <v>810</v>
      </c>
      <c r="C1317" s="8" t="s">
        <v>193</v>
      </c>
      <c r="D1317" s="8" t="s">
        <v>193</v>
      </c>
      <c r="E1317" s="126" t="s">
        <v>419</v>
      </c>
      <c r="F1317" s="126"/>
      <c r="G1317" s="69">
        <f t="shared" ref="G1317:T1319" si="292">G1318</f>
        <v>4806</v>
      </c>
      <c r="H1317" s="69">
        <f t="shared" si="292"/>
        <v>0</v>
      </c>
      <c r="I1317" s="69">
        <f t="shared" si="283"/>
        <v>4806</v>
      </c>
      <c r="J1317" s="69">
        <f t="shared" si="292"/>
        <v>0</v>
      </c>
      <c r="K1317" s="84">
        <f t="shared" si="279"/>
        <v>4806</v>
      </c>
      <c r="L1317" s="13">
        <f t="shared" si="292"/>
        <v>0</v>
      </c>
      <c r="M1317" s="84">
        <f t="shared" si="277"/>
        <v>4806</v>
      </c>
      <c r="N1317" s="13">
        <f t="shared" si="292"/>
        <v>0</v>
      </c>
      <c r="O1317" s="84">
        <f t="shared" si="278"/>
        <v>4806</v>
      </c>
      <c r="P1317" s="13">
        <f t="shared" si="292"/>
        <v>0</v>
      </c>
      <c r="Q1317" s="84">
        <f t="shared" si="287"/>
        <v>4806</v>
      </c>
      <c r="R1317" s="13">
        <f t="shared" si="292"/>
        <v>0</v>
      </c>
      <c r="S1317" s="84">
        <f t="shared" si="286"/>
        <v>4806</v>
      </c>
      <c r="T1317" s="13">
        <f t="shared" si="292"/>
        <v>0</v>
      </c>
      <c r="U1317" s="84">
        <f t="shared" si="282"/>
        <v>4806</v>
      </c>
    </row>
    <row r="1318" spans="1:22">
      <c r="A1318" s="61" t="str">
        <f ca="1">IF(ISERROR(MATCH(F1318,Код_КВР,0)),"",INDIRECT(ADDRESS(MATCH(F1318,Код_КВР,0)+1,2,,,"КВР")))</f>
        <v>Социальное обеспечение и иные выплаты населению</v>
      </c>
      <c r="B1318" s="126">
        <v>810</v>
      </c>
      <c r="C1318" s="8" t="s">
        <v>193</v>
      </c>
      <c r="D1318" s="8" t="s">
        <v>193</v>
      </c>
      <c r="E1318" s="126" t="s">
        <v>419</v>
      </c>
      <c r="F1318" s="126">
        <v>300</v>
      </c>
      <c r="G1318" s="69">
        <f t="shared" si="292"/>
        <v>4806</v>
      </c>
      <c r="H1318" s="69">
        <f t="shared" si="292"/>
        <v>0</v>
      </c>
      <c r="I1318" s="69">
        <f t="shared" si="283"/>
        <v>4806</v>
      </c>
      <c r="J1318" s="69">
        <f t="shared" si="292"/>
        <v>0</v>
      </c>
      <c r="K1318" s="84">
        <f t="shared" si="279"/>
        <v>4806</v>
      </c>
      <c r="L1318" s="13">
        <f t="shared" si="292"/>
        <v>0</v>
      </c>
      <c r="M1318" s="84">
        <f t="shared" si="277"/>
        <v>4806</v>
      </c>
      <c r="N1318" s="13">
        <f t="shared" si="292"/>
        <v>0</v>
      </c>
      <c r="O1318" s="84">
        <f t="shared" si="278"/>
        <v>4806</v>
      </c>
      <c r="P1318" s="13">
        <f t="shared" si="292"/>
        <v>0</v>
      </c>
      <c r="Q1318" s="84">
        <f t="shared" si="287"/>
        <v>4806</v>
      </c>
      <c r="R1318" s="13">
        <f t="shared" si="292"/>
        <v>0</v>
      </c>
      <c r="S1318" s="84">
        <f t="shared" si="286"/>
        <v>4806</v>
      </c>
      <c r="T1318" s="13">
        <f t="shared" si="292"/>
        <v>0</v>
      </c>
      <c r="U1318" s="84">
        <f t="shared" si="282"/>
        <v>4806</v>
      </c>
    </row>
    <row r="1319" spans="1:22" ht="33">
      <c r="A1319" s="61" t="str">
        <f ca="1">IF(ISERROR(MATCH(F1319,Код_КВР,0)),"",INDIRECT(ADDRESS(MATCH(F1319,Код_КВР,0)+1,2,,,"КВР")))</f>
        <v>Социальные выплаты гражданам, кроме публичных нормативных социальных выплат</v>
      </c>
      <c r="B1319" s="126">
        <v>810</v>
      </c>
      <c r="C1319" s="8" t="s">
        <v>193</v>
      </c>
      <c r="D1319" s="8" t="s">
        <v>193</v>
      </c>
      <c r="E1319" s="126" t="s">
        <v>419</v>
      </c>
      <c r="F1319" s="126">
        <v>320</v>
      </c>
      <c r="G1319" s="69">
        <f t="shared" si="292"/>
        <v>4806</v>
      </c>
      <c r="H1319" s="69">
        <f t="shared" si="292"/>
        <v>0</v>
      </c>
      <c r="I1319" s="69">
        <f t="shared" si="283"/>
        <v>4806</v>
      </c>
      <c r="J1319" s="69">
        <f t="shared" si="292"/>
        <v>0</v>
      </c>
      <c r="K1319" s="84">
        <f t="shared" si="279"/>
        <v>4806</v>
      </c>
      <c r="L1319" s="13">
        <f t="shared" si="292"/>
        <v>0</v>
      </c>
      <c r="M1319" s="84">
        <f t="shared" si="277"/>
        <v>4806</v>
      </c>
      <c r="N1319" s="13">
        <f t="shared" si="292"/>
        <v>0</v>
      </c>
      <c r="O1319" s="84">
        <f t="shared" si="278"/>
        <v>4806</v>
      </c>
      <c r="P1319" s="13">
        <f t="shared" si="292"/>
        <v>0</v>
      </c>
      <c r="Q1319" s="84">
        <f t="shared" si="287"/>
        <v>4806</v>
      </c>
      <c r="R1319" s="13">
        <f t="shared" si="292"/>
        <v>0</v>
      </c>
      <c r="S1319" s="84">
        <f t="shared" si="286"/>
        <v>4806</v>
      </c>
      <c r="T1319" s="13">
        <f t="shared" si="292"/>
        <v>0</v>
      </c>
      <c r="U1319" s="84">
        <f t="shared" si="282"/>
        <v>4806</v>
      </c>
    </row>
    <row r="1320" spans="1:22" ht="33">
      <c r="A1320" s="61" t="str">
        <f ca="1">IF(ISERROR(MATCH(F1320,Код_КВР,0)),"",INDIRECT(ADDRESS(MATCH(F1320,Код_КВР,0)+1,2,,,"КВР")))</f>
        <v>Приобретение товаров, работ, услуг в пользу граждан в целях их социального обеспечения</v>
      </c>
      <c r="B1320" s="126">
        <v>810</v>
      </c>
      <c r="C1320" s="8" t="s">
        <v>193</v>
      </c>
      <c r="D1320" s="8" t="s">
        <v>193</v>
      </c>
      <c r="E1320" s="126" t="s">
        <v>419</v>
      </c>
      <c r="F1320" s="126">
        <v>323</v>
      </c>
      <c r="G1320" s="69">
        <v>4806</v>
      </c>
      <c r="H1320" s="69"/>
      <c r="I1320" s="69">
        <f t="shared" si="283"/>
        <v>4806</v>
      </c>
      <c r="J1320" s="69"/>
      <c r="K1320" s="84">
        <f t="shared" si="279"/>
        <v>4806</v>
      </c>
      <c r="L1320" s="13"/>
      <c r="M1320" s="84">
        <f t="shared" si="277"/>
        <v>4806</v>
      </c>
      <c r="N1320" s="13"/>
      <c r="O1320" s="84">
        <f t="shared" si="278"/>
        <v>4806</v>
      </c>
      <c r="P1320" s="13"/>
      <c r="Q1320" s="84">
        <f t="shared" si="287"/>
        <v>4806</v>
      </c>
      <c r="R1320" s="13"/>
      <c r="S1320" s="84">
        <f t="shared" si="286"/>
        <v>4806</v>
      </c>
      <c r="T1320" s="13"/>
      <c r="U1320" s="84">
        <f t="shared" si="282"/>
        <v>4806</v>
      </c>
    </row>
    <row r="1321" spans="1:22" ht="86.25" customHeight="1">
      <c r="A1321" s="61" t="str">
        <f ca="1">IF(ISERROR(MATCH(E1321,Код_КЦСР,0)),"",INDIRECT(ADDRESS(MATCH(E1321,Код_КЦСР,0)+1,2,,,"КЦСР")))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21" s="126">
        <v>810</v>
      </c>
      <c r="C1321" s="8" t="s">
        <v>193</v>
      </c>
      <c r="D1321" s="8" t="s">
        <v>193</v>
      </c>
      <c r="E1321" s="126" t="s">
        <v>402</v>
      </c>
      <c r="F1321" s="126"/>
      <c r="G1321" s="69">
        <f t="shared" ref="G1321:T1323" si="293">G1322</f>
        <v>34239.200000000004</v>
      </c>
      <c r="H1321" s="69">
        <f t="shared" si="293"/>
        <v>0</v>
      </c>
      <c r="I1321" s="69">
        <f t="shared" si="283"/>
        <v>34239.200000000004</v>
      </c>
      <c r="J1321" s="69">
        <f t="shared" si="293"/>
        <v>-3297.1</v>
      </c>
      <c r="K1321" s="84">
        <f t="shared" si="279"/>
        <v>30942.100000000006</v>
      </c>
      <c r="L1321" s="13">
        <f t="shared" si="293"/>
        <v>0</v>
      </c>
      <c r="M1321" s="84">
        <f t="shared" si="277"/>
        <v>30942.100000000006</v>
      </c>
      <c r="N1321" s="13">
        <f t="shared" si="293"/>
        <v>0</v>
      </c>
      <c r="O1321" s="84">
        <f t="shared" si="278"/>
        <v>30942.100000000006</v>
      </c>
      <c r="P1321" s="13">
        <f t="shared" si="293"/>
        <v>0</v>
      </c>
      <c r="Q1321" s="84">
        <f t="shared" si="287"/>
        <v>30942.100000000006</v>
      </c>
      <c r="R1321" s="13">
        <f t="shared" si="293"/>
        <v>0</v>
      </c>
      <c r="S1321" s="84">
        <f t="shared" si="286"/>
        <v>30942.100000000006</v>
      </c>
      <c r="T1321" s="13">
        <f t="shared" si="293"/>
        <v>0</v>
      </c>
      <c r="U1321" s="84">
        <f t="shared" si="282"/>
        <v>30942.100000000006</v>
      </c>
    </row>
    <row r="1322" spans="1:22">
      <c r="A1322" s="61" t="str">
        <f ca="1">IF(ISERROR(MATCH(F1322,Код_КВР,0)),"",INDIRECT(ADDRESS(MATCH(F1322,Код_КВР,0)+1,2,,,"КВР")))</f>
        <v>Социальное обеспечение и иные выплаты населению</v>
      </c>
      <c r="B1322" s="126">
        <v>810</v>
      </c>
      <c r="C1322" s="8" t="s">
        <v>193</v>
      </c>
      <c r="D1322" s="8" t="s">
        <v>193</v>
      </c>
      <c r="E1322" s="126" t="s">
        <v>402</v>
      </c>
      <c r="F1322" s="126">
        <v>300</v>
      </c>
      <c r="G1322" s="69">
        <f t="shared" si="293"/>
        <v>34239.200000000004</v>
      </c>
      <c r="H1322" s="69">
        <f t="shared" si="293"/>
        <v>0</v>
      </c>
      <c r="I1322" s="69">
        <f t="shared" si="283"/>
        <v>34239.200000000004</v>
      </c>
      <c r="J1322" s="69">
        <f t="shared" si="293"/>
        <v>-3297.1</v>
      </c>
      <c r="K1322" s="84">
        <f t="shared" si="279"/>
        <v>30942.100000000006</v>
      </c>
      <c r="L1322" s="13">
        <f t="shared" si="293"/>
        <v>0</v>
      </c>
      <c r="M1322" s="84">
        <f t="shared" si="277"/>
        <v>30942.100000000006</v>
      </c>
      <c r="N1322" s="13">
        <f t="shared" si="293"/>
        <v>0</v>
      </c>
      <c r="O1322" s="84">
        <f t="shared" si="278"/>
        <v>30942.100000000006</v>
      </c>
      <c r="P1322" s="13">
        <f t="shared" si="293"/>
        <v>0</v>
      </c>
      <c r="Q1322" s="84">
        <f t="shared" si="287"/>
        <v>30942.100000000006</v>
      </c>
      <c r="R1322" s="13">
        <f t="shared" si="293"/>
        <v>0</v>
      </c>
      <c r="S1322" s="84">
        <f t="shared" si="286"/>
        <v>30942.100000000006</v>
      </c>
      <c r="T1322" s="13">
        <f t="shared" si="293"/>
        <v>0</v>
      </c>
      <c r="U1322" s="84">
        <f t="shared" si="282"/>
        <v>30942.100000000006</v>
      </c>
    </row>
    <row r="1323" spans="1:22" ht="33">
      <c r="A1323" s="61" t="str">
        <f ca="1">IF(ISERROR(MATCH(F1323,Код_КВР,0)),"",INDIRECT(ADDRESS(MATCH(F1323,Код_КВР,0)+1,2,,,"КВР")))</f>
        <v>Социальные выплаты гражданам, кроме публичных нормативных социальных выплат</v>
      </c>
      <c r="B1323" s="126">
        <v>810</v>
      </c>
      <c r="C1323" s="8" t="s">
        <v>193</v>
      </c>
      <c r="D1323" s="8" t="s">
        <v>193</v>
      </c>
      <c r="E1323" s="126" t="s">
        <v>402</v>
      </c>
      <c r="F1323" s="126">
        <v>320</v>
      </c>
      <c r="G1323" s="69">
        <f t="shared" si="293"/>
        <v>34239.200000000004</v>
      </c>
      <c r="H1323" s="69">
        <f t="shared" si="293"/>
        <v>0</v>
      </c>
      <c r="I1323" s="69">
        <f t="shared" si="283"/>
        <v>34239.200000000004</v>
      </c>
      <c r="J1323" s="69">
        <f t="shared" si="293"/>
        <v>-3297.1</v>
      </c>
      <c r="K1323" s="84">
        <f t="shared" si="279"/>
        <v>30942.100000000006</v>
      </c>
      <c r="L1323" s="13">
        <f t="shared" si="293"/>
        <v>0</v>
      </c>
      <c r="M1323" s="84">
        <f t="shared" si="277"/>
        <v>30942.100000000006</v>
      </c>
      <c r="N1323" s="13">
        <f t="shared" si="293"/>
        <v>0</v>
      </c>
      <c r="O1323" s="84">
        <f t="shared" si="278"/>
        <v>30942.100000000006</v>
      </c>
      <c r="P1323" s="13">
        <f t="shared" si="293"/>
        <v>0</v>
      </c>
      <c r="Q1323" s="84">
        <f t="shared" si="287"/>
        <v>30942.100000000006</v>
      </c>
      <c r="R1323" s="13">
        <f t="shared" si="293"/>
        <v>0</v>
      </c>
      <c r="S1323" s="84">
        <f t="shared" si="286"/>
        <v>30942.100000000006</v>
      </c>
      <c r="T1323" s="13">
        <f t="shared" si="293"/>
        <v>0</v>
      </c>
      <c r="U1323" s="84">
        <f t="shared" si="282"/>
        <v>30942.100000000006</v>
      </c>
    </row>
    <row r="1324" spans="1:22" ht="33">
      <c r="A1324" s="61" t="str">
        <f ca="1">IF(ISERROR(MATCH(F1324,Код_КВР,0)),"",INDIRECT(ADDRESS(MATCH(F1324,Код_КВР,0)+1,2,,,"КВР")))</f>
        <v>Приобретение товаров, работ, услуг в пользу граждан в целях их социального обеспечения</v>
      </c>
      <c r="B1324" s="126">
        <v>810</v>
      </c>
      <c r="C1324" s="8" t="s">
        <v>193</v>
      </c>
      <c r="D1324" s="8" t="s">
        <v>193</v>
      </c>
      <c r="E1324" s="126" t="s">
        <v>402</v>
      </c>
      <c r="F1324" s="126">
        <v>323</v>
      </c>
      <c r="G1324" s="69">
        <f>33765.8+473.4</f>
        <v>34239.200000000004</v>
      </c>
      <c r="H1324" s="69"/>
      <c r="I1324" s="69">
        <f t="shared" si="283"/>
        <v>34239.200000000004</v>
      </c>
      <c r="J1324" s="69">
        <v>-3297.1</v>
      </c>
      <c r="K1324" s="84">
        <f t="shared" si="279"/>
        <v>30942.100000000006</v>
      </c>
      <c r="L1324" s="13"/>
      <c r="M1324" s="84">
        <f t="shared" si="277"/>
        <v>30942.100000000006</v>
      </c>
      <c r="N1324" s="13"/>
      <c r="O1324" s="84">
        <f t="shared" si="278"/>
        <v>30942.100000000006</v>
      </c>
      <c r="P1324" s="13"/>
      <c r="Q1324" s="84">
        <f t="shared" si="287"/>
        <v>30942.100000000006</v>
      </c>
      <c r="R1324" s="13"/>
      <c r="S1324" s="84">
        <f t="shared" si="286"/>
        <v>30942.100000000006</v>
      </c>
      <c r="T1324" s="13"/>
      <c r="U1324" s="84">
        <f t="shared" si="282"/>
        <v>30942.100000000006</v>
      </c>
    </row>
    <row r="1325" spans="1:22">
      <c r="A1325" s="61" t="str">
        <f ca="1">IF(ISERROR(MATCH(C1325,Код_Раздел,0)),"",INDIRECT(ADDRESS(MATCH(C1325,Код_Раздел,0)+1,2,,,"Раздел")))</f>
        <v>Социальная политика</v>
      </c>
      <c r="B1325" s="126">
        <v>810</v>
      </c>
      <c r="C1325" s="8" t="s">
        <v>186</v>
      </c>
      <c r="D1325" s="8"/>
      <c r="E1325" s="126"/>
      <c r="F1325" s="126"/>
      <c r="G1325" s="69">
        <f>G1326+G1337+G1415</f>
        <v>830605.20000000007</v>
      </c>
      <c r="H1325" s="69">
        <f>H1326+H1337+H1415</f>
        <v>0</v>
      </c>
      <c r="I1325" s="69">
        <f t="shared" si="283"/>
        <v>830605.20000000007</v>
      </c>
      <c r="J1325" s="69">
        <f>J1326+J1337+J1415</f>
        <v>-718.2</v>
      </c>
      <c r="K1325" s="84">
        <f t="shared" si="279"/>
        <v>829887.00000000012</v>
      </c>
      <c r="L1325" s="13">
        <f>L1326+L1337+L1415</f>
        <v>-825</v>
      </c>
      <c r="M1325" s="84">
        <f t="shared" si="277"/>
        <v>829062.00000000012</v>
      </c>
      <c r="N1325" s="13">
        <f>N1326+N1337+N1415</f>
        <v>432</v>
      </c>
      <c r="O1325" s="84">
        <f t="shared" si="278"/>
        <v>829494.00000000012</v>
      </c>
      <c r="P1325" s="13">
        <f>P1326+P1337+P1415</f>
        <v>0</v>
      </c>
      <c r="Q1325" s="84">
        <f t="shared" si="287"/>
        <v>829494.00000000012</v>
      </c>
      <c r="R1325" s="13">
        <f>R1326+R1337+R1415</f>
        <v>67232.499999999985</v>
      </c>
      <c r="S1325" s="84">
        <f t="shared" si="286"/>
        <v>896726.50000000012</v>
      </c>
      <c r="T1325" s="13">
        <f>T1326+T1337+T1415</f>
        <v>46570.900000000009</v>
      </c>
      <c r="U1325" s="84">
        <f t="shared" si="282"/>
        <v>943297.40000000014</v>
      </c>
    </row>
    <row r="1326" spans="1:22">
      <c r="A1326" s="12" t="s">
        <v>256</v>
      </c>
      <c r="B1326" s="126">
        <v>810</v>
      </c>
      <c r="C1326" s="8" t="s">
        <v>186</v>
      </c>
      <c r="D1326" s="8" t="s">
        <v>212</v>
      </c>
      <c r="E1326" s="126"/>
      <c r="F1326" s="126"/>
      <c r="G1326" s="69">
        <f t="shared" ref="G1326:T1333" si="294">G1327</f>
        <v>114241.1</v>
      </c>
      <c r="H1326" s="69">
        <f t="shared" si="294"/>
        <v>0</v>
      </c>
      <c r="I1326" s="69">
        <f t="shared" si="283"/>
        <v>114241.1</v>
      </c>
      <c r="J1326" s="69">
        <f t="shared" si="294"/>
        <v>0</v>
      </c>
      <c r="K1326" s="84">
        <f t="shared" si="279"/>
        <v>114241.1</v>
      </c>
      <c r="L1326" s="13">
        <f t="shared" si="294"/>
        <v>0</v>
      </c>
      <c r="M1326" s="84">
        <f t="shared" si="277"/>
        <v>114241.1</v>
      </c>
      <c r="N1326" s="13">
        <f t="shared" si="294"/>
        <v>0</v>
      </c>
      <c r="O1326" s="84">
        <f t="shared" si="278"/>
        <v>114241.1</v>
      </c>
      <c r="P1326" s="13">
        <f t="shared" si="294"/>
        <v>365.3</v>
      </c>
      <c r="Q1326" s="84">
        <f t="shared" si="287"/>
        <v>114606.40000000001</v>
      </c>
      <c r="R1326" s="13">
        <f t="shared" si="294"/>
        <v>-22258.799999999999</v>
      </c>
      <c r="S1326" s="84">
        <f t="shared" si="286"/>
        <v>92347.6</v>
      </c>
      <c r="T1326" s="13">
        <f>T1327</f>
        <v>1426.2</v>
      </c>
      <c r="U1326" s="84">
        <f t="shared" si="282"/>
        <v>93773.8</v>
      </c>
    </row>
    <row r="1327" spans="1:22" ht="33">
      <c r="A1327" s="61" t="str">
        <f ca="1">IF(ISERROR(MATCH(E1327,Код_КЦСР,0)),"",INDIRECT(ADDRESS(MATCH(E1327,Код_КЦСР,0)+1,2,,,"КЦСР")))</f>
        <v>Муниципальная программа «Социальная поддержка граждан» на 2014-2018 годы</v>
      </c>
      <c r="B1327" s="126">
        <v>810</v>
      </c>
      <c r="C1327" s="8" t="s">
        <v>186</v>
      </c>
      <c r="D1327" s="8" t="s">
        <v>212</v>
      </c>
      <c r="E1327" s="126" t="s">
        <v>5</v>
      </c>
      <c r="F1327" s="126"/>
      <c r="G1327" s="69">
        <f>G1332</f>
        <v>114241.1</v>
      </c>
      <c r="H1327" s="69">
        <f>H1332</f>
        <v>0</v>
      </c>
      <c r="I1327" s="69">
        <f t="shared" si="283"/>
        <v>114241.1</v>
      </c>
      <c r="J1327" s="69">
        <f>J1332</f>
        <v>0</v>
      </c>
      <c r="K1327" s="84">
        <f t="shared" si="279"/>
        <v>114241.1</v>
      </c>
      <c r="L1327" s="13">
        <f>L1332</f>
        <v>0</v>
      </c>
      <c r="M1327" s="84">
        <f t="shared" si="277"/>
        <v>114241.1</v>
      </c>
      <c r="N1327" s="13">
        <f>N1332</f>
        <v>0</v>
      </c>
      <c r="O1327" s="84">
        <f t="shared" si="278"/>
        <v>114241.1</v>
      </c>
      <c r="P1327" s="13">
        <f>P1332</f>
        <v>365.3</v>
      </c>
      <c r="Q1327" s="84">
        <f t="shared" si="287"/>
        <v>114606.40000000001</v>
      </c>
      <c r="R1327" s="13">
        <f>R1332+R1328</f>
        <v>-22258.799999999999</v>
      </c>
      <c r="S1327" s="84">
        <f t="shared" si="286"/>
        <v>92347.6</v>
      </c>
      <c r="T1327" s="13">
        <f>T1332+T1328</f>
        <v>1426.2</v>
      </c>
      <c r="U1327" s="84">
        <f t="shared" si="282"/>
        <v>93773.8</v>
      </c>
    </row>
    <row r="1328" spans="1:22" ht="48" customHeight="1">
      <c r="A1328" s="61" t="str">
        <f ca="1">IF(ISERROR(MATCH(E1328,Код_КЦСР,0)),"",INDIRECT(ADDRESS(MATCH(E1328,Код_КЦСР,0)+1,2,,,"КЦСР")))</f>
        <v>Мероприятия государственной программы Российской Федерации «Доступная среда» на 2011-2015 годы за счет средств федерального бюджета</v>
      </c>
      <c r="B1328" s="126">
        <v>810</v>
      </c>
      <c r="C1328" s="8" t="s">
        <v>186</v>
      </c>
      <c r="D1328" s="8" t="s">
        <v>212</v>
      </c>
      <c r="E1328" s="126" t="s">
        <v>638</v>
      </c>
      <c r="F1328" s="126"/>
      <c r="G1328" s="69"/>
      <c r="H1328" s="69"/>
      <c r="I1328" s="69"/>
      <c r="J1328" s="69"/>
      <c r="K1328" s="84"/>
      <c r="L1328" s="13"/>
      <c r="M1328" s="84"/>
      <c r="N1328" s="13"/>
      <c r="O1328" s="84"/>
      <c r="P1328" s="13"/>
      <c r="Q1328" s="84"/>
      <c r="R1328" s="13">
        <f>R1329</f>
        <v>290</v>
      </c>
      <c r="S1328" s="84">
        <f t="shared" si="286"/>
        <v>290</v>
      </c>
      <c r="T1328" s="13">
        <f>T1329</f>
        <v>0</v>
      </c>
      <c r="U1328" s="84">
        <f t="shared" si="282"/>
        <v>290</v>
      </c>
    </row>
    <row r="1329" spans="1:22" ht="33">
      <c r="A1329" s="61" t="str">
        <f ca="1">IF(ISERROR(MATCH(F1329,Код_КВР,0)),"",INDIRECT(ADDRESS(MATCH(F1329,Код_КВР,0)+1,2,,,"КВР")))</f>
        <v>Предоставление субсидий бюджетным, автономным учреждениям и иным некоммерческим организациям</v>
      </c>
      <c r="B1329" s="126">
        <v>810</v>
      </c>
      <c r="C1329" s="8" t="s">
        <v>186</v>
      </c>
      <c r="D1329" s="8" t="s">
        <v>212</v>
      </c>
      <c r="E1329" s="126" t="s">
        <v>638</v>
      </c>
      <c r="F1329" s="126">
        <v>600</v>
      </c>
      <c r="G1329" s="69"/>
      <c r="H1329" s="69"/>
      <c r="I1329" s="69"/>
      <c r="J1329" s="69"/>
      <c r="K1329" s="84"/>
      <c r="L1329" s="13"/>
      <c r="M1329" s="84"/>
      <c r="N1329" s="13"/>
      <c r="O1329" s="84"/>
      <c r="P1329" s="13"/>
      <c r="Q1329" s="84"/>
      <c r="R1329" s="13">
        <f>R1330</f>
        <v>290</v>
      </c>
      <c r="S1329" s="84">
        <f t="shared" si="286"/>
        <v>290</v>
      </c>
      <c r="T1329" s="13">
        <f>T1330</f>
        <v>0</v>
      </c>
      <c r="U1329" s="84">
        <f t="shared" si="282"/>
        <v>290</v>
      </c>
    </row>
    <row r="1330" spans="1:22" ht="27.2" customHeight="1">
      <c r="A1330" s="61" t="str">
        <f ca="1">IF(ISERROR(MATCH(F1330,Код_КВР,0)),"",INDIRECT(ADDRESS(MATCH(F1330,Код_КВР,0)+1,2,,,"КВР")))</f>
        <v>Субсидии бюджетным учреждениям</v>
      </c>
      <c r="B1330" s="126">
        <v>810</v>
      </c>
      <c r="C1330" s="8" t="s">
        <v>186</v>
      </c>
      <c r="D1330" s="8" t="s">
        <v>212</v>
      </c>
      <c r="E1330" s="126" t="s">
        <v>638</v>
      </c>
      <c r="F1330" s="126">
        <v>610</v>
      </c>
      <c r="G1330" s="69"/>
      <c r="H1330" s="69"/>
      <c r="I1330" s="69"/>
      <c r="J1330" s="69"/>
      <c r="K1330" s="84"/>
      <c r="L1330" s="13"/>
      <c r="M1330" s="84"/>
      <c r="N1330" s="13"/>
      <c r="O1330" s="84"/>
      <c r="P1330" s="13"/>
      <c r="Q1330" s="84"/>
      <c r="R1330" s="13">
        <f>R1331</f>
        <v>290</v>
      </c>
      <c r="S1330" s="84">
        <f t="shared" si="286"/>
        <v>290</v>
      </c>
      <c r="T1330" s="13">
        <f>T1331</f>
        <v>0</v>
      </c>
      <c r="U1330" s="84">
        <f t="shared" si="282"/>
        <v>290</v>
      </c>
    </row>
    <row r="1331" spans="1:22" ht="23.25" customHeight="1">
      <c r="A1331" s="61" t="str">
        <f ca="1">IF(ISERROR(MATCH(F1331,Код_КВР,0)),"",INDIRECT(ADDRESS(MATCH(F1331,Код_КВР,0)+1,2,,,"КВР")))</f>
        <v>Субсидии бюджетным учреждениям на иные цели</v>
      </c>
      <c r="B1331" s="126">
        <v>810</v>
      </c>
      <c r="C1331" s="8" t="s">
        <v>186</v>
      </c>
      <c r="D1331" s="8" t="s">
        <v>212</v>
      </c>
      <c r="E1331" s="126" t="s">
        <v>638</v>
      </c>
      <c r="F1331" s="126">
        <v>612</v>
      </c>
      <c r="G1331" s="69"/>
      <c r="H1331" s="69"/>
      <c r="I1331" s="69"/>
      <c r="J1331" s="69"/>
      <c r="K1331" s="84"/>
      <c r="L1331" s="13"/>
      <c r="M1331" s="84"/>
      <c r="N1331" s="13"/>
      <c r="O1331" s="84"/>
      <c r="P1331" s="13"/>
      <c r="Q1331" s="84"/>
      <c r="R1331" s="13">
        <f>290</f>
        <v>290</v>
      </c>
      <c r="S1331" s="84">
        <f t="shared" si="286"/>
        <v>290</v>
      </c>
      <c r="T1331" s="13"/>
      <c r="U1331" s="84">
        <f t="shared" si="282"/>
        <v>290</v>
      </c>
    </row>
    <row r="1332" spans="1:22" ht="84.75" customHeight="1">
      <c r="A1332" s="61" t="str">
        <f ca="1">IF(ISERROR(MATCH(E1332,Код_КЦСР,0)),"",INDIRECT(ADDRESS(MATCH(E1332,Код_КЦСР,0)+1,2,,,"КЦСР")))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32" s="126">
        <v>810</v>
      </c>
      <c r="C1332" s="8" t="s">
        <v>186</v>
      </c>
      <c r="D1332" s="8" t="s">
        <v>212</v>
      </c>
      <c r="E1332" s="126" t="s">
        <v>402</v>
      </c>
      <c r="F1332" s="126"/>
      <c r="G1332" s="69">
        <f t="shared" si="294"/>
        <v>114241.1</v>
      </c>
      <c r="H1332" s="69">
        <f t="shared" si="294"/>
        <v>0</v>
      </c>
      <c r="I1332" s="69">
        <f t="shared" si="283"/>
        <v>114241.1</v>
      </c>
      <c r="J1332" s="69">
        <f t="shared" si="294"/>
        <v>0</v>
      </c>
      <c r="K1332" s="84">
        <f t="shared" si="279"/>
        <v>114241.1</v>
      </c>
      <c r="L1332" s="13">
        <f t="shared" si="294"/>
        <v>0</v>
      </c>
      <c r="M1332" s="84">
        <f t="shared" ref="M1332:M1435" si="295">K1332+L1332</f>
        <v>114241.1</v>
      </c>
      <c r="N1332" s="13">
        <f t="shared" si="294"/>
        <v>0</v>
      </c>
      <c r="O1332" s="84">
        <f t="shared" ref="O1332:O1435" si="296">M1332+N1332</f>
        <v>114241.1</v>
      </c>
      <c r="P1332" s="13">
        <f t="shared" si="294"/>
        <v>365.3</v>
      </c>
      <c r="Q1332" s="84">
        <f t="shared" si="287"/>
        <v>114606.40000000001</v>
      </c>
      <c r="R1332" s="13">
        <f t="shared" si="294"/>
        <v>-22548.799999999999</v>
      </c>
      <c r="S1332" s="84">
        <f t="shared" si="286"/>
        <v>92057.600000000006</v>
      </c>
      <c r="T1332" s="13">
        <f t="shared" si="294"/>
        <v>1426.2</v>
      </c>
      <c r="U1332" s="84">
        <f t="shared" si="282"/>
        <v>93483.8</v>
      </c>
    </row>
    <row r="1333" spans="1:22" ht="33">
      <c r="A1333" s="61" t="str">
        <f ca="1">IF(ISERROR(MATCH(F1333,Код_КВР,0)),"",INDIRECT(ADDRESS(MATCH(F1333,Код_КВР,0)+1,2,,,"КВР")))</f>
        <v>Предоставление субсидий бюджетным, автономным учреждениям и иным некоммерческим организациям</v>
      </c>
      <c r="B1333" s="126">
        <v>810</v>
      </c>
      <c r="C1333" s="8" t="s">
        <v>186</v>
      </c>
      <c r="D1333" s="8" t="s">
        <v>212</v>
      </c>
      <c r="E1333" s="126" t="s">
        <v>402</v>
      </c>
      <c r="F1333" s="126">
        <v>600</v>
      </c>
      <c r="G1333" s="69">
        <f t="shared" si="294"/>
        <v>114241.1</v>
      </c>
      <c r="H1333" s="69">
        <f t="shared" si="294"/>
        <v>0</v>
      </c>
      <c r="I1333" s="69">
        <f t="shared" si="283"/>
        <v>114241.1</v>
      </c>
      <c r="J1333" s="69">
        <f t="shared" si="294"/>
        <v>0</v>
      </c>
      <c r="K1333" s="84">
        <f t="shared" si="279"/>
        <v>114241.1</v>
      </c>
      <c r="L1333" s="13">
        <f t="shared" si="294"/>
        <v>0</v>
      </c>
      <c r="M1333" s="84">
        <f t="shared" si="295"/>
        <v>114241.1</v>
      </c>
      <c r="N1333" s="13">
        <f t="shared" si="294"/>
        <v>0</v>
      </c>
      <c r="O1333" s="84">
        <f t="shared" si="296"/>
        <v>114241.1</v>
      </c>
      <c r="P1333" s="13">
        <f t="shared" si="294"/>
        <v>365.3</v>
      </c>
      <c r="Q1333" s="84">
        <f t="shared" si="287"/>
        <v>114606.40000000001</v>
      </c>
      <c r="R1333" s="13">
        <f t="shared" si="294"/>
        <v>-22548.799999999999</v>
      </c>
      <c r="S1333" s="84">
        <f t="shared" si="286"/>
        <v>92057.600000000006</v>
      </c>
      <c r="T1333" s="13">
        <f t="shared" si="294"/>
        <v>1426.2</v>
      </c>
      <c r="U1333" s="84">
        <f t="shared" si="282"/>
        <v>93483.8</v>
      </c>
    </row>
    <row r="1334" spans="1:22">
      <c r="A1334" s="61" t="str">
        <f ca="1">IF(ISERROR(MATCH(F1334,Код_КВР,0)),"",INDIRECT(ADDRESS(MATCH(F1334,Код_КВР,0)+1,2,,,"КВР")))</f>
        <v>Субсидии бюджетным учреждениям</v>
      </c>
      <c r="B1334" s="126">
        <v>810</v>
      </c>
      <c r="C1334" s="8" t="s">
        <v>186</v>
      </c>
      <c r="D1334" s="8" t="s">
        <v>212</v>
      </c>
      <c r="E1334" s="126" t="s">
        <v>402</v>
      </c>
      <c r="F1334" s="126">
        <v>610</v>
      </c>
      <c r="G1334" s="69">
        <f>G1335+G1336</f>
        <v>114241.1</v>
      </c>
      <c r="H1334" s="69">
        <f>H1335+H1336</f>
        <v>0</v>
      </c>
      <c r="I1334" s="69">
        <f t="shared" si="283"/>
        <v>114241.1</v>
      </c>
      <c r="J1334" s="69">
        <f>J1335+J1336</f>
        <v>0</v>
      </c>
      <c r="K1334" s="84">
        <f t="shared" si="279"/>
        <v>114241.1</v>
      </c>
      <c r="L1334" s="13">
        <f>L1335+L1336</f>
        <v>0</v>
      </c>
      <c r="M1334" s="84">
        <f t="shared" si="295"/>
        <v>114241.1</v>
      </c>
      <c r="N1334" s="13">
        <f>N1335+N1336</f>
        <v>0</v>
      </c>
      <c r="O1334" s="84">
        <f t="shared" si="296"/>
        <v>114241.1</v>
      </c>
      <c r="P1334" s="13">
        <f>P1335+P1336</f>
        <v>365.3</v>
      </c>
      <c r="Q1334" s="84">
        <f t="shared" si="287"/>
        <v>114606.40000000001</v>
      </c>
      <c r="R1334" s="13">
        <f>R1335+R1336</f>
        <v>-22548.799999999999</v>
      </c>
      <c r="S1334" s="84">
        <f t="shared" si="286"/>
        <v>92057.600000000006</v>
      </c>
      <c r="T1334" s="13">
        <f>T1335+T1336</f>
        <v>1426.2</v>
      </c>
      <c r="U1334" s="84">
        <f t="shared" si="282"/>
        <v>93483.8</v>
      </c>
    </row>
    <row r="1335" spans="1:22" ht="49.5">
      <c r="A1335" s="61" t="str">
        <f ca="1">IF(ISERROR(MATCH(F1335,Код_КВР,0)),"",INDIRECT(ADDRESS(MATCH(F1335,Код_КВР,0)+1,2,,,"КВР")))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35" s="126">
        <v>810</v>
      </c>
      <c r="C1335" s="8" t="s">
        <v>186</v>
      </c>
      <c r="D1335" s="8" t="s">
        <v>212</v>
      </c>
      <c r="E1335" s="126" t="s">
        <v>402</v>
      </c>
      <c r="F1335" s="126">
        <v>611</v>
      </c>
      <c r="G1335" s="69">
        <v>110548.1</v>
      </c>
      <c r="H1335" s="69"/>
      <c r="I1335" s="69">
        <f t="shared" si="283"/>
        <v>110548.1</v>
      </c>
      <c r="J1335" s="69"/>
      <c r="K1335" s="84">
        <f t="shared" si="279"/>
        <v>110548.1</v>
      </c>
      <c r="L1335" s="13"/>
      <c r="M1335" s="84">
        <f t="shared" si="295"/>
        <v>110548.1</v>
      </c>
      <c r="N1335" s="13"/>
      <c r="O1335" s="84">
        <f t="shared" si="296"/>
        <v>110548.1</v>
      </c>
      <c r="P1335" s="13"/>
      <c r="Q1335" s="84">
        <f t="shared" si="287"/>
        <v>110548.1</v>
      </c>
      <c r="R1335" s="13">
        <f>-13614-8298.7</f>
        <v>-21912.7</v>
      </c>
      <c r="S1335" s="84">
        <f t="shared" si="286"/>
        <v>88635.400000000009</v>
      </c>
      <c r="T1335" s="13">
        <v>1481</v>
      </c>
      <c r="U1335" s="84">
        <f t="shared" si="282"/>
        <v>90116.400000000009</v>
      </c>
    </row>
    <row r="1336" spans="1:22">
      <c r="A1336" s="61" t="str">
        <f ca="1">IF(ISERROR(MATCH(F1336,Код_КВР,0)),"",INDIRECT(ADDRESS(MATCH(F1336,Код_КВР,0)+1,2,,,"КВР")))</f>
        <v>Субсидии бюджетным учреждениям на иные цели</v>
      </c>
      <c r="B1336" s="126">
        <v>810</v>
      </c>
      <c r="C1336" s="8" t="s">
        <v>186</v>
      </c>
      <c r="D1336" s="8" t="s">
        <v>212</v>
      </c>
      <c r="E1336" s="126" t="s">
        <v>402</v>
      </c>
      <c r="F1336" s="126">
        <v>612</v>
      </c>
      <c r="G1336" s="69">
        <f>1491.7+811.6+1389.7</f>
        <v>3693</v>
      </c>
      <c r="H1336" s="69"/>
      <c r="I1336" s="69">
        <f t="shared" si="283"/>
        <v>3693</v>
      </c>
      <c r="J1336" s="69"/>
      <c r="K1336" s="84">
        <f t="shared" si="279"/>
        <v>3693</v>
      </c>
      <c r="L1336" s="13"/>
      <c r="M1336" s="84">
        <f t="shared" si="295"/>
        <v>3693</v>
      </c>
      <c r="N1336" s="13"/>
      <c r="O1336" s="84">
        <f t="shared" si="296"/>
        <v>3693</v>
      </c>
      <c r="P1336" s="13">
        <v>365.3</v>
      </c>
      <c r="Q1336" s="84">
        <f t="shared" si="287"/>
        <v>4058.3</v>
      </c>
      <c r="R1336" s="13">
        <v>-636.1</v>
      </c>
      <c r="S1336" s="84">
        <f t="shared" si="286"/>
        <v>3422.2000000000003</v>
      </c>
      <c r="T1336" s="13">
        <v>-54.8</v>
      </c>
      <c r="U1336" s="84">
        <f t="shared" si="282"/>
        <v>3367.4</v>
      </c>
    </row>
    <row r="1337" spans="1:22">
      <c r="A1337" s="12" t="s">
        <v>177</v>
      </c>
      <c r="B1337" s="126">
        <v>810</v>
      </c>
      <c r="C1337" s="8" t="s">
        <v>186</v>
      </c>
      <c r="D1337" s="8" t="s">
        <v>213</v>
      </c>
      <c r="E1337" s="126"/>
      <c r="F1337" s="126"/>
      <c r="G1337" s="69">
        <f>G1338+G1345</f>
        <v>661473.20000000007</v>
      </c>
      <c r="H1337" s="69">
        <f>H1338+H1345</f>
        <v>0</v>
      </c>
      <c r="I1337" s="69">
        <f t="shared" si="283"/>
        <v>661473.20000000007</v>
      </c>
      <c r="J1337" s="69">
        <f>J1338+J1345</f>
        <v>0</v>
      </c>
      <c r="K1337" s="84">
        <f t="shared" si="279"/>
        <v>661473.20000000007</v>
      </c>
      <c r="L1337" s="13">
        <f>L1338+L1345</f>
        <v>-825</v>
      </c>
      <c r="M1337" s="84">
        <f t="shared" si="295"/>
        <v>660648.20000000007</v>
      </c>
      <c r="N1337" s="13">
        <f>N1338+N1345</f>
        <v>432</v>
      </c>
      <c r="O1337" s="84">
        <f t="shared" si="296"/>
        <v>661080.20000000007</v>
      </c>
      <c r="P1337" s="13">
        <f>P1338+P1345+P1378</f>
        <v>-365.3</v>
      </c>
      <c r="Q1337" s="84">
        <f t="shared" si="287"/>
        <v>660714.9</v>
      </c>
      <c r="R1337" s="13">
        <f>R1338+R1345+R1378</f>
        <v>86173.9</v>
      </c>
      <c r="S1337" s="84">
        <f t="shared" si="286"/>
        <v>746888.8</v>
      </c>
      <c r="T1337" s="13">
        <f>T1338+T1345+T1378</f>
        <v>45579.900000000009</v>
      </c>
      <c r="U1337" s="84">
        <f t="shared" si="282"/>
        <v>792468.70000000007</v>
      </c>
    </row>
    <row r="1338" spans="1:22">
      <c r="A1338" s="61" t="str">
        <f ca="1">IF(ISERROR(MATCH(E1338,Код_КЦСР,0)),"",INDIRECT(ADDRESS(MATCH(E1338,Код_КЦСР,0)+1,2,,,"КЦСР")))</f>
        <v>Муниципальная программа «Развитие образования» на 2013-2022 годы</v>
      </c>
      <c r="B1338" s="126">
        <v>810</v>
      </c>
      <c r="C1338" s="8" t="s">
        <v>186</v>
      </c>
      <c r="D1338" s="8" t="s">
        <v>213</v>
      </c>
      <c r="E1338" s="126" t="s">
        <v>267</v>
      </c>
      <c r="F1338" s="126"/>
      <c r="G1338" s="69">
        <f t="shared" ref="G1338:T1342" si="297">G1339</f>
        <v>593.9</v>
      </c>
      <c r="H1338" s="69">
        <f t="shared" si="297"/>
        <v>0</v>
      </c>
      <c r="I1338" s="69">
        <f t="shared" si="283"/>
        <v>593.9</v>
      </c>
      <c r="J1338" s="69">
        <f t="shared" si="297"/>
        <v>0</v>
      </c>
      <c r="K1338" s="84">
        <f t="shared" si="279"/>
        <v>593.9</v>
      </c>
      <c r="L1338" s="13">
        <f t="shared" si="297"/>
        <v>0</v>
      </c>
      <c r="M1338" s="84">
        <f t="shared" si="295"/>
        <v>593.9</v>
      </c>
      <c r="N1338" s="13">
        <f t="shared" si="297"/>
        <v>0</v>
      </c>
      <c r="O1338" s="84">
        <f t="shared" si="296"/>
        <v>593.9</v>
      </c>
      <c r="P1338" s="13">
        <f t="shared" si="297"/>
        <v>0</v>
      </c>
      <c r="Q1338" s="84">
        <f t="shared" si="287"/>
        <v>593.9</v>
      </c>
      <c r="R1338" s="13">
        <f t="shared" si="297"/>
        <v>0</v>
      </c>
      <c r="S1338" s="84">
        <f t="shared" si="286"/>
        <v>593.9</v>
      </c>
      <c r="T1338" s="13">
        <f t="shared" si="297"/>
        <v>0</v>
      </c>
      <c r="U1338" s="84">
        <f t="shared" si="282"/>
        <v>593.9</v>
      </c>
    </row>
    <row r="1339" spans="1:22" ht="33">
      <c r="A1339" s="61" t="str">
        <f ca="1">IF(ISERROR(MATCH(E1339,Код_КЦСР,0)),"",INDIRECT(ADDRESS(MATCH(E1339,Код_КЦСР,0)+1,2,,,"КЦСР")))</f>
        <v>Социально-педагогическая поддержка детей-сирот и детей, оставшихся без попечения родителей</v>
      </c>
      <c r="B1339" s="126">
        <v>810</v>
      </c>
      <c r="C1339" s="8" t="s">
        <v>186</v>
      </c>
      <c r="D1339" s="8" t="s">
        <v>213</v>
      </c>
      <c r="E1339" s="126" t="s">
        <v>408</v>
      </c>
      <c r="F1339" s="126"/>
      <c r="G1339" s="69">
        <f t="shared" si="297"/>
        <v>593.9</v>
      </c>
      <c r="H1339" s="69">
        <f t="shared" si="297"/>
        <v>0</v>
      </c>
      <c r="I1339" s="69">
        <f t="shared" si="283"/>
        <v>593.9</v>
      </c>
      <c r="J1339" s="69">
        <f t="shared" si="297"/>
        <v>0</v>
      </c>
      <c r="K1339" s="84">
        <f t="shared" si="279"/>
        <v>593.9</v>
      </c>
      <c r="L1339" s="13">
        <f t="shared" si="297"/>
        <v>0</v>
      </c>
      <c r="M1339" s="84">
        <f t="shared" si="295"/>
        <v>593.9</v>
      </c>
      <c r="N1339" s="13">
        <f t="shared" si="297"/>
        <v>0</v>
      </c>
      <c r="O1339" s="84">
        <f t="shared" si="296"/>
        <v>593.9</v>
      </c>
      <c r="P1339" s="13">
        <f t="shared" si="297"/>
        <v>0</v>
      </c>
      <c r="Q1339" s="84">
        <f t="shared" si="287"/>
        <v>593.9</v>
      </c>
      <c r="R1339" s="13">
        <f t="shared" si="297"/>
        <v>0</v>
      </c>
      <c r="S1339" s="84">
        <f t="shared" si="286"/>
        <v>593.9</v>
      </c>
      <c r="T1339" s="13">
        <f t="shared" si="297"/>
        <v>0</v>
      </c>
      <c r="U1339" s="84">
        <f t="shared" si="282"/>
        <v>593.9</v>
      </c>
    </row>
    <row r="1340" spans="1:22" ht="69.75" customHeight="1">
      <c r="A1340" s="61" t="str">
        <f ca="1">IF(ISERROR(MATCH(E1340,Код_КЦСР,0)),"",INDIRECT(ADDRESS(MATCH(E1340,Код_КЦСР,0)+1,2,,,"КЦСР")))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340" s="126">
        <v>810</v>
      </c>
      <c r="C1340" s="8" t="s">
        <v>186</v>
      </c>
      <c r="D1340" s="8" t="s">
        <v>213</v>
      </c>
      <c r="E1340" s="126" t="s">
        <v>410</v>
      </c>
      <c r="F1340" s="126"/>
      <c r="G1340" s="69">
        <f t="shared" si="297"/>
        <v>593.9</v>
      </c>
      <c r="H1340" s="69">
        <f t="shared" si="297"/>
        <v>0</v>
      </c>
      <c r="I1340" s="69">
        <f t="shared" si="283"/>
        <v>593.9</v>
      </c>
      <c r="J1340" s="69">
        <f t="shared" si="297"/>
        <v>0</v>
      </c>
      <c r="K1340" s="84">
        <f t="shared" si="279"/>
        <v>593.9</v>
      </c>
      <c r="L1340" s="13">
        <f t="shared" si="297"/>
        <v>0</v>
      </c>
      <c r="M1340" s="84">
        <f t="shared" si="295"/>
        <v>593.9</v>
      </c>
      <c r="N1340" s="13">
        <f t="shared" si="297"/>
        <v>0</v>
      </c>
      <c r="O1340" s="84">
        <f t="shared" si="296"/>
        <v>593.9</v>
      </c>
      <c r="P1340" s="13">
        <f t="shared" si="297"/>
        <v>0</v>
      </c>
      <c r="Q1340" s="84">
        <f t="shared" si="287"/>
        <v>593.9</v>
      </c>
      <c r="R1340" s="13">
        <f t="shared" si="297"/>
        <v>0</v>
      </c>
      <c r="S1340" s="84">
        <f t="shared" si="286"/>
        <v>593.9</v>
      </c>
      <c r="T1340" s="13">
        <f>T1341</f>
        <v>0</v>
      </c>
      <c r="U1340" s="84">
        <f t="shared" si="282"/>
        <v>593.9</v>
      </c>
    </row>
    <row r="1341" spans="1:22">
      <c r="A1341" s="61" t="str">
        <f ca="1">IF(ISERROR(MATCH(F1341,Код_КВР,0)),"",INDIRECT(ADDRESS(MATCH(F1341,Код_КВР,0)+1,2,,,"КВР")))</f>
        <v>Социальное обеспечение и иные выплаты населению</v>
      </c>
      <c r="B1341" s="126">
        <v>810</v>
      </c>
      <c r="C1341" s="8" t="s">
        <v>186</v>
      </c>
      <c r="D1341" s="8" t="s">
        <v>213</v>
      </c>
      <c r="E1341" s="126" t="s">
        <v>410</v>
      </c>
      <c r="F1341" s="126">
        <v>300</v>
      </c>
      <c r="G1341" s="69">
        <f t="shared" si="297"/>
        <v>593.9</v>
      </c>
      <c r="H1341" s="69">
        <f t="shared" si="297"/>
        <v>0</v>
      </c>
      <c r="I1341" s="69">
        <f t="shared" si="283"/>
        <v>593.9</v>
      </c>
      <c r="J1341" s="69">
        <f t="shared" si="297"/>
        <v>0</v>
      </c>
      <c r="K1341" s="84">
        <f t="shared" si="279"/>
        <v>593.9</v>
      </c>
      <c r="L1341" s="13">
        <f t="shared" si="297"/>
        <v>0</v>
      </c>
      <c r="M1341" s="84">
        <f t="shared" si="295"/>
        <v>593.9</v>
      </c>
      <c r="N1341" s="13">
        <f t="shared" si="297"/>
        <v>0</v>
      </c>
      <c r="O1341" s="84">
        <f t="shared" si="296"/>
        <v>593.9</v>
      </c>
      <c r="P1341" s="13">
        <f t="shared" si="297"/>
        <v>0</v>
      </c>
      <c r="Q1341" s="84">
        <f t="shared" si="287"/>
        <v>593.9</v>
      </c>
      <c r="R1341" s="13">
        <f t="shared" si="297"/>
        <v>0</v>
      </c>
      <c r="S1341" s="84">
        <f t="shared" si="286"/>
        <v>593.9</v>
      </c>
      <c r="T1341" s="13">
        <f>T1342</f>
        <v>0</v>
      </c>
      <c r="U1341" s="84">
        <f t="shared" si="282"/>
        <v>593.9</v>
      </c>
    </row>
    <row r="1342" spans="1:22" ht="33">
      <c r="A1342" s="61" t="str">
        <f ca="1">IF(ISERROR(MATCH(F1342,Код_КВР,0)),"",INDIRECT(ADDRESS(MATCH(F1342,Код_КВР,0)+1,2,,,"КВР")))</f>
        <v>Социальные выплаты гражданам, кроме публичных нормативных социальных выплат</v>
      </c>
      <c r="B1342" s="126">
        <v>810</v>
      </c>
      <c r="C1342" s="8" t="s">
        <v>186</v>
      </c>
      <c r="D1342" s="8" t="s">
        <v>213</v>
      </c>
      <c r="E1342" s="126" t="s">
        <v>410</v>
      </c>
      <c r="F1342" s="126">
        <v>320</v>
      </c>
      <c r="G1342" s="69">
        <f t="shared" si="297"/>
        <v>593.9</v>
      </c>
      <c r="H1342" s="69">
        <f t="shared" si="297"/>
        <v>0</v>
      </c>
      <c r="I1342" s="69">
        <f t="shared" si="283"/>
        <v>593.9</v>
      </c>
      <c r="J1342" s="69">
        <f t="shared" si="297"/>
        <v>0</v>
      </c>
      <c r="K1342" s="84">
        <f t="shared" si="279"/>
        <v>593.9</v>
      </c>
      <c r="L1342" s="13">
        <f t="shared" si="297"/>
        <v>0</v>
      </c>
      <c r="M1342" s="84">
        <f t="shared" si="295"/>
        <v>593.9</v>
      </c>
      <c r="N1342" s="13">
        <f t="shared" si="297"/>
        <v>0</v>
      </c>
      <c r="O1342" s="84">
        <f t="shared" si="296"/>
        <v>593.9</v>
      </c>
      <c r="P1342" s="13">
        <f t="shared" si="297"/>
        <v>0</v>
      </c>
      <c r="Q1342" s="84">
        <f t="shared" si="287"/>
        <v>593.9</v>
      </c>
      <c r="R1342" s="13">
        <f t="shared" si="297"/>
        <v>0</v>
      </c>
      <c r="S1342" s="84">
        <f t="shared" si="286"/>
        <v>593.9</v>
      </c>
      <c r="T1342" s="13">
        <f>T1343+T1344</f>
        <v>0</v>
      </c>
      <c r="U1342" s="84">
        <f t="shared" si="282"/>
        <v>593.9</v>
      </c>
    </row>
    <row r="1343" spans="1:22" ht="33" hidden="1">
      <c r="A1343" s="61" t="str">
        <f ca="1">IF(ISERROR(MATCH(F1343,Код_КВР,0)),"",INDIRECT(ADDRESS(MATCH(F1343,Код_КВР,0)+1,2,,,"КВР")))</f>
        <v>Пособия, компенсации и иные социальные выплаты гражданам, кроме публичных нормативных обязательств</v>
      </c>
      <c r="B1343" s="126">
        <v>810</v>
      </c>
      <c r="C1343" s="8" t="s">
        <v>186</v>
      </c>
      <c r="D1343" s="8" t="s">
        <v>213</v>
      </c>
      <c r="E1343" s="126" t="s">
        <v>410</v>
      </c>
      <c r="F1343" s="126">
        <v>321</v>
      </c>
      <c r="G1343" s="69">
        <v>593.9</v>
      </c>
      <c r="H1343" s="69"/>
      <c r="I1343" s="69">
        <f t="shared" si="283"/>
        <v>593.9</v>
      </c>
      <c r="J1343" s="69"/>
      <c r="K1343" s="84">
        <f t="shared" ref="K1343:K1458" si="298">I1343+J1343</f>
        <v>593.9</v>
      </c>
      <c r="L1343" s="13"/>
      <c r="M1343" s="84">
        <f t="shared" si="295"/>
        <v>593.9</v>
      </c>
      <c r="N1343" s="13"/>
      <c r="O1343" s="84">
        <f t="shared" si="296"/>
        <v>593.9</v>
      </c>
      <c r="P1343" s="13"/>
      <c r="Q1343" s="84">
        <f t="shared" si="287"/>
        <v>593.9</v>
      </c>
      <c r="R1343" s="13"/>
      <c r="S1343" s="84">
        <f t="shared" si="286"/>
        <v>593.9</v>
      </c>
      <c r="T1343" s="13">
        <v>-593.9</v>
      </c>
      <c r="U1343" s="84">
        <f t="shared" si="282"/>
        <v>0</v>
      </c>
      <c r="V1343" s="142" t="s">
        <v>706</v>
      </c>
    </row>
    <row r="1344" spans="1:22" ht="33">
      <c r="A1344" s="61" t="str">
        <f ca="1">IF(ISERROR(MATCH(F1344,Код_КВР,0)),"",INDIRECT(ADDRESS(MATCH(F1344,Код_КВР,0)+1,2,,,"КВР")))</f>
        <v>Приобретение товаров, работ, услуг в пользу граждан в целях их социального обеспечения</v>
      </c>
      <c r="B1344" s="126">
        <v>810</v>
      </c>
      <c r="C1344" s="8" t="s">
        <v>186</v>
      </c>
      <c r="D1344" s="8" t="s">
        <v>213</v>
      </c>
      <c r="E1344" s="126" t="s">
        <v>410</v>
      </c>
      <c r="F1344" s="126">
        <v>323</v>
      </c>
      <c r="G1344" s="69"/>
      <c r="H1344" s="69"/>
      <c r="I1344" s="69"/>
      <c r="J1344" s="69"/>
      <c r="K1344" s="84"/>
      <c r="L1344" s="13"/>
      <c r="M1344" s="84"/>
      <c r="N1344" s="13"/>
      <c r="O1344" s="84"/>
      <c r="P1344" s="13"/>
      <c r="Q1344" s="84"/>
      <c r="R1344" s="13"/>
      <c r="S1344" s="84"/>
      <c r="T1344" s="13">
        <v>593.9</v>
      </c>
      <c r="U1344" s="84">
        <f>S1344+T1344</f>
        <v>593.9</v>
      </c>
    </row>
    <row r="1345" spans="1:21" ht="33">
      <c r="A1345" s="61" t="str">
        <f ca="1">IF(ISERROR(MATCH(E1345,Код_КЦСР,0)),"",INDIRECT(ADDRESS(MATCH(E1345,Код_КЦСР,0)+1,2,,,"КЦСР")))</f>
        <v>Муниципальная программа «Социальная поддержка граждан» на 2014-2018 годы</v>
      </c>
      <c r="B1345" s="126">
        <v>810</v>
      </c>
      <c r="C1345" s="8" t="s">
        <v>186</v>
      </c>
      <c r="D1345" s="8" t="s">
        <v>213</v>
      </c>
      <c r="E1345" s="126" t="s">
        <v>5</v>
      </c>
      <c r="F1345" s="126"/>
      <c r="G1345" s="69">
        <f>G1346+G1354+G1362+G1370+G1392+G1400+G1407</f>
        <v>660879.30000000005</v>
      </c>
      <c r="H1345" s="69">
        <f>H1346+H1354+H1362+H1370+H1392+H1400+H1407</f>
        <v>0</v>
      </c>
      <c r="I1345" s="69">
        <f t="shared" si="283"/>
        <v>660879.30000000005</v>
      </c>
      <c r="J1345" s="69">
        <f>J1346+J1354+J1362+J1370+J1392+J1400+J1407</f>
        <v>0</v>
      </c>
      <c r="K1345" s="84">
        <f t="shared" si="298"/>
        <v>660879.30000000005</v>
      </c>
      <c r="L1345" s="13">
        <f>L1346+L1354+L1362+L1370+L1392+L1400+L1407</f>
        <v>-825</v>
      </c>
      <c r="M1345" s="84">
        <f t="shared" si="295"/>
        <v>660054.30000000005</v>
      </c>
      <c r="N1345" s="13">
        <f>N1346+N1354+N1362+N1370+N1392+N1400+N1407+N1378</f>
        <v>432</v>
      </c>
      <c r="O1345" s="84">
        <f t="shared" si="296"/>
        <v>660486.30000000005</v>
      </c>
      <c r="P1345" s="13">
        <f>P1346+P1354+P1362+P1370+P1392+P1400+P1407</f>
        <v>-365.3</v>
      </c>
      <c r="Q1345" s="84">
        <f t="shared" si="287"/>
        <v>660121</v>
      </c>
      <c r="R1345" s="13">
        <f>R1346+R1354+R1362+R1370+R1392+R1400+R1407+R1383+R1378</f>
        <v>86173.9</v>
      </c>
      <c r="S1345" s="84">
        <f t="shared" si="286"/>
        <v>746294.9</v>
      </c>
      <c r="T1345" s="13">
        <f>T1346+T1354+T1362+T1370+T1392+T1400+T1407+T1383+T1378</f>
        <v>45579.900000000009</v>
      </c>
      <c r="U1345" s="84">
        <f t="shared" si="282"/>
        <v>791874.8</v>
      </c>
    </row>
    <row r="1346" spans="1:21" ht="33">
      <c r="A1346" s="61" t="str">
        <f ca="1">IF(ISERROR(MATCH(E1346,Код_КЦСР,0)),"",INDIRECT(ADDRESS(MATCH(E1346,Код_КЦСР,0)+1,2,,,"КЦСР")))</f>
        <v>Выплата ежемесячного социального пособия на оздоровление работникам учреждений здравоохранения</v>
      </c>
      <c r="B1346" s="126">
        <v>810</v>
      </c>
      <c r="C1346" s="8" t="s">
        <v>186</v>
      </c>
      <c r="D1346" s="8" t="s">
        <v>213</v>
      </c>
      <c r="E1346" s="126" t="s">
        <v>9</v>
      </c>
      <c r="F1346" s="126"/>
      <c r="G1346" s="69">
        <f t="shared" ref="G1346:T1352" si="299">G1347</f>
        <v>27293</v>
      </c>
      <c r="H1346" s="69">
        <f t="shared" si="299"/>
        <v>0</v>
      </c>
      <c r="I1346" s="69">
        <f t="shared" si="283"/>
        <v>27293</v>
      </c>
      <c r="J1346" s="69">
        <f t="shared" si="299"/>
        <v>0</v>
      </c>
      <c r="K1346" s="84">
        <f t="shared" si="298"/>
        <v>27293</v>
      </c>
      <c r="L1346" s="13">
        <f t="shared" si="299"/>
        <v>-825</v>
      </c>
      <c r="M1346" s="84">
        <f t="shared" si="295"/>
        <v>26468</v>
      </c>
      <c r="N1346" s="13">
        <f t="shared" si="299"/>
        <v>0</v>
      </c>
      <c r="O1346" s="84">
        <f t="shared" si="296"/>
        <v>26468</v>
      </c>
      <c r="P1346" s="13">
        <f t="shared" si="299"/>
        <v>0</v>
      </c>
      <c r="Q1346" s="84">
        <f t="shared" si="287"/>
        <v>26468</v>
      </c>
      <c r="R1346" s="13">
        <f t="shared" si="299"/>
        <v>0</v>
      </c>
      <c r="S1346" s="84">
        <f t="shared" si="286"/>
        <v>26468</v>
      </c>
      <c r="T1346" s="13">
        <f t="shared" si="299"/>
        <v>0</v>
      </c>
      <c r="U1346" s="84">
        <f t="shared" si="282"/>
        <v>26468</v>
      </c>
    </row>
    <row r="1347" spans="1:21" ht="51.75" customHeight="1">
      <c r="A1347" s="61" t="str">
        <f ca="1">IF(ISERROR(MATCH(E1347,Код_КЦСР,0)),"",INDIRECT(ADDRESS(MATCH(E1347,Код_КЦСР,0)+1,2,,,"КЦСР")))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1347" s="126">
        <v>810</v>
      </c>
      <c r="C1347" s="8" t="s">
        <v>186</v>
      </c>
      <c r="D1347" s="8" t="s">
        <v>213</v>
      </c>
      <c r="E1347" s="126" t="s">
        <v>11</v>
      </c>
      <c r="F1347" s="126"/>
      <c r="G1347" s="69">
        <f>G1351</f>
        <v>27293</v>
      </c>
      <c r="H1347" s="69">
        <f>H1351</f>
        <v>0</v>
      </c>
      <c r="I1347" s="69">
        <f t="shared" si="283"/>
        <v>27293</v>
      </c>
      <c r="J1347" s="69">
        <f>J1351</f>
        <v>0</v>
      </c>
      <c r="K1347" s="84">
        <f t="shared" si="298"/>
        <v>27293</v>
      </c>
      <c r="L1347" s="13">
        <f>L1351</f>
        <v>-825</v>
      </c>
      <c r="M1347" s="84">
        <f t="shared" si="295"/>
        <v>26468</v>
      </c>
      <c r="N1347" s="13">
        <f>N1351</f>
        <v>0</v>
      </c>
      <c r="O1347" s="84">
        <f t="shared" si="296"/>
        <v>26468</v>
      </c>
      <c r="P1347" s="13">
        <f>P1351</f>
        <v>0</v>
      </c>
      <c r="Q1347" s="84">
        <f t="shared" si="287"/>
        <v>26468</v>
      </c>
      <c r="R1347" s="13">
        <f>R1351</f>
        <v>0</v>
      </c>
      <c r="S1347" s="84">
        <f t="shared" si="286"/>
        <v>26468</v>
      </c>
      <c r="T1347" s="13">
        <f>T1348+T1351</f>
        <v>0</v>
      </c>
      <c r="U1347" s="84">
        <f t="shared" si="282"/>
        <v>26468</v>
      </c>
    </row>
    <row r="1348" spans="1:21">
      <c r="A1348" s="61" t="str">
        <f t="shared" ref="A1348:A1353" ca="1" si="300">IF(ISERROR(MATCH(F1348,Код_КВР,0)),"",INDIRECT(ADDRESS(MATCH(F1348,Код_КВР,0)+1,2,,,"КВР")))</f>
        <v>Закупка товаров, работ и услуг для муниципальных нужд</v>
      </c>
      <c r="B1348" s="126">
        <v>810</v>
      </c>
      <c r="C1348" s="8" t="s">
        <v>186</v>
      </c>
      <c r="D1348" s="8" t="s">
        <v>213</v>
      </c>
      <c r="E1348" s="126" t="s">
        <v>11</v>
      </c>
      <c r="F1348" s="126">
        <v>200</v>
      </c>
      <c r="G1348" s="69"/>
      <c r="H1348" s="69"/>
      <c r="I1348" s="69"/>
      <c r="J1348" s="69"/>
      <c r="K1348" s="84"/>
      <c r="L1348" s="13"/>
      <c r="M1348" s="84"/>
      <c r="N1348" s="13"/>
      <c r="O1348" s="84"/>
      <c r="P1348" s="13"/>
      <c r="Q1348" s="84"/>
      <c r="R1348" s="13"/>
      <c r="S1348" s="84"/>
      <c r="T1348" s="13">
        <f>T1349</f>
        <v>270.2</v>
      </c>
      <c r="U1348" s="84">
        <f t="shared" si="282"/>
        <v>270.2</v>
      </c>
    </row>
    <row r="1349" spans="1:21" ht="33">
      <c r="A1349" s="61" t="str">
        <f t="shared" ca="1" si="300"/>
        <v>Иные закупки товаров, работ и услуг для обеспечения муниципальных нужд</v>
      </c>
      <c r="B1349" s="126">
        <v>810</v>
      </c>
      <c r="C1349" s="8" t="s">
        <v>186</v>
      </c>
      <c r="D1349" s="8" t="s">
        <v>213</v>
      </c>
      <c r="E1349" s="126" t="s">
        <v>11</v>
      </c>
      <c r="F1349" s="126">
        <v>240</v>
      </c>
      <c r="G1349" s="69"/>
      <c r="H1349" s="69"/>
      <c r="I1349" s="69"/>
      <c r="J1349" s="69"/>
      <c r="K1349" s="84"/>
      <c r="L1349" s="13"/>
      <c r="M1349" s="84"/>
      <c r="N1349" s="13"/>
      <c r="O1349" s="84"/>
      <c r="P1349" s="13"/>
      <c r="Q1349" s="84"/>
      <c r="R1349" s="13"/>
      <c r="S1349" s="84"/>
      <c r="T1349" s="13">
        <f>T1350</f>
        <v>270.2</v>
      </c>
      <c r="U1349" s="84">
        <f t="shared" si="282"/>
        <v>270.2</v>
      </c>
    </row>
    <row r="1350" spans="1:21" ht="33">
      <c r="A1350" s="61" t="str">
        <f t="shared" ca="1" si="300"/>
        <v xml:space="preserve">Прочая закупка товаров, работ и услуг для обеспечения муниципальных нужд         </v>
      </c>
      <c r="B1350" s="126">
        <v>810</v>
      </c>
      <c r="C1350" s="8" t="s">
        <v>186</v>
      </c>
      <c r="D1350" s="8" t="s">
        <v>213</v>
      </c>
      <c r="E1350" s="126" t="s">
        <v>11</v>
      </c>
      <c r="F1350" s="126">
        <v>244</v>
      </c>
      <c r="G1350" s="69"/>
      <c r="H1350" s="69"/>
      <c r="I1350" s="69"/>
      <c r="J1350" s="69"/>
      <c r="K1350" s="84"/>
      <c r="L1350" s="13"/>
      <c r="M1350" s="84"/>
      <c r="N1350" s="13"/>
      <c r="O1350" s="84"/>
      <c r="P1350" s="13"/>
      <c r="Q1350" s="84"/>
      <c r="R1350" s="13"/>
      <c r="S1350" s="84"/>
      <c r="T1350" s="13">
        <f>212.5+57.7</f>
        <v>270.2</v>
      </c>
      <c r="U1350" s="84">
        <f t="shared" si="282"/>
        <v>270.2</v>
      </c>
    </row>
    <row r="1351" spans="1:21">
      <c r="A1351" s="61" t="str">
        <f t="shared" ca="1" si="300"/>
        <v>Социальное обеспечение и иные выплаты населению</v>
      </c>
      <c r="B1351" s="126">
        <v>810</v>
      </c>
      <c r="C1351" s="8" t="s">
        <v>186</v>
      </c>
      <c r="D1351" s="8" t="s">
        <v>213</v>
      </c>
      <c r="E1351" s="126" t="s">
        <v>11</v>
      </c>
      <c r="F1351" s="126">
        <v>300</v>
      </c>
      <c r="G1351" s="69">
        <f t="shared" si="299"/>
        <v>27293</v>
      </c>
      <c r="H1351" s="69">
        <f t="shared" si="299"/>
        <v>0</v>
      </c>
      <c r="I1351" s="69">
        <f t="shared" si="283"/>
        <v>27293</v>
      </c>
      <c r="J1351" s="69">
        <f t="shared" si="299"/>
        <v>0</v>
      </c>
      <c r="K1351" s="84">
        <f t="shared" si="298"/>
        <v>27293</v>
      </c>
      <c r="L1351" s="13">
        <f t="shared" si="299"/>
        <v>-825</v>
      </c>
      <c r="M1351" s="84">
        <f t="shared" si="295"/>
        <v>26468</v>
      </c>
      <c r="N1351" s="13">
        <f t="shared" si="299"/>
        <v>0</v>
      </c>
      <c r="O1351" s="84">
        <f t="shared" si="296"/>
        <v>26468</v>
      </c>
      <c r="P1351" s="13">
        <f t="shared" si="299"/>
        <v>0</v>
      </c>
      <c r="Q1351" s="84">
        <f t="shared" si="287"/>
        <v>26468</v>
      </c>
      <c r="R1351" s="13">
        <f t="shared" si="299"/>
        <v>0</v>
      </c>
      <c r="S1351" s="84">
        <f t="shared" si="286"/>
        <v>26468</v>
      </c>
      <c r="T1351" s="13">
        <f t="shared" si="299"/>
        <v>-270.2</v>
      </c>
      <c r="U1351" s="84">
        <f t="shared" si="282"/>
        <v>26197.8</v>
      </c>
    </row>
    <row r="1352" spans="1:21">
      <c r="A1352" s="61" t="str">
        <f t="shared" ca="1" si="300"/>
        <v>Публичные нормативные социальные выплаты гражданам</v>
      </c>
      <c r="B1352" s="126">
        <v>810</v>
      </c>
      <c r="C1352" s="8" t="s">
        <v>186</v>
      </c>
      <c r="D1352" s="8" t="s">
        <v>213</v>
      </c>
      <c r="E1352" s="126" t="s">
        <v>11</v>
      </c>
      <c r="F1352" s="126">
        <v>310</v>
      </c>
      <c r="G1352" s="69">
        <f t="shared" si="299"/>
        <v>27293</v>
      </c>
      <c r="H1352" s="69">
        <f t="shared" si="299"/>
        <v>0</v>
      </c>
      <c r="I1352" s="69">
        <f t="shared" si="283"/>
        <v>27293</v>
      </c>
      <c r="J1352" s="69">
        <f t="shared" si="299"/>
        <v>0</v>
      </c>
      <c r="K1352" s="84">
        <f t="shared" si="298"/>
        <v>27293</v>
      </c>
      <c r="L1352" s="13">
        <f t="shared" si="299"/>
        <v>-825</v>
      </c>
      <c r="M1352" s="84">
        <f t="shared" si="295"/>
        <v>26468</v>
      </c>
      <c r="N1352" s="13">
        <f t="shared" si="299"/>
        <v>0</v>
      </c>
      <c r="O1352" s="84">
        <f t="shared" si="296"/>
        <v>26468</v>
      </c>
      <c r="P1352" s="13">
        <f t="shared" si="299"/>
        <v>0</v>
      </c>
      <c r="Q1352" s="84">
        <f t="shared" si="287"/>
        <v>26468</v>
      </c>
      <c r="R1352" s="13">
        <f t="shared" si="299"/>
        <v>0</v>
      </c>
      <c r="S1352" s="84">
        <f t="shared" si="286"/>
        <v>26468</v>
      </c>
      <c r="T1352" s="13">
        <f t="shared" si="299"/>
        <v>-270.2</v>
      </c>
      <c r="U1352" s="84">
        <f t="shared" si="282"/>
        <v>26197.8</v>
      </c>
    </row>
    <row r="1353" spans="1:21" ht="33">
      <c r="A1353" s="61" t="str">
        <f t="shared" ca="1" si="300"/>
        <v>Пособия, компенсации, меры социальной поддержки по публичным нормативным обязательствам</v>
      </c>
      <c r="B1353" s="126">
        <v>810</v>
      </c>
      <c r="C1353" s="8" t="s">
        <v>186</v>
      </c>
      <c r="D1353" s="8" t="s">
        <v>213</v>
      </c>
      <c r="E1353" s="126" t="s">
        <v>11</v>
      </c>
      <c r="F1353" s="126">
        <v>313</v>
      </c>
      <c r="G1353" s="69">
        <v>27293</v>
      </c>
      <c r="H1353" s="69"/>
      <c r="I1353" s="69">
        <f t="shared" si="283"/>
        <v>27293</v>
      </c>
      <c r="J1353" s="69"/>
      <c r="K1353" s="84">
        <f t="shared" si="298"/>
        <v>27293</v>
      </c>
      <c r="L1353" s="13">
        <v>-825</v>
      </c>
      <c r="M1353" s="84">
        <f t="shared" si="295"/>
        <v>26468</v>
      </c>
      <c r="N1353" s="13"/>
      <c r="O1353" s="84">
        <f t="shared" si="296"/>
        <v>26468</v>
      </c>
      <c r="P1353" s="13"/>
      <c r="Q1353" s="84">
        <f t="shared" si="287"/>
        <v>26468</v>
      </c>
      <c r="R1353" s="13"/>
      <c r="S1353" s="84">
        <f t="shared" si="286"/>
        <v>26468</v>
      </c>
      <c r="T1353" s="13">
        <f>-212.5-57.7</f>
        <v>-270.2</v>
      </c>
      <c r="U1353" s="84">
        <f t="shared" si="282"/>
        <v>26197.8</v>
      </c>
    </row>
    <row r="1354" spans="1:21" ht="33">
      <c r="A1354" s="61" t="str">
        <f ca="1">IF(ISERROR(MATCH(E1354,Код_КЦСР,0)),"",INDIRECT(ADDRESS(MATCH(E1354,Код_КЦСР,0)+1,2,,,"КЦСР")))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1354" s="126">
        <v>810</v>
      </c>
      <c r="C1354" s="8" t="s">
        <v>186</v>
      </c>
      <c r="D1354" s="8" t="s">
        <v>213</v>
      </c>
      <c r="E1354" s="126" t="s">
        <v>12</v>
      </c>
      <c r="F1354" s="126"/>
      <c r="G1354" s="69">
        <f t="shared" ref="G1354:T1360" si="301">G1355</f>
        <v>3888</v>
      </c>
      <c r="H1354" s="69">
        <f t="shared" si="301"/>
        <v>0</v>
      </c>
      <c r="I1354" s="69">
        <f t="shared" si="283"/>
        <v>3888</v>
      </c>
      <c r="J1354" s="69">
        <f t="shared" si="301"/>
        <v>0</v>
      </c>
      <c r="K1354" s="84">
        <f t="shared" si="298"/>
        <v>3888</v>
      </c>
      <c r="L1354" s="13">
        <f t="shared" si="301"/>
        <v>0</v>
      </c>
      <c r="M1354" s="84">
        <f t="shared" si="295"/>
        <v>3888</v>
      </c>
      <c r="N1354" s="13">
        <f t="shared" si="301"/>
        <v>0</v>
      </c>
      <c r="O1354" s="84">
        <f t="shared" si="296"/>
        <v>3888</v>
      </c>
      <c r="P1354" s="13">
        <f t="shared" si="301"/>
        <v>0</v>
      </c>
      <c r="Q1354" s="84">
        <f t="shared" si="287"/>
        <v>3888</v>
      </c>
      <c r="R1354" s="13">
        <f t="shared" si="301"/>
        <v>0</v>
      </c>
      <c r="S1354" s="84">
        <f t="shared" si="286"/>
        <v>3888</v>
      </c>
      <c r="T1354" s="13">
        <f t="shared" si="301"/>
        <v>0</v>
      </c>
      <c r="U1354" s="84">
        <f t="shared" si="282"/>
        <v>3888</v>
      </c>
    </row>
    <row r="1355" spans="1:21" ht="50.25" customHeight="1">
      <c r="A1355" s="61" t="str">
        <f ca="1">IF(ISERROR(MATCH(E1355,Код_КЦСР,0)),"",INDIRECT(ADDRESS(MATCH(E1355,Код_КЦСР,0)+1,2,,,"КЦСР")))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1355" s="126">
        <v>810</v>
      </c>
      <c r="C1355" s="8" t="s">
        <v>186</v>
      </c>
      <c r="D1355" s="8" t="s">
        <v>213</v>
      </c>
      <c r="E1355" s="126" t="s">
        <v>13</v>
      </c>
      <c r="F1355" s="126"/>
      <c r="G1355" s="69">
        <f>G1359</f>
        <v>3888</v>
      </c>
      <c r="H1355" s="69">
        <f>H1359</f>
        <v>0</v>
      </c>
      <c r="I1355" s="69">
        <f t="shared" si="283"/>
        <v>3888</v>
      </c>
      <c r="J1355" s="69">
        <f>J1359</f>
        <v>0</v>
      </c>
      <c r="K1355" s="84">
        <f t="shared" si="298"/>
        <v>3888</v>
      </c>
      <c r="L1355" s="13">
        <f>L1359</f>
        <v>0</v>
      </c>
      <c r="M1355" s="84">
        <f t="shared" si="295"/>
        <v>3888</v>
      </c>
      <c r="N1355" s="13">
        <f>N1359</f>
        <v>0</v>
      </c>
      <c r="O1355" s="84">
        <f t="shared" si="296"/>
        <v>3888</v>
      </c>
      <c r="P1355" s="13">
        <f>P1359</f>
        <v>0</v>
      </c>
      <c r="Q1355" s="84">
        <f t="shared" si="287"/>
        <v>3888</v>
      </c>
      <c r="R1355" s="13">
        <f>R1359</f>
        <v>0</v>
      </c>
      <c r="S1355" s="84">
        <f t="shared" si="286"/>
        <v>3888</v>
      </c>
      <c r="T1355" s="13">
        <f>T1356+T1359</f>
        <v>0</v>
      </c>
      <c r="U1355" s="84">
        <f t="shared" ref="U1355:U1443" si="302">S1355+T1355</f>
        <v>3888</v>
      </c>
    </row>
    <row r="1356" spans="1:21">
      <c r="A1356" s="61" t="str">
        <f t="shared" ref="A1356:A1361" ca="1" si="303">IF(ISERROR(MATCH(F1356,Код_КВР,0)),"",INDIRECT(ADDRESS(MATCH(F1356,Код_КВР,0)+1,2,,,"КВР")))</f>
        <v>Закупка товаров, работ и услуг для муниципальных нужд</v>
      </c>
      <c r="B1356" s="126">
        <v>810</v>
      </c>
      <c r="C1356" s="8" t="s">
        <v>186</v>
      </c>
      <c r="D1356" s="8" t="s">
        <v>213</v>
      </c>
      <c r="E1356" s="126" t="s">
        <v>13</v>
      </c>
      <c r="F1356" s="126">
        <v>200</v>
      </c>
      <c r="G1356" s="69"/>
      <c r="H1356" s="69"/>
      <c r="I1356" s="69"/>
      <c r="J1356" s="69"/>
      <c r="K1356" s="84"/>
      <c r="L1356" s="13"/>
      <c r="M1356" s="84"/>
      <c r="N1356" s="13"/>
      <c r="O1356" s="84"/>
      <c r="P1356" s="13"/>
      <c r="Q1356" s="84"/>
      <c r="R1356" s="13"/>
      <c r="S1356" s="84"/>
      <c r="T1356" s="13">
        <f>T1358</f>
        <v>38.5</v>
      </c>
      <c r="U1356" s="84">
        <f t="shared" si="302"/>
        <v>38.5</v>
      </c>
    </row>
    <row r="1357" spans="1:21" ht="33">
      <c r="A1357" s="61" t="str">
        <f t="shared" ca="1" si="303"/>
        <v>Иные закупки товаров, работ и услуг для обеспечения муниципальных нужд</v>
      </c>
      <c r="B1357" s="126">
        <v>810</v>
      </c>
      <c r="C1357" s="8" t="s">
        <v>186</v>
      </c>
      <c r="D1357" s="8" t="s">
        <v>213</v>
      </c>
      <c r="E1357" s="126" t="s">
        <v>13</v>
      </c>
      <c r="F1357" s="126">
        <v>240</v>
      </c>
      <c r="G1357" s="69"/>
      <c r="H1357" s="69"/>
      <c r="I1357" s="69"/>
      <c r="J1357" s="69"/>
      <c r="K1357" s="84"/>
      <c r="L1357" s="13"/>
      <c r="M1357" s="84"/>
      <c r="N1357" s="13"/>
      <c r="O1357" s="84"/>
      <c r="P1357" s="13"/>
      <c r="Q1357" s="84"/>
      <c r="R1357" s="13"/>
      <c r="S1357" s="84"/>
      <c r="T1357" s="13">
        <f>T1358</f>
        <v>38.5</v>
      </c>
      <c r="U1357" s="84">
        <f t="shared" si="302"/>
        <v>38.5</v>
      </c>
    </row>
    <row r="1358" spans="1:21" ht="33">
      <c r="A1358" s="61" t="str">
        <f t="shared" ca="1" si="303"/>
        <v xml:space="preserve">Прочая закупка товаров, работ и услуг для обеспечения муниципальных нужд         </v>
      </c>
      <c r="B1358" s="126">
        <v>810</v>
      </c>
      <c r="C1358" s="8" t="s">
        <v>186</v>
      </c>
      <c r="D1358" s="8" t="s">
        <v>213</v>
      </c>
      <c r="E1358" s="126" t="s">
        <v>13</v>
      </c>
      <c r="F1358" s="126">
        <v>244</v>
      </c>
      <c r="G1358" s="69"/>
      <c r="H1358" s="69"/>
      <c r="I1358" s="69"/>
      <c r="J1358" s="69"/>
      <c r="K1358" s="84"/>
      <c r="L1358" s="13"/>
      <c r="M1358" s="84"/>
      <c r="N1358" s="13"/>
      <c r="O1358" s="84"/>
      <c r="P1358" s="13"/>
      <c r="Q1358" s="84"/>
      <c r="R1358" s="13"/>
      <c r="S1358" s="84"/>
      <c r="T1358" s="13">
        <f>23.5+15</f>
        <v>38.5</v>
      </c>
      <c r="U1358" s="84">
        <f t="shared" si="302"/>
        <v>38.5</v>
      </c>
    </row>
    <row r="1359" spans="1:21">
      <c r="A1359" s="61" t="str">
        <f t="shared" ca="1" si="303"/>
        <v>Социальное обеспечение и иные выплаты населению</v>
      </c>
      <c r="B1359" s="126">
        <v>810</v>
      </c>
      <c r="C1359" s="8" t="s">
        <v>186</v>
      </c>
      <c r="D1359" s="8" t="s">
        <v>213</v>
      </c>
      <c r="E1359" s="126" t="s">
        <v>13</v>
      </c>
      <c r="F1359" s="126">
        <v>300</v>
      </c>
      <c r="G1359" s="69">
        <f t="shared" si="301"/>
        <v>3888</v>
      </c>
      <c r="H1359" s="69">
        <f t="shared" si="301"/>
        <v>0</v>
      </c>
      <c r="I1359" s="69">
        <f t="shared" si="283"/>
        <v>3888</v>
      </c>
      <c r="J1359" s="69">
        <f t="shared" si="301"/>
        <v>0</v>
      </c>
      <c r="K1359" s="84">
        <f t="shared" si="298"/>
        <v>3888</v>
      </c>
      <c r="L1359" s="13">
        <f t="shared" si="301"/>
        <v>0</v>
      </c>
      <c r="M1359" s="84">
        <f t="shared" si="295"/>
        <v>3888</v>
      </c>
      <c r="N1359" s="13">
        <f t="shared" si="301"/>
        <v>0</v>
      </c>
      <c r="O1359" s="84">
        <f t="shared" si="296"/>
        <v>3888</v>
      </c>
      <c r="P1359" s="13">
        <f t="shared" si="301"/>
        <v>0</v>
      </c>
      <c r="Q1359" s="84">
        <f t="shared" si="287"/>
        <v>3888</v>
      </c>
      <c r="R1359" s="13">
        <f t="shared" si="301"/>
        <v>0</v>
      </c>
      <c r="S1359" s="84">
        <f t="shared" si="286"/>
        <v>3888</v>
      </c>
      <c r="T1359" s="13">
        <f t="shared" si="301"/>
        <v>-38.5</v>
      </c>
      <c r="U1359" s="84">
        <f t="shared" si="302"/>
        <v>3849.5</v>
      </c>
    </row>
    <row r="1360" spans="1:21">
      <c r="A1360" s="61" t="str">
        <f t="shared" ca="1" si="303"/>
        <v>Публичные нормативные социальные выплаты гражданам</v>
      </c>
      <c r="B1360" s="126">
        <v>810</v>
      </c>
      <c r="C1360" s="8" t="s">
        <v>186</v>
      </c>
      <c r="D1360" s="8" t="s">
        <v>213</v>
      </c>
      <c r="E1360" s="126" t="s">
        <v>13</v>
      </c>
      <c r="F1360" s="126">
        <v>310</v>
      </c>
      <c r="G1360" s="69">
        <f t="shared" si="301"/>
        <v>3888</v>
      </c>
      <c r="H1360" s="69">
        <f t="shared" si="301"/>
        <v>0</v>
      </c>
      <c r="I1360" s="69">
        <f t="shared" si="283"/>
        <v>3888</v>
      </c>
      <c r="J1360" s="69">
        <f t="shared" si="301"/>
        <v>0</v>
      </c>
      <c r="K1360" s="84">
        <f t="shared" si="298"/>
        <v>3888</v>
      </c>
      <c r="L1360" s="13">
        <f t="shared" si="301"/>
        <v>0</v>
      </c>
      <c r="M1360" s="84">
        <f t="shared" si="295"/>
        <v>3888</v>
      </c>
      <c r="N1360" s="13">
        <f t="shared" si="301"/>
        <v>0</v>
      </c>
      <c r="O1360" s="84">
        <f t="shared" si="296"/>
        <v>3888</v>
      </c>
      <c r="P1360" s="13">
        <f t="shared" si="301"/>
        <v>0</v>
      </c>
      <c r="Q1360" s="84">
        <f t="shared" si="287"/>
        <v>3888</v>
      </c>
      <c r="R1360" s="13">
        <f t="shared" si="301"/>
        <v>0</v>
      </c>
      <c r="S1360" s="84">
        <f t="shared" si="286"/>
        <v>3888</v>
      </c>
      <c r="T1360" s="13">
        <f t="shared" si="301"/>
        <v>-38.5</v>
      </c>
      <c r="U1360" s="84">
        <f t="shared" si="302"/>
        <v>3849.5</v>
      </c>
    </row>
    <row r="1361" spans="1:21" ht="33">
      <c r="A1361" s="61" t="str">
        <f t="shared" ca="1" si="303"/>
        <v>Пособия, компенсации, меры социальной поддержки по публичным нормативным обязательствам</v>
      </c>
      <c r="B1361" s="126">
        <v>810</v>
      </c>
      <c r="C1361" s="8" t="s">
        <v>186</v>
      </c>
      <c r="D1361" s="8" t="s">
        <v>213</v>
      </c>
      <c r="E1361" s="126" t="s">
        <v>13</v>
      </c>
      <c r="F1361" s="126">
        <v>313</v>
      </c>
      <c r="G1361" s="69">
        <v>3888</v>
      </c>
      <c r="H1361" s="69"/>
      <c r="I1361" s="69">
        <f t="shared" si="283"/>
        <v>3888</v>
      </c>
      <c r="J1361" s="69"/>
      <c r="K1361" s="84">
        <f t="shared" si="298"/>
        <v>3888</v>
      </c>
      <c r="L1361" s="13"/>
      <c r="M1361" s="84">
        <f t="shared" si="295"/>
        <v>3888</v>
      </c>
      <c r="N1361" s="13"/>
      <c r="O1361" s="84">
        <f t="shared" si="296"/>
        <v>3888</v>
      </c>
      <c r="P1361" s="13"/>
      <c r="Q1361" s="84">
        <f t="shared" si="287"/>
        <v>3888</v>
      </c>
      <c r="R1361" s="13"/>
      <c r="S1361" s="84">
        <f t="shared" si="286"/>
        <v>3888</v>
      </c>
      <c r="T1361" s="13">
        <f>-23.5-15</f>
        <v>-38.5</v>
      </c>
      <c r="U1361" s="84">
        <f t="shared" si="302"/>
        <v>3849.5</v>
      </c>
    </row>
    <row r="1362" spans="1:21" ht="33">
      <c r="A1362" s="61" t="str">
        <f ca="1">IF(ISERROR(MATCH(E1362,Код_КЦСР,0)),"",INDIRECT(ADDRESS(MATCH(E1362,Код_КЦСР,0)+1,2,,,"КЦСР")))</f>
        <v>Выплата вознаграждений лицам, имеющим знак «За особые заслуги перед городом Череповцом»</v>
      </c>
      <c r="B1362" s="126">
        <v>810</v>
      </c>
      <c r="C1362" s="8" t="s">
        <v>186</v>
      </c>
      <c r="D1362" s="8" t="s">
        <v>213</v>
      </c>
      <c r="E1362" s="126" t="s">
        <v>14</v>
      </c>
      <c r="F1362" s="126"/>
      <c r="G1362" s="69">
        <f t="shared" ref="G1362:T1368" si="304">G1363</f>
        <v>421.2</v>
      </c>
      <c r="H1362" s="69">
        <f t="shared" si="304"/>
        <v>0</v>
      </c>
      <c r="I1362" s="69">
        <f t="shared" si="283"/>
        <v>421.2</v>
      </c>
      <c r="J1362" s="69">
        <f t="shared" si="304"/>
        <v>0</v>
      </c>
      <c r="K1362" s="84">
        <f t="shared" si="298"/>
        <v>421.2</v>
      </c>
      <c r="L1362" s="13">
        <f t="shared" si="304"/>
        <v>0</v>
      </c>
      <c r="M1362" s="84">
        <f t="shared" si="295"/>
        <v>421.2</v>
      </c>
      <c r="N1362" s="13">
        <f t="shared" si="304"/>
        <v>0</v>
      </c>
      <c r="O1362" s="84">
        <f t="shared" si="296"/>
        <v>421.2</v>
      </c>
      <c r="P1362" s="13">
        <f t="shared" si="304"/>
        <v>0</v>
      </c>
      <c r="Q1362" s="84">
        <f t="shared" si="287"/>
        <v>421.2</v>
      </c>
      <c r="R1362" s="13">
        <f t="shared" si="304"/>
        <v>0</v>
      </c>
      <c r="S1362" s="84">
        <f t="shared" si="286"/>
        <v>421.2</v>
      </c>
      <c r="T1362" s="13">
        <f t="shared" si="304"/>
        <v>0</v>
      </c>
      <c r="U1362" s="84">
        <f t="shared" si="302"/>
        <v>421.2</v>
      </c>
    </row>
    <row r="1363" spans="1:21" ht="49.5">
      <c r="A1363" s="61" t="str">
        <f ca="1">IF(ISERROR(MATCH(E1363,Код_КЦСР,0)),"",INDIRECT(ADDRESS(MATCH(E1363,Код_КЦСР,0)+1,2,,,"КЦСР")))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1363" s="126">
        <v>810</v>
      </c>
      <c r="C1363" s="8" t="s">
        <v>186</v>
      </c>
      <c r="D1363" s="8" t="s">
        <v>213</v>
      </c>
      <c r="E1363" s="126" t="s">
        <v>16</v>
      </c>
      <c r="F1363" s="126"/>
      <c r="G1363" s="69">
        <f>G1367</f>
        <v>421.2</v>
      </c>
      <c r="H1363" s="69">
        <f>H1367</f>
        <v>0</v>
      </c>
      <c r="I1363" s="69">
        <f t="shared" si="283"/>
        <v>421.2</v>
      </c>
      <c r="J1363" s="69">
        <f>J1367</f>
        <v>0</v>
      </c>
      <c r="K1363" s="84">
        <f t="shared" si="298"/>
        <v>421.2</v>
      </c>
      <c r="L1363" s="13">
        <f>L1367</f>
        <v>0</v>
      </c>
      <c r="M1363" s="84">
        <f t="shared" si="295"/>
        <v>421.2</v>
      </c>
      <c r="N1363" s="13">
        <f>N1367</f>
        <v>0</v>
      </c>
      <c r="O1363" s="84">
        <f t="shared" si="296"/>
        <v>421.2</v>
      </c>
      <c r="P1363" s="13">
        <f>P1367</f>
        <v>0</v>
      </c>
      <c r="Q1363" s="84">
        <f t="shared" si="287"/>
        <v>421.2</v>
      </c>
      <c r="R1363" s="13">
        <f>R1367</f>
        <v>0</v>
      </c>
      <c r="S1363" s="84">
        <f t="shared" si="286"/>
        <v>421.2</v>
      </c>
      <c r="T1363" s="13">
        <f>T1364+T1367</f>
        <v>0</v>
      </c>
      <c r="U1363" s="84">
        <f t="shared" si="302"/>
        <v>421.2</v>
      </c>
    </row>
    <row r="1364" spans="1:21">
      <c r="A1364" s="61" t="str">
        <f t="shared" ref="A1364:A1369" ca="1" si="305">IF(ISERROR(MATCH(F1364,Код_КВР,0)),"",INDIRECT(ADDRESS(MATCH(F1364,Код_КВР,0)+1,2,,,"КВР")))</f>
        <v>Закупка товаров, работ и услуг для муниципальных нужд</v>
      </c>
      <c r="B1364" s="126">
        <v>810</v>
      </c>
      <c r="C1364" s="8" t="s">
        <v>186</v>
      </c>
      <c r="D1364" s="8" t="s">
        <v>213</v>
      </c>
      <c r="E1364" s="126" t="s">
        <v>16</v>
      </c>
      <c r="F1364" s="126">
        <v>200</v>
      </c>
      <c r="G1364" s="69"/>
      <c r="H1364" s="69"/>
      <c r="I1364" s="69"/>
      <c r="J1364" s="69"/>
      <c r="K1364" s="84"/>
      <c r="L1364" s="13"/>
      <c r="M1364" s="84"/>
      <c r="N1364" s="13"/>
      <c r="O1364" s="84"/>
      <c r="P1364" s="13"/>
      <c r="Q1364" s="84"/>
      <c r="R1364" s="13"/>
      <c r="S1364" s="84"/>
      <c r="T1364" s="13">
        <f t="shared" si="304"/>
        <v>4.2</v>
      </c>
      <c r="U1364" s="84">
        <f t="shared" si="302"/>
        <v>4.2</v>
      </c>
    </row>
    <row r="1365" spans="1:21" ht="33">
      <c r="A1365" s="61" t="str">
        <f t="shared" ca="1" si="305"/>
        <v>Иные закупки товаров, работ и услуг для обеспечения муниципальных нужд</v>
      </c>
      <c r="B1365" s="126">
        <v>810</v>
      </c>
      <c r="C1365" s="8" t="s">
        <v>186</v>
      </c>
      <c r="D1365" s="8" t="s">
        <v>213</v>
      </c>
      <c r="E1365" s="126" t="s">
        <v>16</v>
      </c>
      <c r="F1365" s="126">
        <v>240</v>
      </c>
      <c r="G1365" s="69"/>
      <c r="H1365" s="69"/>
      <c r="I1365" s="69"/>
      <c r="J1365" s="69"/>
      <c r="K1365" s="84"/>
      <c r="L1365" s="13"/>
      <c r="M1365" s="84"/>
      <c r="N1365" s="13"/>
      <c r="O1365" s="84"/>
      <c r="P1365" s="13"/>
      <c r="Q1365" s="84"/>
      <c r="R1365" s="13"/>
      <c r="S1365" s="84"/>
      <c r="T1365" s="13">
        <f t="shared" si="304"/>
        <v>4.2</v>
      </c>
      <c r="U1365" s="84">
        <f t="shared" si="302"/>
        <v>4.2</v>
      </c>
    </row>
    <row r="1366" spans="1:21" ht="33">
      <c r="A1366" s="61" t="str">
        <f t="shared" ca="1" si="305"/>
        <v xml:space="preserve">Прочая закупка товаров, работ и услуг для обеспечения муниципальных нужд         </v>
      </c>
      <c r="B1366" s="126">
        <v>810</v>
      </c>
      <c r="C1366" s="8" t="s">
        <v>186</v>
      </c>
      <c r="D1366" s="8" t="s">
        <v>213</v>
      </c>
      <c r="E1366" s="126" t="s">
        <v>16</v>
      </c>
      <c r="F1366" s="126">
        <v>244</v>
      </c>
      <c r="G1366" s="69"/>
      <c r="H1366" s="69"/>
      <c r="I1366" s="69"/>
      <c r="J1366" s="69"/>
      <c r="K1366" s="84"/>
      <c r="L1366" s="13"/>
      <c r="M1366" s="84"/>
      <c r="N1366" s="13"/>
      <c r="O1366" s="84"/>
      <c r="P1366" s="13"/>
      <c r="Q1366" s="84"/>
      <c r="R1366" s="13"/>
      <c r="S1366" s="84"/>
      <c r="T1366" s="13">
        <v>4.2</v>
      </c>
      <c r="U1366" s="84">
        <f t="shared" si="302"/>
        <v>4.2</v>
      </c>
    </row>
    <row r="1367" spans="1:21">
      <c r="A1367" s="61" t="str">
        <f t="shared" ca="1" si="305"/>
        <v>Социальное обеспечение и иные выплаты населению</v>
      </c>
      <c r="B1367" s="126">
        <v>810</v>
      </c>
      <c r="C1367" s="8" t="s">
        <v>186</v>
      </c>
      <c r="D1367" s="8" t="s">
        <v>213</v>
      </c>
      <c r="E1367" s="126" t="s">
        <v>16</v>
      </c>
      <c r="F1367" s="126">
        <v>300</v>
      </c>
      <c r="G1367" s="69">
        <f t="shared" si="304"/>
        <v>421.2</v>
      </c>
      <c r="H1367" s="69">
        <f t="shared" si="304"/>
        <v>0</v>
      </c>
      <c r="I1367" s="69">
        <f t="shared" si="283"/>
        <v>421.2</v>
      </c>
      <c r="J1367" s="69">
        <f t="shared" si="304"/>
        <v>0</v>
      </c>
      <c r="K1367" s="84">
        <f t="shared" si="298"/>
        <v>421.2</v>
      </c>
      <c r="L1367" s="13">
        <f t="shared" si="304"/>
        <v>0</v>
      </c>
      <c r="M1367" s="84">
        <f t="shared" si="295"/>
        <v>421.2</v>
      </c>
      <c r="N1367" s="13">
        <f t="shared" si="304"/>
        <v>0</v>
      </c>
      <c r="O1367" s="84">
        <f t="shared" si="296"/>
        <v>421.2</v>
      </c>
      <c r="P1367" s="13">
        <f t="shared" si="304"/>
        <v>0</v>
      </c>
      <c r="Q1367" s="84">
        <f t="shared" si="287"/>
        <v>421.2</v>
      </c>
      <c r="R1367" s="13">
        <f t="shared" si="304"/>
        <v>0</v>
      </c>
      <c r="S1367" s="84">
        <f t="shared" si="286"/>
        <v>421.2</v>
      </c>
      <c r="T1367" s="13">
        <f t="shared" si="304"/>
        <v>-4.2</v>
      </c>
      <c r="U1367" s="84">
        <f t="shared" si="302"/>
        <v>417</v>
      </c>
    </row>
    <row r="1368" spans="1:21">
      <c r="A1368" s="61" t="str">
        <f t="shared" ca="1" si="305"/>
        <v>Публичные нормативные социальные выплаты гражданам</v>
      </c>
      <c r="B1368" s="126">
        <v>810</v>
      </c>
      <c r="C1368" s="8" t="s">
        <v>186</v>
      </c>
      <c r="D1368" s="8" t="s">
        <v>213</v>
      </c>
      <c r="E1368" s="126" t="s">
        <v>16</v>
      </c>
      <c r="F1368" s="126">
        <v>310</v>
      </c>
      <c r="G1368" s="69">
        <f t="shared" si="304"/>
        <v>421.2</v>
      </c>
      <c r="H1368" s="69">
        <f t="shared" si="304"/>
        <v>0</v>
      </c>
      <c r="I1368" s="69">
        <f t="shared" ref="I1368:I1482" si="306">G1368+H1368</f>
        <v>421.2</v>
      </c>
      <c r="J1368" s="69">
        <f t="shared" si="304"/>
        <v>0</v>
      </c>
      <c r="K1368" s="84">
        <f t="shared" si="298"/>
        <v>421.2</v>
      </c>
      <c r="L1368" s="13">
        <f t="shared" si="304"/>
        <v>0</v>
      </c>
      <c r="M1368" s="84">
        <f t="shared" si="295"/>
        <v>421.2</v>
      </c>
      <c r="N1368" s="13">
        <f t="shared" si="304"/>
        <v>0</v>
      </c>
      <c r="O1368" s="84">
        <f t="shared" si="296"/>
        <v>421.2</v>
      </c>
      <c r="P1368" s="13">
        <f t="shared" si="304"/>
        <v>0</v>
      </c>
      <c r="Q1368" s="84">
        <f t="shared" si="287"/>
        <v>421.2</v>
      </c>
      <c r="R1368" s="13">
        <f t="shared" si="304"/>
        <v>0</v>
      </c>
      <c r="S1368" s="84">
        <f t="shared" si="286"/>
        <v>421.2</v>
      </c>
      <c r="T1368" s="13">
        <f t="shared" si="304"/>
        <v>-4.2</v>
      </c>
      <c r="U1368" s="84">
        <f t="shared" si="302"/>
        <v>417</v>
      </c>
    </row>
    <row r="1369" spans="1:21" ht="33">
      <c r="A1369" s="61" t="str">
        <f t="shared" ca="1" si="305"/>
        <v>Пособия, компенсации, меры социальной поддержки по публичным нормативным обязательствам</v>
      </c>
      <c r="B1369" s="126">
        <v>810</v>
      </c>
      <c r="C1369" s="8" t="s">
        <v>186</v>
      </c>
      <c r="D1369" s="8" t="s">
        <v>213</v>
      </c>
      <c r="E1369" s="126" t="s">
        <v>16</v>
      </c>
      <c r="F1369" s="126">
        <v>313</v>
      </c>
      <c r="G1369" s="69">
        <v>421.2</v>
      </c>
      <c r="H1369" s="69"/>
      <c r="I1369" s="69">
        <f t="shared" si="306"/>
        <v>421.2</v>
      </c>
      <c r="J1369" s="69"/>
      <c r="K1369" s="84">
        <f t="shared" si="298"/>
        <v>421.2</v>
      </c>
      <c r="L1369" s="13"/>
      <c r="M1369" s="84">
        <f t="shared" si="295"/>
        <v>421.2</v>
      </c>
      <c r="N1369" s="13"/>
      <c r="O1369" s="84">
        <f t="shared" si="296"/>
        <v>421.2</v>
      </c>
      <c r="P1369" s="13"/>
      <c r="Q1369" s="84">
        <f t="shared" si="287"/>
        <v>421.2</v>
      </c>
      <c r="R1369" s="13"/>
      <c r="S1369" s="84">
        <f t="shared" si="286"/>
        <v>421.2</v>
      </c>
      <c r="T1369" s="13">
        <v>-4.2</v>
      </c>
      <c r="U1369" s="84">
        <f t="shared" si="302"/>
        <v>417</v>
      </c>
    </row>
    <row r="1370" spans="1:21" ht="33">
      <c r="A1370" s="61" t="str">
        <f ca="1">IF(ISERROR(MATCH(E1370,Код_КЦСР,0)),"",INDIRECT(ADDRESS(MATCH(E1370,Код_КЦСР,0)+1,2,,,"КЦСР")))</f>
        <v>Выплата вознаграждений лицам, имеющим звание «Почетный гражданин города Череповца</v>
      </c>
      <c r="B1370" s="126">
        <v>810</v>
      </c>
      <c r="C1370" s="8" t="s">
        <v>186</v>
      </c>
      <c r="D1370" s="8" t="s">
        <v>213</v>
      </c>
      <c r="E1370" s="126" t="s">
        <v>17</v>
      </c>
      <c r="F1370" s="126"/>
      <c r="G1370" s="69">
        <f t="shared" ref="G1370:T1376" si="307">G1371</f>
        <v>449.5</v>
      </c>
      <c r="H1370" s="69">
        <f t="shared" si="307"/>
        <v>0</v>
      </c>
      <c r="I1370" s="69">
        <f t="shared" si="306"/>
        <v>449.5</v>
      </c>
      <c r="J1370" s="69">
        <f t="shared" si="307"/>
        <v>0</v>
      </c>
      <c r="K1370" s="84">
        <f t="shared" si="298"/>
        <v>449.5</v>
      </c>
      <c r="L1370" s="13">
        <f t="shared" si="307"/>
        <v>0</v>
      </c>
      <c r="M1370" s="84">
        <f t="shared" si="295"/>
        <v>449.5</v>
      </c>
      <c r="N1370" s="13">
        <f t="shared" si="307"/>
        <v>0</v>
      </c>
      <c r="O1370" s="84">
        <f t="shared" si="296"/>
        <v>449.5</v>
      </c>
      <c r="P1370" s="13">
        <f t="shared" si="307"/>
        <v>0</v>
      </c>
      <c r="Q1370" s="84">
        <f t="shared" si="287"/>
        <v>449.5</v>
      </c>
      <c r="R1370" s="13">
        <f t="shared" si="307"/>
        <v>0</v>
      </c>
      <c r="S1370" s="84">
        <f t="shared" si="286"/>
        <v>449.5</v>
      </c>
      <c r="T1370" s="13">
        <f t="shared" si="307"/>
        <v>0</v>
      </c>
      <c r="U1370" s="84">
        <f t="shared" si="302"/>
        <v>449.5</v>
      </c>
    </row>
    <row r="1371" spans="1:21" ht="49.5">
      <c r="A1371" s="61" t="str">
        <f ca="1">IF(ISERROR(MATCH(E1371,Код_КЦСР,0)),"",INDIRECT(ADDRESS(MATCH(E1371,Код_КЦСР,0)+1,2,,,"КЦСР")))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1371" s="126">
        <v>810</v>
      </c>
      <c r="C1371" s="8" t="s">
        <v>186</v>
      </c>
      <c r="D1371" s="8" t="s">
        <v>213</v>
      </c>
      <c r="E1371" s="126" t="s">
        <v>19</v>
      </c>
      <c r="F1371" s="126"/>
      <c r="G1371" s="69">
        <f>G1375</f>
        <v>449.5</v>
      </c>
      <c r="H1371" s="69">
        <f>H1375</f>
        <v>0</v>
      </c>
      <c r="I1371" s="69">
        <f t="shared" si="306"/>
        <v>449.5</v>
      </c>
      <c r="J1371" s="69">
        <f>J1375</f>
        <v>0</v>
      </c>
      <c r="K1371" s="84">
        <f t="shared" si="298"/>
        <v>449.5</v>
      </c>
      <c r="L1371" s="13">
        <f>L1375</f>
        <v>0</v>
      </c>
      <c r="M1371" s="84">
        <f t="shared" si="295"/>
        <v>449.5</v>
      </c>
      <c r="N1371" s="13">
        <f>N1375</f>
        <v>0</v>
      </c>
      <c r="O1371" s="84">
        <f t="shared" si="296"/>
        <v>449.5</v>
      </c>
      <c r="P1371" s="13">
        <f>P1375</f>
        <v>0</v>
      </c>
      <c r="Q1371" s="84">
        <f t="shared" si="287"/>
        <v>449.5</v>
      </c>
      <c r="R1371" s="13">
        <f>R1375</f>
        <v>0</v>
      </c>
      <c r="S1371" s="84">
        <f t="shared" si="286"/>
        <v>449.5</v>
      </c>
      <c r="T1371" s="13">
        <f>T1372+T1375</f>
        <v>0</v>
      </c>
      <c r="U1371" s="84">
        <f t="shared" si="302"/>
        <v>449.5</v>
      </c>
    </row>
    <row r="1372" spans="1:21">
      <c r="A1372" s="61" t="str">
        <f t="shared" ref="A1372:A1377" ca="1" si="308">IF(ISERROR(MATCH(F1372,Код_КВР,0)),"",INDIRECT(ADDRESS(MATCH(F1372,Код_КВР,0)+1,2,,,"КВР")))</f>
        <v>Закупка товаров, работ и услуг для муниципальных нужд</v>
      </c>
      <c r="B1372" s="126">
        <v>810</v>
      </c>
      <c r="C1372" s="8" t="s">
        <v>186</v>
      </c>
      <c r="D1372" s="8" t="s">
        <v>213</v>
      </c>
      <c r="E1372" s="126" t="s">
        <v>19</v>
      </c>
      <c r="F1372" s="126">
        <v>200</v>
      </c>
      <c r="G1372" s="69"/>
      <c r="H1372" s="69"/>
      <c r="I1372" s="69"/>
      <c r="J1372" s="69"/>
      <c r="K1372" s="84"/>
      <c r="L1372" s="13"/>
      <c r="M1372" s="84"/>
      <c r="N1372" s="13"/>
      <c r="O1372" s="84"/>
      <c r="P1372" s="13"/>
      <c r="Q1372" s="84"/>
      <c r="R1372" s="13"/>
      <c r="S1372" s="84"/>
      <c r="T1372" s="13">
        <f t="shared" si="307"/>
        <v>4.5</v>
      </c>
      <c r="U1372" s="84">
        <f t="shared" si="302"/>
        <v>4.5</v>
      </c>
    </row>
    <row r="1373" spans="1:21" ht="33">
      <c r="A1373" s="61" t="str">
        <f t="shared" ca="1" si="308"/>
        <v>Иные закупки товаров, работ и услуг для обеспечения муниципальных нужд</v>
      </c>
      <c r="B1373" s="126">
        <v>810</v>
      </c>
      <c r="C1373" s="8" t="s">
        <v>186</v>
      </c>
      <c r="D1373" s="8" t="s">
        <v>213</v>
      </c>
      <c r="E1373" s="126" t="s">
        <v>19</v>
      </c>
      <c r="F1373" s="126">
        <v>240</v>
      </c>
      <c r="G1373" s="69"/>
      <c r="H1373" s="69"/>
      <c r="I1373" s="69"/>
      <c r="J1373" s="69"/>
      <c r="K1373" s="84"/>
      <c r="L1373" s="13"/>
      <c r="M1373" s="84"/>
      <c r="N1373" s="13"/>
      <c r="O1373" s="84"/>
      <c r="P1373" s="13"/>
      <c r="Q1373" s="84"/>
      <c r="R1373" s="13"/>
      <c r="S1373" s="84"/>
      <c r="T1373" s="13">
        <f t="shared" si="307"/>
        <v>4.5</v>
      </c>
      <c r="U1373" s="84">
        <f t="shared" si="302"/>
        <v>4.5</v>
      </c>
    </row>
    <row r="1374" spans="1:21" ht="33">
      <c r="A1374" s="61" t="str">
        <f t="shared" ca="1" si="308"/>
        <v xml:space="preserve">Прочая закупка товаров, работ и услуг для обеспечения муниципальных нужд         </v>
      </c>
      <c r="B1374" s="126">
        <v>810</v>
      </c>
      <c r="C1374" s="8" t="s">
        <v>186</v>
      </c>
      <c r="D1374" s="8" t="s">
        <v>213</v>
      </c>
      <c r="E1374" s="126" t="s">
        <v>19</v>
      </c>
      <c r="F1374" s="126">
        <v>244</v>
      </c>
      <c r="G1374" s="69"/>
      <c r="H1374" s="69"/>
      <c r="I1374" s="69"/>
      <c r="J1374" s="69"/>
      <c r="K1374" s="84"/>
      <c r="L1374" s="13"/>
      <c r="M1374" s="84"/>
      <c r="N1374" s="13"/>
      <c r="O1374" s="84"/>
      <c r="P1374" s="13"/>
      <c r="Q1374" s="84"/>
      <c r="R1374" s="13"/>
      <c r="S1374" s="84"/>
      <c r="T1374" s="13">
        <v>4.5</v>
      </c>
      <c r="U1374" s="84">
        <f t="shared" si="302"/>
        <v>4.5</v>
      </c>
    </row>
    <row r="1375" spans="1:21">
      <c r="A1375" s="61" t="str">
        <f t="shared" ca="1" si="308"/>
        <v>Социальное обеспечение и иные выплаты населению</v>
      </c>
      <c r="B1375" s="126">
        <v>810</v>
      </c>
      <c r="C1375" s="8" t="s">
        <v>186</v>
      </c>
      <c r="D1375" s="8" t="s">
        <v>213</v>
      </c>
      <c r="E1375" s="126" t="s">
        <v>19</v>
      </c>
      <c r="F1375" s="126">
        <v>300</v>
      </c>
      <c r="G1375" s="69">
        <f t="shared" si="307"/>
        <v>449.5</v>
      </c>
      <c r="H1375" s="69">
        <f t="shared" si="307"/>
        <v>0</v>
      </c>
      <c r="I1375" s="69">
        <f t="shared" si="306"/>
        <v>449.5</v>
      </c>
      <c r="J1375" s="69">
        <f t="shared" si="307"/>
        <v>0</v>
      </c>
      <c r="K1375" s="84">
        <f t="shared" si="298"/>
        <v>449.5</v>
      </c>
      <c r="L1375" s="13">
        <f t="shared" si="307"/>
        <v>0</v>
      </c>
      <c r="M1375" s="84">
        <f t="shared" si="295"/>
        <v>449.5</v>
      </c>
      <c r="N1375" s="13">
        <f t="shared" si="307"/>
        <v>0</v>
      </c>
      <c r="O1375" s="84">
        <f t="shared" si="296"/>
        <v>449.5</v>
      </c>
      <c r="P1375" s="13">
        <f t="shared" si="307"/>
        <v>0</v>
      </c>
      <c r="Q1375" s="84">
        <f t="shared" si="287"/>
        <v>449.5</v>
      </c>
      <c r="R1375" s="13">
        <f t="shared" si="307"/>
        <v>0</v>
      </c>
      <c r="S1375" s="84">
        <f t="shared" si="286"/>
        <v>449.5</v>
      </c>
      <c r="T1375" s="13">
        <f t="shared" si="307"/>
        <v>-4.5</v>
      </c>
      <c r="U1375" s="84">
        <f t="shared" si="302"/>
        <v>445</v>
      </c>
    </row>
    <row r="1376" spans="1:21">
      <c r="A1376" s="61" t="str">
        <f t="shared" ca="1" si="308"/>
        <v>Публичные нормативные социальные выплаты гражданам</v>
      </c>
      <c r="B1376" s="126">
        <v>810</v>
      </c>
      <c r="C1376" s="8" t="s">
        <v>186</v>
      </c>
      <c r="D1376" s="8" t="s">
        <v>213</v>
      </c>
      <c r="E1376" s="126" t="s">
        <v>19</v>
      </c>
      <c r="F1376" s="126">
        <v>310</v>
      </c>
      <c r="G1376" s="69">
        <f t="shared" si="307"/>
        <v>449.5</v>
      </c>
      <c r="H1376" s="69">
        <f t="shared" si="307"/>
        <v>0</v>
      </c>
      <c r="I1376" s="69">
        <f t="shared" si="306"/>
        <v>449.5</v>
      </c>
      <c r="J1376" s="69">
        <f t="shared" si="307"/>
        <v>0</v>
      </c>
      <c r="K1376" s="84">
        <f t="shared" si="298"/>
        <v>449.5</v>
      </c>
      <c r="L1376" s="13">
        <f t="shared" si="307"/>
        <v>0</v>
      </c>
      <c r="M1376" s="84">
        <f t="shared" si="295"/>
        <v>449.5</v>
      </c>
      <c r="N1376" s="13">
        <f t="shared" si="307"/>
        <v>0</v>
      </c>
      <c r="O1376" s="84">
        <f t="shared" si="296"/>
        <v>449.5</v>
      </c>
      <c r="P1376" s="13">
        <f t="shared" si="307"/>
        <v>0</v>
      </c>
      <c r="Q1376" s="84">
        <f t="shared" si="287"/>
        <v>449.5</v>
      </c>
      <c r="R1376" s="13">
        <f t="shared" si="307"/>
        <v>0</v>
      </c>
      <c r="S1376" s="84">
        <f t="shared" si="286"/>
        <v>449.5</v>
      </c>
      <c r="T1376" s="13">
        <f t="shared" si="307"/>
        <v>-4.5</v>
      </c>
      <c r="U1376" s="84">
        <f t="shared" si="302"/>
        <v>445</v>
      </c>
    </row>
    <row r="1377" spans="1:21" ht="33">
      <c r="A1377" s="61" t="str">
        <f t="shared" ca="1" si="308"/>
        <v>Пособия, компенсации, меры социальной поддержки по публичным нормативным обязательствам</v>
      </c>
      <c r="B1377" s="126">
        <v>810</v>
      </c>
      <c r="C1377" s="8" t="s">
        <v>186</v>
      </c>
      <c r="D1377" s="8" t="s">
        <v>213</v>
      </c>
      <c r="E1377" s="126" t="s">
        <v>19</v>
      </c>
      <c r="F1377" s="126">
        <v>313</v>
      </c>
      <c r="G1377" s="69">
        <v>449.5</v>
      </c>
      <c r="H1377" s="69"/>
      <c r="I1377" s="69">
        <f t="shared" si="306"/>
        <v>449.5</v>
      </c>
      <c r="J1377" s="69"/>
      <c r="K1377" s="84">
        <f t="shared" si="298"/>
        <v>449.5</v>
      </c>
      <c r="L1377" s="13"/>
      <c r="M1377" s="84">
        <f t="shared" si="295"/>
        <v>449.5</v>
      </c>
      <c r="N1377" s="13"/>
      <c r="O1377" s="84">
        <f t="shared" si="296"/>
        <v>449.5</v>
      </c>
      <c r="P1377" s="13"/>
      <c r="Q1377" s="84">
        <f t="shared" si="287"/>
        <v>449.5</v>
      </c>
      <c r="R1377" s="13"/>
      <c r="S1377" s="84">
        <f t="shared" ref="S1377:S1471" si="309">Q1377+R1377</f>
        <v>449.5</v>
      </c>
      <c r="T1377" s="13">
        <v>-4.5</v>
      </c>
      <c r="U1377" s="84">
        <f t="shared" si="302"/>
        <v>445</v>
      </c>
    </row>
    <row r="1378" spans="1:21" ht="142.69999999999999" customHeight="1">
      <c r="A1378" s="61" t="str">
        <f ca="1">IF(ISERROR(MATCH(E1378,Код_КЦСР,0)),"",INDIRECT(ADDRESS(MATCH(E1378,Код_КЦСР,0)+1,2,,,"КЦСР")))</f>
        <v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v>
      </c>
      <c r="B1378" s="126">
        <v>810</v>
      </c>
      <c r="C1378" s="8" t="s">
        <v>186</v>
      </c>
      <c r="D1378" s="8" t="s">
        <v>213</v>
      </c>
      <c r="E1378" s="126" t="s">
        <v>626</v>
      </c>
      <c r="F1378" s="126"/>
      <c r="G1378" s="69"/>
      <c r="H1378" s="69"/>
      <c r="I1378" s="69"/>
      <c r="J1378" s="69"/>
      <c r="K1378" s="84"/>
      <c r="L1378" s="13"/>
      <c r="M1378" s="84"/>
      <c r="N1378" s="13">
        <f>N1379</f>
        <v>432</v>
      </c>
      <c r="O1378" s="84">
        <f t="shared" si="296"/>
        <v>432</v>
      </c>
      <c r="P1378" s="13">
        <f>P1379</f>
        <v>0</v>
      </c>
      <c r="Q1378" s="84">
        <f t="shared" si="287"/>
        <v>432</v>
      </c>
      <c r="R1378" s="13">
        <f>R1379</f>
        <v>0</v>
      </c>
      <c r="S1378" s="84">
        <f t="shared" si="309"/>
        <v>432</v>
      </c>
      <c r="T1378" s="13">
        <f>T1379</f>
        <v>0</v>
      </c>
      <c r="U1378" s="84">
        <f t="shared" si="302"/>
        <v>432</v>
      </c>
    </row>
    <row r="1379" spans="1:21" ht="142.69999999999999" customHeight="1">
      <c r="A1379" s="61" t="str">
        <f ca="1">IF(ISERROR(MATCH(E1379,Код_КЦСР,0)),"",INDIRECT(ADDRESS(MATCH(E1379,Код_КЦСР,0)+1,2,,,"КЦСР")))</f>
        <v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v>
      </c>
      <c r="B1379" s="126">
        <v>810</v>
      </c>
      <c r="C1379" s="8" t="s">
        <v>186</v>
      </c>
      <c r="D1379" s="8" t="s">
        <v>213</v>
      </c>
      <c r="E1379" s="126" t="s">
        <v>628</v>
      </c>
      <c r="F1379" s="126"/>
      <c r="G1379" s="69"/>
      <c r="H1379" s="69"/>
      <c r="I1379" s="69"/>
      <c r="J1379" s="69"/>
      <c r="K1379" s="84"/>
      <c r="L1379" s="13"/>
      <c r="M1379" s="84"/>
      <c r="N1379" s="13">
        <f>N1380</f>
        <v>432</v>
      </c>
      <c r="O1379" s="84">
        <f t="shared" si="296"/>
        <v>432</v>
      </c>
      <c r="P1379" s="13">
        <f>P1380</f>
        <v>0</v>
      </c>
      <c r="Q1379" s="84">
        <f t="shared" si="287"/>
        <v>432</v>
      </c>
      <c r="R1379" s="13">
        <f>R1380</f>
        <v>0</v>
      </c>
      <c r="S1379" s="84">
        <f t="shared" si="309"/>
        <v>432</v>
      </c>
      <c r="T1379" s="13">
        <f>T1380</f>
        <v>0</v>
      </c>
      <c r="U1379" s="84">
        <f t="shared" si="302"/>
        <v>432</v>
      </c>
    </row>
    <row r="1380" spans="1:21" ht="23.25" customHeight="1">
      <c r="A1380" s="61" t="str">
        <f ca="1">IF(ISERROR(MATCH(F1380,Код_КВР,0)),"",INDIRECT(ADDRESS(MATCH(F1380,Код_КВР,0)+1,2,,,"КВР")))</f>
        <v>Социальное обеспечение и иные выплаты населению</v>
      </c>
      <c r="B1380" s="126">
        <v>810</v>
      </c>
      <c r="C1380" s="8" t="s">
        <v>186</v>
      </c>
      <c r="D1380" s="8" t="s">
        <v>213</v>
      </c>
      <c r="E1380" s="126" t="s">
        <v>628</v>
      </c>
      <c r="F1380" s="126">
        <v>300</v>
      </c>
      <c r="G1380" s="69"/>
      <c r="H1380" s="69"/>
      <c r="I1380" s="69"/>
      <c r="J1380" s="69"/>
      <c r="K1380" s="84"/>
      <c r="L1380" s="13"/>
      <c r="M1380" s="84"/>
      <c r="N1380" s="13">
        <f>N1381</f>
        <v>432</v>
      </c>
      <c r="O1380" s="84">
        <f t="shared" si="296"/>
        <v>432</v>
      </c>
      <c r="P1380" s="13">
        <f>P1381</f>
        <v>0</v>
      </c>
      <c r="Q1380" s="84">
        <f t="shared" si="287"/>
        <v>432</v>
      </c>
      <c r="R1380" s="13">
        <f>R1381</f>
        <v>0</v>
      </c>
      <c r="S1380" s="84">
        <f t="shared" si="309"/>
        <v>432</v>
      </c>
      <c r="T1380" s="13">
        <f>T1381</f>
        <v>0</v>
      </c>
      <c r="U1380" s="84">
        <f t="shared" si="302"/>
        <v>432</v>
      </c>
    </row>
    <row r="1381" spans="1:21" ht="22.5" customHeight="1">
      <c r="A1381" s="61" t="str">
        <f ca="1">IF(ISERROR(MATCH(F1381,Код_КВР,0)),"",INDIRECT(ADDRESS(MATCH(F1381,Код_КВР,0)+1,2,,,"КВР")))</f>
        <v>Публичные нормативные социальные выплаты гражданам</v>
      </c>
      <c r="B1381" s="126">
        <v>810</v>
      </c>
      <c r="C1381" s="8" t="s">
        <v>186</v>
      </c>
      <c r="D1381" s="8" t="s">
        <v>213</v>
      </c>
      <c r="E1381" s="126" t="s">
        <v>628</v>
      </c>
      <c r="F1381" s="126">
        <v>310</v>
      </c>
      <c r="G1381" s="69"/>
      <c r="H1381" s="69"/>
      <c r="I1381" s="69"/>
      <c r="J1381" s="69"/>
      <c r="K1381" s="84"/>
      <c r="L1381" s="13"/>
      <c r="M1381" s="84"/>
      <c r="N1381" s="13">
        <f>N1382</f>
        <v>432</v>
      </c>
      <c r="O1381" s="84">
        <f t="shared" si="296"/>
        <v>432</v>
      </c>
      <c r="P1381" s="13">
        <f>P1382</f>
        <v>0</v>
      </c>
      <c r="Q1381" s="84">
        <f t="shared" si="287"/>
        <v>432</v>
      </c>
      <c r="R1381" s="13">
        <f>R1382</f>
        <v>0</v>
      </c>
      <c r="S1381" s="84">
        <f t="shared" si="309"/>
        <v>432</v>
      </c>
      <c r="T1381" s="13">
        <f>T1382</f>
        <v>0</v>
      </c>
      <c r="U1381" s="84">
        <f t="shared" si="302"/>
        <v>432</v>
      </c>
    </row>
    <row r="1382" spans="1:21" ht="37.5" customHeight="1">
      <c r="A1382" s="61" t="str">
        <f ca="1">IF(ISERROR(MATCH(F1382,Код_КВР,0)),"",INDIRECT(ADDRESS(MATCH(F1382,Код_КВР,0)+1,2,,,"КВР")))</f>
        <v>Пособия, компенсации, меры социальной поддержки по публичным нормативным обязательствам</v>
      </c>
      <c r="B1382" s="126">
        <v>810</v>
      </c>
      <c r="C1382" s="8" t="s">
        <v>186</v>
      </c>
      <c r="D1382" s="8" t="s">
        <v>213</v>
      </c>
      <c r="E1382" s="126" t="s">
        <v>628</v>
      </c>
      <c r="F1382" s="126">
        <v>313</v>
      </c>
      <c r="G1382" s="69"/>
      <c r="H1382" s="69"/>
      <c r="I1382" s="69"/>
      <c r="J1382" s="69"/>
      <c r="K1382" s="84"/>
      <c r="L1382" s="13"/>
      <c r="M1382" s="84"/>
      <c r="N1382" s="13">
        <v>432</v>
      </c>
      <c r="O1382" s="84">
        <f t="shared" si="296"/>
        <v>432</v>
      </c>
      <c r="P1382" s="13"/>
      <c r="Q1382" s="84">
        <f t="shared" si="287"/>
        <v>432</v>
      </c>
      <c r="R1382" s="13"/>
      <c r="S1382" s="84">
        <f t="shared" si="309"/>
        <v>432</v>
      </c>
      <c r="T1382" s="13"/>
      <c r="U1382" s="84">
        <f t="shared" si="302"/>
        <v>432</v>
      </c>
    </row>
    <row r="1383" spans="1:21" ht="37.5" customHeight="1">
      <c r="A1383" s="61" t="str">
        <f ca="1">IF(ISERROR(MATCH(E1383,Код_КЦСР,0)),"",INDIRECT(ADDRESS(MATCH(E1383,Код_КЦСР,0)+1,2,,,"КЦСР")))</f>
        <v>Выплата единовременной социальной помощи в связи с рождением троих детей многодетным семьям</v>
      </c>
      <c r="B1383" s="126">
        <v>810</v>
      </c>
      <c r="C1383" s="8" t="s">
        <v>186</v>
      </c>
      <c r="D1383" s="8" t="s">
        <v>213</v>
      </c>
      <c r="E1383" s="126" t="s">
        <v>657</v>
      </c>
      <c r="F1383" s="126"/>
      <c r="G1383" s="69"/>
      <c r="H1383" s="69"/>
      <c r="I1383" s="69"/>
      <c r="J1383" s="69"/>
      <c r="K1383" s="84"/>
      <c r="L1383" s="13"/>
      <c r="M1383" s="84"/>
      <c r="N1383" s="13"/>
      <c r="O1383" s="84"/>
      <c r="P1383" s="13"/>
      <c r="Q1383" s="84"/>
      <c r="R1383" s="13">
        <f>R1384+R1388</f>
        <v>1000</v>
      </c>
      <c r="S1383" s="84">
        <f t="shared" si="309"/>
        <v>1000</v>
      </c>
      <c r="T1383" s="13">
        <f>T1384+T1388</f>
        <v>0</v>
      </c>
      <c r="U1383" s="84">
        <f t="shared" si="302"/>
        <v>1000</v>
      </c>
    </row>
    <row r="1384" spans="1:21" ht="54.75" customHeight="1">
      <c r="A1384" s="61" t="str">
        <f ca="1">IF(ISERROR(MATCH(E1384,Код_КЦСР,0)),"",INDIRECT(ADDRESS(MATCH(E1384,Код_КЦСР,0)+1,2,,,"КЦСР")))</f>
        <v>Выплата единовременной социальной помощи Степановой К.Н. в связи с рождением троих детей в соответствии с решением Череповецкой городской Думы от 06.10.2014 № 154</v>
      </c>
      <c r="B1384" s="126">
        <v>810</v>
      </c>
      <c r="C1384" s="8" t="s">
        <v>186</v>
      </c>
      <c r="D1384" s="8" t="s">
        <v>213</v>
      </c>
      <c r="E1384" s="126" t="s">
        <v>656</v>
      </c>
      <c r="F1384" s="126"/>
      <c r="G1384" s="69"/>
      <c r="H1384" s="69"/>
      <c r="I1384" s="69"/>
      <c r="J1384" s="69"/>
      <c r="K1384" s="84"/>
      <c r="L1384" s="13"/>
      <c r="M1384" s="84"/>
      <c r="N1384" s="13"/>
      <c r="O1384" s="84"/>
      <c r="P1384" s="13"/>
      <c r="Q1384" s="84"/>
      <c r="R1384" s="13">
        <f>R1385</f>
        <v>500</v>
      </c>
      <c r="S1384" s="84">
        <f t="shared" si="309"/>
        <v>500</v>
      </c>
      <c r="T1384" s="13">
        <f>T1385</f>
        <v>0</v>
      </c>
      <c r="U1384" s="84">
        <f t="shared" si="302"/>
        <v>500</v>
      </c>
    </row>
    <row r="1385" spans="1:21" ht="27" customHeight="1">
      <c r="A1385" s="61" t="str">
        <f ca="1">IF(ISERROR(MATCH(F1385,Код_КВР,0)),"",INDIRECT(ADDRESS(MATCH(F1385,Код_КВР,0)+1,2,,,"КВР")))</f>
        <v>Социальное обеспечение и иные выплаты населению</v>
      </c>
      <c r="B1385" s="126">
        <v>810</v>
      </c>
      <c r="C1385" s="8" t="s">
        <v>186</v>
      </c>
      <c r="D1385" s="8" t="s">
        <v>213</v>
      </c>
      <c r="E1385" s="126" t="s">
        <v>656</v>
      </c>
      <c r="F1385" s="126">
        <v>300</v>
      </c>
      <c r="G1385" s="69"/>
      <c r="H1385" s="69"/>
      <c r="I1385" s="69"/>
      <c r="J1385" s="69"/>
      <c r="K1385" s="84"/>
      <c r="L1385" s="13"/>
      <c r="M1385" s="84"/>
      <c r="N1385" s="13"/>
      <c r="O1385" s="84"/>
      <c r="P1385" s="13"/>
      <c r="Q1385" s="84"/>
      <c r="R1385" s="13">
        <f>R1386</f>
        <v>500</v>
      </c>
      <c r="S1385" s="84">
        <f t="shared" si="309"/>
        <v>500</v>
      </c>
      <c r="T1385" s="13">
        <f>T1386</f>
        <v>0</v>
      </c>
      <c r="U1385" s="84">
        <f t="shared" si="302"/>
        <v>500</v>
      </c>
    </row>
    <row r="1386" spans="1:21" ht="26.25" customHeight="1">
      <c r="A1386" s="61" t="str">
        <f ca="1">IF(ISERROR(MATCH(F1386,Код_КВР,0)),"",INDIRECT(ADDRESS(MATCH(F1386,Код_КВР,0)+1,2,,,"КВР")))</f>
        <v>Публичные нормативные социальные выплаты гражданам</v>
      </c>
      <c r="B1386" s="126">
        <v>810</v>
      </c>
      <c r="C1386" s="8" t="s">
        <v>186</v>
      </c>
      <c r="D1386" s="8" t="s">
        <v>213</v>
      </c>
      <c r="E1386" s="126" t="s">
        <v>656</v>
      </c>
      <c r="F1386" s="126">
        <v>310</v>
      </c>
      <c r="G1386" s="69"/>
      <c r="H1386" s="69"/>
      <c r="I1386" s="69"/>
      <c r="J1386" s="69"/>
      <c r="K1386" s="84"/>
      <c r="L1386" s="13"/>
      <c r="M1386" s="84"/>
      <c r="N1386" s="13"/>
      <c r="O1386" s="84"/>
      <c r="P1386" s="13"/>
      <c r="Q1386" s="84"/>
      <c r="R1386" s="13">
        <f>R1387</f>
        <v>500</v>
      </c>
      <c r="S1386" s="84">
        <f t="shared" si="309"/>
        <v>500</v>
      </c>
      <c r="T1386" s="13">
        <f>T1387</f>
        <v>0</v>
      </c>
      <c r="U1386" s="84">
        <f t="shared" si="302"/>
        <v>500</v>
      </c>
    </row>
    <row r="1387" spans="1:21" ht="37.5" customHeight="1">
      <c r="A1387" s="61" t="str">
        <f ca="1">IF(ISERROR(MATCH(F1387,Код_КВР,0)),"",INDIRECT(ADDRESS(MATCH(F1387,Код_КВР,0)+1,2,,,"КВР")))</f>
        <v>Пособия, компенсации, меры социальной поддержки по публичным нормативным обязательствам</v>
      </c>
      <c r="B1387" s="126">
        <v>810</v>
      </c>
      <c r="C1387" s="8" t="s">
        <v>186</v>
      </c>
      <c r="D1387" s="8" t="s">
        <v>213</v>
      </c>
      <c r="E1387" s="126" t="s">
        <v>656</v>
      </c>
      <c r="F1387" s="126">
        <v>313</v>
      </c>
      <c r="G1387" s="69"/>
      <c r="H1387" s="69"/>
      <c r="I1387" s="69"/>
      <c r="J1387" s="69"/>
      <c r="K1387" s="84"/>
      <c r="L1387" s="13"/>
      <c r="M1387" s="84"/>
      <c r="N1387" s="13"/>
      <c r="O1387" s="84"/>
      <c r="P1387" s="13"/>
      <c r="Q1387" s="84"/>
      <c r="R1387" s="13">
        <v>500</v>
      </c>
      <c r="S1387" s="84">
        <f t="shared" si="309"/>
        <v>500</v>
      </c>
      <c r="T1387" s="13"/>
      <c r="U1387" s="84">
        <f t="shared" si="302"/>
        <v>500</v>
      </c>
    </row>
    <row r="1388" spans="1:21" ht="52.7" customHeight="1">
      <c r="A1388" s="61" t="str">
        <f ca="1">IF(ISERROR(MATCH(E1388,Код_КЦСР,0)),"",INDIRECT(ADDRESS(MATCH(E1388,Код_КЦСР,0)+1,2,,,"КЦСР")))</f>
        <v>Выплата единовременной социальной помощи Бовыкиной Я.А. в связи с рождением троих детей в соответствии с решением Череповецкой городской Думы от 06.10.2014 № 154</v>
      </c>
      <c r="B1388" s="126">
        <v>810</v>
      </c>
      <c r="C1388" s="8" t="s">
        <v>186</v>
      </c>
      <c r="D1388" s="8" t="s">
        <v>213</v>
      </c>
      <c r="E1388" s="126" t="s">
        <v>658</v>
      </c>
      <c r="F1388" s="126"/>
      <c r="G1388" s="69"/>
      <c r="H1388" s="69"/>
      <c r="I1388" s="69"/>
      <c r="J1388" s="69"/>
      <c r="K1388" s="84"/>
      <c r="L1388" s="13"/>
      <c r="M1388" s="84"/>
      <c r="N1388" s="13"/>
      <c r="O1388" s="84"/>
      <c r="P1388" s="13"/>
      <c r="Q1388" s="84"/>
      <c r="R1388" s="13">
        <f>R1389</f>
        <v>500</v>
      </c>
      <c r="S1388" s="84">
        <f t="shared" si="309"/>
        <v>500</v>
      </c>
      <c r="T1388" s="13">
        <f>T1389</f>
        <v>0</v>
      </c>
      <c r="U1388" s="84">
        <f t="shared" si="302"/>
        <v>500</v>
      </c>
    </row>
    <row r="1389" spans="1:21" ht="24" customHeight="1">
      <c r="A1389" s="61" t="str">
        <f ca="1">IF(ISERROR(MATCH(F1389,Код_КВР,0)),"",INDIRECT(ADDRESS(MATCH(F1389,Код_КВР,0)+1,2,,,"КВР")))</f>
        <v>Социальное обеспечение и иные выплаты населению</v>
      </c>
      <c r="B1389" s="126">
        <v>810</v>
      </c>
      <c r="C1389" s="8" t="s">
        <v>186</v>
      </c>
      <c r="D1389" s="8" t="s">
        <v>213</v>
      </c>
      <c r="E1389" s="126" t="s">
        <v>658</v>
      </c>
      <c r="F1389" s="126">
        <v>300</v>
      </c>
      <c r="G1389" s="69"/>
      <c r="H1389" s="69"/>
      <c r="I1389" s="69"/>
      <c r="J1389" s="69"/>
      <c r="K1389" s="84"/>
      <c r="L1389" s="13"/>
      <c r="M1389" s="84"/>
      <c r="N1389" s="13"/>
      <c r="O1389" s="84"/>
      <c r="P1389" s="13"/>
      <c r="Q1389" s="84"/>
      <c r="R1389" s="13">
        <f>R1390</f>
        <v>500</v>
      </c>
      <c r="S1389" s="84">
        <f t="shared" si="309"/>
        <v>500</v>
      </c>
      <c r="T1389" s="13">
        <f>T1390</f>
        <v>0</v>
      </c>
      <c r="U1389" s="84">
        <f t="shared" si="302"/>
        <v>500</v>
      </c>
    </row>
    <row r="1390" spans="1:21" ht="31.5" customHeight="1">
      <c r="A1390" s="61" t="str">
        <f ca="1">IF(ISERROR(MATCH(F1390,Код_КВР,0)),"",INDIRECT(ADDRESS(MATCH(F1390,Код_КВР,0)+1,2,,,"КВР")))</f>
        <v>Публичные нормативные социальные выплаты гражданам</v>
      </c>
      <c r="B1390" s="126">
        <v>810</v>
      </c>
      <c r="C1390" s="8" t="s">
        <v>186</v>
      </c>
      <c r="D1390" s="8" t="s">
        <v>213</v>
      </c>
      <c r="E1390" s="126" t="s">
        <v>658</v>
      </c>
      <c r="F1390" s="126">
        <v>310</v>
      </c>
      <c r="G1390" s="69"/>
      <c r="H1390" s="69"/>
      <c r="I1390" s="69"/>
      <c r="J1390" s="69"/>
      <c r="K1390" s="84"/>
      <c r="L1390" s="13"/>
      <c r="M1390" s="84"/>
      <c r="N1390" s="13"/>
      <c r="O1390" s="84"/>
      <c r="P1390" s="13"/>
      <c r="Q1390" s="84"/>
      <c r="R1390" s="13">
        <f>R1391</f>
        <v>500</v>
      </c>
      <c r="S1390" s="84">
        <f t="shared" si="309"/>
        <v>500</v>
      </c>
      <c r="T1390" s="13">
        <f>T1391</f>
        <v>0</v>
      </c>
      <c r="U1390" s="84">
        <f t="shared" si="302"/>
        <v>500</v>
      </c>
    </row>
    <row r="1391" spans="1:21" ht="37.5" customHeight="1">
      <c r="A1391" s="61" t="str">
        <f ca="1">IF(ISERROR(MATCH(F1391,Код_КВР,0)),"",INDIRECT(ADDRESS(MATCH(F1391,Код_КВР,0)+1,2,,,"КВР")))</f>
        <v>Пособия, компенсации, меры социальной поддержки по публичным нормативным обязательствам</v>
      </c>
      <c r="B1391" s="126">
        <v>810</v>
      </c>
      <c r="C1391" s="8" t="s">
        <v>186</v>
      </c>
      <c r="D1391" s="8" t="s">
        <v>213</v>
      </c>
      <c r="E1391" s="126" t="s">
        <v>658</v>
      </c>
      <c r="F1391" s="126">
        <v>313</v>
      </c>
      <c r="G1391" s="69"/>
      <c r="H1391" s="69"/>
      <c r="I1391" s="69"/>
      <c r="J1391" s="69"/>
      <c r="K1391" s="84"/>
      <c r="L1391" s="13"/>
      <c r="M1391" s="84"/>
      <c r="N1391" s="13"/>
      <c r="O1391" s="84"/>
      <c r="P1391" s="13"/>
      <c r="Q1391" s="84"/>
      <c r="R1391" s="13">
        <v>500</v>
      </c>
      <c r="S1391" s="84">
        <f t="shared" si="309"/>
        <v>500</v>
      </c>
      <c r="T1391" s="13"/>
      <c r="U1391" s="84">
        <f t="shared" si="302"/>
        <v>500</v>
      </c>
    </row>
    <row r="1392" spans="1:21" ht="36.75" customHeight="1">
      <c r="A1392" s="61" t="str">
        <f ca="1">IF(ISERROR(MATCH(E1392,Код_КЦСР,0)),"",INDIRECT(ADDRESS(MATCH(E1392,Код_КЦСР,0)+1,2,,,"КЦСР")))</f>
        <v>Социальная поддержка пенсионеров на условиях договора пожизненного содержания с иждивением</v>
      </c>
      <c r="B1392" s="126">
        <v>810</v>
      </c>
      <c r="C1392" s="8" t="s">
        <v>186</v>
      </c>
      <c r="D1392" s="8" t="s">
        <v>213</v>
      </c>
      <c r="E1392" s="126" t="s">
        <v>20</v>
      </c>
      <c r="F1392" s="126"/>
      <c r="G1392" s="69">
        <f>G1396</f>
        <v>14888.699999999999</v>
      </c>
      <c r="H1392" s="69">
        <f>H1396</f>
        <v>0</v>
      </c>
      <c r="I1392" s="69">
        <f t="shared" si="306"/>
        <v>14888.699999999999</v>
      </c>
      <c r="J1392" s="69">
        <f>J1396</f>
        <v>0</v>
      </c>
      <c r="K1392" s="84">
        <f t="shared" si="298"/>
        <v>14888.699999999999</v>
      </c>
      <c r="L1392" s="13">
        <f>L1396</f>
        <v>0</v>
      </c>
      <c r="M1392" s="84">
        <f t="shared" si="295"/>
        <v>14888.699999999999</v>
      </c>
      <c r="N1392" s="13">
        <f>N1396</f>
        <v>0</v>
      </c>
      <c r="O1392" s="84">
        <f t="shared" si="296"/>
        <v>14888.699999999999</v>
      </c>
      <c r="P1392" s="13">
        <f>P1396</f>
        <v>0</v>
      </c>
      <c r="Q1392" s="84">
        <f t="shared" ref="Q1392:Q1482" si="310">O1392+P1392</f>
        <v>14888.699999999999</v>
      </c>
      <c r="R1392" s="13">
        <f>R1396</f>
        <v>0</v>
      </c>
      <c r="S1392" s="84">
        <f t="shared" si="309"/>
        <v>14888.699999999999</v>
      </c>
      <c r="T1392" s="13">
        <f>T1393+T1396</f>
        <v>0</v>
      </c>
      <c r="U1392" s="84">
        <f t="shared" si="302"/>
        <v>14888.699999999999</v>
      </c>
    </row>
    <row r="1393" spans="1:21">
      <c r="A1393" s="61" t="str">
        <f t="shared" ref="A1393:A1399" ca="1" si="311">IF(ISERROR(MATCH(F1393,Код_КВР,0)),"",INDIRECT(ADDRESS(MATCH(F1393,Код_КВР,0)+1,2,,,"КВР")))</f>
        <v>Закупка товаров, работ и услуг для муниципальных нужд</v>
      </c>
      <c r="B1393" s="126">
        <v>810</v>
      </c>
      <c r="C1393" s="8" t="s">
        <v>186</v>
      </c>
      <c r="D1393" s="8" t="s">
        <v>213</v>
      </c>
      <c r="E1393" s="126" t="s">
        <v>20</v>
      </c>
      <c r="F1393" s="126">
        <v>200</v>
      </c>
      <c r="G1393" s="69"/>
      <c r="H1393" s="69"/>
      <c r="I1393" s="69"/>
      <c r="J1393" s="69"/>
      <c r="K1393" s="84"/>
      <c r="L1393" s="13"/>
      <c r="M1393" s="84"/>
      <c r="N1393" s="13"/>
      <c r="O1393" s="84"/>
      <c r="P1393" s="13"/>
      <c r="Q1393" s="84"/>
      <c r="R1393" s="13"/>
      <c r="S1393" s="84"/>
      <c r="T1393" s="13">
        <f t="shared" ref="T1393" si="312">T1394</f>
        <v>38.1</v>
      </c>
      <c r="U1393" s="84">
        <f t="shared" si="302"/>
        <v>38.1</v>
      </c>
    </row>
    <row r="1394" spans="1:21" ht="33">
      <c r="A1394" s="61" t="str">
        <f t="shared" ca="1" si="311"/>
        <v>Иные закупки товаров, работ и услуг для обеспечения муниципальных нужд</v>
      </c>
      <c r="B1394" s="126">
        <v>810</v>
      </c>
      <c r="C1394" s="8" t="s">
        <v>186</v>
      </c>
      <c r="D1394" s="8" t="s">
        <v>213</v>
      </c>
      <c r="E1394" s="126" t="s">
        <v>20</v>
      </c>
      <c r="F1394" s="126">
        <v>240</v>
      </c>
      <c r="G1394" s="69"/>
      <c r="H1394" s="69"/>
      <c r="I1394" s="69"/>
      <c r="J1394" s="69"/>
      <c r="K1394" s="84"/>
      <c r="L1394" s="13"/>
      <c r="M1394" s="84"/>
      <c r="N1394" s="13"/>
      <c r="O1394" s="84"/>
      <c r="P1394" s="13"/>
      <c r="Q1394" s="84"/>
      <c r="R1394" s="13"/>
      <c r="S1394" s="84"/>
      <c r="T1394" s="13">
        <f>SUM(T1395)</f>
        <v>38.1</v>
      </c>
      <c r="U1394" s="84">
        <f t="shared" si="302"/>
        <v>38.1</v>
      </c>
    </row>
    <row r="1395" spans="1:21" ht="36.75" customHeight="1">
      <c r="A1395" s="61" t="str">
        <f t="shared" ca="1" si="311"/>
        <v xml:space="preserve">Прочая закупка товаров, работ и услуг для обеспечения муниципальных нужд         </v>
      </c>
      <c r="B1395" s="126">
        <v>810</v>
      </c>
      <c r="C1395" s="8" t="s">
        <v>186</v>
      </c>
      <c r="D1395" s="8" t="s">
        <v>213</v>
      </c>
      <c r="E1395" s="126" t="s">
        <v>20</v>
      </c>
      <c r="F1395" s="126">
        <v>244</v>
      </c>
      <c r="G1395" s="69"/>
      <c r="H1395" s="69"/>
      <c r="I1395" s="69"/>
      <c r="J1395" s="69"/>
      <c r="K1395" s="84"/>
      <c r="L1395" s="13"/>
      <c r="M1395" s="84"/>
      <c r="N1395" s="13"/>
      <c r="O1395" s="84"/>
      <c r="P1395" s="13"/>
      <c r="Q1395" s="84"/>
      <c r="R1395" s="13"/>
      <c r="S1395" s="84"/>
      <c r="T1395" s="13">
        <v>38.1</v>
      </c>
      <c r="U1395" s="84">
        <f t="shared" si="302"/>
        <v>38.1</v>
      </c>
    </row>
    <row r="1396" spans="1:21">
      <c r="A1396" s="61" t="str">
        <f t="shared" ca="1" si="311"/>
        <v>Социальное обеспечение и иные выплаты населению</v>
      </c>
      <c r="B1396" s="126">
        <v>810</v>
      </c>
      <c r="C1396" s="8" t="s">
        <v>186</v>
      </c>
      <c r="D1396" s="8" t="s">
        <v>213</v>
      </c>
      <c r="E1396" s="126" t="s">
        <v>20</v>
      </c>
      <c r="F1396" s="126">
        <v>300</v>
      </c>
      <c r="G1396" s="69">
        <f t="shared" ref="G1396:T1411" si="313">G1397</f>
        <v>14888.699999999999</v>
      </c>
      <c r="H1396" s="69">
        <f t="shared" si="313"/>
        <v>0</v>
      </c>
      <c r="I1396" s="69">
        <f t="shared" si="306"/>
        <v>14888.699999999999</v>
      </c>
      <c r="J1396" s="69">
        <f t="shared" si="313"/>
        <v>0</v>
      </c>
      <c r="K1396" s="84">
        <f t="shared" si="298"/>
        <v>14888.699999999999</v>
      </c>
      <c r="L1396" s="13">
        <f t="shared" si="313"/>
        <v>0</v>
      </c>
      <c r="M1396" s="84">
        <f t="shared" si="295"/>
        <v>14888.699999999999</v>
      </c>
      <c r="N1396" s="13">
        <f t="shared" si="313"/>
        <v>0</v>
      </c>
      <c r="O1396" s="84">
        <f t="shared" si="296"/>
        <v>14888.699999999999</v>
      </c>
      <c r="P1396" s="13">
        <f t="shared" si="313"/>
        <v>0</v>
      </c>
      <c r="Q1396" s="84">
        <f t="shared" si="310"/>
        <v>14888.699999999999</v>
      </c>
      <c r="R1396" s="13">
        <f t="shared" si="313"/>
        <v>0</v>
      </c>
      <c r="S1396" s="84">
        <f t="shared" si="309"/>
        <v>14888.699999999999</v>
      </c>
      <c r="T1396" s="13">
        <f t="shared" si="313"/>
        <v>-38.100000000000023</v>
      </c>
      <c r="U1396" s="84">
        <f t="shared" si="302"/>
        <v>14850.599999999999</v>
      </c>
    </row>
    <row r="1397" spans="1:21" ht="33">
      <c r="A1397" s="61" t="str">
        <f t="shared" ca="1" si="311"/>
        <v>Социальные выплаты гражданам, кроме публичных нормативных социальных выплат</v>
      </c>
      <c r="B1397" s="126">
        <v>810</v>
      </c>
      <c r="C1397" s="8" t="s">
        <v>186</v>
      </c>
      <c r="D1397" s="8" t="s">
        <v>213</v>
      </c>
      <c r="E1397" s="126" t="s">
        <v>20</v>
      </c>
      <c r="F1397" s="126">
        <v>320</v>
      </c>
      <c r="G1397" s="69">
        <f>SUM(G1398:G1399)</f>
        <v>14888.699999999999</v>
      </c>
      <c r="H1397" s="69">
        <f>SUM(H1398:H1399)</f>
        <v>0</v>
      </c>
      <c r="I1397" s="69">
        <f t="shared" si="306"/>
        <v>14888.699999999999</v>
      </c>
      <c r="J1397" s="69">
        <f>SUM(J1398:J1399)</f>
        <v>0</v>
      </c>
      <c r="K1397" s="84">
        <f t="shared" si="298"/>
        <v>14888.699999999999</v>
      </c>
      <c r="L1397" s="13">
        <f>SUM(L1398:L1399)</f>
        <v>0</v>
      </c>
      <c r="M1397" s="84">
        <f t="shared" si="295"/>
        <v>14888.699999999999</v>
      </c>
      <c r="N1397" s="13">
        <f>SUM(N1398:N1399)</f>
        <v>0</v>
      </c>
      <c r="O1397" s="84">
        <f t="shared" si="296"/>
        <v>14888.699999999999</v>
      </c>
      <c r="P1397" s="13">
        <f>SUM(P1398:P1399)</f>
        <v>0</v>
      </c>
      <c r="Q1397" s="84">
        <f t="shared" si="310"/>
        <v>14888.699999999999</v>
      </c>
      <c r="R1397" s="13">
        <f>SUM(R1398:R1399)</f>
        <v>0</v>
      </c>
      <c r="S1397" s="84">
        <f t="shared" si="309"/>
        <v>14888.699999999999</v>
      </c>
      <c r="T1397" s="13">
        <f>SUM(T1398:T1399)</f>
        <v>-38.100000000000023</v>
      </c>
      <c r="U1397" s="84">
        <f t="shared" si="302"/>
        <v>14850.599999999999</v>
      </c>
    </row>
    <row r="1398" spans="1:21" ht="33">
      <c r="A1398" s="61" t="str">
        <f t="shared" ca="1" si="311"/>
        <v>Пособия, компенсации и иные социальные выплаты гражданам, кроме публичных нормативных обязательств</v>
      </c>
      <c r="B1398" s="126">
        <v>810</v>
      </c>
      <c r="C1398" s="8" t="s">
        <v>186</v>
      </c>
      <c r="D1398" s="8" t="s">
        <v>213</v>
      </c>
      <c r="E1398" s="126" t="s">
        <v>20</v>
      </c>
      <c r="F1398" s="126">
        <v>321</v>
      </c>
      <c r="G1398" s="69">
        <v>12936.9</v>
      </c>
      <c r="H1398" s="69"/>
      <c r="I1398" s="69">
        <f t="shared" si="306"/>
        <v>12936.9</v>
      </c>
      <c r="J1398" s="69"/>
      <c r="K1398" s="84">
        <f t="shared" si="298"/>
        <v>12936.9</v>
      </c>
      <c r="L1398" s="13"/>
      <c r="M1398" s="84">
        <f t="shared" si="295"/>
        <v>12936.9</v>
      </c>
      <c r="N1398" s="13"/>
      <c r="O1398" s="84">
        <f t="shared" si="296"/>
        <v>12936.9</v>
      </c>
      <c r="P1398" s="13"/>
      <c r="Q1398" s="84">
        <f t="shared" si="310"/>
        <v>12936.9</v>
      </c>
      <c r="R1398" s="13">
        <v>-327</v>
      </c>
      <c r="S1398" s="84">
        <f t="shared" si="309"/>
        <v>12609.9</v>
      </c>
      <c r="T1398" s="13">
        <v>393.2</v>
      </c>
      <c r="U1398" s="84">
        <f t="shared" si="302"/>
        <v>13003.1</v>
      </c>
    </row>
    <row r="1399" spans="1:21" ht="33">
      <c r="A1399" s="61" t="str">
        <f t="shared" ca="1" si="311"/>
        <v>Приобретение товаров, работ, услуг в пользу граждан в целях их социального обеспечения</v>
      </c>
      <c r="B1399" s="126">
        <v>810</v>
      </c>
      <c r="C1399" s="8" t="s">
        <v>186</v>
      </c>
      <c r="D1399" s="8" t="s">
        <v>213</v>
      </c>
      <c r="E1399" s="126" t="s">
        <v>20</v>
      </c>
      <c r="F1399" s="126">
        <v>323</v>
      </c>
      <c r="G1399" s="69">
        <v>1951.8</v>
      </c>
      <c r="H1399" s="69"/>
      <c r="I1399" s="69">
        <f t="shared" si="306"/>
        <v>1951.8</v>
      </c>
      <c r="J1399" s="69"/>
      <c r="K1399" s="84">
        <f t="shared" si="298"/>
        <v>1951.8</v>
      </c>
      <c r="L1399" s="13"/>
      <c r="M1399" s="84">
        <f t="shared" si="295"/>
        <v>1951.8</v>
      </c>
      <c r="N1399" s="13"/>
      <c r="O1399" s="84">
        <f t="shared" si="296"/>
        <v>1951.8</v>
      </c>
      <c r="P1399" s="13"/>
      <c r="Q1399" s="84">
        <f t="shared" si="310"/>
        <v>1951.8</v>
      </c>
      <c r="R1399" s="13">
        <f>-94.6+421.6</f>
        <v>327</v>
      </c>
      <c r="S1399" s="84">
        <f t="shared" si="309"/>
        <v>2278.8000000000002</v>
      </c>
      <c r="T1399" s="13">
        <f>-123.5-307.8</f>
        <v>-431.3</v>
      </c>
      <c r="U1399" s="84">
        <f t="shared" si="302"/>
        <v>1847.5000000000002</v>
      </c>
    </row>
    <row r="1400" spans="1:21" ht="33">
      <c r="A1400" s="61" t="str">
        <f ca="1">IF(ISERROR(MATCH(E1400,Код_КЦСР,0)),"",INDIRECT(ADDRESS(MATCH(E1400,Код_КЦСР,0)+1,2,,,"КЦСР")))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400" s="126">
        <v>810</v>
      </c>
      <c r="C1400" s="8" t="s">
        <v>186</v>
      </c>
      <c r="D1400" s="8" t="s">
        <v>213</v>
      </c>
      <c r="E1400" s="126" t="s">
        <v>407</v>
      </c>
      <c r="F1400" s="126"/>
      <c r="G1400" s="69">
        <f>G1404</f>
        <v>277578.3</v>
      </c>
      <c r="H1400" s="69">
        <f>H1404</f>
        <v>0</v>
      </c>
      <c r="I1400" s="69">
        <f t="shared" si="306"/>
        <v>277578.3</v>
      </c>
      <c r="J1400" s="69">
        <f>J1404</f>
        <v>0</v>
      </c>
      <c r="K1400" s="84">
        <f t="shared" si="298"/>
        <v>277578.3</v>
      </c>
      <c r="L1400" s="13">
        <f>L1404</f>
        <v>0</v>
      </c>
      <c r="M1400" s="84">
        <f t="shared" si="295"/>
        <v>277578.3</v>
      </c>
      <c r="N1400" s="13">
        <f>N1404</f>
        <v>0</v>
      </c>
      <c r="O1400" s="84">
        <f t="shared" si="296"/>
        <v>277578.3</v>
      </c>
      <c r="P1400" s="13">
        <f>P1404</f>
        <v>0</v>
      </c>
      <c r="Q1400" s="84">
        <f t="shared" si="310"/>
        <v>277578.3</v>
      </c>
      <c r="R1400" s="13">
        <f>R1404</f>
        <v>-13422.3</v>
      </c>
      <c r="S1400" s="84">
        <f t="shared" si="309"/>
        <v>264156</v>
      </c>
      <c r="T1400" s="13">
        <f>T1404+T1401</f>
        <v>0</v>
      </c>
      <c r="U1400" s="84">
        <f t="shared" si="302"/>
        <v>264156</v>
      </c>
    </row>
    <row r="1401" spans="1:21">
      <c r="A1401" s="61" t="str">
        <f t="shared" ref="A1401:A1406" ca="1" si="314">IF(ISERROR(MATCH(F1401,Код_КВР,0)),"",INDIRECT(ADDRESS(MATCH(F1401,Код_КВР,0)+1,2,,,"КВР")))</f>
        <v>Закупка товаров, работ и услуг для муниципальных нужд</v>
      </c>
      <c r="B1401" s="126">
        <v>810</v>
      </c>
      <c r="C1401" s="8" t="s">
        <v>186</v>
      </c>
      <c r="D1401" s="8" t="s">
        <v>213</v>
      </c>
      <c r="E1401" s="126" t="s">
        <v>407</v>
      </c>
      <c r="F1401" s="126">
        <v>200</v>
      </c>
      <c r="G1401" s="69"/>
      <c r="H1401" s="69"/>
      <c r="I1401" s="69"/>
      <c r="J1401" s="69"/>
      <c r="K1401" s="84"/>
      <c r="L1401" s="13"/>
      <c r="M1401" s="84"/>
      <c r="N1401" s="13"/>
      <c r="O1401" s="84"/>
      <c r="P1401" s="13"/>
      <c r="Q1401" s="84"/>
      <c r="R1401" s="13"/>
      <c r="S1401" s="84"/>
      <c r="T1401" s="13">
        <f>SUM(T1402)</f>
        <v>2732.7</v>
      </c>
      <c r="U1401" s="84">
        <f t="shared" si="302"/>
        <v>2732.7</v>
      </c>
    </row>
    <row r="1402" spans="1:21" ht="33">
      <c r="A1402" s="61" t="str">
        <f t="shared" ca="1" si="314"/>
        <v>Иные закупки товаров, работ и услуг для обеспечения муниципальных нужд</v>
      </c>
      <c r="B1402" s="126">
        <v>810</v>
      </c>
      <c r="C1402" s="8" t="s">
        <v>186</v>
      </c>
      <c r="D1402" s="8" t="s">
        <v>213</v>
      </c>
      <c r="E1402" s="126" t="s">
        <v>407</v>
      </c>
      <c r="F1402" s="126">
        <v>240</v>
      </c>
      <c r="G1402" s="69"/>
      <c r="H1402" s="69"/>
      <c r="I1402" s="69"/>
      <c r="J1402" s="69"/>
      <c r="K1402" s="84"/>
      <c r="L1402" s="13"/>
      <c r="M1402" s="84"/>
      <c r="N1402" s="13"/>
      <c r="O1402" s="84"/>
      <c r="P1402" s="13"/>
      <c r="Q1402" s="84"/>
      <c r="R1402" s="13"/>
      <c r="S1402" s="84"/>
      <c r="T1402" s="13">
        <f>T1403</f>
        <v>2732.7</v>
      </c>
      <c r="U1402" s="84">
        <f t="shared" si="302"/>
        <v>2732.7</v>
      </c>
    </row>
    <row r="1403" spans="1:21" ht="33">
      <c r="A1403" s="61" t="str">
        <f t="shared" ca="1" si="314"/>
        <v xml:space="preserve">Прочая закупка товаров, работ и услуг для обеспечения муниципальных нужд         </v>
      </c>
      <c r="B1403" s="126">
        <v>810</v>
      </c>
      <c r="C1403" s="8" t="s">
        <v>186</v>
      </c>
      <c r="D1403" s="8" t="s">
        <v>213</v>
      </c>
      <c r="E1403" s="126" t="s">
        <v>407</v>
      </c>
      <c r="F1403" s="126">
        <v>244</v>
      </c>
      <c r="G1403" s="69"/>
      <c r="H1403" s="69"/>
      <c r="I1403" s="69"/>
      <c r="J1403" s="69"/>
      <c r="K1403" s="84"/>
      <c r="L1403" s="13"/>
      <c r="M1403" s="84"/>
      <c r="N1403" s="13"/>
      <c r="O1403" s="84"/>
      <c r="P1403" s="13"/>
      <c r="Q1403" s="84"/>
      <c r="R1403" s="13"/>
      <c r="S1403" s="84"/>
      <c r="T1403" s="13">
        <v>2732.7</v>
      </c>
      <c r="U1403" s="84">
        <f t="shared" si="302"/>
        <v>2732.7</v>
      </c>
    </row>
    <row r="1404" spans="1:21">
      <c r="A1404" s="61" t="str">
        <f t="shared" ca="1" si="314"/>
        <v>Социальное обеспечение и иные выплаты населению</v>
      </c>
      <c r="B1404" s="126">
        <v>810</v>
      </c>
      <c r="C1404" s="8" t="s">
        <v>186</v>
      </c>
      <c r="D1404" s="8" t="s">
        <v>213</v>
      </c>
      <c r="E1404" s="126" t="s">
        <v>407</v>
      </c>
      <c r="F1404" s="126">
        <v>300</v>
      </c>
      <c r="G1404" s="69">
        <f t="shared" si="313"/>
        <v>277578.3</v>
      </c>
      <c r="H1404" s="69">
        <f t="shared" si="313"/>
        <v>0</v>
      </c>
      <c r="I1404" s="69">
        <f t="shared" si="306"/>
        <v>277578.3</v>
      </c>
      <c r="J1404" s="69">
        <f t="shared" si="313"/>
        <v>0</v>
      </c>
      <c r="K1404" s="84">
        <f t="shared" si="298"/>
        <v>277578.3</v>
      </c>
      <c r="L1404" s="13">
        <f t="shared" si="313"/>
        <v>0</v>
      </c>
      <c r="M1404" s="84">
        <f t="shared" si="295"/>
        <v>277578.3</v>
      </c>
      <c r="N1404" s="13">
        <f t="shared" si="313"/>
        <v>0</v>
      </c>
      <c r="O1404" s="84">
        <f t="shared" si="296"/>
        <v>277578.3</v>
      </c>
      <c r="P1404" s="13">
        <f t="shared" si="313"/>
        <v>0</v>
      </c>
      <c r="Q1404" s="84">
        <f t="shared" si="310"/>
        <v>277578.3</v>
      </c>
      <c r="R1404" s="13">
        <f t="shared" si="313"/>
        <v>-13422.3</v>
      </c>
      <c r="S1404" s="84">
        <f t="shared" si="309"/>
        <v>264156</v>
      </c>
      <c r="T1404" s="13">
        <f t="shared" si="313"/>
        <v>-2732.7</v>
      </c>
      <c r="U1404" s="84">
        <f t="shared" si="302"/>
        <v>261423.3</v>
      </c>
    </row>
    <row r="1405" spans="1:21" ht="33">
      <c r="A1405" s="61" t="str">
        <f t="shared" ca="1" si="314"/>
        <v>Социальные выплаты гражданам, кроме публичных нормативных социальных выплат</v>
      </c>
      <c r="B1405" s="126">
        <v>810</v>
      </c>
      <c r="C1405" s="8" t="s">
        <v>186</v>
      </c>
      <c r="D1405" s="8" t="s">
        <v>213</v>
      </c>
      <c r="E1405" s="126" t="s">
        <v>407</v>
      </c>
      <c r="F1405" s="126">
        <v>320</v>
      </c>
      <c r="G1405" s="69">
        <f t="shared" si="313"/>
        <v>277578.3</v>
      </c>
      <c r="H1405" s="69">
        <f t="shared" si="313"/>
        <v>0</v>
      </c>
      <c r="I1405" s="69">
        <f t="shared" si="306"/>
        <v>277578.3</v>
      </c>
      <c r="J1405" s="69">
        <f t="shared" si="313"/>
        <v>0</v>
      </c>
      <c r="K1405" s="84">
        <f t="shared" si="298"/>
        <v>277578.3</v>
      </c>
      <c r="L1405" s="13">
        <f t="shared" si="313"/>
        <v>0</v>
      </c>
      <c r="M1405" s="84">
        <f t="shared" si="295"/>
        <v>277578.3</v>
      </c>
      <c r="N1405" s="13">
        <f t="shared" si="313"/>
        <v>0</v>
      </c>
      <c r="O1405" s="84">
        <f t="shared" si="296"/>
        <v>277578.3</v>
      </c>
      <c r="P1405" s="13">
        <f t="shared" si="313"/>
        <v>0</v>
      </c>
      <c r="Q1405" s="84">
        <f t="shared" si="310"/>
        <v>277578.3</v>
      </c>
      <c r="R1405" s="13">
        <f t="shared" si="313"/>
        <v>-13422.3</v>
      </c>
      <c r="S1405" s="84">
        <f t="shared" si="309"/>
        <v>264156</v>
      </c>
      <c r="T1405" s="13">
        <f t="shared" si="313"/>
        <v>-2732.7</v>
      </c>
      <c r="U1405" s="84">
        <f t="shared" si="302"/>
        <v>261423.3</v>
      </c>
    </row>
    <row r="1406" spans="1:21" ht="33">
      <c r="A1406" s="61" t="str">
        <f t="shared" ca="1" si="314"/>
        <v>Пособия, компенсации и иные социальные выплаты гражданам, кроме публичных нормативных обязательств</v>
      </c>
      <c r="B1406" s="126">
        <v>810</v>
      </c>
      <c r="C1406" s="8" t="s">
        <v>186</v>
      </c>
      <c r="D1406" s="8" t="s">
        <v>213</v>
      </c>
      <c r="E1406" s="126" t="s">
        <v>407</v>
      </c>
      <c r="F1406" s="126">
        <v>321</v>
      </c>
      <c r="G1406" s="69">
        <v>277578.3</v>
      </c>
      <c r="H1406" s="69"/>
      <c r="I1406" s="69">
        <f t="shared" si="306"/>
        <v>277578.3</v>
      </c>
      <c r="J1406" s="69"/>
      <c r="K1406" s="84">
        <f t="shared" si="298"/>
        <v>277578.3</v>
      </c>
      <c r="L1406" s="13"/>
      <c r="M1406" s="84">
        <f t="shared" si="295"/>
        <v>277578.3</v>
      </c>
      <c r="N1406" s="13"/>
      <c r="O1406" s="84">
        <f t="shared" si="296"/>
        <v>277578.3</v>
      </c>
      <c r="P1406" s="13"/>
      <c r="Q1406" s="84">
        <f t="shared" si="310"/>
        <v>277578.3</v>
      </c>
      <c r="R1406" s="13">
        <v>-13422.3</v>
      </c>
      <c r="S1406" s="84">
        <f t="shared" si="309"/>
        <v>264156</v>
      </c>
      <c r="T1406" s="13">
        <v>-2732.7</v>
      </c>
      <c r="U1406" s="84">
        <f t="shared" si="302"/>
        <v>261423.3</v>
      </c>
    </row>
    <row r="1407" spans="1:21" ht="82.5">
      <c r="A1407" s="61" t="str">
        <f ca="1">IF(ISERROR(MATCH(E1407,Код_КЦСР,0)),"",INDIRECT(ADDRESS(MATCH(E1407,Код_КЦСР,0)+1,2,,,"КЦСР")))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407" s="126">
        <v>810</v>
      </c>
      <c r="C1407" s="8" t="s">
        <v>186</v>
      </c>
      <c r="D1407" s="8" t="s">
        <v>213</v>
      </c>
      <c r="E1407" s="126" t="s">
        <v>402</v>
      </c>
      <c r="F1407" s="126"/>
      <c r="G1407" s="69">
        <f>G1411</f>
        <v>336360.6</v>
      </c>
      <c r="H1407" s="69">
        <f>H1411</f>
        <v>0</v>
      </c>
      <c r="I1407" s="69">
        <f t="shared" si="306"/>
        <v>336360.6</v>
      </c>
      <c r="J1407" s="69">
        <f>J1411</f>
        <v>0</v>
      </c>
      <c r="K1407" s="84">
        <f t="shared" si="298"/>
        <v>336360.6</v>
      </c>
      <c r="L1407" s="13">
        <f>L1411</f>
        <v>0</v>
      </c>
      <c r="M1407" s="84">
        <f t="shared" si="295"/>
        <v>336360.6</v>
      </c>
      <c r="N1407" s="13">
        <f>N1411</f>
        <v>0</v>
      </c>
      <c r="O1407" s="84">
        <f t="shared" si="296"/>
        <v>336360.6</v>
      </c>
      <c r="P1407" s="13">
        <f>P1411</f>
        <v>-365.3</v>
      </c>
      <c r="Q1407" s="84">
        <f t="shared" si="310"/>
        <v>335995.3</v>
      </c>
      <c r="R1407" s="13">
        <f>R1411</f>
        <v>98596.2</v>
      </c>
      <c r="S1407" s="84">
        <f t="shared" si="309"/>
        <v>434591.5</v>
      </c>
      <c r="T1407" s="13">
        <f>T1408+T1411</f>
        <v>45579.900000000009</v>
      </c>
      <c r="U1407" s="84">
        <f t="shared" si="302"/>
        <v>480171.4</v>
      </c>
    </row>
    <row r="1408" spans="1:21">
      <c r="A1408" s="61" t="str">
        <f t="shared" ref="A1408:A1414" ca="1" si="315">IF(ISERROR(MATCH(F1408,Код_КВР,0)),"",INDIRECT(ADDRESS(MATCH(F1408,Код_КВР,0)+1,2,,,"КВР")))</f>
        <v>Закупка товаров, работ и услуг для муниципальных нужд</v>
      </c>
      <c r="B1408" s="126">
        <v>810</v>
      </c>
      <c r="C1408" s="8" t="s">
        <v>186</v>
      </c>
      <c r="D1408" s="8" t="s">
        <v>213</v>
      </c>
      <c r="E1408" s="126" t="s">
        <v>402</v>
      </c>
      <c r="F1408" s="126">
        <v>200</v>
      </c>
      <c r="G1408" s="69"/>
      <c r="H1408" s="69"/>
      <c r="I1408" s="69"/>
      <c r="J1408" s="69"/>
      <c r="K1408" s="84"/>
      <c r="L1408" s="13"/>
      <c r="M1408" s="84"/>
      <c r="N1408" s="13"/>
      <c r="O1408" s="84"/>
      <c r="P1408" s="13"/>
      <c r="Q1408" s="84"/>
      <c r="R1408" s="13"/>
      <c r="S1408" s="84"/>
      <c r="T1408" s="13">
        <f t="shared" si="313"/>
        <v>2585.3000000000002</v>
      </c>
      <c r="U1408" s="84">
        <f t="shared" si="302"/>
        <v>2585.3000000000002</v>
      </c>
    </row>
    <row r="1409" spans="1:22" ht="33">
      <c r="A1409" s="61" t="str">
        <f t="shared" ca="1" si="315"/>
        <v>Иные закупки товаров, работ и услуг для обеспечения муниципальных нужд</v>
      </c>
      <c r="B1409" s="126">
        <v>810</v>
      </c>
      <c r="C1409" s="8" t="s">
        <v>186</v>
      </c>
      <c r="D1409" s="8" t="s">
        <v>213</v>
      </c>
      <c r="E1409" s="126" t="s">
        <v>402</v>
      </c>
      <c r="F1409" s="126">
        <v>240</v>
      </c>
      <c r="G1409" s="69"/>
      <c r="H1409" s="69"/>
      <c r="I1409" s="69"/>
      <c r="J1409" s="69"/>
      <c r="K1409" s="84"/>
      <c r="L1409" s="13"/>
      <c r="M1409" s="84"/>
      <c r="N1409" s="13"/>
      <c r="O1409" s="84"/>
      <c r="P1409" s="13"/>
      <c r="Q1409" s="84"/>
      <c r="R1409" s="13"/>
      <c r="S1409" s="84"/>
      <c r="T1409" s="13">
        <f>SUM(T1410)</f>
        <v>2585.3000000000002</v>
      </c>
      <c r="U1409" s="84">
        <f t="shared" si="302"/>
        <v>2585.3000000000002</v>
      </c>
    </row>
    <row r="1410" spans="1:22" ht="33">
      <c r="A1410" s="61" t="str">
        <f t="shared" ca="1" si="315"/>
        <v xml:space="preserve">Прочая закупка товаров, работ и услуг для обеспечения муниципальных нужд         </v>
      </c>
      <c r="B1410" s="126">
        <v>810</v>
      </c>
      <c r="C1410" s="8" t="s">
        <v>186</v>
      </c>
      <c r="D1410" s="8" t="s">
        <v>213</v>
      </c>
      <c r="E1410" s="126" t="s">
        <v>402</v>
      </c>
      <c r="F1410" s="126">
        <v>244</v>
      </c>
      <c r="G1410" s="69"/>
      <c r="H1410" s="69"/>
      <c r="I1410" s="69"/>
      <c r="J1410" s="69"/>
      <c r="K1410" s="84"/>
      <c r="L1410" s="13"/>
      <c r="M1410" s="84"/>
      <c r="N1410" s="13"/>
      <c r="O1410" s="84"/>
      <c r="P1410" s="13"/>
      <c r="Q1410" s="84"/>
      <c r="R1410" s="13"/>
      <c r="S1410" s="84"/>
      <c r="T1410" s="13">
        <v>2585.3000000000002</v>
      </c>
      <c r="U1410" s="84">
        <f t="shared" si="302"/>
        <v>2585.3000000000002</v>
      </c>
    </row>
    <row r="1411" spans="1:22">
      <c r="A1411" s="61" t="str">
        <f t="shared" ca="1" si="315"/>
        <v>Социальное обеспечение и иные выплаты населению</v>
      </c>
      <c r="B1411" s="126">
        <v>810</v>
      </c>
      <c r="C1411" s="8" t="s">
        <v>186</v>
      </c>
      <c r="D1411" s="8" t="s">
        <v>213</v>
      </c>
      <c r="E1411" s="126" t="s">
        <v>402</v>
      </c>
      <c r="F1411" s="126">
        <v>300</v>
      </c>
      <c r="G1411" s="69">
        <f t="shared" si="313"/>
        <v>336360.6</v>
      </c>
      <c r="H1411" s="69">
        <f t="shared" si="313"/>
        <v>0</v>
      </c>
      <c r="I1411" s="69">
        <f t="shared" si="306"/>
        <v>336360.6</v>
      </c>
      <c r="J1411" s="69">
        <f t="shared" si="313"/>
        <v>0</v>
      </c>
      <c r="K1411" s="84">
        <f t="shared" si="298"/>
        <v>336360.6</v>
      </c>
      <c r="L1411" s="13">
        <f t="shared" si="313"/>
        <v>0</v>
      </c>
      <c r="M1411" s="84">
        <f t="shared" si="295"/>
        <v>336360.6</v>
      </c>
      <c r="N1411" s="13">
        <f t="shared" si="313"/>
        <v>0</v>
      </c>
      <c r="O1411" s="84">
        <f t="shared" si="296"/>
        <v>336360.6</v>
      </c>
      <c r="P1411" s="13">
        <f t="shared" si="313"/>
        <v>-365.3</v>
      </c>
      <c r="Q1411" s="84">
        <f t="shared" si="310"/>
        <v>335995.3</v>
      </c>
      <c r="R1411" s="13">
        <f t="shared" si="313"/>
        <v>98596.2</v>
      </c>
      <c r="S1411" s="84">
        <f t="shared" si="309"/>
        <v>434591.5</v>
      </c>
      <c r="T1411" s="13">
        <f t="shared" si="313"/>
        <v>42994.600000000006</v>
      </c>
      <c r="U1411" s="84">
        <f t="shared" si="302"/>
        <v>477586.1</v>
      </c>
    </row>
    <row r="1412" spans="1:22" ht="33">
      <c r="A1412" s="61" t="str">
        <f t="shared" ca="1" si="315"/>
        <v>Социальные выплаты гражданам, кроме публичных нормативных социальных выплат</v>
      </c>
      <c r="B1412" s="126">
        <v>810</v>
      </c>
      <c r="C1412" s="8" t="s">
        <v>186</v>
      </c>
      <c r="D1412" s="8" t="s">
        <v>213</v>
      </c>
      <c r="E1412" s="126" t="s">
        <v>402</v>
      </c>
      <c r="F1412" s="126">
        <v>320</v>
      </c>
      <c r="G1412" s="69">
        <f>SUM(G1413:G1414)</f>
        <v>336360.6</v>
      </c>
      <c r="H1412" s="69">
        <f>SUM(H1413:H1414)</f>
        <v>0</v>
      </c>
      <c r="I1412" s="69">
        <f t="shared" si="306"/>
        <v>336360.6</v>
      </c>
      <c r="J1412" s="69">
        <f>SUM(J1413:J1414)</f>
        <v>0</v>
      </c>
      <c r="K1412" s="84">
        <f t="shared" si="298"/>
        <v>336360.6</v>
      </c>
      <c r="L1412" s="13">
        <f>SUM(L1413:L1414)</f>
        <v>0</v>
      </c>
      <c r="M1412" s="84">
        <f t="shared" si="295"/>
        <v>336360.6</v>
      </c>
      <c r="N1412" s="13">
        <f>SUM(N1413:N1414)</f>
        <v>0</v>
      </c>
      <c r="O1412" s="84">
        <f t="shared" si="296"/>
        <v>336360.6</v>
      </c>
      <c r="P1412" s="13">
        <f>SUM(P1413:P1414)</f>
        <v>-365.3</v>
      </c>
      <c r="Q1412" s="84">
        <f t="shared" si="310"/>
        <v>335995.3</v>
      </c>
      <c r="R1412" s="13">
        <f>SUM(R1413:R1414)</f>
        <v>98596.2</v>
      </c>
      <c r="S1412" s="84">
        <f t="shared" si="309"/>
        <v>434591.5</v>
      </c>
      <c r="T1412" s="13">
        <f>SUM(T1413:T1414)</f>
        <v>42994.600000000006</v>
      </c>
      <c r="U1412" s="84">
        <f t="shared" si="302"/>
        <v>477586.1</v>
      </c>
    </row>
    <row r="1413" spans="1:22" ht="33">
      <c r="A1413" s="61" t="str">
        <f t="shared" ca="1" si="315"/>
        <v>Пособия, компенсации и иные социальные выплаты гражданам, кроме публичных нормативных обязательств</v>
      </c>
      <c r="B1413" s="126">
        <v>810</v>
      </c>
      <c r="C1413" s="8" t="s">
        <v>186</v>
      </c>
      <c r="D1413" s="8" t="s">
        <v>213</v>
      </c>
      <c r="E1413" s="126" t="s">
        <v>402</v>
      </c>
      <c r="F1413" s="126">
        <v>321</v>
      </c>
      <c r="G1413" s="69">
        <f>326837+8000</f>
        <v>334837</v>
      </c>
      <c r="H1413" s="69"/>
      <c r="I1413" s="69">
        <f t="shared" si="306"/>
        <v>334837</v>
      </c>
      <c r="J1413" s="69"/>
      <c r="K1413" s="84">
        <f t="shared" si="298"/>
        <v>334837</v>
      </c>
      <c r="L1413" s="13"/>
      <c r="M1413" s="84">
        <f t="shared" si="295"/>
        <v>334837</v>
      </c>
      <c r="N1413" s="13"/>
      <c r="O1413" s="84">
        <f t="shared" si="296"/>
        <v>334837</v>
      </c>
      <c r="P1413" s="13">
        <v>-365.3</v>
      </c>
      <c r="Q1413" s="84">
        <f t="shared" si="310"/>
        <v>334471.7</v>
      </c>
      <c r="R1413" s="13">
        <f>-4382.1+220+70129+32629.3</f>
        <v>98596.2</v>
      </c>
      <c r="S1413" s="84">
        <f t="shared" si="309"/>
        <v>433067.9</v>
      </c>
      <c r="T1413" s="13">
        <f>-2585.3+52402.8-3442.7+54.8-263.3-2900</f>
        <v>43266.3</v>
      </c>
      <c r="U1413" s="84">
        <f t="shared" si="302"/>
        <v>476334.2</v>
      </c>
    </row>
    <row r="1414" spans="1:22" ht="33">
      <c r="A1414" s="61" t="str">
        <f t="shared" ca="1" si="315"/>
        <v>Приобретение товаров, работ, услуг в пользу граждан в целях их социального обеспечения</v>
      </c>
      <c r="B1414" s="126">
        <v>810</v>
      </c>
      <c r="C1414" s="8" t="s">
        <v>186</v>
      </c>
      <c r="D1414" s="8" t="s">
        <v>213</v>
      </c>
      <c r="E1414" s="126" t="s">
        <v>402</v>
      </c>
      <c r="F1414" s="126">
        <v>323</v>
      </c>
      <c r="G1414" s="69">
        <f>999+524.6</f>
        <v>1523.6</v>
      </c>
      <c r="H1414" s="69"/>
      <c r="I1414" s="69">
        <f t="shared" si="306"/>
        <v>1523.6</v>
      </c>
      <c r="J1414" s="69"/>
      <c r="K1414" s="84">
        <f t="shared" si="298"/>
        <v>1523.6</v>
      </c>
      <c r="L1414" s="13"/>
      <c r="M1414" s="84">
        <f t="shared" si="295"/>
        <v>1523.6</v>
      </c>
      <c r="N1414" s="13"/>
      <c r="O1414" s="84">
        <f t="shared" si="296"/>
        <v>1523.6</v>
      </c>
      <c r="P1414" s="13"/>
      <c r="Q1414" s="84">
        <f t="shared" si="310"/>
        <v>1523.6</v>
      </c>
      <c r="R1414" s="13"/>
      <c r="S1414" s="84">
        <f t="shared" si="309"/>
        <v>1523.6</v>
      </c>
      <c r="T1414" s="13">
        <f>263.3-619+84</f>
        <v>-271.7</v>
      </c>
      <c r="U1414" s="84">
        <f t="shared" si="302"/>
        <v>1251.8999999999999</v>
      </c>
    </row>
    <row r="1415" spans="1:22">
      <c r="A1415" s="12" t="s">
        <v>187</v>
      </c>
      <c r="B1415" s="126">
        <v>810</v>
      </c>
      <c r="C1415" s="8" t="s">
        <v>186</v>
      </c>
      <c r="D1415" s="8" t="s">
        <v>215</v>
      </c>
      <c r="E1415" s="126"/>
      <c r="F1415" s="126"/>
      <c r="G1415" s="69">
        <f>G1416+G1429+G1452</f>
        <v>54890.900000000009</v>
      </c>
      <c r="H1415" s="69">
        <f>H1416+H1429+H1452</f>
        <v>0</v>
      </c>
      <c r="I1415" s="69">
        <f t="shared" si="306"/>
        <v>54890.900000000009</v>
      </c>
      <c r="J1415" s="69">
        <f>J1416+J1429+J1452</f>
        <v>-718.2</v>
      </c>
      <c r="K1415" s="84">
        <f t="shared" si="298"/>
        <v>54172.700000000012</v>
      </c>
      <c r="L1415" s="13">
        <f>L1416+L1429+L1452</f>
        <v>0</v>
      </c>
      <c r="M1415" s="84">
        <f t="shared" si="295"/>
        <v>54172.700000000012</v>
      </c>
      <c r="N1415" s="13">
        <f>N1416+N1429+N1452</f>
        <v>0</v>
      </c>
      <c r="O1415" s="84">
        <f t="shared" si="296"/>
        <v>54172.700000000012</v>
      </c>
      <c r="P1415" s="13">
        <f>P1416+P1429+P1452</f>
        <v>0</v>
      </c>
      <c r="Q1415" s="84">
        <f t="shared" si="310"/>
        <v>54172.700000000012</v>
      </c>
      <c r="R1415" s="13">
        <f>R1416+R1429+R1452</f>
        <v>3317.4</v>
      </c>
      <c r="S1415" s="84">
        <f t="shared" si="309"/>
        <v>57490.100000000013</v>
      </c>
      <c r="T1415" s="13">
        <f>T1416+T1429+T1447+T1452</f>
        <v>-435.20000000000016</v>
      </c>
      <c r="U1415" s="84">
        <f t="shared" si="302"/>
        <v>57054.900000000016</v>
      </c>
    </row>
    <row r="1416" spans="1:22">
      <c r="A1416" s="61" t="str">
        <f ca="1">IF(ISERROR(MATCH(E1416,Код_КЦСР,0)),"",INDIRECT(ADDRESS(MATCH(E1416,Код_КЦСР,0)+1,2,,,"КЦСР")))</f>
        <v>Муниципальная программа «Здоровый город» на 2014-2022 годы</v>
      </c>
      <c r="B1416" s="126">
        <v>810</v>
      </c>
      <c r="C1416" s="8" t="s">
        <v>186</v>
      </c>
      <c r="D1416" s="8" t="s">
        <v>215</v>
      </c>
      <c r="E1416" s="126" t="s">
        <v>566</v>
      </c>
      <c r="F1416" s="126"/>
      <c r="G1416" s="69">
        <f>G1417+G1425</f>
        <v>50</v>
      </c>
      <c r="H1416" s="69">
        <f>H1417+H1425</f>
        <v>0</v>
      </c>
      <c r="I1416" s="69">
        <f t="shared" si="306"/>
        <v>50</v>
      </c>
      <c r="J1416" s="69">
        <f>J1417+J1425</f>
        <v>0</v>
      </c>
      <c r="K1416" s="84">
        <f t="shared" si="298"/>
        <v>50</v>
      </c>
      <c r="L1416" s="13">
        <f>L1417+L1425</f>
        <v>0</v>
      </c>
      <c r="M1416" s="84">
        <f t="shared" si="295"/>
        <v>50</v>
      </c>
      <c r="N1416" s="13">
        <f>N1417+N1425</f>
        <v>0</v>
      </c>
      <c r="O1416" s="84">
        <f t="shared" si="296"/>
        <v>50</v>
      </c>
      <c r="P1416" s="13">
        <f>P1417+P1425</f>
        <v>0</v>
      </c>
      <c r="Q1416" s="84">
        <f t="shared" si="310"/>
        <v>50</v>
      </c>
      <c r="R1416" s="13">
        <f>R1417+R1425</f>
        <v>0</v>
      </c>
      <c r="S1416" s="84">
        <f t="shared" si="309"/>
        <v>50</v>
      </c>
      <c r="T1416" s="13">
        <f>T1421+T1417+T1425</f>
        <v>0</v>
      </c>
      <c r="U1416" s="84">
        <f t="shared" si="302"/>
        <v>50</v>
      </c>
    </row>
    <row r="1417" spans="1:22" hidden="1">
      <c r="A1417" s="61" t="str">
        <f ca="1">IF(ISERROR(MATCH(E1417,Код_КЦСР,0)),"",INDIRECT(ADDRESS(MATCH(E1417,Код_КЦСР,0)+1,2,,,"КЦСР")))</f>
        <v>Здоровье на рабочем месте</v>
      </c>
      <c r="B1417" s="100">
        <v>810</v>
      </c>
      <c r="C1417" s="8" t="s">
        <v>186</v>
      </c>
      <c r="D1417" s="8" t="s">
        <v>215</v>
      </c>
      <c r="E1417" s="100" t="s">
        <v>574</v>
      </c>
      <c r="F1417" s="100"/>
      <c r="G1417" s="69">
        <f t="shared" ref="G1417:T1419" si="316">G1418</f>
        <v>0</v>
      </c>
      <c r="H1417" s="69">
        <f t="shared" si="316"/>
        <v>0</v>
      </c>
      <c r="I1417" s="69">
        <f t="shared" si="306"/>
        <v>0</v>
      </c>
      <c r="J1417" s="69">
        <f t="shared" si="316"/>
        <v>0</v>
      </c>
      <c r="K1417" s="84">
        <f t="shared" si="298"/>
        <v>0</v>
      </c>
      <c r="L1417" s="13">
        <f t="shared" si="316"/>
        <v>0</v>
      </c>
      <c r="M1417" s="84">
        <f t="shared" si="295"/>
        <v>0</v>
      </c>
      <c r="N1417" s="13">
        <f t="shared" si="316"/>
        <v>0</v>
      </c>
      <c r="O1417" s="84">
        <f t="shared" si="296"/>
        <v>0</v>
      </c>
      <c r="P1417" s="13">
        <f t="shared" si="316"/>
        <v>0</v>
      </c>
      <c r="Q1417" s="84">
        <f t="shared" si="310"/>
        <v>0</v>
      </c>
      <c r="R1417" s="13">
        <f t="shared" si="316"/>
        <v>0</v>
      </c>
      <c r="S1417" s="84">
        <f t="shared" si="309"/>
        <v>0</v>
      </c>
      <c r="T1417" s="13">
        <f t="shared" si="316"/>
        <v>0</v>
      </c>
      <c r="U1417" s="84">
        <f t="shared" si="302"/>
        <v>0</v>
      </c>
      <c r="V1417" s="142" t="s">
        <v>706</v>
      </c>
    </row>
    <row r="1418" spans="1:22" hidden="1">
      <c r="A1418" s="61" t="str">
        <f ca="1">IF(ISERROR(MATCH(F1418,Код_КВР,0)),"",INDIRECT(ADDRESS(MATCH(F1418,Код_КВР,0)+1,2,,,"КВР")))</f>
        <v>Закупка товаров, работ и услуг для муниципальных нужд</v>
      </c>
      <c r="B1418" s="100">
        <v>810</v>
      </c>
      <c r="C1418" s="8" t="s">
        <v>186</v>
      </c>
      <c r="D1418" s="8" t="s">
        <v>215</v>
      </c>
      <c r="E1418" s="100" t="s">
        <v>574</v>
      </c>
      <c r="F1418" s="100">
        <v>200</v>
      </c>
      <c r="G1418" s="69">
        <f t="shared" si="316"/>
        <v>0</v>
      </c>
      <c r="H1418" s="69">
        <f t="shared" si="316"/>
        <v>0</v>
      </c>
      <c r="I1418" s="69">
        <f t="shared" si="306"/>
        <v>0</v>
      </c>
      <c r="J1418" s="69">
        <f t="shared" si="316"/>
        <v>0</v>
      </c>
      <c r="K1418" s="84">
        <f t="shared" si="298"/>
        <v>0</v>
      </c>
      <c r="L1418" s="13">
        <f t="shared" si="316"/>
        <v>0</v>
      </c>
      <c r="M1418" s="84">
        <f t="shared" si="295"/>
        <v>0</v>
      </c>
      <c r="N1418" s="13">
        <f t="shared" si="316"/>
        <v>0</v>
      </c>
      <c r="O1418" s="84">
        <f t="shared" si="296"/>
        <v>0</v>
      </c>
      <c r="P1418" s="13">
        <f t="shared" si="316"/>
        <v>0</v>
      </c>
      <c r="Q1418" s="84">
        <f t="shared" si="310"/>
        <v>0</v>
      </c>
      <c r="R1418" s="13">
        <f t="shared" si="316"/>
        <v>0</v>
      </c>
      <c r="S1418" s="84">
        <f t="shared" si="309"/>
        <v>0</v>
      </c>
      <c r="T1418" s="13">
        <f t="shared" si="316"/>
        <v>0</v>
      </c>
      <c r="U1418" s="84">
        <f t="shared" si="302"/>
        <v>0</v>
      </c>
      <c r="V1418" s="142" t="s">
        <v>706</v>
      </c>
    </row>
    <row r="1419" spans="1:22" ht="33" hidden="1">
      <c r="A1419" s="61" t="str">
        <f ca="1">IF(ISERROR(MATCH(F1419,Код_КВР,0)),"",INDIRECT(ADDRESS(MATCH(F1419,Код_КВР,0)+1,2,,,"КВР")))</f>
        <v>Иные закупки товаров, работ и услуг для обеспечения муниципальных нужд</v>
      </c>
      <c r="B1419" s="100">
        <v>810</v>
      </c>
      <c r="C1419" s="8" t="s">
        <v>186</v>
      </c>
      <c r="D1419" s="8" t="s">
        <v>215</v>
      </c>
      <c r="E1419" s="100" t="s">
        <v>574</v>
      </c>
      <c r="F1419" s="100">
        <v>240</v>
      </c>
      <c r="G1419" s="69">
        <f t="shared" si="316"/>
        <v>0</v>
      </c>
      <c r="H1419" s="69">
        <f t="shared" si="316"/>
        <v>0</v>
      </c>
      <c r="I1419" s="69">
        <f t="shared" si="306"/>
        <v>0</v>
      </c>
      <c r="J1419" s="69">
        <f t="shared" si="316"/>
        <v>0</v>
      </c>
      <c r="K1419" s="84">
        <f t="shared" si="298"/>
        <v>0</v>
      </c>
      <c r="L1419" s="13">
        <f t="shared" si="316"/>
        <v>0</v>
      </c>
      <c r="M1419" s="84">
        <f t="shared" si="295"/>
        <v>0</v>
      </c>
      <c r="N1419" s="13">
        <f t="shared" si="316"/>
        <v>0</v>
      </c>
      <c r="O1419" s="84">
        <f t="shared" si="296"/>
        <v>0</v>
      </c>
      <c r="P1419" s="13">
        <f t="shared" si="316"/>
        <v>0</v>
      </c>
      <c r="Q1419" s="84">
        <f t="shared" si="310"/>
        <v>0</v>
      </c>
      <c r="R1419" s="13">
        <f t="shared" si="316"/>
        <v>0</v>
      </c>
      <c r="S1419" s="84">
        <f t="shared" si="309"/>
        <v>0</v>
      </c>
      <c r="T1419" s="13">
        <f t="shared" si="316"/>
        <v>0</v>
      </c>
      <c r="U1419" s="84">
        <f t="shared" si="302"/>
        <v>0</v>
      </c>
      <c r="V1419" s="142" t="s">
        <v>706</v>
      </c>
    </row>
    <row r="1420" spans="1:22" ht="33" hidden="1">
      <c r="A1420" s="61" t="str">
        <f ca="1">IF(ISERROR(MATCH(F1420,Код_КВР,0)),"",INDIRECT(ADDRESS(MATCH(F1420,Код_КВР,0)+1,2,,,"КВР")))</f>
        <v xml:space="preserve">Прочая закупка товаров, работ и услуг для обеспечения муниципальных нужд         </v>
      </c>
      <c r="B1420" s="100">
        <v>810</v>
      </c>
      <c r="C1420" s="8" t="s">
        <v>186</v>
      </c>
      <c r="D1420" s="8" t="s">
        <v>215</v>
      </c>
      <c r="E1420" s="100" t="s">
        <v>574</v>
      </c>
      <c r="F1420" s="100">
        <v>244</v>
      </c>
      <c r="G1420" s="69"/>
      <c r="H1420" s="69"/>
      <c r="I1420" s="69">
        <f t="shared" si="306"/>
        <v>0</v>
      </c>
      <c r="J1420" s="69"/>
      <c r="K1420" s="84">
        <f t="shared" si="298"/>
        <v>0</v>
      </c>
      <c r="L1420" s="13"/>
      <c r="M1420" s="84">
        <f t="shared" si="295"/>
        <v>0</v>
      </c>
      <c r="N1420" s="13"/>
      <c r="O1420" s="84">
        <f t="shared" si="296"/>
        <v>0</v>
      </c>
      <c r="P1420" s="13"/>
      <c r="Q1420" s="84">
        <f t="shared" si="310"/>
        <v>0</v>
      </c>
      <c r="R1420" s="13"/>
      <c r="S1420" s="84">
        <f t="shared" si="309"/>
        <v>0</v>
      </c>
      <c r="T1420" s="13"/>
      <c r="U1420" s="84">
        <f t="shared" si="302"/>
        <v>0</v>
      </c>
      <c r="V1420" s="142" t="s">
        <v>706</v>
      </c>
    </row>
    <row r="1421" spans="1:22">
      <c r="A1421" s="61" t="str">
        <f ca="1">IF(ISERROR(MATCH(E1421,Код_КЦСР,0)),"",INDIRECT(ADDRESS(MATCH(E1421,Код_КЦСР,0)+1,2,,,"КЦСР")))</f>
        <v>Пропаганда здорового образа жизни</v>
      </c>
      <c r="B1421" s="126">
        <v>810</v>
      </c>
      <c r="C1421" s="8" t="s">
        <v>186</v>
      </c>
      <c r="D1421" s="8" t="s">
        <v>215</v>
      </c>
      <c r="E1421" s="126" t="s">
        <v>571</v>
      </c>
      <c r="F1421" s="126"/>
      <c r="G1421" s="69"/>
      <c r="H1421" s="69"/>
      <c r="I1421" s="69"/>
      <c r="J1421" s="69"/>
      <c r="K1421" s="84"/>
      <c r="L1421" s="13"/>
      <c r="M1421" s="84"/>
      <c r="N1421" s="13"/>
      <c r="O1421" s="84"/>
      <c r="P1421" s="13"/>
      <c r="Q1421" s="84"/>
      <c r="R1421" s="13"/>
      <c r="S1421" s="84"/>
      <c r="T1421" s="13">
        <f t="shared" ref="T1421:T1422" si="317">T1422</f>
        <v>50</v>
      </c>
      <c r="U1421" s="84">
        <f t="shared" si="302"/>
        <v>50</v>
      </c>
    </row>
    <row r="1422" spans="1:22">
      <c r="A1422" s="61" t="str">
        <f ca="1">IF(ISERROR(MATCH(F1422,Код_КВР,0)),"",INDIRECT(ADDRESS(MATCH(F1422,Код_КВР,0)+1,2,,,"КВР")))</f>
        <v>Закупка товаров, работ и услуг для муниципальных нужд</v>
      </c>
      <c r="B1422" s="126">
        <v>810</v>
      </c>
      <c r="C1422" s="8" t="s">
        <v>186</v>
      </c>
      <c r="D1422" s="8" t="s">
        <v>215</v>
      </c>
      <c r="E1422" s="126" t="s">
        <v>571</v>
      </c>
      <c r="F1422" s="126">
        <v>200</v>
      </c>
      <c r="G1422" s="69"/>
      <c r="H1422" s="69"/>
      <c r="I1422" s="69"/>
      <c r="J1422" s="69"/>
      <c r="K1422" s="84"/>
      <c r="L1422" s="13"/>
      <c r="M1422" s="84"/>
      <c r="N1422" s="13"/>
      <c r="O1422" s="84"/>
      <c r="P1422" s="13"/>
      <c r="Q1422" s="84"/>
      <c r="R1422" s="13"/>
      <c r="S1422" s="84"/>
      <c r="T1422" s="13">
        <f t="shared" si="317"/>
        <v>50</v>
      </c>
      <c r="U1422" s="84">
        <f t="shared" si="302"/>
        <v>50</v>
      </c>
    </row>
    <row r="1423" spans="1:22" ht="33">
      <c r="A1423" s="61" t="str">
        <f ca="1">IF(ISERROR(MATCH(F1423,Код_КВР,0)),"",INDIRECT(ADDRESS(MATCH(F1423,Код_КВР,0)+1,2,,,"КВР")))</f>
        <v>Иные закупки товаров, работ и услуг для обеспечения муниципальных нужд</v>
      </c>
      <c r="B1423" s="126">
        <v>810</v>
      </c>
      <c r="C1423" s="8" t="s">
        <v>186</v>
      </c>
      <c r="D1423" s="8" t="s">
        <v>215</v>
      </c>
      <c r="E1423" s="126" t="s">
        <v>571</v>
      </c>
      <c r="F1423" s="126">
        <v>240</v>
      </c>
      <c r="G1423" s="69"/>
      <c r="H1423" s="69"/>
      <c r="I1423" s="69"/>
      <c r="J1423" s="69"/>
      <c r="K1423" s="84"/>
      <c r="L1423" s="13"/>
      <c r="M1423" s="84"/>
      <c r="N1423" s="13"/>
      <c r="O1423" s="84"/>
      <c r="P1423" s="13"/>
      <c r="Q1423" s="84"/>
      <c r="R1423" s="13"/>
      <c r="S1423" s="84"/>
      <c r="T1423" s="13">
        <f>T1424</f>
        <v>50</v>
      </c>
      <c r="U1423" s="84">
        <f t="shared" si="302"/>
        <v>50</v>
      </c>
    </row>
    <row r="1424" spans="1:22" ht="33">
      <c r="A1424" s="61" t="str">
        <f ca="1">IF(ISERROR(MATCH(F1424,Код_КВР,0)),"",INDIRECT(ADDRESS(MATCH(F1424,Код_КВР,0)+1,2,,,"КВР")))</f>
        <v xml:space="preserve">Прочая закупка товаров, работ и услуг для обеспечения муниципальных нужд         </v>
      </c>
      <c r="B1424" s="126">
        <v>810</v>
      </c>
      <c r="C1424" s="8" t="s">
        <v>186</v>
      </c>
      <c r="D1424" s="8" t="s">
        <v>215</v>
      </c>
      <c r="E1424" s="126" t="s">
        <v>571</v>
      </c>
      <c r="F1424" s="126">
        <v>244</v>
      </c>
      <c r="G1424" s="69"/>
      <c r="H1424" s="69"/>
      <c r="I1424" s="69"/>
      <c r="J1424" s="69"/>
      <c r="K1424" s="84"/>
      <c r="L1424" s="13"/>
      <c r="M1424" s="84"/>
      <c r="N1424" s="13"/>
      <c r="O1424" s="84"/>
      <c r="P1424" s="13"/>
      <c r="Q1424" s="84"/>
      <c r="R1424" s="13"/>
      <c r="S1424" s="84"/>
      <c r="T1424" s="13">
        <v>50</v>
      </c>
      <c r="U1424" s="84">
        <f t="shared" si="302"/>
        <v>50</v>
      </c>
    </row>
    <row r="1425" spans="1:22" hidden="1">
      <c r="A1425" s="61" t="str">
        <f ca="1">IF(ISERROR(MATCH(E1425,Код_КЦСР,0)),"",INDIRECT(ADDRESS(MATCH(E1425,Код_КЦСР,0)+1,2,,,"КЦСР")))</f>
        <v>Активное долголетие</v>
      </c>
      <c r="B1425" s="126">
        <v>810</v>
      </c>
      <c r="C1425" s="8" t="s">
        <v>186</v>
      </c>
      <c r="D1425" s="8" t="s">
        <v>215</v>
      </c>
      <c r="E1425" s="126" t="s">
        <v>576</v>
      </c>
      <c r="F1425" s="126"/>
      <c r="G1425" s="69">
        <f t="shared" ref="G1425:T1427" si="318">G1426</f>
        <v>50</v>
      </c>
      <c r="H1425" s="69">
        <f t="shared" si="318"/>
        <v>0</v>
      </c>
      <c r="I1425" s="69">
        <f t="shared" si="306"/>
        <v>50</v>
      </c>
      <c r="J1425" s="69">
        <f t="shared" si="318"/>
        <v>0</v>
      </c>
      <c r="K1425" s="84">
        <f t="shared" si="298"/>
        <v>50</v>
      </c>
      <c r="L1425" s="13">
        <f t="shared" si="318"/>
        <v>0</v>
      </c>
      <c r="M1425" s="84">
        <f t="shared" si="295"/>
        <v>50</v>
      </c>
      <c r="N1425" s="13">
        <f t="shared" si="318"/>
        <v>0</v>
      </c>
      <c r="O1425" s="84">
        <f t="shared" si="296"/>
        <v>50</v>
      </c>
      <c r="P1425" s="13">
        <f t="shared" si="318"/>
        <v>0</v>
      </c>
      <c r="Q1425" s="84">
        <f t="shared" si="310"/>
        <v>50</v>
      </c>
      <c r="R1425" s="13">
        <f t="shared" si="318"/>
        <v>0</v>
      </c>
      <c r="S1425" s="84">
        <f t="shared" si="309"/>
        <v>50</v>
      </c>
      <c r="T1425" s="13">
        <f t="shared" si="318"/>
        <v>-50</v>
      </c>
      <c r="U1425" s="84">
        <f t="shared" si="302"/>
        <v>0</v>
      </c>
      <c r="V1425" s="142" t="s">
        <v>706</v>
      </c>
    </row>
    <row r="1426" spans="1:22" hidden="1">
      <c r="A1426" s="61" t="str">
        <f ca="1">IF(ISERROR(MATCH(F1426,Код_КВР,0)),"",INDIRECT(ADDRESS(MATCH(F1426,Код_КВР,0)+1,2,,,"КВР")))</f>
        <v>Закупка товаров, работ и услуг для муниципальных нужд</v>
      </c>
      <c r="B1426" s="126">
        <v>810</v>
      </c>
      <c r="C1426" s="8" t="s">
        <v>186</v>
      </c>
      <c r="D1426" s="8" t="s">
        <v>215</v>
      </c>
      <c r="E1426" s="126" t="s">
        <v>576</v>
      </c>
      <c r="F1426" s="126">
        <v>200</v>
      </c>
      <c r="G1426" s="69">
        <f t="shared" si="318"/>
        <v>50</v>
      </c>
      <c r="H1426" s="69">
        <f t="shared" si="318"/>
        <v>0</v>
      </c>
      <c r="I1426" s="69">
        <f t="shared" si="306"/>
        <v>50</v>
      </c>
      <c r="J1426" s="69">
        <f t="shared" si="318"/>
        <v>0</v>
      </c>
      <c r="K1426" s="84">
        <f t="shared" si="298"/>
        <v>50</v>
      </c>
      <c r="L1426" s="13">
        <f t="shared" si="318"/>
        <v>0</v>
      </c>
      <c r="M1426" s="84">
        <f t="shared" si="295"/>
        <v>50</v>
      </c>
      <c r="N1426" s="13">
        <f t="shared" si="318"/>
        <v>0</v>
      </c>
      <c r="O1426" s="84">
        <f t="shared" si="296"/>
        <v>50</v>
      </c>
      <c r="P1426" s="13">
        <f t="shared" si="318"/>
        <v>0</v>
      </c>
      <c r="Q1426" s="84">
        <f t="shared" si="310"/>
        <v>50</v>
      </c>
      <c r="R1426" s="13">
        <f t="shared" si="318"/>
        <v>0</v>
      </c>
      <c r="S1426" s="84">
        <f t="shared" si="309"/>
        <v>50</v>
      </c>
      <c r="T1426" s="13">
        <f t="shared" si="318"/>
        <v>-50</v>
      </c>
      <c r="U1426" s="84">
        <f t="shared" si="302"/>
        <v>0</v>
      </c>
      <c r="V1426" s="142" t="s">
        <v>706</v>
      </c>
    </row>
    <row r="1427" spans="1:22" ht="33" hidden="1">
      <c r="A1427" s="61" t="str">
        <f ca="1">IF(ISERROR(MATCH(F1427,Код_КВР,0)),"",INDIRECT(ADDRESS(MATCH(F1427,Код_КВР,0)+1,2,,,"КВР")))</f>
        <v>Иные закупки товаров, работ и услуг для обеспечения муниципальных нужд</v>
      </c>
      <c r="B1427" s="126">
        <v>810</v>
      </c>
      <c r="C1427" s="8" t="s">
        <v>186</v>
      </c>
      <c r="D1427" s="8" t="s">
        <v>215</v>
      </c>
      <c r="E1427" s="126" t="s">
        <v>576</v>
      </c>
      <c r="F1427" s="126">
        <v>240</v>
      </c>
      <c r="G1427" s="69">
        <f t="shared" si="318"/>
        <v>50</v>
      </c>
      <c r="H1427" s="69">
        <f t="shared" si="318"/>
        <v>0</v>
      </c>
      <c r="I1427" s="69">
        <f t="shared" si="306"/>
        <v>50</v>
      </c>
      <c r="J1427" s="69">
        <f t="shared" si="318"/>
        <v>0</v>
      </c>
      <c r="K1427" s="84">
        <f t="shared" si="298"/>
        <v>50</v>
      </c>
      <c r="L1427" s="13">
        <f t="shared" si="318"/>
        <v>0</v>
      </c>
      <c r="M1427" s="84">
        <f t="shared" si="295"/>
        <v>50</v>
      </c>
      <c r="N1427" s="13">
        <f t="shared" si="318"/>
        <v>0</v>
      </c>
      <c r="O1427" s="84">
        <f t="shared" si="296"/>
        <v>50</v>
      </c>
      <c r="P1427" s="13">
        <f t="shared" si="318"/>
        <v>0</v>
      </c>
      <c r="Q1427" s="84">
        <f t="shared" si="310"/>
        <v>50</v>
      </c>
      <c r="R1427" s="13">
        <f t="shared" si="318"/>
        <v>0</v>
      </c>
      <c r="S1427" s="84">
        <f t="shared" si="309"/>
        <v>50</v>
      </c>
      <c r="T1427" s="13">
        <f t="shared" si="318"/>
        <v>-50</v>
      </c>
      <c r="U1427" s="84">
        <f t="shared" si="302"/>
        <v>0</v>
      </c>
      <c r="V1427" s="142" t="s">
        <v>706</v>
      </c>
    </row>
    <row r="1428" spans="1:22" ht="33" hidden="1">
      <c r="A1428" s="61" t="str">
        <f ca="1">IF(ISERROR(MATCH(F1428,Код_КВР,0)),"",INDIRECT(ADDRESS(MATCH(F1428,Код_КВР,0)+1,2,,,"КВР")))</f>
        <v xml:space="preserve">Прочая закупка товаров, работ и услуг для обеспечения муниципальных нужд         </v>
      </c>
      <c r="B1428" s="126">
        <v>810</v>
      </c>
      <c r="C1428" s="8" t="s">
        <v>186</v>
      </c>
      <c r="D1428" s="8" t="s">
        <v>215</v>
      </c>
      <c r="E1428" s="126" t="s">
        <v>576</v>
      </c>
      <c r="F1428" s="126">
        <v>244</v>
      </c>
      <c r="G1428" s="69">
        <v>50</v>
      </c>
      <c r="H1428" s="69"/>
      <c r="I1428" s="69">
        <f t="shared" si="306"/>
        <v>50</v>
      </c>
      <c r="J1428" s="69"/>
      <c r="K1428" s="84">
        <f t="shared" si="298"/>
        <v>50</v>
      </c>
      <c r="L1428" s="13"/>
      <c r="M1428" s="84">
        <f t="shared" si="295"/>
        <v>50</v>
      </c>
      <c r="N1428" s="13"/>
      <c r="O1428" s="84">
        <f t="shared" si="296"/>
        <v>50</v>
      </c>
      <c r="P1428" s="13"/>
      <c r="Q1428" s="84">
        <f t="shared" si="310"/>
        <v>50</v>
      </c>
      <c r="R1428" s="13"/>
      <c r="S1428" s="84">
        <f t="shared" si="309"/>
        <v>50</v>
      </c>
      <c r="T1428" s="13">
        <v>-50</v>
      </c>
      <c r="U1428" s="84">
        <f t="shared" si="302"/>
        <v>0</v>
      </c>
      <c r="V1428" s="142" t="s">
        <v>706</v>
      </c>
    </row>
    <row r="1429" spans="1:22" ht="33">
      <c r="A1429" s="61" t="str">
        <f ca="1">IF(ISERROR(MATCH(E1429,Код_КЦСР,0)),"",INDIRECT(ADDRESS(MATCH(E1429,Код_КЦСР,0)+1,2,,,"КЦСР")))</f>
        <v>Муниципальная программа «Социальная поддержка граждан» на 2014-2018 годы</v>
      </c>
      <c r="B1429" s="126">
        <v>810</v>
      </c>
      <c r="C1429" s="8" t="s">
        <v>186</v>
      </c>
      <c r="D1429" s="8" t="s">
        <v>215</v>
      </c>
      <c r="E1429" s="126" t="s">
        <v>5</v>
      </c>
      <c r="F1429" s="126"/>
      <c r="G1429" s="69">
        <f>G1430+G1439</f>
        <v>12175.3</v>
      </c>
      <c r="H1429" s="69">
        <f>H1430+H1439</f>
        <v>0</v>
      </c>
      <c r="I1429" s="69">
        <f t="shared" si="306"/>
        <v>12175.3</v>
      </c>
      <c r="J1429" s="69">
        <f>J1430+J1439</f>
        <v>0</v>
      </c>
      <c r="K1429" s="84">
        <f t="shared" si="298"/>
        <v>12175.3</v>
      </c>
      <c r="L1429" s="13">
        <f>L1430+L1439</f>
        <v>0</v>
      </c>
      <c r="M1429" s="84">
        <f t="shared" si="295"/>
        <v>12175.3</v>
      </c>
      <c r="N1429" s="13">
        <f>N1430+N1439</f>
        <v>0</v>
      </c>
      <c r="O1429" s="84">
        <f t="shared" si="296"/>
        <v>12175.3</v>
      </c>
      <c r="P1429" s="13">
        <f>P1430+P1439</f>
        <v>0</v>
      </c>
      <c r="Q1429" s="84">
        <f t="shared" si="310"/>
        <v>12175.3</v>
      </c>
      <c r="R1429" s="13">
        <f>R1430+R1439</f>
        <v>535.29999999999973</v>
      </c>
      <c r="S1429" s="84">
        <f t="shared" si="309"/>
        <v>12710.599999999999</v>
      </c>
      <c r="T1429" s="13">
        <f>T1430+T1439</f>
        <v>-435.20000000000016</v>
      </c>
      <c r="U1429" s="84">
        <f t="shared" si="302"/>
        <v>12275.399999999998</v>
      </c>
    </row>
    <row r="1430" spans="1:22" ht="84.75" customHeight="1">
      <c r="A1430" s="61" t="str">
        <f ca="1">IF(ISERROR(MATCH(E1430,Код_КЦСР,0)),"",INDIRECT(ADDRESS(MATCH(E1430,Код_КЦСР,0)+1,2,,,"КЦСР")))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430" s="126">
        <v>810</v>
      </c>
      <c r="C1430" s="8" t="s">
        <v>186</v>
      </c>
      <c r="D1430" s="8" t="s">
        <v>215</v>
      </c>
      <c r="E1430" s="126" t="s">
        <v>402</v>
      </c>
      <c r="F1430" s="126"/>
      <c r="G1430" s="69">
        <f>G1431+G1433</f>
        <v>6988.8</v>
      </c>
      <c r="H1430" s="69">
        <f>H1431+H1433</f>
        <v>0</v>
      </c>
      <c r="I1430" s="69">
        <f t="shared" si="306"/>
        <v>6988.8</v>
      </c>
      <c r="J1430" s="69">
        <f>J1431+J1433</f>
        <v>0</v>
      </c>
      <c r="K1430" s="84">
        <f t="shared" si="298"/>
        <v>6988.8</v>
      </c>
      <c r="L1430" s="13">
        <f>L1431+L1433</f>
        <v>0</v>
      </c>
      <c r="M1430" s="84">
        <f t="shared" si="295"/>
        <v>6988.8</v>
      </c>
      <c r="N1430" s="13">
        <f>N1431+N1433</f>
        <v>0</v>
      </c>
      <c r="O1430" s="84">
        <f t="shared" si="296"/>
        <v>6988.8</v>
      </c>
      <c r="P1430" s="13">
        <f>P1431+P1433+P1436</f>
        <v>0</v>
      </c>
      <c r="Q1430" s="84">
        <f t="shared" si="310"/>
        <v>6988.8</v>
      </c>
      <c r="R1430" s="13">
        <f>R1431+R1433+R1436</f>
        <v>-1534.7000000000003</v>
      </c>
      <c r="S1430" s="84">
        <f t="shared" si="309"/>
        <v>5454.1</v>
      </c>
      <c r="T1430" s="13">
        <f>T1431+T1433+T1436</f>
        <v>0</v>
      </c>
      <c r="U1430" s="84">
        <f t="shared" si="302"/>
        <v>5454.1</v>
      </c>
    </row>
    <row r="1431" spans="1:22" ht="33">
      <c r="A1431" s="61" t="str">
        <f t="shared" ref="A1431:A1438" ca="1" si="319">IF(ISERROR(MATCH(F1431,Код_КВР,0)),"",INDIRECT(ADDRESS(MATCH(F1431,Код_КВР,0)+1,2,,,"КВР")))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31" s="126">
        <v>810</v>
      </c>
      <c r="C1431" s="8" t="s">
        <v>186</v>
      </c>
      <c r="D1431" s="8" t="s">
        <v>215</v>
      </c>
      <c r="E1431" s="126" t="s">
        <v>402</v>
      </c>
      <c r="F1431" s="126">
        <v>100</v>
      </c>
      <c r="G1431" s="69">
        <f>G1432</f>
        <v>5101</v>
      </c>
      <c r="H1431" s="69">
        <f>H1432</f>
        <v>0</v>
      </c>
      <c r="I1431" s="69">
        <f t="shared" si="306"/>
        <v>5101</v>
      </c>
      <c r="J1431" s="69">
        <f>J1432</f>
        <v>-439.2</v>
      </c>
      <c r="K1431" s="84">
        <f t="shared" si="298"/>
        <v>4661.8</v>
      </c>
      <c r="L1431" s="13">
        <f>L1432</f>
        <v>0</v>
      </c>
      <c r="M1431" s="84">
        <f t="shared" si="295"/>
        <v>4661.8</v>
      </c>
      <c r="N1431" s="13">
        <f>N1432</f>
        <v>0</v>
      </c>
      <c r="O1431" s="84">
        <f t="shared" si="296"/>
        <v>4661.8</v>
      </c>
      <c r="P1431" s="13">
        <f>P1432</f>
        <v>0</v>
      </c>
      <c r="Q1431" s="84">
        <f t="shared" si="310"/>
        <v>4661.8</v>
      </c>
      <c r="R1431" s="13">
        <f>R1432</f>
        <v>-1241.1000000000001</v>
      </c>
      <c r="S1431" s="84">
        <f t="shared" si="309"/>
        <v>3420.7</v>
      </c>
      <c r="T1431" s="13">
        <f>T1432</f>
        <v>0</v>
      </c>
      <c r="U1431" s="84">
        <f t="shared" si="302"/>
        <v>3420.7</v>
      </c>
    </row>
    <row r="1432" spans="1:22">
      <c r="A1432" s="61" t="str">
        <f t="shared" ca="1" si="319"/>
        <v>Расходы на выплаты персоналу казенных учреждений</v>
      </c>
      <c r="B1432" s="126">
        <v>810</v>
      </c>
      <c r="C1432" s="8" t="s">
        <v>186</v>
      </c>
      <c r="D1432" s="8" t="s">
        <v>215</v>
      </c>
      <c r="E1432" s="126" t="s">
        <v>402</v>
      </c>
      <c r="F1432" s="126">
        <v>110</v>
      </c>
      <c r="G1432" s="69">
        <f>5404.5-303.5</f>
        <v>5101</v>
      </c>
      <c r="H1432" s="69"/>
      <c r="I1432" s="69">
        <f t="shared" si="306"/>
        <v>5101</v>
      </c>
      <c r="J1432" s="69">
        <v>-439.2</v>
      </c>
      <c r="K1432" s="84">
        <f t="shared" si="298"/>
        <v>4661.8</v>
      </c>
      <c r="L1432" s="13"/>
      <c r="M1432" s="84">
        <f t="shared" si="295"/>
        <v>4661.8</v>
      </c>
      <c r="N1432" s="13"/>
      <c r="O1432" s="84">
        <f t="shared" si="296"/>
        <v>4661.8</v>
      </c>
      <c r="P1432" s="13"/>
      <c r="Q1432" s="84">
        <f t="shared" si="310"/>
        <v>4661.8</v>
      </c>
      <c r="R1432" s="13">
        <f>-880-360.9-0.2</f>
        <v>-1241.1000000000001</v>
      </c>
      <c r="S1432" s="84">
        <f t="shared" si="309"/>
        <v>3420.7</v>
      </c>
      <c r="T1432" s="13"/>
      <c r="U1432" s="84">
        <f t="shared" si="302"/>
        <v>3420.7</v>
      </c>
    </row>
    <row r="1433" spans="1:22">
      <c r="A1433" s="61" t="str">
        <f t="shared" ca="1" si="319"/>
        <v>Закупка товаров, работ и услуг для муниципальных нужд</v>
      </c>
      <c r="B1433" s="126">
        <v>810</v>
      </c>
      <c r="C1433" s="8" t="s">
        <v>186</v>
      </c>
      <c r="D1433" s="8" t="s">
        <v>215</v>
      </c>
      <c r="E1433" s="126" t="s">
        <v>402</v>
      </c>
      <c r="F1433" s="126">
        <v>200</v>
      </c>
      <c r="G1433" s="69">
        <f>G1434</f>
        <v>1887.8</v>
      </c>
      <c r="H1433" s="69">
        <f>H1434</f>
        <v>0</v>
      </c>
      <c r="I1433" s="69">
        <f t="shared" si="306"/>
        <v>1887.8</v>
      </c>
      <c r="J1433" s="69">
        <f>J1434</f>
        <v>439.2</v>
      </c>
      <c r="K1433" s="84">
        <f t="shared" si="298"/>
        <v>2327</v>
      </c>
      <c r="L1433" s="13">
        <f>L1434</f>
        <v>0</v>
      </c>
      <c r="M1433" s="84">
        <f t="shared" si="295"/>
        <v>2327</v>
      </c>
      <c r="N1433" s="13">
        <f>N1434</f>
        <v>0</v>
      </c>
      <c r="O1433" s="84">
        <f t="shared" si="296"/>
        <v>2327</v>
      </c>
      <c r="P1433" s="13">
        <f>P1434</f>
        <v>-0.8</v>
      </c>
      <c r="Q1433" s="84">
        <f t="shared" si="310"/>
        <v>2326.1999999999998</v>
      </c>
      <c r="R1433" s="13">
        <f>R1434</f>
        <v>-293.60000000000002</v>
      </c>
      <c r="S1433" s="84">
        <f t="shared" si="309"/>
        <v>2032.6</v>
      </c>
      <c r="T1433" s="13">
        <f>T1434</f>
        <v>0</v>
      </c>
      <c r="U1433" s="84">
        <f t="shared" si="302"/>
        <v>2032.6</v>
      </c>
    </row>
    <row r="1434" spans="1:22" ht="33">
      <c r="A1434" s="61" t="str">
        <f t="shared" ca="1" si="319"/>
        <v>Иные закупки товаров, работ и услуг для обеспечения муниципальных нужд</v>
      </c>
      <c r="B1434" s="126">
        <v>810</v>
      </c>
      <c r="C1434" s="8" t="s">
        <v>186</v>
      </c>
      <c r="D1434" s="8" t="s">
        <v>215</v>
      </c>
      <c r="E1434" s="126" t="s">
        <v>402</v>
      </c>
      <c r="F1434" s="126">
        <v>240</v>
      </c>
      <c r="G1434" s="69">
        <f>G1435</f>
        <v>1887.8</v>
      </c>
      <c r="H1434" s="69">
        <f>H1435</f>
        <v>0</v>
      </c>
      <c r="I1434" s="69">
        <f t="shared" si="306"/>
        <v>1887.8</v>
      </c>
      <c r="J1434" s="69">
        <f>J1435</f>
        <v>439.2</v>
      </c>
      <c r="K1434" s="84">
        <f t="shared" si="298"/>
        <v>2327</v>
      </c>
      <c r="L1434" s="13">
        <f>L1435</f>
        <v>0</v>
      </c>
      <c r="M1434" s="84">
        <f t="shared" si="295"/>
        <v>2327</v>
      </c>
      <c r="N1434" s="13">
        <f>N1435</f>
        <v>0</v>
      </c>
      <c r="O1434" s="84">
        <f t="shared" si="296"/>
        <v>2327</v>
      </c>
      <c r="P1434" s="13">
        <f>P1435</f>
        <v>-0.8</v>
      </c>
      <c r="Q1434" s="84">
        <f t="shared" si="310"/>
        <v>2326.1999999999998</v>
      </c>
      <c r="R1434" s="13">
        <f>R1435</f>
        <v>-293.60000000000002</v>
      </c>
      <c r="S1434" s="84">
        <f t="shared" si="309"/>
        <v>2032.6</v>
      </c>
      <c r="T1434" s="13">
        <f>T1435</f>
        <v>0</v>
      </c>
      <c r="U1434" s="84">
        <f t="shared" si="302"/>
        <v>2032.6</v>
      </c>
    </row>
    <row r="1435" spans="1:22" ht="33">
      <c r="A1435" s="61" t="str">
        <f t="shared" ca="1" si="319"/>
        <v xml:space="preserve">Прочая закупка товаров, работ и услуг для обеспечения муниципальных нужд         </v>
      </c>
      <c r="B1435" s="126">
        <v>810</v>
      </c>
      <c r="C1435" s="8" t="s">
        <v>186</v>
      </c>
      <c r="D1435" s="8" t="s">
        <v>215</v>
      </c>
      <c r="E1435" s="126" t="s">
        <v>402</v>
      </c>
      <c r="F1435" s="126">
        <v>244</v>
      </c>
      <c r="G1435" s="69">
        <v>1887.8</v>
      </c>
      <c r="H1435" s="69"/>
      <c r="I1435" s="69">
        <f t="shared" si="306"/>
        <v>1887.8</v>
      </c>
      <c r="J1435" s="69">
        <v>439.2</v>
      </c>
      <c r="K1435" s="84">
        <f t="shared" si="298"/>
        <v>2327</v>
      </c>
      <c r="L1435" s="13"/>
      <c r="M1435" s="84">
        <f t="shared" si="295"/>
        <v>2327</v>
      </c>
      <c r="N1435" s="13"/>
      <c r="O1435" s="84">
        <f t="shared" si="296"/>
        <v>2327</v>
      </c>
      <c r="P1435" s="13">
        <v>-0.8</v>
      </c>
      <c r="Q1435" s="84">
        <f t="shared" si="310"/>
        <v>2326.1999999999998</v>
      </c>
      <c r="R1435" s="13">
        <f>-22.9-52.9-64-92.3-4-57.5</f>
        <v>-293.60000000000002</v>
      </c>
      <c r="S1435" s="84">
        <f t="shared" si="309"/>
        <v>2032.6</v>
      </c>
      <c r="T1435" s="13"/>
      <c r="U1435" s="84">
        <f t="shared" si="302"/>
        <v>2032.6</v>
      </c>
    </row>
    <row r="1436" spans="1:22" ht="26.25" customHeight="1">
      <c r="A1436" s="61" t="str">
        <f t="shared" ca="1" si="319"/>
        <v>Иные бюджетные ассигнования</v>
      </c>
      <c r="B1436" s="126">
        <v>810</v>
      </c>
      <c r="C1436" s="8" t="s">
        <v>186</v>
      </c>
      <c r="D1436" s="8" t="s">
        <v>215</v>
      </c>
      <c r="E1436" s="126" t="s">
        <v>402</v>
      </c>
      <c r="F1436" s="126">
        <v>800</v>
      </c>
      <c r="G1436" s="69"/>
      <c r="H1436" s="69"/>
      <c r="I1436" s="69"/>
      <c r="J1436" s="69"/>
      <c r="K1436" s="84"/>
      <c r="L1436" s="13"/>
      <c r="M1436" s="84"/>
      <c r="N1436" s="13"/>
      <c r="O1436" s="84"/>
      <c r="P1436" s="13">
        <f>P1437</f>
        <v>0.8</v>
      </c>
      <c r="Q1436" s="84">
        <f t="shared" si="310"/>
        <v>0.8</v>
      </c>
      <c r="R1436" s="13">
        <f>R1437</f>
        <v>0</v>
      </c>
      <c r="S1436" s="84">
        <f t="shared" si="309"/>
        <v>0.8</v>
      </c>
      <c r="T1436" s="13">
        <f>T1437</f>
        <v>0</v>
      </c>
      <c r="U1436" s="84">
        <f t="shared" si="302"/>
        <v>0.8</v>
      </c>
    </row>
    <row r="1437" spans="1:22" ht="27.2" customHeight="1">
      <c r="A1437" s="61" t="str">
        <f t="shared" ca="1" si="319"/>
        <v>Уплата налогов, сборов и иных платежей</v>
      </c>
      <c r="B1437" s="126">
        <v>810</v>
      </c>
      <c r="C1437" s="8" t="s">
        <v>186</v>
      </c>
      <c r="D1437" s="8" t="s">
        <v>215</v>
      </c>
      <c r="E1437" s="126" t="s">
        <v>402</v>
      </c>
      <c r="F1437" s="126">
        <v>850</v>
      </c>
      <c r="G1437" s="69"/>
      <c r="H1437" s="69"/>
      <c r="I1437" s="69"/>
      <c r="J1437" s="69"/>
      <c r="K1437" s="84"/>
      <c r="L1437" s="13"/>
      <c r="M1437" s="84"/>
      <c r="N1437" s="13"/>
      <c r="O1437" s="84"/>
      <c r="P1437" s="13">
        <f>P1438</f>
        <v>0.8</v>
      </c>
      <c r="Q1437" s="84">
        <f t="shared" si="310"/>
        <v>0.8</v>
      </c>
      <c r="R1437" s="13">
        <f>R1438</f>
        <v>0</v>
      </c>
      <c r="S1437" s="84">
        <f t="shared" si="309"/>
        <v>0.8</v>
      </c>
      <c r="T1437" s="13">
        <f>T1438</f>
        <v>0</v>
      </c>
      <c r="U1437" s="84">
        <f t="shared" si="302"/>
        <v>0.8</v>
      </c>
    </row>
    <row r="1438" spans="1:22" ht="23.25" customHeight="1">
      <c r="A1438" s="61" t="str">
        <f t="shared" ca="1" si="319"/>
        <v>Уплата прочих налогов, сборов и иных платежей</v>
      </c>
      <c r="B1438" s="126">
        <v>810</v>
      </c>
      <c r="C1438" s="8" t="s">
        <v>186</v>
      </c>
      <c r="D1438" s="8" t="s">
        <v>215</v>
      </c>
      <c r="E1438" s="126" t="s">
        <v>402</v>
      </c>
      <c r="F1438" s="126">
        <v>852</v>
      </c>
      <c r="G1438" s="69"/>
      <c r="H1438" s="69"/>
      <c r="I1438" s="69"/>
      <c r="J1438" s="69"/>
      <c r="K1438" s="84"/>
      <c r="L1438" s="13"/>
      <c r="M1438" s="84"/>
      <c r="N1438" s="13"/>
      <c r="O1438" s="84"/>
      <c r="P1438" s="13">
        <v>0.8</v>
      </c>
      <c r="Q1438" s="84">
        <f t="shared" si="310"/>
        <v>0.8</v>
      </c>
      <c r="R1438" s="13"/>
      <c r="S1438" s="84">
        <f t="shared" si="309"/>
        <v>0.8</v>
      </c>
      <c r="T1438" s="13"/>
      <c r="U1438" s="84">
        <f t="shared" si="302"/>
        <v>0.8</v>
      </c>
    </row>
    <row r="1439" spans="1:22" ht="132">
      <c r="A1439" s="61" t="str">
        <f ca="1">IF(ISERROR(MATCH(E1439,Код_КЦСР,0)),"",INDIRECT(ADDRESS(MATCH(E1439,Код_КЦСР,0)+1,2,,,"КЦСР")))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439" s="126">
        <v>810</v>
      </c>
      <c r="C1439" s="8" t="s">
        <v>186</v>
      </c>
      <c r="D1439" s="8" t="s">
        <v>215</v>
      </c>
      <c r="E1439" s="126" t="s">
        <v>401</v>
      </c>
      <c r="F1439" s="126"/>
      <c r="G1439" s="69">
        <f>G1443</f>
        <v>5186.5</v>
      </c>
      <c r="H1439" s="69">
        <f>H1443</f>
        <v>0</v>
      </c>
      <c r="I1439" s="69">
        <f t="shared" si="306"/>
        <v>5186.5</v>
      </c>
      <c r="J1439" s="69">
        <f>J1443</f>
        <v>0</v>
      </c>
      <c r="K1439" s="84">
        <f t="shared" si="298"/>
        <v>5186.5</v>
      </c>
      <c r="L1439" s="13">
        <f>L1443</f>
        <v>0</v>
      </c>
      <c r="M1439" s="84">
        <f t="shared" ref="M1439:M1517" si="320">K1439+L1439</f>
        <v>5186.5</v>
      </c>
      <c r="N1439" s="13">
        <f>N1443</f>
        <v>0</v>
      </c>
      <c r="O1439" s="84">
        <f t="shared" ref="O1439:O1517" si="321">M1439+N1439</f>
        <v>5186.5</v>
      </c>
      <c r="P1439" s="13">
        <f>P1443</f>
        <v>0</v>
      </c>
      <c r="Q1439" s="84">
        <f t="shared" si="310"/>
        <v>5186.5</v>
      </c>
      <c r="R1439" s="13">
        <f>R1443</f>
        <v>2070</v>
      </c>
      <c r="S1439" s="84">
        <f t="shared" si="309"/>
        <v>7256.5</v>
      </c>
      <c r="T1439" s="13">
        <f>T1440+T1443</f>
        <v>-435.20000000000016</v>
      </c>
      <c r="U1439" s="84">
        <f t="shared" si="302"/>
        <v>6821.3</v>
      </c>
    </row>
    <row r="1440" spans="1:22">
      <c r="A1440" s="61" t="str">
        <f t="shared" ref="A1440:A1446" ca="1" si="322">IF(ISERROR(MATCH(F1440,Код_КВР,0)),"",INDIRECT(ADDRESS(MATCH(F1440,Код_КВР,0)+1,2,,,"КВР")))</f>
        <v>Закупка товаров, работ и услуг для муниципальных нужд</v>
      </c>
      <c r="B1440" s="126">
        <v>810</v>
      </c>
      <c r="C1440" s="8" t="s">
        <v>186</v>
      </c>
      <c r="D1440" s="8" t="s">
        <v>215</v>
      </c>
      <c r="E1440" s="126" t="s">
        <v>401</v>
      </c>
      <c r="F1440" s="126">
        <v>200</v>
      </c>
      <c r="G1440" s="69"/>
      <c r="H1440" s="69"/>
      <c r="I1440" s="69"/>
      <c r="J1440" s="69"/>
      <c r="K1440" s="84"/>
      <c r="L1440" s="13"/>
      <c r="M1440" s="84"/>
      <c r="N1440" s="13"/>
      <c r="O1440" s="84"/>
      <c r="P1440" s="13"/>
      <c r="Q1440" s="84"/>
      <c r="R1440" s="13"/>
      <c r="S1440" s="84"/>
      <c r="T1440" s="13">
        <f t="shared" ref="T1440" si="323">T1441</f>
        <v>12.6</v>
      </c>
      <c r="U1440" s="84">
        <f t="shared" si="302"/>
        <v>12.6</v>
      </c>
    </row>
    <row r="1441" spans="1:22" ht="33">
      <c r="A1441" s="61" t="str">
        <f t="shared" ca="1" si="322"/>
        <v>Иные закупки товаров, работ и услуг для обеспечения муниципальных нужд</v>
      </c>
      <c r="B1441" s="126">
        <v>810</v>
      </c>
      <c r="C1441" s="8" t="s">
        <v>186</v>
      </c>
      <c r="D1441" s="8" t="s">
        <v>215</v>
      </c>
      <c r="E1441" s="126" t="s">
        <v>401</v>
      </c>
      <c r="F1441" s="126">
        <v>240</v>
      </c>
      <c r="G1441" s="69"/>
      <c r="H1441" s="69"/>
      <c r="I1441" s="69"/>
      <c r="J1441" s="69"/>
      <c r="K1441" s="84"/>
      <c r="L1441" s="13"/>
      <c r="M1441" s="84"/>
      <c r="N1441" s="13"/>
      <c r="O1441" s="84"/>
      <c r="P1441" s="13"/>
      <c r="Q1441" s="84"/>
      <c r="R1441" s="13"/>
      <c r="S1441" s="84"/>
      <c r="T1441" s="13">
        <f>T1442</f>
        <v>12.6</v>
      </c>
      <c r="U1441" s="84">
        <f t="shared" si="302"/>
        <v>12.6</v>
      </c>
    </row>
    <row r="1442" spans="1:22" ht="33">
      <c r="A1442" s="61" t="str">
        <f t="shared" ca="1" si="322"/>
        <v xml:space="preserve">Прочая закупка товаров, работ и услуг для обеспечения муниципальных нужд         </v>
      </c>
      <c r="B1442" s="126">
        <v>810</v>
      </c>
      <c r="C1442" s="8" t="s">
        <v>186</v>
      </c>
      <c r="D1442" s="8" t="s">
        <v>215</v>
      </c>
      <c r="E1442" s="126" t="s">
        <v>401</v>
      </c>
      <c r="F1442" s="126">
        <v>244</v>
      </c>
      <c r="G1442" s="69"/>
      <c r="H1442" s="69"/>
      <c r="I1442" s="69"/>
      <c r="J1442" s="69"/>
      <c r="K1442" s="84"/>
      <c r="L1442" s="13"/>
      <c r="M1442" s="84"/>
      <c r="N1442" s="13"/>
      <c r="O1442" s="84"/>
      <c r="P1442" s="13"/>
      <c r="Q1442" s="84"/>
      <c r="R1442" s="13"/>
      <c r="S1442" s="84"/>
      <c r="T1442" s="13">
        <v>12.6</v>
      </c>
      <c r="U1442" s="84">
        <f t="shared" si="302"/>
        <v>12.6</v>
      </c>
    </row>
    <row r="1443" spans="1:22">
      <c r="A1443" s="61" t="str">
        <f t="shared" ca="1" si="322"/>
        <v>Социальное обеспечение и иные выплаты населению</v>
      </c>
      <c r="B1443" s="126">
        <v>810</v>
      </c>
      <c r="C1443" s="8" t="s">
        <v>186</v>
      </c>
      <c r="D1443" s="8" t="s">
        <v>215</v>
      </c>
      <c r="E1443" s="126" t="s">
        <v>401</v>
      </c>
      <c r="F1443" s="126">
        <v>300</v>
      </c>
      <c r="G1443" s="69">
        <f t="shared" ref="G1443:T1444" si="324">G1444</f>
        <v>5186.5</v>
      </c>
      <c r="H1443" s="69">
        <f t="shared" si="324"/>
        <v>0</v>
      </c>
      <c r="I1443" s="69">
        <f t="shared" si="306"/>
        <v>5186.5</v>
      </c>
      <c r="J1443" s="69">
        <f t="shared" si="324"/>
        <v>0</v>
      </c>
      <c r="K1443" s="84">
        <f t="shared" si="298"/>
        <v>5186.5</v>
      </c>
      <c r="L1443" s="13">
        <f t="shared" si="324"/>
        <v>0</v>
      </c>
      <c r="M1443" s="84">
        <f t="shared" si="320"/>
        <v>5186.5</v>
      </c>
      <c r="N1443" s="13">
        <f t="shared" si="324"/>
        <v>0</v>
      </c>
      <c r="O1443" s="84">
        <f t="shared" si="321"/>
        <v>5186.5</v>
      </c>
      <c r="P1443" s="13">
        <f t="shared" si="324"/>
        <v>0</v>
      </c>
      <c r="Q1443" s="84">
        <f t="shared" si="310"/>
        <v>5186.5</v>
      </c>
      <c r="R1443" s="13">
        <f t="shared" si="324"/>
        <v>2070</v>
      </c>
      <c r="S1443" s="84">
        <f t="shared" si="309"/>
        <v>7256.5</v>
      </c>
      <c r="T1443" s="13">
        <f t="shared" si="324"/>
        <v>-447.80000000000018</v>
      </c>
      <c r="U1443" s="84">
        <f t="shared" si="302"/>
        <v>6808.7</v>
      </c>
    </row>
    <row r="1444" spans="1:22" ht="33">
      <c r="A1444" s="61" t="str">
        <f t="shared" ca="1" si="322"/>
        <v>Социальные выплаты гражданам, кроме публичных нормативных социальных выплат</v>
      </c>
      <c r="B1444" s="126">
        <v>810</v>
      </c>
      <c r="C1444" s="8" t="s">
        <v>186</v>
      </c>
      <c r="D1444" s="8" t="s">
        <v>215</v>
      </c>
      <c r="E1444" s="126" t="s">
        <v>401</v>
      </c>
      <c r="F1444" s="126">
        <v>320</v>
      </c>
      <c r="G1444" s="69">
        <f t="shared" si="324"/>
        <v>5186.5</v>
      </c>
      <c r="H1444" s="69">
        <f t="shared" si="324"/>
        <v>0</v>
      </c>
      <c r="I1444" s="69">
        <f t="shared" si="306"/>
        <v>5186.5</v>
      </c>
      <c r="J1444" s="69">
        <f t="shared" si="324"/>
        <v>0</v>
      </c>
      <c r="K1444" s="84">
        <f t="shared" si="298"/>
        <v>5186.5</v>
      </c>
      <c r="L1444" s="13">
        <f t="shared" si="324"/>
        <v>0</v>
      </c>
      <c r="M1444" s="84">
        <f t="shared" si="320"/>
        <v>5186.5</v>
      </c>
      <c r="N1444" s="13">
        <f t="shared" si="324"/>
        <v>0</v>
      </c>
      <c r="O1444" s="84">
        <f t="shared" si="321"/>
        <v>5186.5</v>
      </c>
      <c r="P1444" s="13">
        <f t="shared" si="324"/>
        <v>0</v>
      </c>
      <c r="Q1444" s="84">
        <f t="shared" si="310"/>
        <v>5186.5</v>
      </c>
      <c r="R1444" s="13">
        <f t="shared" si="324"/>
        <v>2070</v>
      </c>
      <c r="S1444" s="84">
        <f t="shared" si="309"/>
        <v>7256.5</v>
      </c>
      <c r="T1444" s="13">
        <f>T1445+T1446</f>
        <v>-447.80000000000018</v>
      </c>
      <c r="U1444" s="84">
        <f t="shared" ref="U1444:U1517" si="325">S1444+T1444</f>
        <v>6808.7</v>
      </c>
    </row>
    <row r="1445" spans="1:22" ht="33" hidden="1">
      <c r="A1445" s="61" t="str">
        <f t="shared" ca="1" si="322"/>
        <v>Пособия, компенсации и иные социальные выплаты гражданам, кроме публичных нормативных обязательств</v>
      </c>
      <c r="B1445" s="126">
        <v>810</v>
      </c>
      <c r="C1445" s="8" t="s">
        <v>186</v>
      </c>
      <c r="D1445" s="8" t="s">
        <v>215</v>
      </c>
      <c r="E1445" s="126" t="s">
        <v>401</v>
      </c>
      <c r="F1445" s="126">
        <v>321</v>
      </c>
      <c r="G1445" s="69">
        <v>5186.5</v>
      </c>
      <c r="H1445" s="69"/>
      <c r="I1445" s="69">
        <f t="shared" si="306"/>
        <v>5186.5</v>
      </c>
      <c r="J1445" s="69"/>
      <c r="K1445" s="84">
        <f t="shared" si="298"/>
        <v>5186.5</v>
      </c>
      <c r="L1445" s="13"/>
      <c r="M1445" s="84">
        <f t="shared" si="320"/>
        <v>5186.5</v>
      </c>
      <c r="N1445" s="13"/>
      <c r="O1445" s="84">
        <f t="shared" si="321"/>
        <v>5186.5</v>
      </c>
      <c r="P1445" s="13"/>
      <c r="Q1445" s="84">
        <f t="shared" si="310"/>
        <v>5186.5</v>
      </c>
      <c r="R1445" s="13">
        <v>2070</v>
      </c>
      <c r="S1445" s="84">
        <f t="shared" si="309"/>
        <v>7256.5</v>
      </c>
      <c r="T1445" s="13">
        <f>-7256.5</f>
        <v>-7256.5</v>
      </c>
      <c r="U1445" s="84">
        <f t="shared" si="325"/>
        <v>0</v>
      </c>
      <c r="V1445" s="142" t="s">
        <v>706</v>
      </c>
    </row>
    <row r="1446" spans="1:22" ht="33">
      <c r="A1446" s="61" t="str">
        <f t="shared" ca="1" si="322"/>
        <v>Приобретение товаров, работ, услуг в пользу граждан в целях их социального обеспечения</v>
      </c>
      <c r="B1446" s="126">
        <v>810</v>
      </c>
      <c r="C1446" s="8" t="s">
        <v>186</v>
      </c>
      <c r="D1446" s="8" t="s">
        <v>215</v>
      </c>
      <c r="E1446" s="126" t="s">
        <v>401</v>
      </c>
      <c r="F1446" s="126">
        <v>323</v>
      </c>
      <c r="G1446" s="69"/>
      <c r="H1446" s="69"/>
      <c r="I1446" s="69"/>
      <c r="J1446" s="69"/>
      <c r="K1446" s="84"/>
      <c r="L1446" s="13"/>
      <c r="M1446" s="84"/>
      <c r="N1446" s="13"/>
      <c r="O1446" s="84"/>
      <c r="P1446" s="13"/>
      <c r="Q1446" s="84"/>
      <c r="R1446" s="13"/>
      <c r="S1446" s="84"/>
      <c r="T1446" s="13">
        <f>7243.9-435.2</f>
        <v>6808.7</v>
      </c>
      <c r="U1446" s="84">
        <f t="shared" si="325"/>
        <v>6808.7</v>
      </c>
    </row>
    <row r="1447" spans="1:22" ht="33" hidden="1">
      <c r="A1447" s="61" t="str">
        <f ca="1">IF(ISERROR(MATCH(E1447,Код_КЦСР,0)),"",INDIRECT(ADDRESS(MATCH(E1447,Код_КЦСР,0)+1,2,,,"КЦСР")))</f>
        <v>Выплата вознаграждений лицам, имеющим знак «За особые заслуги перед городом Череповцом»</v>
      </c>
      <c r="B1447" s="100">
        <v>810</v>
      </c>
      <c r="C1447" s="8" t="s">
        <v>186</v>
      </c>
      <c r="D1447" s="8" t="s">
        <v>215</v>
      </c>
      <c r="E1447" s="100" t="s">
        <v>14</v>
      </c>
      <c r="F1447" s="100"/>
      <c r="G1447" s="69"/>
      <c r="H1447" s="69"/>
      <c r="I1447" s="69"/>
      <c r="J1447" s="69"/>
      <c r="K1447" s="84"/>
      <c r="L1447" s="13"/>
      <c r="M1447" s="84"/>
      <c r="N1447" s="13"/>
      <c r="O1447" s="84"/>
      <c r="P1447" s="13"/>
      <c r="Q1447" s="84"/>
      <c r="R1447" s="13"/>
      <c r="S1447" s="84"/>
      <c r="T1447" s="13"/>
      <c r="U1447" s="84"/>
      <c r="V1447" s="142" t="s">
        <v>706</v>
      </c>
    </row>
    <row r="1448" spans="1:22" ht="58.5" hidden="1" customHeight="1">
      <c r="A1448" s="61" t="str">
        <f ca="1">IF(ISERROR(MATCH(E1448,Код_КЦСР,0)),"",INDIRECT(ADDRESS(MATCH(E1448,Код_КЦСР,0)+1,2,,,"КЦСР")))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1448" s="100">
        <v>810</v>
      </c>
      <c r="C1448" s="8" t="s">
        <v>186</v>
      </c>
      <c r="D1448" s="8" t="s">
        <v>215</v>
      </c>
      <c r="E1448" s="100" t="s">
        <v>16</v>
      </c>
      <c r="F1448" s="100"/>
      <c r="G1448" s="69"/>
      <c r="H1448" s="69"/>
      <c r="I1448" s="69"/>
      <c r="J1448" s="69"/>
      <c r="K1448" s="84"/>
      <c r="L1448" s="13"/>
      <c r="M1448" s="84"/>
      <c r="N1448" s="13"/>
      <c r="O1448" s="84"/>
      <c r="P1448" s="13"/>
      <c r="Q1448" s="84"/>
      <c r="R1448" s="13"/>
      <c r="S1448" s="84"/>
      <c r="T1448" s="13"/>
      <c r="U1448" s="84"/>
      <c r="V1448" s="142" t="s">
        <v>706</v>
      </c>
    </row>
    <row r="1449" spans="1:22" hidden="1">
      <c r="A1449" s="61" t="str">
        <f ca="1">IF(ISERROR(MATCH(F1449,Код_КВР,0)),"",INDIRECT(ADDRESS(MATCH(F1449,Код_КВР,0)+1,2,,,"КВР")))</f>
        <v>Закупка товаров, работ и услуг для муниципальных нужд</v>
      </c>
      <c r="B1449" s="100">
        <v>810</v>
      </c>
      <c r="C1449" s="8" t="s">
        <v>186</v>
      </c>
      <c r="D1449" s="8" t="s">
        <v>215</v>
      </c>
      <c r="E1449" s="100" t="s">
        <v>656</v>
      </c>
      <c r="F1449" s="100">
        <v>200</v>
      </c>
      <c r="G1449" s="69"/>
      <c r="H1449" s="69"/>
      <c r="I1449" s="69"/>
      <c r="J1449" s="69"/>
      <c r="K1449" s="84"/>
      <c r="L1449" s="13"/>
      <c r="M1449" s="84"/>
      <c r="N1449" s="13"/>
      <c r="O1449" s="84"/>
      <c r="P1449" s="13"/>
      <c r="Q1449" s="84"/>
      <c r="R1449" s="13"/>
      <c r="S1449" s="84"/>
      <c r="T1449" s="13"/>
      <c r="U1449" s="84"/>
      <c r="V1449" s="142" t="s">
        <v>706</v>
      </c>
    </row>
    <row r="1450" spans="1:22" ht="33" hidden="1">
      <c r="A1450" s="61" t="str">
        <f ca="1">IF(ISERROR(MATCH(F1450,Код_КВР,0)),"",INDIRECT(ADDRESS(MATCH(F1450,Код_КВР,0)+1,2,,,"КВР")))</f>
        <v>Иные закупки товаров, работ и услуг для обеспечения муниципальных нужд</v>
      </c>
      <c r="B1450" s="100">
        <v>810</v>
      </c>
      <c r="C1450" s="8" t="s">
        <v>186</v>
      </c>
      <c r="D1450" s="8" t="s">
        <v>215</v>
      </c>
      <c r="E1450" s="100" t="s">
        <v>656</v>
      </c>
      <c r="F1450" s="100">
        <v>240</v>
      </c>
      <c r="G1450" s="69"/>
      <c r="H1450" s="69"/>
      <c r="I1450" s="69"/>
      <c r="J1450" s="69"/>
      <c r="K1450" s="84"/>
      <c r="L1450" s="13"/>
      <c r="M1450" s="84"/>
      <c r="N1450" s="13"/>
      <c r="O1450" s="84"/>
      <c r="P1450" s="13"/>
      <c r="Q1450" s="84"/>
      <c r="R1450" s="13"/>
      <c r="S1450" s="84"/>
      <c r="T1450" s="13"/>
      <c r="U1450" s="84"/>
      <c r="V1450" s="142" t="s">
        <v>706</v>
      </c>
    </row>
    <row r="1451" spans="1:22" ht="33" hidden="1">
      <c r="A1451" s="61" t="str">
        <f ca="1">IF(ISERROR(MATCH(F1451,Код_КВР,0)),"",INDIRECT(ADDRESS(MATCH(F1451,Код_КВР,0)+1,2,,,"КВР")))</f>
        <v xml:space="preserve">Прочая закупка товаров, работ и услуг для обеспечения муниципальных нужд         </v>
      </c>
      <c r="B1451" s="100">
        <v>810</v>
      </c>
      <c r="C1451" s="8" t="s">
        <v>186</v>
      </c>
      <c r="D1451" s="8" t="s">
        <v>215</v>
      </c>
      <c r="E1451" s="100" t="s">
        <v>656</v>
      </c>
      <c r="F1451" s="100">
        <v>244</v>
      </c>
      <c r="G1451" s="69"/>
      <c r="H1451" s="69"/>
      <c r="I1451" s="69"/>
      <c r="J1451" s="69"/>
      <c r="K1451" s="84"/>
      <c r="L1451" s="13"/>
      <c r="M1451" s="84"/>
      <c r="N1451" s="13"/>
      <c r="O1451" s="84"/>
      <c r="P1451" s="13"/>
      <c r="Q1451" s="84"/>
      <c r="R1451" s="13"/>
      <c r="S1451" s="84"/>
      <c r="T1451" s="13"/>
      <c r="U1451" s="84"/>
      <c r="V1451" s="142" t="s">
        <v>706</v>
      </c>
    </row>
    <row r="1452" spans="1:22" ht="33">
      <c r="A1452" s="61" t="str">
        <f ca="1">IF(ISERROR(MATCH(E1452,Код_КЦСР,0)),"",INDIRECT(ADDRESS(MATCH(E1452,Код_КЦСР,0)+1,2,,,"КЦСР")))</f>
        <v>Непрограммные направления деятельности органов местного самоуправления</v>
      </c>
      <c r="B1452" s="126">
        <v>810</v>
      </c>
      <c r="C1452" s="8" t="s">
        <v>186</v>
      </c>
      <c r="D1452" s="8" t="s">
        <v>215</v>
      </c>
      <c r="E1452" s="126" t="s">
        <v>295</v>
      </c>
      <c r="F1452" s="126"/>
      <c r="G1452" s="69">
        <f>G1453</f>
        <v>42665.600000000006</v>
      </c>
      <c r="H1452" s="69">
        <f>H1453</f>
        <v>0</v>
      </c>
      <c r="I1452" s="69">
        <f t="shared" si="306"/>
        <v>42665.600000000006</v>
      </c>
      <c r="J1452" s="69">
        <f>J1453</f>
        <v>-718.2</v>
      </c>
      <c r="K1452" s="84">
        <f t="shared" si="298"/>
        <v>41947.400000000009</v>
      </c>
      <c r="L1452" s="13">
        <f>L1453</f>
        <v>0</v>
      </c>
      <c r="M1452" s="84">
        <f t="shared" si="320"/>
        <v>41947.400000000009</v>
      </c>
      <c r="N1452" s="13">
        <f>N1453</f>
        <v>0</v>
      </c>
      <c r="O1452" s="84">
        <f t="shared" si="321"/>
        <v>41947.400000000009</v>
      </c>
      <c r="P1452" s="13">
        <f>P1453</f>
        <v>0</v>
      </c>
      <c r="Q1452" s="84">
        <f t="shared" si="310"/>
        <v>41947.400000000009</v>
      </c>
      <c r="R1452" s="13">
        <f>R1453</f>
        <v>2782.1000000000004</v>
      </c>
      <c r="S1452" s="84">
        <f t="shared" si="309"/>
        <v>44729.500000000007</v>
      </c>
      <c r="T1452" s="13">
        <f>T1453</f>
        <v>0</v>
      </c>
      <c r="U1452" s="84">
        <f t="shared" si="325"/>
        <v>44729.500000000007</v>
      </c>
    </row>
    <row r="1453" spans="1:22">
      <c r="A1453" s="61" t="str">
        <f ca="1">IF(ISERROR(MATCH(E1453,Код_КЦСР,0)),"",INDIRECT(ADDRESS(MATCH(E1453,Код_КЦСР,0)+1,2,,,"КЦСР")))</f>
        <v>Расходы, не включенные в муниципальные программы города Череповца</v>
      </c>
      <c r="B1453" s="126">
        <v>810</v>
      </c>
      <c r="C1453" s="8" t="s">
        <v>186</v>
      </c>
      <c r="D1453" s="8" t="s">
        <v>215</v>
      </c>
      <c r="E1453" s="126" t="s">
        <v>297</v>
      </c>
      <c r="F1453" s="126"/>
      <c r="G1453" s="69">
        <f>G1454+G1461+G1467+G1479+G1485</f>
        <v>42665.600000000006</v>
      </c>
      <c r="H1453" s="69">
        <f>H1454+H1461+H1467+H1479+H1485</f>
        <v>0</v>
      </c>
      <c r="I1453" s="69">
        <f t="shared" si="306"/>
        <v>42665.600000000006</v>
      </c>
      <c r="J1453" s="69">
        <f>J1454+J1461+J1467+J1479+J1485</f>
        <v>-718.2</v>
      </c>
      <c r="K1453" s="84">
        <f t="shared" si="298"/>
        <v>41947.400000000009</v>
      </c>
      <c r="L1453" s="13">
        <f>L1454+L1461+L1467+L1479+L1485</f>
        <v>0</v>
      </c>
      <c r="M1453" s="84">
        <f t="shared" si="320"/>
        <v>41947.400000000009</v>
      </c>
      <c r="N1453" s="13">
        <f>N1454+N1461+N1467+N1479+N1485</f>
        <v>0</v>
      </c>
      <c r="O1453" s="84">
        <f t="shared" si="321"/>
        <v>41947.400000000009</v>
      </c>
      <c r="P1453" s="13">
        <f>P1454+P1461+P1467+P1479+P1485</f>
        <v>0</v>
      </c>
      <c r="Q1453" s="84">
        <f t="shared" si="310"/>
        <v>41947.400000000009</v>
      </c>
      <c r="R1453" s="13">
        <f>R1454+R1461+R1467+R1479+R1485</f>
        <v>2782.1000000000004</v>
      </c>
      <c r="S1453" s="84">
        <f t="shared" si="309"/>
        <v>44729.500000000007</v>
      </c>
      <c r="T1453" s="13">
        <f>T1454+T1461+T1467+T1479+T1485</f>
        <v>0</v>
      </c>
      <c r="U1453" s="84">
        <f t="shared" si="325"/>
        <v>44729.500000000007</v>
      </c>
    </row>
    <row r="1454" spans="1:22" ht="33">
      <c r="A1454" s="61" t="str">
        <f ca="1">IF(ISERROR(MATCH(E1454,Код_КЦСР,0)),"",INDIRECT(ADDRESS(MATCH(E1454,Код_КЦСР,0)+1,2,,,"КЦСР")))</f>
        <v>Руководство и управление в сфере установленных функций органов местного самоуправления</v>
      </c>
      <c r="B1454" s="126">
        <v>810</v>
      </c>
      <c r="C1454" s="8" t="s">
        <v>186</v>
      </c>
      <c r="D1454" s="8" t="s">
        <v>215</v>
      </c>
      <c r="E1454" s="126" t="s">
        <v>299</v>
      </c>
      <c r="F1454" s="126"/>
      <c r="G1454" s="69">
        <f>G1455</f>
        <v>15807.9</v>
      </c>
      <c r="H1454" s="69">
        <f>H1455</f>
        <v>0</v>
      </c>
      <c r="I1454" s="69">
        <f t="shared" si="306"/>
        <v>15807.9</v>
      </c>
      <c r="J1454" s="69">
        <f>J1455</f>
        <v>-718.2</v>
      </c>
      <c r="K1454" s="84">
        <f t="shared" si="298"/>
        <v>15089.699999999999</v>
      </c>
      <c r="L1454" s="13">
        <f>L1455</f>
        <v>0</v>
      </c>
      <c r="M1454" s="84">
        <f t="shared" si="320"/>
        <v>15089.699999999999</v>
      </c>
      <c r="N1454" s="13">
        <f>N1455</f>
        <v>0</v>
      </c>
      <c r="O1454" s="84">
        <f t="shared" si="321"/>
        <v>15089.699999999999</v>
      </c>
      <c r="P1454" s="13">
        <f>P1455</f>
        <v>0</v>
      </c>
      <c r="Q1454" s="84">
        <f t="shared" si="310"/>
        <v>15089.699999999999</v>
      </c>
      <c r="R1454" s="13">
        <f>R1455</f>
        <v>-1213.8</v>
      </c>
      <c r="S1454" s="84">
        <f t="shared" si="309"/>
        <v>13875.9</v>
      </c>
      <c r="T1454" s="13">
        <f>T1455</f>
        <v>0</v>
      </c>
      <c r="U1454" s="84">
        <f t="shared" si="325"/>
        <v>13875.9</v>
      </c>
    </row>
    <row r="1455" spans="1:22">
      <c r="A1455" s="61" t="str">
        <f ca="1">IF(ISERROR(MATCH(E1455,Код_КЦСР,0)),"",INDIRECT(ADDRESS(MATCH(E1455,Код_КЦСР,0)+1,2,,,"КЦСР")))</f>
        <v>Центральный аппарат</v>
      </c>
      <c r="B1455" s="126">
        <v>810</v>
      </c>
      <c r="C1455" s="8" t="s">
        <v>186</v>
      </c>
      <c r="D1455" s="8" t="s">
        <v>215</v>
      </c>
      <c r="E1455" s="126" t="s">
        <v>302</v>
      </c>
      <c r="F1455" s="126"/>
      <c r="G1455" s="69">
        <f>G1456+G1458</f>
        <v>15807.9</v>
      </c>
      <c r="H1455" s="69">
        <f>H1456+H1458</f>
        <v>0</v>
      </c>
      <c r="I1455" s="69">
        <f t="shared" si="306"/>
        <v>15807.9</v>
      </c>
      <c r="J1455" s="69">
        <f>J1456+J1458</f>
        <v>-718.2</v>
      </c>
      <c r="K1455" s="84">
        <f t="shared" si="298"/>
        <v>15089.699999999999</v>
      </c>
      <c r="L1455" s="13">
        <f>L1456+L1458</f>
        <v>0</v>
      </c>
      <c r="M1455" s="84">
        <f t="shared" si="320"/>
        <v>15089.699999999999</v>
      </c>
      <c r="N1455" s="13">
        <f>N1456+N1458</f>
        <v>0</v>
      </c>
      <c r="O1455" s="84">
        <f t="shared" si="321"/>
        <v>15089.699999999999</v>
      </c>
      <c r="P1455" s="13">
        <f>P1456+P1458</f>
        <v>0</v>
      </c>
      <c r="Q1455" s="84">
        <f t="shared" si="310"/>
        <v>15089.699999999999</v>
      </c>
      <c r="R1455" s="13">
        <f>R1456+R1458</f>
        <v>-1213.8</v>
      </c>
      <c r="S1455" s="84">
        <f t="shared" si="309"/>
        <v>13875.9</v>
      </c>
      <c r="T1455" s="13">
        <f>T1456+T1458</f>
        <v>0</v>
      </c>
      <c r="U1455" s="84">
        <f t="shared" si="325"/>
        <v>13875.9</v>
      </c>
    </row>
    <row r="1456" spans="1:22" ht="33">
      <c r="A1456" s="61" t="str">
        <f ca="1">IF(ISERROR(MATCH(F1456,Код_КВР,0)),"",INDIRECT(ADDRESS(MATCH(F1456,Код_КВР,0)+1,2,,,"КВР")))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56" s="126">
        <v>810</v>
      </c>
      <c r="C1456" s="8" t="s">
        <v>186</v>
      </c>
      <c r="D1456" s="8" t="s">
        <v>215</v>
      </c>
      <c r="E1456" s="126" t="s">
        <v>302</v>
      </c>
      <c r="F1456" s="126">
        <v>100</v>
      </c>
      <c r="G1456" s="69">
        <f>G1457</f>
        <v>14842.3</v>
      </c>
      <c r="H1456" s="69">
        <f>H1457</f>
        <v>0</v>
      </c>
      <c r="I1456" s="69">
        <f t="shared" si="306"/>
        <v>14842.3</v>
      </c>
      <c r="J1456" s="69">
        <f>J1457</f>
        <v>0</v>
      </c>
      <c r="K1456" s="84">
        <f t="shared" si="298"/>
        <v>14842.3</v>
      </c>
      <c r="L1456" s="13">
        <f>L1457</f>
        <v>0</v>
      </c>
      <c r="M1456" s="84">
        <f t="shared" si="320"/>
        <v>14842.3</v>
      </c>
      <c r="N1456" s="13">
        <f>N1457</f>
        <v>0</v>
      </c>
      <c r="O1456" s="84">
        <f t="shared" si="321"/>
        <v>14842.3</v>
      </c>
      <c r="P1456" s="13">
        <f>P1457</f>
        <v>0</v>
      </c>
      <c r="Q1456" s="84">
        <f t="shared" si="310"/>
        <v>14842.3</v>
      </c>
      <c r="R1456" s="13">
        <f>R1457</f>
        <v>-1213.8</v>
      </c>
      <c r="S1456" s="84">
        <f t="shared" si="309"/>
        <v>13628.5</v>
      </c>
      <c r="T1456" s="13">
        <f>T1457</f>
        <v>0</v>
      </c>
      <c r="U1456" s="84">
        <f t="shared" si="325"/>
        <v>13628.5</v>
      </c>
    </row>
    <row r="1457" spans="1:21">
      <c r="A1457" s="61" t="str">
        <f ca="1">IF(ISERROR(MATCH(F1457,Код_КВР,0)),"",INDIRECT(ADDRESS(MATCH(F1457,Код_КВР,0)+1,2,,,"КВР")))</f>
        <v>Расходы на выплаты персоналу муниципальных органов</v>
      </c>
      <c r="B1457" s="126">
        <v>810</v>
      </c>
      <c r="C1457" s="8" t="s">
        <v>186</v>
      </c>
      <c r="D1457" s="8" t="s">
        <v>215</v>
      </c>
      <c r="E1457" s="126" t="s">
        <v>302</v>
      </c>
      <c r="F1457" s="126">
        <v>120</v>
      </c>
      <c r="G1457" s="69">
        <v>14842.3</v>
      </c>
      <c r="H1457" s="69"/>
      <c r="I1457" s="69">
        <f t="shared" si="306"/>
        <v>14842.3</v>
      </c>
      <c r="J1457" s="69"/>
      <c r="K1457" s="84">
        <f t="shared" si="298"/>
        <v>14842.3</v>
      </c>
      <c r="L1457" s="13"/>
      <c r="M1457" s="84">
        <f t="shared" si="320"/>
        <v>14842.3</v>
      </c>
      <c r="N1457" s="13"/>
      <c r="O1457" s="84">
        <f t="shared" si="321"/>
        <v>14842.3</v>
      </c>
      <c r="P1457" s="13"/>
      <c r="Q1457" s="84">
        <f t="shared" si="310"/>
        <v>14842.3</v>
      </c>
      <c r="R1457" s="13">
        <v>-1213.8</v>
      </c>
      <c r="S1457" s="84">
        <f t="shared" si="309"/>
        <v>13628.5</v>
      </c>
      <c r="T1457" s="13"/>
      <c r="U1457" s="84">
        <f t="shared" si="325"/>
        <v>13628.5</v>
      </c>
    </row>
    <row r="1458" spans="1:21">
      <c r="A1458" s="61" t="str">
        <f ca="1">IF(ISERROR(MATCH(F1458,Код_КВР,0)),"",INDIRECT(ADDRESS(MATCH(F1458,Код_КВР,0)+1,2,,,"КВР")))</f>
        <v>Закупка товаров, работ и услуг для муниципальных нужд</v>
      </c>
      <c r="B1458" s="126">
        <v>810</v>
      </c>
      <c r="C1458" s="8" t="s">
        <v>186</v>
      </c>
      <c r="D1458" s="8" t="s">
        <v>215</v>
      </c>
      <c r="E1458" s="126" t="s">
        <v>302</v>
      </c>
      <c r="F1458" s="126">
        <v>200</v>
      </c>
      <c r="G1458" s="69">
        <f>G1459</f>
        <v>965.6</v>
      </c>
      <c r="H1458" s="69">
        <f>H1459</f>
        <v>0</v>
      </c>
      <c r="I1458" s="69">
        <f t="shared" si="306"/>
        <v>965.6</v>
      </c>
      <c r="J1458" s="69">
        <f>J1459</f>
        <v>-718.2</v>
      </c>
      <c r="K1458" s="84">
        <f t="shared" si="298"/>
        <v>247.39999999999998</v>
      </c>
      <c r="L1458" s="13">
        <f>L1459</f>
        <v>0</v>
      </c>
      <c r="M1458" s="84">
        <f t="shared" si="320"/>
        <v>247.39999999999998</v>
      </c>
      <c r="N1458" s="13">
        <f>N1459</f>
        <v>0</v>
      </c>
      <c r="O1458" s="84">
        <f t="shared" si="321"/>
        <v>247.39999999999998</v>
      </c>
      <c r="P1458" s="13">
        <f>P1459</f>
        <v>0</v>
      </c>
      <c r="Q1458" s="84">
        <f t="shared" si="310"/>
        <v>247.39999999999998</v>
      </c>
      <c r="R1458" s="13">
        <f>R1459</f>
        <v>0</v>
      </c>
      <c r="S1458" s="84">
        <f t="shared" si="309"/>
        <v>247.39999999999998</v>
      </c>
      <c r="T1458" s="13">
        <f>T1459</f>
        <v>0</v>
      </c>
      <c r="U1458" s="84">
        <f t="shared" si="325"/>
        <v>247.39999999999998</v>
      </c>
    </row>
    <row r="1459" spans="1:21" ht="33">
      <c r="A1459" s="61" t="str">
        <f ca="1">IF(ISERROR(MATCH(F1459,Код_КВР,0)),"",INDIRECT(ADDRESS(MATCH(F1459,Код_КВР,0)+1,2,,,"КВР")))</f>
        <v>Иные закупки товаров, работ и услуг для обеспечения муниципальных нужд</v>
      </c>
      <c r="B1459" s="126">
        <v>810</v>
      </c>
      <c r="C1459" s="8" t="s">
        <v>186</v>
      </c>
      <c r="D1459" s="8" t="s">
        <v>215</v>
      </c>
      <c r="E1459" s="126" t="s">
        <v>302</v>
      </c>
      <c r="F1459" s="126">
        <v>240</v>
      </c>
      <c r="G1459" s="69">
        <f>G1460</f>
        <v>965.6</v>
      </c>
      <c r="H1459" s="69">
        <f>H1460</f>
        <v>0</v>
      </c>
      <c r="I1459" s="69">
        <f t="shared" si="306"/>
        <v>965.6</v>
      </c>
      <c r="J1459" s="69">
        <f>J1460</f>
        <v>-718.2</v>
      </c>
      <c r="K1459" s="84">
        <f t="shared" ref="K1459:K1558" si="326">I1459+J1459</f>
        <v>247.39999999999998</v>
      </c>
      <c r="L1459" s="13">
        <f>L1460</f>
        <v>0</v>
      </c>
      <c r="M1459" s="84">
        <f t="shared" si="320"/>
        <v>247.39999999999998</v>
      </c>
      <c r="N1459" s="13">
        <f>N1460</f>
        <v>0</v>
      </c>
      <c r="O1459" s="84">
        <f t="shared" si="321"/>
        <v>247.39999999999998</v>
      </c>
      <c r="P1459" s="13">
        <f>P1460</f>
        <v>0</v>
      </c>
      <c r="Q1459" s="84">
        <f t="shared" si="310"/>
        <v>247.39999999999998</v>
      </c>
      <c r="R1459" s="13">
        <f>R1460</f>
        <v>0</v>
      </c>
      <c r="S1459" s="84">
        <f t="shared" si="309"/>
        <v>247.39999999999998</v>
      </c>
      <c r="T1459" s="13">
        <f>T1460</f>
        <v>0</v>
      </c>
      <c r="U1459" s="84">
        <f t="shared" si="325"/>
        <v>247.39999999999998</v>
      </c>
    </row>
    <row r="1460" spans="1:21" ht="33">
      <c r="A1460" s="61" t="str">
        <f ca="1">IF(ISERROR(MATCH(F1460,Код_КВР,0)),"",INDIRECT(ADDRESS(MATCH(F1460,Код_КВР,0)+1,2,,,"КВР")))</f>
        <v xml:space="preserve">Прочая закупка товаров, работ и услуг для обеспечения муниципальных нужд         </v>
      </c>
      <c r="B1460" s="126">
        <v>810</v>
      </c>
      <c r="C1460" s="8" t="s">
        <v>186</v>
      </c>
      <c r="D1460" s="8" t="s">
        <v>215</v>
      </c>
      <c r="E1460" s="126" t="s">
        <v>302</v>
      </c>
      <c r="F1460" s="126">
        <v>244</v>
      </c>
      <c r="G1460" s="69">
        <v>965.6</v>
      </c>
      <c r="H1460" s="69"/>
      <c r="I1460" s="69">
        <f t="shared" si="306"/>
        <v>965.6</v>
      </c>
      <c r="J1460" s="69">
        <f>-370.2-348</f>
        <v>-718.2</v>
      </c>
      <c r="K1460" s="84">
        <f t="shared" si="326"/>
        <v>247.39999999999998</v>
      </c>
      <c r="L1460" s="13"/>
      <c r="M1460" s="84">
        <f t="shared" si="320"/>
        <v>247.39999999999998</v>
      </c>
      <c r="N1460" s="13"/>
      <c r="O1460" s="84">
        <f t="shared" si="321"/>
        <v>247.39999999999998</v>
      </c>
      <c r="P1460" s="13"/>
      <c r="Q1460" s="84">
        <f t="shared" si="310"/>
        <v>247.39999999999998</v>
      </c>
      <c r="R1460" s="13"/>
      <c r="S1460" s="84">
        <f t="shared" si="309"/>
        <v>247.39999999999998</v>
      </c>
      <c r="T1460" s="13"/>
      <c r="U1460" s="84">
        <f t="shared" si="325"/>
        <v>247.39999999999998</v>
      </c>
    </row>
    <row r="1461" spans="1:21" ht="33">
      <c r="A1461" s="61" t="str">
        <f ca="1">IF(ISERROR(MATCH(E1461,Код_КЦСР,0)),"",INDIRECT(ADDRESS(MATCH(E1461,Код_КЦСР,0)+1,2,,,"КЦСР")))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461" s="126">
        <v>810</v>
      </c>
      <c r="C1461" s="8" t="s">
        <v>186</v>
      </c>
      <c r="D1461" s="8" t="s">
        <v>215</v>
      </c>
      <c r="E1461" s="126" t="s">
        <v>397</v>
      </c>
      <c r="F1461" s="126"/>
      <c r="G1461" s="69">
        <f>G1462</f>
        <v>1390</v>
      </c>
      <c r="H1461" s="69">
        <f>H1462</f>
        <v>0</v>
      </c>
      <c r="I1461" s="69">
        <f t="shared" si="306"/>
        <v>1390</v>
      </c>
      <c r="J1461" s="69">
        <f>J1462+J1464</f>
        <v>0</v>
      </c>
      <c r="K1461" s="84">
        <f t="shared" si="326"/>
        <v>1390</v>
      </c>
      <c r="L1461" s="13">
        <f>L1462+L1464</f>
        <v>0</v>
      </c>
      <c r="M1461" s="84">
        <f t="shared" si="320"/>
        <v>1390</v>
      </c>
      <c r="N1461" s="13">
        <f>N1462+N1464</f>
        <v>0</v>
      </c>
      <c r="O1461" s="84">
        <f t="shared" si="321"/>
        <v>1390</v>
      </c>
      <c r="P1461" s="13">
        <f>P1462+P1464</f>
        <v>0</v>
      </c>
      <c r="Q1461" s="84">
        <f t="shared" si="310"/>
        <v>1390</v>
      </c>
      <c r="R1461" s="13">
        <f>R1462+R1464</f>
        <v>0</v>
      </c>
      <c r="S1461" s="84">
        <f t="shared" si="309"/>
        <v>1390</v>
      </c>
      <c r="T1461" s="13">
        <f>T1462+T1464</f>
        <v>0</v>
      </c>
      <c r="U1461" s="84">
        <f t="shared" si="325"/>
        <v>1390</v>
      </c>
    </row>
    <row r="1462" spans="1:21" ht="33">
      <c r="A1462" s="61" t="str">
        <f ca="1">IF(ISERROR(MATCH(F1462,Код_КВР,0)),"",INDIRECT(ADDRESS(MATCH(F1462,Код_КВР,0)+1,2,,,"КВР")))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62" s="126">
        <v>810</v>
      </c>
      <c r="C1462" s="8" t="s">
        <v>186</v>
      </c>
      <c r="D1462" s="8" t="s">
        <v>215</v>
      </c>
      <c r="E1462" s="126" t="s">
        <v>397</v>
      </c>
      <c r="F1462" s="126">
        <v>100</v>
      </c>
      <c r="G1462" s="69">
        <f>G1463</f>
        <v>1390</v>
      </c>
      <c r="H1462" s="69">
        <f>H1463</f>
        <v>0</v>
      </c>
      <c r="I1462" s="69">
        <f t="shared" si="306"/>
        <v>1390</v>
      </c>
      <c r="J1462" s="69">
        <f>J1463</f>
        <v>-435</v>
      </c>
      <c r="K1462" s="84">
        <f t="shared" si="326"/>
        <v>955</v>
      </c>
      <c r="L1462" s="13">
        <f>L1463</f>
        <v>0</v>
      </c>
      <c r="M1462" s="84">
        <f t="shared" si="320"/>
        <v>955</v>
      </c>
      <c r="N1462" s="13">
        <f>N1463</f>
        <v>0</v>
      </c>
      <c r="O1462" s="84">
        <f t="shared" si="321"/>
        <v>955</v>
      </c>
      <c r="P1462" s="13">
        <f>P1463</f>
        <v>0</v>
      </c>
      <c r="Q1462" s="84">
        <f t="shared" si="310"/>
        <v>955</v>
      </c>
      <c r="R1462" s="13">
        <f>R1463</f>
        <v>0</v>
      </c>
      <c r="S1462" s="84">
        <f t="shared" si="309"/>
        <v>955</v>
      </c>
      <c r="T1462" s="13">
        <f>T1463</f>
        <v>0</v>
      </c>
      <c r="U1462" s="84">
        <f t="shared" si="325"/>
        <v>955</v>
      </c>
    </row>
    <row r="1463" spans="1:21">
      <c r="A1463" s="61" t="str">
        <f ca="1">IF(ISERROR(MATCH(F1463,Код_КВР,0)),"",INDIRECT(ADDRESS(MATCH(F1463,Код_КВР,0)+1,2,,,"КВР")))</f>
        <v>Расходы на выплаты персоналу муниципальных органов</v>
      </c>
      <c r="B1463" s="126">
        <v>810</v>
      </c>
      <c r="C1463" s="8" t="s">
        <v>186</v>
      </c>
      <c r="D1463" s="8" t="s">
        <v>215</v>
      </c>
      <c r="E1463" s="126" t="s">
        <v>397</v>
      </c>
      <c r="F1463" s="126">
        <v>120</v>
      </c>
      <c r="G1463" s="69">
        <v>1390</v>
      </c>
      <c r="H1463" s="69"/>
      <c r="I1463" s="69">
        <f t="shared" si="306"/>
        <v>1390</v>
      </c>
      <c r="J1463" s="69">
        <v>-435</v>
      </c>
      <c r="K1463" s="84">
        <f t="shared" si="326"/>
        <v>955</v>
      </c>
      <c r="L1463" s="13"/>
      <c r="M1463" s="84">
        <f t="shared" si="320"/>
        <v>955</v>
      </c>
      <c r="N1463" s="13"/>
      <c r="O1463" s="84">
        <f t="shared" si="321"/>
        <v>955</v>
      </c>
      <c r="P1463" s="13"/>
      <c r="Q1463" s="84">
        <f t="shared" si="310"/>
        <v>955</v>
      </c>
      <c r="R1463" s="13"/>
      <c r="S1463" s="84">
        <f t="shared" si="309"/>
        <v>955</v>
      </c>
      <c r="T1463" s="13"/>
      <c r="U1463" s="84">
        <f t="shared" si="325"/>
        <v>955</v>
      </c>
    </row>
    <row r="1464" spans="1:21">
      <c r="A1464" s="61" t="str">
        <f ca="1">IF(ISERROR(MATCH(F1464,Код_КВР,0)),"",INDIRECT(ADDRESS(MATCH(F1464,Код_КВР,0)+1,2,,,"КВР")))</f>
        <v>Закупка товаров, работ и услуг для муниципальных нужд</v>
      </c>
      <c r="B1464" s="126">
        <v>810</v>
      </c>
      <c r="C1464" s="8" t="s">
        <v>186</v>
      </c>
      <c r="D1464" s="8" t="s">
        <v>215</v>
      </c>
      <c r="E1464" s="126" t="s">
        <v>397</v>
      </c>
      <c r="F1464" s="126">
        <v>200</v>
      </c>
      <c r="G1464" s="69"/>
      <c r="H1464" s="69"/>
      <c r="I1464" s="69"/>
      <c r="J1464" s="69">
        <f>J1465</f>
        <v>435</v>
      </c>
      <c r="K1464" s="84">
        <f t="shared" si="326"/>
        <v>435</v>
      </c>
      <c r="L1464" s="13">
        <f>L1465</f>
        <v>0</v>
      </c>
      <c r="M1464" s="84">
        <f t="shared" si="320"/>
        <v>435</v>
      </c>
      <c r="N1464" s="13">
        <f>N1465</f>
        <v>0</v>
      </c>
      <c r="O1464" s="84">
        <f t="shared" si="321"/>
        <v>435</v>
      </c>
      <c r="P1464" s="13">
        <f>P1465</f>
        <v>0</v>
      </c>
      <c r="Q1464" s="84">
        <f t="shared" si="310"/>
        <v>435</v>
      </c>
      <c r="R1464" s="13">
        <f>R1465</f>
        <v>0</v>
      </c>
      <c r="S1464" s="84">
        <f t="shared" si="309"/>
        <v>435</v>
      </c>
      <c r="T1464" s="13">
        <f>T1465</f>
        <v>0</v>
      </c>
      <c r="U1464" s="84">
        <f t="shared" si="325"/>
        <v>435</v>
      </c>
    </row>
    <row r="1465" spans="1:21" ht="33">
      <c r="A1465" s="61" t="str">
        <f ca="1">IF(ISERROR(MATCH(F1465,Код_КВР,0)),"",INDIRECT(ADDRESS(MATCH(F1465,Код_КВР,0)+1,2,,,"КВР")))</f>
        <v>Иные закупки товаров, работ и услуг для обеспечения муниципальных нужд</v>
      </c>
      <c r="B1465" s="126">
        <v>810</v>
      </c>
      <c r="C1465" s="8" t="s">
        <v>186</v>
      </c>
      <c r="D1465" s="8" t="s">
        <v>215</v>
      </c>
      <c r="E1465" s="126" t="s">
        <v>397</v>
      </c>
      <c r="F1465" s="126">
        <v>240</v>
      </c>
      <c r="G1465" s="69"/>
      <c r="H1465" s="69"/>
      <c r="I1465" s="69"/>
      <c r="J1465" s="69">
        <f>J1466</f>
        <v>435</v>
      </c>
      <c r="K1465" s="84">
        <f t="shared" si="326"/>
        <v>435</v>
      </c>
      <c r="L1465" s="13">
        <f>L1466</f>
        <v>0</v>
      </c>
      <c r="M1465" s="84">
        <f t="shared" si="320"/>
        <v>435</v>
      </c>
      <c r="N1465" s="13">
        <f>N1466</f>
        <v>0</v>
      </c>
      <c r="O1465" s="84">
        <f t="shared" si="321"/>
        <v>435</v>
      </c>
      <c r="P1465" s="13">
        <f>P1466</f>
        <v>0</v>
      </c>
      <c r="Q1465" s="84">
        <f t="shared" si="310"/>
        <v>435</v>
      </c>
      <c r="R1465" s="13">
        <f>R1466</f>
        <v>0</v>
      </c>
      <c r="S1465" s="84">
        <f t="shared" si="309"/>
        <v>435</v>
      </c>
      <c r="T1465" s="13">
        <f>T1466</f>
        <v>0</v>
      </c>
      <c r="U1465" s="84">
        <f t="shared" si="325"/>
        <v>435</v>
      </c>
    </row>
    <row r="1466" spans="1:21" ht="33">
      <c r="A1466" s="61" t="str">
        <f ca="1">IF(ISERROR(MATCH(F1466,Код_КВР,0)),"",INDIRECT(ADDRESS(MATCH(F1466,Код_КВР,0)+1,2,,,"КВР")))</f>
        <v xml:space="preserve">Прочая закупка товаров, работ и услуг для обеспечения муниципальных нужд         </v>
      </c>
      <c r="B1466" s="126">
        <v>810</v>
      </c>
      <c r="C1466" s="8" t="s">
        <v>186</v>
      </c>
      <c r="D1466" s="8" t="s">
        <v>215</v>
      </c>
      <c r="E1466" s="126" t="s">
        <v>397</v>
      </c>
      <c r="F1466" s="126">
        <v>244</v>
      </c>
      <c r="G1466" s="69"/>
      <c r="H1466" s="69"/>
      <c r="I1466" s="69"/>
      <c r="J1466" s="69">
        <v>435</v>
      </c>
      <c r="K1466" s="84">
        <f t="shared" si="326"/>
        <v>435</v>
      </c>
      <c r="L1466" s="13"/>
      <c r="M1466" s="84">
        <f t="shared" si="320"/>
        <v>435</v>
      </c>
      <c r="N1466" s="13"/>
      <c r="O1466" s="84">
        <f t="shared" si="321"/>
        <v>435</v>
      </c>
      <c r="P1466" s="13"/>
      <c r="Q1466" s="84">
        <f t="shared" si="310"/>
        <v>435</v>
      </c>
      <c r="R1466" s="13"/>
      <c r="S1466" s="84">
        <f t="shared" si="309"/>
        <v>435</v>
      </c>
      <c r="T1466" s="13"/>
      <c r="U1466" s="84">
        <f t="shared" si="325"/>
        <v>435</v>
      </c>
    </row>
    <row r="1467" spans="1:21" ht="90" customHeight="1">
      <c r="A1467" s="61" t="str">
        <f ca="1">IF(ISERROR(MATCH(E1467,Код_КЦСР,0)),"",INDIRECT(ADDRESS(MATCH(E1467,Код_КЦСР,0)+1,2,,,"КЦСР")))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467" s="126">
        <v>810</v>
      </c>
      <c r="C1467" s="8" t="s">
        <v>186</v>
      </c>
      <c r="D1467" s="8" t="s">
        <v>215</v>
      </c>
      <c r="E1467" s="126" t="s">
        <v>395</v>
      </c>
      <c r="F1467" s="126"/>
      <c r="G1467" s="69">
        <f>G1468+G1470</f>
        <v>21882.500000000004</v>
      </c>
      <c r="H1467" s="69">
        <f>H1468+H1470</f>
        <v>0</v>
      </c>
      <c r="I1467" s="69">
        <f t="shared" si="306"/>
        <v>21882.500000000004</v>
      </c>
      <c r="J1467" s="69">
        <f>J1468+J1470+J1473</f>
        <v>0</v>
      </c>
      <c r="K1467" s="84">
        <f t="shared" si="326"/>
        <v>21882.500000000004</v>
      </c>
      <c r="L1467" s="13">
        <f>L1468+L1470+L1473</f>
        <v>0</v>
      </c>
      <c r="M1467" s="84">
        <f t="shared" si="320"/>
        <v>21882.500000000004</v>
      </c>
      <c r="N1467" s="13">
        <f>N1468+N1470+N1473</f>
        <v>0</v>
      </c>
      <c r="O1467" s="84">
        <f t="shared" si="321"/>
        <v>21882.500000000004</v>
      </c>
      <c r="P1467" s="13">
        <f>P1468+P1470+P1473</f>
        <v>0</v>
      </c>
      <c r="Q1467" s="84">
        <f t="shared" si="310"/>
        <v>21882.500000000004</v>
      </c>
      <c r="R1467" s="13">
        <f>R1468+R1470+R1473</f>
        <v>4672.6000000000004</v>
      </c>
      <c r="S1467" s="84">
        <f t="shared" si="309"/>
        <v>26555.100000000006</v>
      </c>
      <c r="T1467" s="13">
        <f>T1468+T1470+T1473</f>
        <v>0</v>
      </c>
      <c r="U1467" s="84">
        <f t="shared" si="325"/>
        <v>26555.100000000006</v>
      </c>
    </row>
    <row r="1468" spans="1:21" ht="33">
      <c r="A1468" s="61" t="str">
        <f ca="1">IF(ISERROR(MATCH(F1468,Код_КВР,0)),"",INDIRECT(ADDRESS(MATCH(F1468,Код_КВР,0)+1,2,,,"КВР")))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68" s="126">
        <v>810</v>
      </c>
      <c r="C1468" s="8" t="s">
        <v>186</v>
      </c>
      <c r="D1468" s="8" t="s">
        <v>215</v>
      </c>
      <c r="E1468" s="126" t="s">
        <v>395</v>
      </c>
      <c r="F1468" s="126">
        <v>100</v>
      </c>
      <c r="G1468" s="69">
        <f>G1469</f>
        <v>20191.300000000003</v>
      </c>
      <c r="H1468" s="69">
        <f>H1469</f>
        <v>0</v>
      </c>
      <c r="I1468" s="69">
        <f t="shared" si="306"/>
        <v>20191.300000000003</v>
      </c>
      <c r="J1468" s="69">
        <f>J1469</f>
        <v>7.5</v>
      </c>
      <c r="K1468" s="84">
        <f t="shared" si="326"/>
        <v>20198.800000000003</v>
      </c>
      <c r="L1468" s="13">
        <f>L1469</f>
        <v>0</v>
      </c>
      <c r="M1468" s="84">
        <f t="shared" si="320"/>
        <v>20198.800000000003</v>
      </c>
      <c r="N1468" s="13">
        <f>N1469</f>
        <v>0</v>
      </c>
      <c r="O1468" s="84">
        <f t="shared" si="321"/>
        <v>20198.800000000003</v>
      </c>
      <c r="P1468" s="13">
        <f>P1469</f>
        <v>0</v>
      </c>
      <c r="Q1468" s="84">
        <f t="shared" si="310"/>
        <v>20198.800000000003</v>
      </c>
      <c r="R1468" s="13">
        <f>R1469</f>
        <v>3240.9</v>
      </c>
      <c r="S1468" s="84">
        <f t="shared" si="309"/>
        <v>23439.700000000004</v>
      </c>
      <c r="T1468" s="13">
        <f>T1469</f>
        <v>-0.8</v>
      </c>
      <c r="U1468" s="84">
        <f t="shared" si="325"/>
        <v>23438.900000000005</v>
      </c>
    </row>
    <row r="1469" spans="1:21">
      <c r="A1469" s="61" t="str">
        <f ca="1">IF(ISERROR(MATCH(F1469,Код_КВР,0)),"",INDIRECT(ADDRESS(MATCH(F1469,Код_КВР,0)+1,2,,,"КВР")))</f>
        <v>Расходы на выплаты персоналу муниципальных органов</v>
      </c>
      <c r="B1469" s="126">
        <v>810</v>
      </c>
      <c r="C1469" s="8" t="s">
        <v>186</v>
      </c>
      <c r="D1469" s="8" t="s">
        <v>215</v>
      </c>
      <c r="E1469" s="126" t="s">
        <v>395</v>
      </c>
      <c r="F1469" s="126">
        <v>120</v>
      </c>
      <c r="G1469" s="69">
        <f>20069.9+121.4</f>
        <v>20191.300000000003</v>
      </c>
      <c r="H1469" s="69"/>
      <c r="I1469" s="69">
        <f t="shared" si="306"/>
        <v>20191.300000000003</v>
      </c>
      <c r="J1469" s="69">
        <v>7.5</v>
      </c>
      <c r="K1469" s="84">
        <f t="shared" si="326"/>
        <v>20198.800000000003</v>
      </c>
      <c r="L1469" s="13"/>
      <c r="M1469" s="84">
        <f t="shared" si="320"/>
        <v>20198.800000000003</v>
      </c>
      <c r="N1469" s="13"/>
      <c r="O1469" s="84">
        <f t="shared" si="321"/>
        <v>20198.800000000003</v>
      </c>
      <c r="P1469" s="13"/>
      <c r="Q1469" s="84">
        <f t="shared" si="310"/>
        <v>20198.800000000003</v>
      </c>
      <c r="R1469" s="13">
        <f>953.1+287.8+2000</f>
        <v>3240.9</v>
      </c>
      <c r="S1469" s="84">
        <f t="shared" si="309"/>
        <v>23439.700000000004</v>
      </c>
      <c r="T1469" s="13">
        <v>-0.8</v>
      </c>
      <c r="U1469" s="84">
        <f t="shared" si="325"/>
        <v>23438.900000000005</v>
      </c>
    </row>
    <row r="1470" spans="1:21">
      <c r="A1470" s="61" t="str">
        <f ca="1">IF(ISERROR(MATCH(F1470,Код_КВР,0)),"",INDIRECT(ADDRESS(MATCH(F1470,Код_КВР,0)+1,2,,,"КВР")))</f>
        <v>Закупка товаров, работ и услуг для муниципальных нужд</v>
      </c>
      <c r="B1470" s="126">
        <v>810</v>
      </c>
      <c r="C1470" s="8" t="s">
        <v>186</v>
      </c>
      <c r="D1470" s="8" t="s">
        <v>215</v>
      </c>
      <c r="E1470" s="126" t="s">
        <v>395</v>
      </c>
      <c r="F1470" s="126">
        <v>200</v>
      </c>
      <c r="G1470" s="69">
        <f>G1471</f>
        <v>1691.1999999999998</v>
      </c>
      <c r="H1470" s="69">
        <f>H1471</f>
        <v>0</v>
      </c>
      <c r="I1470" s="69">
        <f t="shared" si="306"/>
        <v>1691.1999999999998</v>
      </c>
      <c r="J1470" s="69">
        <f>J1471</f>
        <v>-24.9</v>
      </c>
      <c r="K1470" s="84">
        <f t="shared" si="326"/>
        <v>1666.2999999999997</v>
      </c>
      <c r="L1470" s="13">
        <f>L1471</f>
        <v>0</v>
      </c>
      <c r="M1470" s="84">
        <f t="shared" si="320"/>
        <v>1666.2999999999997</v>
      </c>
      <c r="N1470" s="13">
        <f>N1471</f>
        <v>0</v>
      </c>
      <c r="O1470" s="84">
        <f t="shared" si="321"/>
        <v>1666.2999999999997</v>
      </c>
      <c r="P1470" s="13">
        <f>P1471</f>
        <v>0</v>
      </c>
      <c r="Q1470" s="84">
        <f t="shared" si="310"/>
        <v>1666.2999999999997</v>
      </c>
      <c r="R1470" s="13">
        <f>R1471</f>
        <v>1431.4</v>
      </c>
      <c r="S1470" s="84">
        <f t="shared" si="309"/>
        <v>3097.7</v>
      </c>
      <c r="T1470" s="13">
        <f>T1471</f>
        <v>0</v>
      </c>
      <c r="U1470" s="84">
        <f t="shared" si="325"/>
        <v>3097.7</v>
      </c>
    </row>
    <row r="1471" spans="1:21" ht="33">
      <c r="A1471" s="61" t="str">
        <f ca="1">IF(ISERROR(MATCH(F1471,Код_КВР,0)),"",INDIRECT(ADDRESS(MATCH(F1471,Код_КВР,0)+1,2,,,"КВР")))</f>
        <v>Иные закупки товаров, работ и услуг для обеспечения муниципальных нужд</v>
      </c>
      <c r="B1471" s="126">
        <v>810</v>
      </c>
      <c r="C1471" s="8" t="s">
        <v>186</v>
      </c>
      <c r="D1471" s="8" t="s">
        <v>215</v>
      </c>
      <c r="E1471" s="126" t="s">
        <v>395</v>
      </c>
      <c r="F1471" s="126">
        <v>240</v>
      </c>
      <c r="G1471" s="69">
        <f>G1472</f>
        <v>1691.1999999999998</v>
      </c>
      <c r="H1471" s="69">
        <f>H1472</f>
        <v>0</v>
      </c>
      <c r="I1471" s="69">
        <f t="shared" si="306"/>
        <v>1691.1999999999998</v>
      </c>
      <c r="J1471" s="69">
        <f>J1472</f>
        <v>-24.9</v>
      </c>
      <c r="K1471" s="84">
        <f t="shared" si="326"/>
        <v>1666.2999999999997</v>
      </c>
      <c r="L1471" s="13">
        <f>L1472</f>
        <v>0</v>
      </c>
      <c r="M1471" s="84">
        <f t="shared" si="320"/>
        <v>1666.2999999999997</v>
      </c>
      <c r="N1471" s="13">
        <f>N1472</f>
        <v>0</v>
      </c>
      <c r="O1471" s="84">
        <f t="shared" si="321"/>
        <v>1666.2999999999997</v>
      </c>
      <c r="P1471" s="13">
        <f>P1472</f>
        <v>0</v>
      </c>
      <c r="Q1471" s="84">
        <f t="shared" si="310"/>
        <v>1666.2999999999997</v>
      </c>
      <c r="R1471" s="13">
        <f>R1472</f>
        <v>1431.4</v>
      </c>
      <c r="S1471" s="84">
        <f t="shared" si="309"/>
        <v>3097.7</v>
      </c>
      <c r="T1471" s="13">
        <f>T1472</f>
        <v>0</v>
      </c>
      <c r="U1471" s="84">
        <f t="shared" si="325"/>
        <v>3097.7</v>
      </c>
    </row>
    <row r="1472" spans="1:21" ht="33">
      <c r="A1472" s="61" t="str">
        <f ca="1">IF(ISERROR(MATCH(F1472,Код_КВР,0)),"",INDIRECT(ADDRESS(MATCH(F1472,Код_КВР,0)+1,2,,,"КВР")))</f>
        <v xml:space="preserve">Прочая закупка товаров, работ и услуг для обеспечения муниципальных нужд         </v>
      </c>
      <c r="B1472" s="126">
        <v>810</v>
      </c>
      <c r="C1472" s="8" t="s">
        <v>186</v>
      </c>
      <c r="D1472" s="8" t="s">
        <v>215</v>
      </c>
      <c r="E1472" s="126" t="s">
        <v>395</v>
      </c>
      <c r="F1472" s="126">
        <v>244</v>
      </c>
      <c r="G1472" s="69">
        <f>1509.1+182.1</f>
        <v>1691.1999999999998</v>
      </c>
      <c r="H1472" s="69"/>
      <c r="I1472" s="69">
        <f t="shared" si="306"/>
        <v>1691.1999999999998</v>
      </c>
      <c r="J1472" s="69">
        <v>-24.9</v>
      </c>
      <c r="K1472" s="84">
        <f t="shared" si="326"/>
        <v>1666.2999999999997</v>
      </c>
      <c r="L1472" s="13"/>
      <c r="M1472" s="84">
        <f t="shared" si="320"/>
        <v>1666.2999999999997</v>
      </c>
      <c r="N1472" s="13"/>
      <c r="O1472" s="84">
        <f t="shared" si="321"/>
        <v>1666.2999999999997</v>
      </c>
      <c r="P1472" s="13"/>
      <c r="Q1472" s="84">
        <f t="shared" si="310"/>
        <v>1666.2999999999997</v>
      </c>
      <c r="R1472" s="13">
        <f>66.7+171.1+56-0.3+1137.9</f>
        <v>1431.4</v>
      </c>
      <c r="S1472" s="84">
        <f t="shared" ref="S1472:S1557" si="327">Q1472+R1472</f>
        <v>3097.7</v>
      </c>
      <c r="T1472" s="13">
        <f>-0.8+0.8</f>
        <v>0</v>
      </c>
      <c r="U1472" s="84">
        <f t="shared" si="325"/>
        <v>3097.7</v>
      </c>
    </row>
    <row r="1473" spans="1:21">
      <c r="A1473" s="61" t="str">
        <f t="shared" ref="A1473:A1476" ca="1" si="328">IF(ISERROR(MATCH(F1473,Код_КВР,0)),"",INDIRECT(ADDRESS(MATCH(F1473,Код_КВР,0)+1,2,,,"КВР")))</f>
        <v>Иные бюджетные ассигнования</v>
      </c>
      <c r="B1473" s="126">
        <v>810</v>
      </c>
      <c r="C1473" s="8" t="s">
        <v>186</v>
      </c>
      <c r="D1473" s="8" t="s">
        <v>215</v>
      </c>
      <c r="E1473" s="126" t="s">
        <v>395</v>
      </c>
      <c r="F1473" s="126">
        <v>800</v>
      </c>
      <c r="G1473" s="69"/>
      <c r="H1473" s="69"/>
      <c r="I1473" s="69"/>
      <c r="J1473" s="69">
        <f>J1476</f>
        <v>17.399999999999999</v>
      </c>
      <c r="K1473" s="84">
        <f t="shared" si="326"/>
        <v>17.399999999999999</v>
      </c>
      <c r="L1473" s="13">
        <f>L1476</f>
        <v>0</v>
      </c>
      <c r="M1473" s="84">
        <f t="shared" si="320"/>
        <v>17.399999999999999</v>
      </c>
      <c r="N1473" s="13">
        <f>N1476</f>
        <v>0</v>
      </c>
      <c r="O1473" s="84">
        <f t="shared" si="321"/>
        <v>17.399999999999999</v>
      </c>
      <c r="P1473" s="13">
        <f>P1476</f>
        <v>0</v>
      </c>
      <c r="Q1473" s="84">
        <f t="shared" si="310"/>
        <v>17.399999999999999</v>
      </c>
      <c r="R1473" s="13">
        <f>R1476+R1474</f>
        <v>0.29999999999999982</v>
      </c>
      <c r="S1473" s="84">
        <f t="shared" si="327"/>
        <v>17.7</v>
      </c>
      <c r="T1473" s="13">
        <f>T1476+T1474</f>
        <v>0.8</v>
      </c>
      <c r="U1473" s="84">
        <f t="shared" si="325"/>
        <v>18.5</v>
      </c>
    </row>
    <row r="1474" spans="1:21">
      <c r="A1474" s="61" t="str">
        <f t="shared" ref="A1474" ca="1" si="329">IF(ISERROR(MATCH(F1474,Код_КВР,0)),"",INDIRECT(ADDRESS(MATCH(F1474,Код_КВР,0)+1,2,,,"КВР")))</f>
        <v>Исполнение судебных актов</v>
      </c>
      <c r="B1474" s="126">
        <v>810</v>
      </c>
      <c r="C1474" s="8" t="s">
        <v>186</v>
      </c>
      <c r="D1474" s="8" t="s">
        <v>215</v>
      </c>
      <c r="E1474" s="126" t="s">
        <v>395</v>
      </c>
      <c r="F1474" s="126">
        <v>830</v>
      </c>
      <c r="G1474" s="69"/>
      <c r="H1474" s="69"/>
      <c r="I1474" s="69"/>
      <c r="J1474" s="69"/>
      <c r="K1474" s="84"/>
      <c r="L1474" s="13"/>
      <c r="M1474" s="84"/>
      <c r="N1474" s="13"/>
      <c r="O1474" s="84"/>
      <c r="P1474" s="13"/>
      <c r="Q1474" s="84"/>
      <c r="R1474" s="13">
        <f>R1475</f>
        <v>4.0999999999999996</v>
      </c>
      <c r="S1474" s="84">
        <f t="shared" si="327"/>
        <v>4.0999999999999996</v>
      </c>
      <c r="T1474" s="13">
        <f>T1475</f>
        <v>0.9</v>
      </c>
      <c r="U1474" s="84">
        <f t="shared" si="325"/>
        <v>5</v>
      </c>
    </row>
    <row r="1475" spans="1:21" ht="82.5">
      <c r="A1475" s="61" t="str">
        <f ca="1">IF(ISERROR(MATCH(F1475,Код_КВР,0)),"",INDIRECT(ADDRESS(MATCH(F1475,Код_КВР,0)+1,2,,,"КВР")))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475" s="126">
        <v>810</v>
      </c>
      <c r="C1475" s="8" t="s">
        <v>186</v>
      </c>
      <c r="D1475" s="8" t="s">
        <v>215</v>
      </c>
      <c r="E1475" s="126" t="s">
        <v>395</v>
      </c>
      <c r="F1475" s="126">
        <v>831</v>
      </c>
      <c r="G1475" s="69"/>
      <c r="H1475" s="69"/>
      <c r="I1475" s="69"/>
      <c r="J1475" s="69"/>
      <c r="K1475" s="84"/>
      <c r="L1475" s="13"/>
      <c r="M1475" s="84"/>
      <c r="N1475" s="13"/>
      <c r="O1475" s="84"/>
      <c r="P1475" s="13"/>
      <c r="Q1475" s="84"/>
      <c r="R1475" s="13">
        <v>4.0999999999999996</v>
      </c>
      <c r="S1475" s="84">
        <f t="shared" si="327"/>
        <v>4.0999999999999996</v>
      </c>
      <c r="T1475" s="13">
        <v>0.9</v>
      </c>
      <c r="U1475" s="84">
        <f t="shared" si="325"/>
        <v>5</v>
      </c>
    </row>
    <row r="1476" spans="1:21">
      <c r="A1476" s="61" t="str">
        <f t="shared" ca="1" si="328"/>
        <v>Уплата налогов, сборов и иных платежей</v>
      </c>
      <c r="B1476" s="126">
        <v>810</v>
      </c>
      <c r="C1476" s="8" t="s">
        <v>186</v>
      </c>
      <c r="D1476" s="8" t="s">
        <v>215</v>
      </c>
      <c r="E1476" s="126" t="s">
        <v>395</v>
      </c>
      <c r="F1476" s="126">
        <v>850</v>
      </c>
      <c r="G1476" s="69"/>
      <c r="H1476" s="69"/>
      <c r="I1476" s="69"/>
      <c r="J1476" s="69">
        <f>J1477+J1478</f>
        <v>17.399999999999999</v>
      </c>
      <c r="K1476" s="84">
        <f t="shared" si="326"/>
        <v>17.399999999999999</v>
      </c>
      <c r="L1476" s="13">
        <f>L1477+L1478</f>
        <v>0</v>
      </c>
      <c r="M1476" s="84">
        <f t="shared" si="320"/>
        <v>17.399999999999999</v>
      </c>
      <c r="N1476" s="13">
        <f>N1477+N1478</f>
        <v>0</v>
      </c>
      <c r="O1476" s="84">
        <f t="shared" si="321"/>
        <v>17.399999999999999</v>
      </c>
      <c r="P1476" s="13">
        <f>P1477+P1478</f>
        <v>0</v>
      </c>
      <c r="Q1476" s="84">
        <f t="shared" si="310"/>
        <v>17.399999999999999</v>
      </c>
      <c r="R1476" s="13">
        <f>R1477+R1478</f>
        <v>-3.8</v>
      </c>
      <c r="S1476" s="84">
        <f t="shared" si="327"/>
        <v>13.599999999999998</v>
      </c>
      <c r="T1476" s="13">
        <f>T1477+T1478</f>
        <v>-0.1</v>
      </c>
      <c r="U1476" s="84">
        <f t="shared" si="325"/>
        <v>13.499999999999998</v>
      </c>
    </row>
    <row r="1477" spans="1:21">
      <c r="A1477" s="61" t="str">
        <f ca="1">IF(ISERROR(MATCH(F1477,Код_КВР,0)),"",INDIRECT(ADDRESS(MATCH(F1477,Код_КВР,0)+1,2,,,"КВР")))</f>
        <v>Уплата налога на имущество организаций и земельного налога</v>
      </c>
      <c r="B1477" s="126">
        <v>810</v>
      </c>
      <c r="C1477" s="8" t="s">
        <v>186</v>
      </c>
      <c r="D1477" s="8" t="s">
        <v>215</v>
      </c>
      <c r="E1477" s="126" t="s">
        <v>395</v>
      </c>
      <c r="F1477" s="126">
        <v>851</v>
      </c>
      <c r="G1477" s="69"/>
      <c r="H1477" s="69"/>
      <c r="I1477" s="69"/>
      <c r="J1477" s="69">
        <v>7.4</v>
      </c>
      <c r="K1477" s="84">
        <f t="shared" si="326"/>
        <v>7.4</v>
      </c>
      <c r="L1477" s="13"/>
      <c r="M1477" s="84">
        <f t="shared" si="320"/>
        <v>7.4</v>
      </c>
      <c r="N1477" s="13"/>
      <c r="O1477" s="84">
        <f t="shared" si="321"/>
        <v>7.4</v>
      </c>
      <c r="P1477" s="13"/>
      <c r="Q1477" s="84">
        <f t="shared" si="310"/>
        <v>7.4</v>
      </c>
      <c r="R1477" s="13">
        <v>-3</v>
      </c>
      <c r="S1477" s="84">
        <f>Q1477+R1477</f>
        <v>4.4000000000000004</v>
      </c>
      <c r="T1477" s="13">
        <v>-0.1</v>
      </c>
      <c r="U1477" s="84">
        <f t="shared" si="325"/>
        <v>4.3000000000000007</v>
      </c>
    </row>
    <row r="1478" spans="1:21">
      <c r="A1478" s="61" t="str">
        <f ca="1">IF(ISERROR(MATCH(F1478,Код_КВР,0)),"",INDIRECT(ADDRESS(MATCH(F1478,Код_КВР,0)+1,2,,,"КВР")))</f>
        <v>Уплата прочих налогов, сборов и иных платежей</v>
      </c>
      <c r="B1478" s="126">
        <v>810</v>
      </c>
      <c r="C1478" s="8" t="s">
        <v>186</v>
      </c>
      <c r="D1478" s="8" t="s">
        <v>215</v>
      </c>
      <c r="E1478" s="126" t="s">
        <v>395</v>
      </c>
      <c r="F1478" s="126">
        <v>852</v>
      </c>
      <c r="G1478" s="69"/>
      <c r="H1478" s="69"/>
      <c r="I1478" s="69"/>
      <c r="J1478" s="69">
        <v>10</v>
      </c>
      <c r="K1478" s="84">
        <f t="shared" si="326"/>
        <v>10</v>
      </c>
      <c r="L1478" s="13"/>
      <c r="M1478" s="84">
        <f t="shared" si="320"/>
        <v>10</v>
      </c>
      <c r="N1478" s="13"/>
      <c r="O1478" s="84">
        <f t="shared" si="321"/>
        <v>10</v>
      </c>
      <c r="P1478" s="13"/>
      <c r="Q1478" s="84">
        <f t="shared" si="310"/>
        <v>10</v>
      </c>
      <c r="R1478" s="13">
        <v>-0.8</v>
      </c>
      <c r="S1478" s="84">
        <f t="shared" si="327"/>
        <v>9.1999999999999993</v>
      </c>
      <c r="T1478" s="13"/>
      <c r="U1478" s="84">
        <f t="shared" si="325"/>
        <v>9.1999999999999993</v>
      </c>
    </row>
    <row r="1479" spans="1:21" ht="132">
      <c r="A1479" s="61" t="str">
        <f ca="1">IF(ISERROR(MATCH(E1479,Код_КЦСР,0)),"",INDIRECT(ADDRESS(MATCH(E1479,Код_КЦСР,0)+1,2,,,"КЦСР")))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479" s="126">
        <v>810</v>
      </c>
      <c r="C1479" s="8" t="s">
        <v>186</v>
      </c>
      <c r="D1479" s="8" t="s">
        <v>215</v>
      </c>
      <c r="E1479" s="126" t="s">
        <v>390</v>
      </c>
      <c r="F1479" s="126"/>
      <c r="G1479" s="69">
        <f>G1480+G1482</f>
        <v>2682.5</v>
      </c>
      <c r="H1479" s="69">
        <f>H1480+H1482</f>
        <v>0</v>
      </c>
      <c r="I1479" s="69">
        <f t="shared" si="306"/>
        <v>2682.5</v>
      </c>
      <c r="J1479" s="69">
        <f>J1480+J1482</f>
        <v>0</v>
      </c>
      <c r="K1479" s="84">
        <f t="shared" si="326"/>
        <v>2682.5</v>
      </c>
      <c r="L1479" s="13">
        <f>L1480+L1482</f>
        <v>0</v>
      </c>
      <c r="M1479" s="84">
        <f t="shared" si="320"/>
        <v>2682.5</v>
      </c>
      <c r="N1479" s="13">
        <f>N1480+N1482</f>
        <v>0</v>
      </c>
      <c r="O1479" s="84">
        <f t="shared" si="321"/>
        <v>2682.5</v>
      </c>
      <c r="P1479" s="13">
        <f>P1480+P1482</f>
        <v>0</v>
      </c>
      <c r="Q1479" s="84">
        <f t="shared" si="310"/>
        <v>2682.5</v>
      </c>
      <c r="R1479" s="13">
        <f>R1480+R1482</f>
        <v>0</v>
      </c>
      <c r="S1479" s="84">
        <f t="shared" si="327"/>
        <v>2682.5</v>
      </c>
      <c r="T1479" s="13">
        <f>T1480+T1482</f>
        <v>0</v>
      </c>
      <c r="U1479" s="84">
        <f t="shared" si="325"/>
        <v>2682.5</v>
      </c>
    </row>
    <row r="1480" spans="1:21" ht="33">
      <c r="A1480" s="61" t="str">
        <f ca="1">IF(ISERROR(MATCH(F1480,Код_КВР,0)),"",INDIRECT(ADDRESS(MATCH(F1480,Код_КВР,0)+1,2,,,"КВР")))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0" s="126">
        <v>810</v>
      </c>
      <c r="C1480" s="8" t="s">
        <v>186</v>
      </c>
      <c r="D1480" s="8" t="s">
        <v>215</v>
      </c>
      <c r="E1480" s="126" t="s">
        <v>390</v>
      </c>
      <c r="F1480" s="126">
        <v>100</v>
      </c>
      <c r="G1480" s="69">
        <f>G1481</f>
        <v>2180.9</v>
      </c>
      <c r="H1480" s="69">
        <f>H1481</f>
        <v>0</v>
      </c>
      <c r="I1480" s="69">
        <f t="shared" si="306"/>
        <v>2180.9</v>
      </c>
      <c r="J1480" s="69">
        <f>J1481</f>
        <v>0</v>
      </c>
      <c r="K1480" s="84">
        <f t="shared" si="326"/>
        <v>2180.9</v>
      </c>
      <c r="L1480" s="13">
        <f>L1481</f>
        <v>0</v>
      </c>
      <c r="M1480" s="84">
        <f t="shared" si="320"/>
        <v>2180.9</v>
      </c>
      <c r="N1480" s="13">
        <f>N1481</f>
        <v>0</v>
      </c>
      <c r="O1480" s="84">
        <f t="shared" si="321"/>
        <v>2180.9</v>
      </c>
      <c r="P1480" s="13">
        <f>P1481</f>
        <v>0</v>
      </c>
      <c r="Q1480" s="84">
        <f t="shared" si="310"/>
        <v>2180.9</v>
      </c>
      <c r="R1480" s="13">
        <f>R1481</f>
        <v>0</v>
      </c>
      <c r="S1480" s="84">
        <f t="shared" si="327"/>
        <v>2180.9</v>
      </c>
      <c r="T1480" s="13">
        <f>T1481</f>
        <v>0</v>
      </c>
      <c r="U1480" s="84">
        <f t="shared" si="325"/>
        <v>2180.9</v>
      </c>
    </row>
    <row r="1481" spans="1:21">
      <c r="A1481" s="61" t="str">
        <f ca="1">IF(ISERROR(MATCH(F1481,Код_КВР,0)),"",INDIRECT(ADDRESS(MATCH(F1481,Код_КВР,0)+1,2,,,"КВР")))</f>
        <v>Расходы на выплаты персоналу муниципальных органов</v>
      </c>
      <c r="B1481" s="126">
        <v>810</v>
      </c>
      <c r="C1481" s="8" t="s">
        <v>186</v>
      </c>
      <c r="D1481" s="8" t="s">
        <v>215</v>
      </c>
      <c r="E1481" s="126" t="s">
        <v>390</v>
      </c>
      <c r="F1481" s="126">
        <v>120</v>
      </c>
      <c r="G1481" s="69">
        <v>2180.9</v>
      </c>
      <c r="H1481" s="69"/>
      <c r="I1481" s="69">
        <f t="shared" si="306"/>
        <v>2180.9</v>
      </c>
      <c r="J1481" s="69"/>
      <c r="K1481" s="84">
        <f t="shared" si="326"/>
        <v>2180.9</v>
      </c>
      <c r="L1481" s="13"/>
      <c r="M1481" s="84">
        <f t="shared" si="320"/>
        <v>2180.9</v>
      </c>
      <c r="N1481" s="13"/>
      <c r="O1481" s="84">
        <f t="shared" si="321"/>
        <v>2180.9</v>
      </c>
      <c r="P1481" s="13"/>
      <c r="Q1481" s="84">
        <f t="shared" si="310"/>
        <v>2180.9</v>
      </c>
      <c r="R1481" s="13"/>
      <c r="S1481" s="84">
        <f t="shared" si="327"/>
        <v>2180.9</v>
      </c>
      <c r="T1481" s="13"/>
      <c r="U1481" s="84">
        <f t="shared" si="325"/>
        <v>2180.9</v>
      </c>
    </row>
    <row r="1482" spans="1:21">
      <c r="A1482" s="61" t="str">
        <f ca="1">IF(ISERROR(MATCH(F1482,Код_КВР,0)),"",INDIRECT(ADDRESS(MATCH(F1482,Код_КВР,0)+1,2,,,"КВР")))</f>
        <v>Закупка товаров, работ и услуг для муниципальных нужд</v>
      </c>
      <c r="B1482" s="126">
        <v>810</v>
      </c>
      <c r="C1482" s="8" t="s">
        <v>186</v>
      </c>
      <c r="D1482" s="8" t="s">
        <v>215</v>
      </c>
      <c r="E1482" s="126" t="s">
        <v>390</v>
      </c>
      <c r="F1482" s="126">
        <v>200</v>
      </c>
      <c r="G1482" s="69">
        <f>G1483</f>
        <v>501.6</v>
      </c>
      <c r="H1482" s="69">
        <f>H1483</f>
        <v>0</v>
      </c>
      <c r="I1482" s="69">
        <f t="shared" si="306"/>
        <v>501.6</v>
      </c>
      <c r="J1482" s="69">
        <f>J1483</f>
        <v>0</v>
      </c>
      <c r="K1482" s="84">
        <f t="shared" si="326"/>
        <v>501.6</v>
      </c>
      <c r="L1482" s="13">
        <f>L1483</f>
        <v>0</v>
      </c>
      <c r="M1482" s="84">
        <f t="shared" si="320"/>
        <v>501.6</v>
      </c>
      <c r="N1482" s="13">
        <f>N1483</f>
        <v>0</v>
      </c>
      <c r="O1482" s="84">
        <f t="shared" si="321"/>
        <v>501.6</v>
      </c>
      <c r="P1482" s="13">
        <f>P1483</f>
        <v>0</v>
      </c>
      <c r="Q1482" s="84">
        <f t="shared" si="310"/>
        <v>501.6</v>
      </c>
      <c r="R1482" s="13">
        <f>R1483</f>
        <v>0</v>
      </c>
      <c r="S1482" s="84">
        <f t="shared" si="327"/>
        <v>501.6</v>
      </c>
      <c r="T1482" s="13">
        <f>T1483</f>
        <v>0</v>
      </c>
      <c r="U1482" s="84">
        <f t="shared" si="325"/>
        <v>501.6</v>
      </c>
    </row>
    <row r="1483" spans="1:21" ht="33">
      <c r="A1483" s="61" t="str">
        <f ca="1">IF(ISERROR(MATCH(F1483,Код_КВР,0)),"",INDIRECT(ADDRESS(MATCH(F1483,Код_КВР,0)+1,2,,,"КВР")))</f>
        <v>Иные закупки товаров, работ и услуг для обеспечения муниципальных нужд</v>
      </c>
      <c r="B1483" s="126">
        <v>810</v>
      </c>
      <c r="C1483" s="8" t="s">
        <v>186</v>
      </c>
      <c r="D1483" s="8" t="s">
        <v>215</v>
      </c>
      <c r="E1483" s="126" t="s">
        <v>390</v>
      </c>
      <c r="F1483" s="126">
        <v>240</v>
      </c>
      <c r="G1483" s="69">
        <f>G1484</f>
        <v>501.6</v>
      </c>
      <c r="H1483" s="69">
        <f>H1484</f>
        <v>0</v>
      </c>
      <c r="I1483" s="69">
        <f t="shared" ref="I1483:I1582" si="330">G1483+H1483</f>
        <v>501.6</v>
      </c>
      <c r="J1483" s="69">
        <f>J1484</f>
        <v>0</v>
      </c>
      <c r="K1483" s="84">
        <f t="shared" si="326"/>
        <v>501.6</v>
      </c>
      <c r="L1483" s="13">
        <f>L1484</f>
        <v>0</v>
      </c>
      <c r="M1483" s="84">
        <f t="shared" si="320"/>
        <v>501.6</v>
      </c>
      <c r="N1483" s="13">
        <f>N1484</f>
        <v>0</v>
      </c>
      <c r="O1483" s="84">
        <f t="shared" si="321"/>
        <v>501.6</v>
      </c>
      <c r="P1483" s="13">
        <f>P1484</f>
        <v>0</v>
      </c>
      <c r="Q1483" s="84">
        <f t="shared" ref="Q1483:Q1571" si="331">O1483+P1483</f>
        <v>501.6</v>
      </c>
      <c r="R1483" s="13">
        <f>R1484</f>
        <v>0</v>
      </c>
      <c r="S1483" s="84">
        <f t="shared" si="327"/>
        <v>501.6</v>
      </c>
      <c r="T1483" s="13">
        <f>T1484</f>
        <v>0</v>
      </c>
      <c r="U1483" s="84">
        <f t="shared" si="325"/>
        <v>501.6</v>
      </c>
    </row>
    <row r="1484" spans="1:21" ht="33">
      <c r="A1484" s="61" t="str">
        <f ca="1">IF(ISERROR(MATCH(F1484,Код_КВР,0)),"",INDIRECT(ADDRESS(MATCH(F1484,Код_КВР,0)+1,2,,,"КВР")))</f>
        <v xml:space="preserve">Прочая закупка товаров, работ и услуг для обеспечения муниципальных нужд         </v>
      </c>
      <c r="B1484" s="126">
        <v>810</v>
      </c>
      <c r="C1484" s="8" t="s">
        <v>186</v>
      </c>
      <c r="D1484" s="8" t="s">
        <v>215</v>
      </c>
      <c r="E1484" s="126" t="s">
        <v>390</v>
      </c>
      <c r="F1484" s="126">
        <v>244</v>
      </c>
      <c r="G1484" s="69">
        <v>501.6</v>
      </c>
      <c r="H1484" s="69"/>
      <c r="I1484" s="69">
        <f t="shared" si="330"/>
        <v>501.6</v>
      </c>
      <c r="J1484" s="69"/>
      <c r="K1484" s="84">
        <f t="shared" si="326"/>
        <v>501.6</v>
      </c>
      <c r="L1484" s="13"/>
      <c r="M1484" s="84">
        <f t="shared" si="320"/>
        <v>501.6</v>
      </c>
      <c r="N1484" s="13"/>
      <c r="O1484" s="84">
        <f t="shared" si="321"/>
        <v>501.6</v>
      </c>
      <c r="P1484" s="13"/>
      <c r="Q1484" s="84">
        <f t="shared" si="331"/>
        <v>501.6</v>
      </c>
      <c r="R1484" s="13"/>
      <c r="S1484" s="84">
        <f t="shared" si="327"/>
        <v>501.6</v>
      </c>
      <c r="T1484" s="13"/>
      <c r="U1484" s="84">
        <f t="shared" si="325"/>
        <v>501.6</v>
      </c>
    </row>
    <row r="1485" spans="1:21" ht="96" customHeight="1">
      <c r="A1485" s="61" t="str">
        <f ca="1">IF(ISERROR(MATCH(E1485,Код_КЦСР,0)),"",INDIRECT(ADDRESS(MATCH(E1485,Код_КЦСР,0)+1,2,,,"КЦСР")))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485" s="126">
        <v>810</v>
      </c>
      <c r="C1485" s="8" t="s">
        <v>186</v>
      </c>
      <c r="D1485" s="8" t="s">
        <v>215</v>
      </c>
      <c r="E1485" s="126" t="s">
        <v>399</v>
      </c>
      <c r="F1485" s="126"/>
      <c r="G1485" s="69">
        <f>G1486+G1488</f>
        <v>902.7</v>
      </c>
      <c r="H1485" s="69">
        <f>H1486+H1488</f>
        <v>0</v>
      </c>
      <c r="I1485" s="69">
        <f t="shared" si="330"/>
        <v>902.7</v>
      </c>
      <c r="J1485" s="69">
        <f>J1486+J1488</f>
        <v>0</v>
      </c>
      <c r="K1485" s="84">
        <f t="shared" si="326"/>
        <v>902.7</v>
      </c>
      <c r="L1485" s="13">
        <f>L1486+L1488</f>
        <v>0</v>
      </c>
      <c r="M1485" s="84">
        <f t="shared" si="320"/>
        <v>902.7</v>
      </c>
      <c r="N1485" s="13">
        <f>N1486+N1488</f>
        <v>0</v>
      </c>
      <c r="O1485" s="84">
        <f t="shared" si="321"/>
        <v>902.7</v>
      </c>
      <c r="P1485" s="13">
        <f>P1486+P1488</f>
        <v>0</v>
      </c>
      <c r="Q1485" s="84">
        <f t="shared" si="331"/>
        <v>902.7</v>
      </c>
      <c r="R1485" s="13">
        <f>R1486+R1488</f>
        <v>-676.7</v>
      </c>
      <c r="S1485" s="84">
        <f t="shared" si="327"/>
        <v>226</v>
      </c>
      <c r="T1485" s="13">
        <f>T1486+T1488</f>
        <v>0</v>
      </c>
      <c r="U1485" s="84">
        <f t="shared" si="325"/>
        <v>226</v>
      </c>
    </row>
    <row r="1486" spans="1:21" ht="33">
      <c r="A1486" s="61" t="str">
        <f ca="1">IF(ISERROR(MATCH(F1486,Код_КВР,0)),"",INDIRECT(ADDRESS(MATCH(F1486,Код_КВР,0)+1,2,,,"КВР")))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6" s="126">
        <v>810</v>
      </c>
      <c r="C1486" s="8" t="s">
        <v>186</v>
      </c>
      <c r="D1486" s="8" t="s">
        <v>215</v>
      </c>
      <c r="E1486" s="126" t="s">
        <v>399</v>
      </c>
      <c r="F1486" s="126">
        <v>100</v>
      </c>
      <c r="G1486" s="69">
        <f>G1487</f>
        <v>722.2</v>
      </c>
      <c r="H1486" s="69">
        <f>H1487</f>
        <v>0</v>
      </c>
      <c r="I1486" s="69">
        <f t="shared" si="330"/>
        <v>722.2</v>
      </c>
      <c r="J1486" s="69">
        <f>J1487</f>
        <v>0</v>
      </c>
      <c r="K1486" s="84">
        <f t="shared" si="326"/>
        <v>722.2</v>
      </c>
      <c r="L1486" s="13">
        <f>L1487</f>
        <v>0</v>
      </c>
      <c r="M1486" s="84">
        <f t="shared" si="320"/>
        <v>722.2</v>
      </c>
      <c r="N1486" s="13">
        <f>N1487</f>
        <v>0</v>
      </c>
      <c r="O1486" s="84">
        <f t="shared" si="321"/>
        <v>722.2</v>
      </c>
      <c r="P1486" s="13">
        <f>P1487</f>
        <v>0</v>
      </c>
      <c r="Q1486" s="84">
        <f t="shared" si="331"/>
        <v>722.2</v>
      </c>
      <c r="R1486" s="13">
        <f>R1487</f>
        <v>-541.6</v>
      </c>
      <c r="S1486" s="84">
        <f t="shared" si="327"/>
        <v>180.60000000000002</v>
      </c>
      <c r="T1486" s="13">
        <f>T1487</f>
        <v>0</v>
      </c>
      <c r="U1486" s="84">
        <f t="shared" si="325"/>
        <v>180.60000000000002</v>
      </c>
    </row>
    <row r="1487" spans="1:21">
      <c r="A1487" s="61" t="str">
        <f ca="1">IF(ISERROR(MATCH(F1487,Код_КВР,0)),"",INDIRECT(ADDRESS(MATCH(F1487,Код_КВР,0)+1,2,,,"КВР")))</f>
        <v>Расходы на выплаты персоналу муниципальных органов</v>
      </c>
      <c r="B1487" s="126">
        <v>810</v>
      </c>
      <c r="C1487" s="8" t="s">
        <v>186</v>
      </c>
      <c r="D1487" s="8" t="s">
        <v>215</v>
      </c>
      <c r="E1487" s="126" t="s">
        <v>399</v>
      </c>
      <c r="F1487" s="126">
        <v>120</v>
      </c>
      <c r="G1487" s="69">
        <v>722.2</v>
      </c>
      <c r="H1487" s="69"/>
      <c r="I1487" s="69">
        <f t="shared" si="330"/>
        <v>722.2</v>
      </c>
      <c r="J1487" s="69"/>
      <c r="K1487" s="84">
        <f t="shared" si="326"/>
        <v>722.2</v>
      </c>
      <c r="L1487" s="13"/>
      <c r="M1487" s="84">
        <f t="shared" si="320"/>
        <v>722.2</v>
      </c>
      <c r="N1487" s="13"/>
      <c r="O1487" s="84">
        <f t="shared" si="321"/>
        <v>722.2</v>
      </c>
      <c r="P1487" s="13"/>
      <c r="Q1487" s="84">
        <f t="shared" si="331"/>
        <v>722.2</v>
      </c>
      <c r="R1487" s="13">
        <f>-416-125.6</f>
        <v>-541.6</v>
      </c>
      <c r="S1487" s="84">
        <f t="shared" si="327"/>
        <v>180.60000000000002</v>
      </c>
      <c r="T1487" s="13"/>
      <c r="U1487" s="84">
        <f t="shared" si="325"/>
        <v>180.60000000000002</v>
      </c>
    </row>
    <row r="1488" spans="1:21">
      <c r="A1488" s="61" t="str">
        <f ca="1">IF(ISERROR(MATCH(F1488,Код_КВР,0)),"",INDIRECT(ADDRESS(MATCH(F1488,Код_КВР,0)+1,2,,,"КВР")))</f>
        <v>Закупка товаров, работ и услуг для муниципальных нужд</v>
      </c>
      <c r="B1488" s="126">
        <v>810</v>
      </c>
      <c r="C1488" s="8" t="s">
        <v>186</v>
      </c>
      <c r="D1488" s="8" t="s">
        <v>215</v>
      </c>
      <c r="E1488" s="126" t="s">
        <v>399</v>
      </c>
      <c r="F1488" s="126">
        <v>200</v>
      </c>
      <c r="G1488" s="69">
        <f>G1489</f>
        <v>180.5</v>
      </c>
      <c r="H1488" s="69">
        <f>H1489</f>
        <v>0</v>
      </c>
      <c r="I1488" s="69">
        <f t="shared" si="330"/>
        <v>180.5</v>
      </c>
      <c r="J1488" s="69">
        <f>J1489</f>
        <v>0</v>
      </c>
      <c r="K1488" s="84">
        <f t="shared" si="326"/>
        <v>180.5</v>
      </c>
      <c r="L1488" s="13">
        <f>L1489</f>
        <v>0</v>
      </c>
      <c r="M1488" s="84">
        <f t="shared" si="320"/>
        <v>180.5</v>
      </c>
      <c r="N1488" s="13">
        <f>N1489</f>
        <v>0</v>
      </c>
      <c r="O1488" s="84">
        <f t="shared" si="321"/>
        <v>180.5</v>
      </c>
      <c r="P1488" s="13">
        <f>P1489</f>
        <v>0</v>
      </c>
      <c r="Q1488" s="84">
        <f t="shared" si="331"/>
        <v>180.5</v>
      </c>
      <c r="R1488" s="13">
        <f>R1489</f>
        <v>-135.1</v>
      </c>
      <c r="S1488" s="84">
        <f t="shared" si="327"/>
        <v>45.400000000000006</v>
      </c>
      <c r="T1488" s="13">
        <f>T1489</f>
        <v>0</v>
      </c>
      <c r="U1488" s="84">
        <f t="shared" si="325"/>
        <v>45.400000000000006</v>
      </c>
    </row>
    <row r="1489" spans="1:23" ht="33">
      <c r="A1489" s="61" t="str">
        <f ca="1">IF(ISERROR(MATCH(F1489,Код_КВР,0)),"",INDIRECT(ADDRESS(MATCH(F1489,Код_КВР,0)+1,2,,,"КВР")))</f>
        <v>Иные закупки товаров, работ и услуг для обеспечения муниципальных нужд</v>
      </c>
      <c r="B1489" s="126">
        <v>810</v>
      </c>
      <c r="C1489" s="8" t="s">
        <v>186</v>
      </c>
      <c r="D1489" s="8" t="s">
        <v>215</v>
      </c>
      <c r="E1489" s="126" t="s">
        <v>399</v>
      </c>
      <c r="F1489" s="126">
        <v>240</v>
      </c>
      <c r="G1489" s="69">
        <f>G1490</f>
        <v>180.5</v>
      </c>
      <c r="H1489" s="69">
        <f>H1490</f>
        <v>0</v>
      </c>
      <c r="I1489" s="69">
        <f t="shared" si="330"/>
        <v>180.5</v>
      </c>
      <c r="J1489" s="69">
        <f>J1490</f>
        <v>0</v>
      </c>
      <c r="K1489" s="84">
        <f t="shared" si="326"/>
        <v>180.5</v>
      </c>
      <c r="L1489" s="13">
        <f>L1490</f>
        <v>0</v>
      </c>
      <c r="M1489" s="84">
        <f t="shared" si="320"/>
        <v>180.5</v>
      </c>
      <c r="N1489" s="13">
        <f>N1490</f>
        <v>0</v>
      </c>
      <c r="O1489" s="84">
        <f t="shared" si="321"/>
        <v>180.5</v>
      </c>
      <c r="P1489" s="13">
        <f>P1490</f>
        <v>0</v>
      </c>
      <c r="Q1489" s="84">
        <f t="shared" si="331"/>
        <v>180.5</v>
      </c>
      <c r="R1489" s="13">
        <f>R1490</f>
        <v>-135.1</v>
      </c>
      <c r="S1489" s="84">
        <f t="shared" si="327"/>
        <v>45.400000000000006</v>
      </c>
      <c r="T1489" s="13">
        <f>T1490</f>
        <v>0</v>
      </c>
      <c r="U1489" s="84">
        <f t="shared" si="325"/>
        <v>45.400000000000006</v>
      </c>
    </row>
    <row r="1490" spans="1:23" ht="33">
      <c r="A1490" s="61" t="str">
        <f ca="1">IF(ISERROR(MATCH(F1490,Код_КВР,0)),"",INDIRECT(ADDRESS(MATCH(F1490,Код_КВР,0)+1,2,,,"КВР")))</f>
        <v xml:space="preserve">Прочая закупка товаров, работ и услуг для обеспечения муниципальных нужд         </v>
      </c>
      <c r="B1490" s="126">
        <v>810</v>
      </c>
      <c r="C1490" s="8" t="s">
        <v>186</v>
      </c>
      <c r="D1490" s="8" t="s">
        <v>215</v>
      </c>
      <c r="E1490" s="126" t="s">
        <v>399</v>
      </c>
      <c r="F1490" s="126">
        <v>244</v>
      </c>
      <c r="G1490" s="69">
        <v>180.5</v>
      </c>
      <c r="H1490" s="69"/>
      <c r="I1490" s="69">
        <f t="shared" si="330"/>
        <v>180.5</v>
      </c>
      <c r="J1490" s="69"/>
      <c r="K1490" s="84">
        <f t="shared" si="326"/>
        <v>180.5</v>
      </c>
      <c r="L1490" s="13"/>
      <c r="M1490" s="84">
        <f t="shared" si="320"/>
        <v>180.5</v>
      </c>
      <c r="N1490" s="13"/>
      <c r="O1490" s="84">
        <f t="shared" si="321"/>
        <v>180.5</v>
      </c>
      <c r="P1490" s="13"/>
      <c r="Q1490" s="84">
        <f t="shared" si="331"/>
        <v>180.5</v>
      </c>
      <c r="R1490" s="13">
        <f>-10.4-40.5-54.5-29.7</f>
        <v>-135.1</v>
      </c>
      <c r="S1490" s="84">
        <f t="shared" si="327"/>
        <v>45.400000000000006</v>
      </c>
      <c r="T1490" s="13"/>
      <c r="U1490" s="84">
        <f t="shared" si="325"/>
        <v>45.400000000000006</v>
      </c>
    </row>
    <row r="1491" spans="1:23">
      <c r="A1491" s="61" t="str">
        <f ca="1">IF(ISERROR(MATCH(B1491,Код_ППП,0)),"",INDIRECT(ADDRESS(MATCH(B1491,Код_ППП,0)+1,2,,,"ППП")))</f>
        <v>КОМИТЕТ ПО УПРАВЛЕНИЮ ИМУЩЕСТВОМ ГОРОДА</v>
      </c>
      <c r="B1491" s="126">
        <v>811</v>
      </c>
      <c r="C1491" s="8"/>
      <c r="D1491" s="8"/>
      <c r="E1491" s="126"/>
      <c r="F1491" s="126"/>
      <c r="G1491" s="69">
        <f>G1492+G1512+G1604+G1629+G1694</f>
        <v>339048.19999999995</v>
      </c>
      <c r="H1491" s="69">
        <f>H1492+H1512+H1604+H1629+H1694</f>
        <v>-15804.3</v>
      </c>
      <c r="I1491" s="69">
        <f t="shared" si="330"/>
        <v>323243.89999999997</v>
      </c>
      <c r="J1491" s="69">
        <f>J1492+J1512+J1604+J1629+J1694</f>
        <v>6019.6999999999989</v>
      </c>
      <c r="K1491" s="84">
        <f t="shared" si="326"/>
        <v>329263.59999999998</v>
      </c>
      <c r="L1491" s="13">
        <f>L1492+L1512+L1604+L1629+L1694+L1680</f>
        <v>-487.19999999999936</v>
      </c>
      <c r="M1491" s="84">
        <f t="shared" si="320"/>
        <v>328776.39999999997</v>
      </c>
      <c r="N1491" s="13">
        <f>N1492+N1512+N1604+N1629+N1694+N1680</f>
        <v>841</v>
      </c>
      <c r="O1491" s="84">
        <f t="shared" si="321"/>
        <v>329617.39999999997</v>
      </c>
      <c r="P1491" s="13">
        <f>P1492+P1512+P1604+P1629+P1694+P1680</f>
        <v>3959.5</v>
      </c>
      <c r="Q1491" s="84">
        <f t="shared" si="331"/>
        <v>333576.89999999997</v>
      </c>
      <c r="R1491" s="13">
        <f>R1492+R1512+R1604+R1629+R1694+R1680</f>
        <v>284959.90000000002</v>
      </c>
      <c r="S1491" s="84">
        <f t="shared" si="327"/>
        <v>618536.80000000005</v>
      </c>
      <c r="T1491" s="13">
        <f>T1492+T1512+T1604+T1629+T1694+T1680</f>
        <v>8649.5</v>
      </c>
      <c r="U1491" s="84">
        <f t="shared" si="325"/>
        <v>627186.30000000005</v>
      </c>
      <c r="W1491" s="67"/>
    </row>
    <row r="1492" spans="1:23">
      <c r="A1492" s="61" t="str">
        <f ca="1">IF(ISERROR(MATCH(C1492,Код_Раздел,0)),"",INDIRECT(ADDRESS(MATCH(C1492,Код_Раздел,0)+1,2,,,"Раздел")))</f>
        <v>Общегосударственные  вопросы</v>
      </c>
      <c r="B1492" s="126">
        <v>811</v>
      </c>
      <c r="C1492" s="8" t="s">
        <v>211</v>
      </c>
      <c r="D1492" s="8"/>
      <c r="E1492" s="126"/>
      <c r="F1492" s="126"/>
      <c r="G1492" s="69">
        <f>G1493</f>
        <v>25015.5</v>
      </c>
      <c r="H1492" s="69">
        <f>H1493</f>
        <v>0</v>
      </c>
      <c r="I1492" s="69">
        <f t="shared" si="330"/>
        <v>25015.5</v>
      </c>
      <c r="J1492" s="69">
        <f>J1493</f>
        <v>-7758.6</v>
      </c>
      <c r="K1492" s="84">
        <f t="shared" si="326"/>
        <v>17256.900000000001</v>
      </c>
      <c r="L1492" s="13">
        <f>L1493</f>
        <v>-778.2</v>
      </c>
      <c r="M1492" s="84">
        <f t="shared" si="320"/>
        <v>16478.7</v>
      </c>
      <c r="N1492" s="13">
        <f>N1493</f>
        <v>-365.3</v>
      </c>
      <c r="O1492" s="84">
        <f t="shared" si="321"/>
        <v>16113.400000000001</v>
      </c>
      <c r="P1492" s="13">
        <f>P1493</f>
        <v>0</v>
      </c>
      <c r="Q1492" s="84">
        <f t="shared" si="331"/>
        <v>16113.400000000001</v>
      </c>
      <c r="R1492" s="13">
        <f>R1493</f>
        <v>49.900000000000063</v>
      </c>
      <c r="S1492" s="84">
        <f t="shared" si="327"/>
        <v>16163.300000000001</v>
      </c>
      <c r="T1492" s="13">
        <f>T1493</f>
        <v>11317.199999999999</v>
      </c>
      <c r="U1492" s="84">
        <f t="shared" si="325"/>
        <v>27480.5</v>
      </c>
    </row>
    <row r="1493" spans="1:23">
      <c r="A1493" s="12" t="s">
        <v>235</v>
      </c>
      <c r="B1493" s="126">
        <v>811</v>
      </c>
      <c r="C1493" s="8" t="s">
        <v>211</v>
      </c>
      <c r="D1493" s="8" t="s">
        <v>188</v>
      </c>
      <c r="E1493" s="126"/>
      <c r="F1493" s="126"/>
      <c r="G1493" s="69">
        <f>G1494+G1503</f>
        <v>25015.5</v>
      </c>
      <c r="H1493" s="69">
        <f>H1494+H1503</f>
        <v>0</v>
      </c>
      <c r="I1493" s="69">
        <f t="shared" si="330"/>
        <v>25015.5</v>
      </c>
      <c r="J1493" s="69">
        <f>J1494+J1503</f>
        <v>-7758.6</v>
      </c>
      <c r="K1493" s="84">
        <f t="shared" si="326"/>
        <v>17256.900000000001</v>
      </c>
      <c r="L1493" s="13">
        <f>L1494+L1503</f>
        <v>-778.2</v>
      </c>
      <c r="M1493" s="84">
        <f t="shared" si="320"/>
        <v>16478.7</v>
      </c>
      <c r="N1493" s="13">
        <f>N1494+N1503</f>
        <v>-365.3</v>
      </c>
      <c r="O1493" s="84">
        <f t="shared" si="321"/>
        <v>16113.400000000001</v>
      </c>
      <c r="P1493" s="13">
        <f>P1494+P1503</f>
        <v>0</v>
      </c>
      <c r="Q1493" s="84">
        <f t="shared" si="331"/>
        <v>16113.400000000001</v>
      </c>
      <c r="R1493" s="13">
        <f>R1494+R1503</f>
        <v>49.900000000000063</v>
      </c>
      <c r="S1493" s="84">
        <f t="shared" si="327"/>
        <v>16163.300000000001</v>
      </c>
      <c r="T1493" s="13">
        <f>T1494+T1503</f>
        <v>11317.199999999999</v>
      </c>
      <c r="U1493" s="84">
        <f t="shared" si="325"/>
        <v>27480.5</v>
      </c>
    </row>
    <row r="1494" spans="1:23" ht="33">
      <c r="A1494" s="61" t="str">
        <f ca="1">IF(ISERROR(MATCH(E1494,Код_КЦСР,0)),"",INDIRECT(ADDRESS(MATCH(E1494,Код_КЦСР,0)+1,2,,,"КЦСР")))</f>
        <v>Муниципальная программа «Развитие земельно-имущественного комплекса  города Череповца» на 2014-2018 годы</v>
      </c>
      <c r="B1494" s="126">
        <v>811</v>
      </c>
      <c r="C1494" s="8" t="s">
        <v>211</v>
      </c>
      <c r="D1494" s="8" t="s">
        <v>188</v>
      </c>
      <c r="E1494" s="126" t="s">
        <v>60</v>
      </c>
      <c r="F1494" s="126"/>
      <c r="G1494" s="69">
        <f>G1495+G1499</f>
        <v>14904.6</v>
      </c>
      <c r="H1494" s="69">
        <f>H1495+H1499</f>
        <v>0</v>
      </c>
      <c r="I1494" s="69">
        <f t="shared" si="330"/>
        <v>14904.6</v>
      </c>
      <c r="J1494" s="69">
        <f>J1495+J1499</f>
        <v>-7758.6</v>
      </c>
      <c r="K1494" s="84">
        <f t="shared" si="326"/>
        <v>7146</v>
      </c>
      <c r="L1494" s="13">
        <f>L1495+L1499</f>
        <v>-778.2</v>
      </c>
      <c r="M1494" s="84">
        <f t="shared" si="320"/>
        <v>6367.8</v>
      </c>
      <c r="N1494" s="13">
        <f>N1495+N1499</f>
        <v>-365.3</v>
      </c>
      <c r="O1494" s="84">
        <f t="shared" si="321"/>
        <v>6002.5</v>
      </c>
      <c r="P1494" s="13">
        <f>P1495+P1499</f>
        <v>0</v>
      </c>
      <c r="Q1494" s="84">
        <f t="shared" si="331"/>
        <v>6002.5</v>
      </c>
      <c r="R1494" s="13">
        <f>R1495+R1499</f>
        <v>49.900000000000063</v>
      </c>
      <c r="S1494" s="84">
        <f t="shared" si="327"/>
        <v>6052.4</v>
      </c>
      <c r="T1494" s="13">
        <f>T1495+T1499</f>
        <v>0</v>
      </c>
      <c r="U1494" s="84">
        <f t="shared" si="325"/>
        <v>6052.4</v>
      </c>
    </row>
    <row r="1495" spans="1:23" ht="33">
      <c r="A1495" s="61" t="str">
        <f ca="1">IF(ISERROR(MATCH(E1495,Код_КЦСР,0)),"",INDIRECT(ADDRESS(MATCH(E1495,Код_КЦСР,0)+1,2,,,"КЦСР")))</f>
        <v>Формирование и обеспечение сохранности муниципального земельно-имущественного комплекса</v>
      </c>
      <c r="B1495" s="126">
        <v>811</v>
      </c>
      <c r="C1495" s="8" t="s">
        <v>211</v>
      </c>
      <c r="D1495" s="8" t="s">
        <v>188</v>
      </c>
      <c r="E1495" s="126" t="s">
        <v>62</v>
      </c>
      <c r="F1495" s="126"/>
      <c r="G1495" s="69">
        <f t="shared" ref="G1495:T1497" si="332">G1496</f>
        <v>10109.5</v>
      </c>
      <c r="H1495" s="69">
        <f t="shared" si="332"/>
        <v>0</v>
      </c>
      <c r="I1495" s="69">
        <f t="shared" si="330"/>
        <v>10109.5</v>
      </c>
      <c r="J1495" s="69">
        <f t="shared" si="332"/>
        <v>-7758.6</v>
      </c>
      <c r="K1495" s="84">
        <f t="shared" si="326"/>
        <v>2350.8999999999996</v>
      </c>
      <c r="L1495" s="13">
        <f t="shared" si="332"/>
        <v>0</v>
      </c>
      <c r="M1495" s="84">
        <f t="shared" si="320"/>
        <v>2350.8999999999996</v>
      </c>
      <c r="N1495" s="13">
        <f t="shared" si="332"/>
        <v>-365.3</v>
      </c>
      <c r="O1495" s="84">
        <f t="shared" si="321"/>
        <v>1985.5999999999997</v>
      </c>
      <c r="P1495" s="13">
        <f t="shared" si="332"/>
        <v>0</v>
      </c>
      <c r="Q1495" s="84">
        <f t="shared" si="331"/>
        <v>1985.5999999999997</v>
      </c>
      <c r="R1495" s="13">
        <f t="shared" si="332"/>
        <v>0</v>
      </c>
      <c r="S1495" s="84">
        <f t="shared" si="327"/>
        <v>1985.5999999999997</v>
      </c>
      <c r="T1495" s="13">
        <f t="shared" si="332"/>
        <v>0</v>
      </c>
      <c r="U1495" s="84">
        <f t="shared" si="325"/>
        <v>1985.5999999999997</v>
      </c>
    </row>
    <row r="1496" spans="1:23">
      <c r="A1496" s="61" t="str">
        <f ca="1">IF(ISERROR(MATCH(F1496,Код_КВР,0)),"",INDIRECT(ADDRESS(MATCH(F1496,Код_КВР,0)+1,2,,,"КВР")))</f>
        <v>Закупка товаров, работ и услуг для муниципальных нужд</v>
      </c>
      <c r="B1496" s="126">
        <v>811</v>
      </c>
      <c r="C1496" s="8" t="s">
        <v>211</v>
      </c>
      <c r="D1496" s="8" t="s">
        <v>188</v>
      </c>
      <c r="E1496" s="126" t="s">
        <v>62</v>
      </c>
      <c r="F1496" s="126">
        <v>200</v>
      </c>
      <c r="G1496" s="69">
        <f t="shared" si="332"/>
        <v>10109.5</v>
      </c>
      <c r="H1496" s="69">
        <f t="shared" si="332"/>
        <v>0</v>
      </c>
      <c r="I1496" s="69">
        <f t="shared" si="330"/>
        <v>10109.5</v>
      </c>
      <c r="J1496" s="69">
        <f t="shared" si="332"/>
        <v>-7758.6</v>
      </c>
      <c r="K1496" s="84">
        <f t="shared" si="326"/>
        <v>2350.8999999999996</v>
      </c>
      <c r="L1496" s="13">
        <f t="shared" si="332"/>
        <v>0</v>
      </c>
      <c r="M1496" s="84">
        <f t="shared" si="320"/>
        <v>2350.8999999999996</v>
      </c>
      <c r="N1496" s="13">
        <f t="shared" si="332"/>
        <v>-365.3</v>
      </c>
      <c r="O1496" s="84">
        <f t="shared" si="321"/>
        <v>1985.5999999999997</v>
      </c>
      <c r="P1496" s="13">
        <f t="shared" si="332"/>
        <v>0</v>
      </c>
      <c r="Q1496" s="84">
        <f t="shared" si="331"/>
        <v>1985.5999999999997</v>
      </c>
      <c r="R1496" s="13">
        <f t="shared" si="332"/>
        <v>0</v>
      </c>
      <c r="S1496" s="84">
        <f t="shared" si="327"/>
        <v>1985.5999999999997</v>
      </c>
      <c r="T1496" s="13">
        <f t="shared" si="332"/>
        <v>0</v>
      </c>
      <c r="U1496" s="84">
        <f t="shared" si="325"/>
        <v>1985.5999999999997</v>
      </c>
    </row>
    <row r="1497" spans="1:23" ht="33">
      <c r="A1497" s="61" t="str">
        <f ca="1">IF(ISERROR(MATCH(F1497,Код_КВР,0)),"",INDIRECT(ADDRESS(MATCH(F1497,Код_КВР,0)+1,2,,,"КВР")))</f>
        <v>Иные закупки товаров, работ и услуг для обеспечения муниципальных нужд</v>
      </c>
      <c r="B1497" s="126">
        <v>811</v>
      </c>
      <c r="C1497" s="8" t="s">
        <v>211</v>
      </c>
      <c r="D1497" s="8" t="s">
        <v>188</v>
      </c>
      <c r="E1497" s="126" t="s">
        <v>62</v>
      </c>
      <c r="F1497" s="126">
        <v>240</v>
      </c>
      <c r="G1497" s="69">
        <f t="shared" si="332"/>
        <v>10109.5</v>
      </c>
      <c r="H1497" s="69">
        <f t="shared" si="332"/>
        <v>0</v>
      </c>
      <c r="I1497" s="69">
        <f t="shared" si="330"/>
        <v>10109.5</v>
      </c>
      <c r="J1497" s="69">
        <f t="shared" si="332"/>
        <v>-7758.6</v>
      </c>
      <c r="K1497" s="84">
        <f t="shared" si="326"/>
        <v>2350.8999999999996</v>
      </c>
      <c r="L1497" s="13">
        <f t="shared" si="332"/>
        <v>0</v>
      </c>
      <c r="M1497" s="84">
        <f t="shared" si="320"/>
        <v>2350.8999999999996</v>
      </c>
      <c r="N1497" s="13">
        <f t="shared" si="332"/>
        <v>-365.3</v>
      </c>
      <c r="O1497" s="84">
        <f t="shared" si="321"/>
        <v>1985.5999999999997</v>
      </c>
      <c r="P1497" s="13">
        <f t="shared" si="332"/>
        <v>0</v>
      </c>
      <c r="Q1497" s="84">
        <f t="shared" si="331"/>
        <v>1985.5999999999997</v>
      </c>
      <c r="R1497" s="13">
        <f t="shared" si="332"/>
        <v>0</v>
      </c>
      <c r="S1497" s="84">
        <f t="shared" si="327"/>
        <v>1985.5999999999997</v>
      </c>
      <c r="T1497" s="13">
        <f t="shared" si="332"/>
        <v>0</v>
      </c>
      <c r="U1497" s="84">
        <f t="shared" si="325"/>
        <v>1985.5999999999997</v>
      </c>
    </row>
    <row r="1498" spans="1:23" ht="33">
      <c r="A1498" s="61" t="str">
        <f ca="1">IF(ISERROR(MATCH(F1498,Код_КВР,0)),"",INDIRECT(ADDRESS(MATCH(F1498,Код_КВР,0)+1,2,,,"КВР")))</f>
        <v xml:space="preserve">Прочая закупка товаров, работ и услуг для обеспечения муниципальных нужд         </v>
      </c>
      <c r="B1498" s="126">
        <v>811</v>
      </c>
      <c r="C1498" s="8" t="s">
        <v>211</v>
      </c>
      <c r="D1498" s="8" t="s">
        <v>188</v>
      </c>
      <c r="E1498" s="126" t="s">
        <v>62</v>
      </c>
      <c r="F1498" s="126">
        <v>244</v>
      </c>
      <c r="G1498" s="69">
        <v>10109.5</v>
      </c>
      <c r="H1498" s="69"/>
      <c r="I1498" s="69">
        <f t="shared" si="330"/>
        <v>10109.5</v>
      </c>
      <c r="J1498" s="69">
        <v>-7758.6</v>
      </c>
      <c r="K1498" s="84">
        <f t="shared" si="326"/>
        <v>2350.8999999999996</v>
      </c>
      <c r="L1498" s="13"/>
      <c r="M1498" s="84">
        <f t="shared" si="320"/>
        <v>2350.8999999999996</v>
      </c>
      <c r="N1498" s="13">
        <v>-365.3</v>
      </c>
      <c r="O1498" s="84">
        <f t="shared" si="321"/>
        <v>1985.5999999999997</v>
      </c>
      <c r="P1498" s="13"/>
      <c r="Q1498" s="84">
        <f t="shared" si="331"/>
        <v>1985.5999999999997</v>
      </c>
      <c r="R1498" s="13"/>
      <c r="S1498" s="84">
        <f t="shared" si="327"/>
        <v>1985.5999999999997</v>
      </c>
      <c r="T1498" s="13"/>
      <c r="U1498" s="84">
        <f t="shared" si="325"/>
        <v>1985.5999999999997</v>
      </c>
    </row>
    <row r="1499" spans="1:23" ht="33">
      <c r="A1499" s="61" t="str">
        <f ca="1">IF(ISERROR(MATCH(E1499,Код_КЦСР,0)),"",INDIRECT(ADDRESS(MATCH(E1499,Код_КЦСР,0)+1,2,,,"КЦСР")))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499" s="126">
        <v>811</v>
      </c>
      <c r="C1499" s="8" t="s">
        <v>211</v>
      </c>
      <c r="D1499" s="8" t="s">
        <v>188</v>
      </c>
      <c r="E1499" s="126" t="s">
        <v>64</v>
      </c>
      <c r="F1499" s="126"/>
      <c r="G1499" s="69">
        <f t="shared" ref="G1499:T1501" si="333">G1500</f>
        <v>4795.1000000000004</v>
      </c>
      <c r="H1499" s="69">
        <f t="shared" si="333"/>
        <v>0</v>
      </c>
      <c r="I1499" s="69">
        <f t="shared" si="330"/>
        <v>4795.1000000000004</v>
      </c>
      <c r="J1499" s="69">
        <f t="shared" si="333"/>
        <v>0</v>
      </c>
      <c r="K1499" s="84">
        <f t="shared" si="326"/>
        <v>4795.1000000000004</v>
      </c>
      <c r="L1499" s="13">
        <f t="shared" si="333"/>
        <v>-778.2</v>
      </c>
      <c r="M1499" s="84">
        <f t="shared" si="320"/>
        <v>4016.9000000000005</v>
      </c>
      <c r="N1499" s="13">
        <f t="shared" si="333"/>
        <v>0</v>
      </c>
      <c r="O1499" s="84">
        <f t="shared" si="321"/>
        <v>4016.9000000000005</v>
      </c>
      <c r="P1499" s="13">
        <f t="shared" si="333"/>
        <v>0</v>
      </c>
      <c r="Q1499" s="84">
        <f t="shared" si="331"/>
        <v>4016.9000000000005</v>
      </c>
      <c r="R1499" s="13">
        <f t="shared" si="333"/>
        <v>49.900000000000063</v>
      </c>
      <c r="S1499" s="84">
        <f t="shared" si="327"/>
        <v>4066.8000000000006</v>
      </c>
      <c r="T1499" s="13">
        <f t="shared" si="333"/>
        <v>0</v>
      </c>
      <c r="U1499" s="84">
        <f t="shared" si="325"/>
        <v>4066.8000000000006</v>
      </c>
    </row>
    <row r="1500" spans="1:23">
      <c r="A1500" s="61" t="str">
        <f ca="1">IF(ISERROR(MATCH(F1500,Код_КВР,0)),"",INDIRECT(ADDRESS(MATCH(F1500,Код_КВР,0)+1,2,,,"КВР")))</f>
        <v>Закупка товаров, работ и услуг для муниципальных нужд</v>
      </c>
      <c r="B1500" s="126">
        <v>811</v>
      </c>
      <c r="C1500" s="8" t="s">
        <v>211</v>
      </c>
      <c r="D1500" s="8" t="s">
        <v>188</v>
      </c>
      <c r="E1500" s="126" t="s">
        <v>64</v>
      </c>
      <c r="F1500" s="126">
        <v>200</v>
      </c>
      <c r="G1500" s="69">
        <f t="shared" si="333"/>
        <v>4795.1000000000004</v>
      </c>
      <c r="H1500" s="69">
        <f t="shared" si="333"/>
        <v>0</v>
      </c>
      <c r="I1500" s="69">
        <f t="shared" si="330"/>
        <v>4795.1000000000004</v>
      </c>
      <c r="J1500" s="69">
        <f t="shared" si="333"/>
        <v>0</v>
      </c>
      <c r="K1500" s="84">
        <f t="shared" si="326"/>
        <v>4795.1000000000004</v>
      </c>
      <c r="L1500" s="13">
        <f t="shared" si="333"/>
        <v>-778.2</v>
      </c>
      <c r="M1500" s="84">
        <f t="shared" si="320"/>
        <v>4016.9000000000005</v>
      </c>
      <c r="N1500" s="13">
        <f t="shared" si="333"/>
        <v>0</v>
      </c>
      <c r="O1500" s="84">
        <f t="shared" si="321"/>
        <v>4016.9000000000005</v>
      </c>
      <c r="P1500" s="13">
        <f t="shared" si="333"/>
        <v>0</v>
      </c>
      <c r="Q1500" s="84">
        <f t="shared" si="331"/>
        <v>4016.9000000000005</v>
      </c>
      <c r="R1500" s="13">
        <f t="shared" si="333"/>
        <v>49.900000000000063</v>
      </c>
      <c r="S1500" s="84">
        <f t="shared" si="327"/>
        <v>4066.8000000000006</v>
      </c>
      <c r="T1500" s="13">
        <f t="shared" si="333"/>
        <v>0</v>
      </c>
      <c r="U1500" s="84">
        <f t="shared" si="325"/>
        <v>4066.8000000000006</v>
      </c>
    </row>
    <row r="1501" spans="1:23" ht="33">
      <c r="A1501" s="61" t="str">
        <f ca="1">IF(ISERROR(MATCH(F1501,Код_КВР,0)),"",INDIRECT(ADDRESS(MATCH(F1501,Код_КВР,0)+1,2,,,"КВР")))</f>
        <v>Иные закупки товаров, работ и услуг для обеспечения муниципальных нужд</v>
      </c>
      <c r="B1501" s="126">
        <v>811</v>
      </c>
      <c r="C1501" s="8" t="s">
        <v>211</v>
      </c>
      <c r="D1501" s="8" t="s">
        <v>188</v>
      </c>
      <c r="E1501" s="126" t="s">
        <v>64</v>
      </c>
      <c r="F1501" s="126">
        <v>240</v>
      </c>
      <c r="G1501" s="69">
        <f t="shared" si="333"/>
        <v>4795.1000000000004</v>
      </c>
      <c r="H1501" s="69">
        <f t="shared" si="333"/>
        <v>0</v>
      </c>
      <c r="I1501" s="69">
        <f t="shared" si="330"/>
        <v>4795.1000000000004</v>
      </c>
      <c r="J1501" s="69">
        <f t="shared" si="333"/>
        <v>0</v>
      </c>
      <c r="K1501" s="84">
        <f t="shared" si="326"/>
        <v>4795.1000000000004</v>
      </c>
      <c r="L1501" s="13">
        <f t="shared" si="333"/>
        <v>-778.2</v>
      </c>
      <c r="M1501" s="84">
        <f t="shared" si="320"/>
        <v>4016.9000000000005</v>
      </c>
      <c r="N1501" s="13">
        <f t="shared" si="333"/>
        <v>0</v>
      </c>
      <c r="O1501" s="84">
        <f t="shared" si="321"/>
        <v>4016.9000000000005</v>
      </c>
      <c r="P1501" s="13">
        <f t="shared" si="333"/>
        <v>0</v>
      </c>
      <c r="Q1501" s="84">
        <f t="shared" si="331"/>
        <v>4016.9000000000005</v>
      </c>
      <c r="R1501" s="13">
        <f t="shared" si="333"/>
        <v>49.900000000000063</v>
      </c>
      <c r="S1501" s="84">
        <f t="shared" si="327"/>
        <v>4066.8000000000006</v>
      </c>
      <c r="T1501" s="13">
        <f t="shared" si="333"/>
        <v>0</v>
      </c>
      <c r="U1501" s="84">
        <f t="shared" si="325"/>
        <v>4066.8000000000006</v>
      </c>
    </row>
    <row r="1502" spans="1:23" ht="33">
      <c r="A1502" s="61" t="str">
        <f ca="1">IF(ISERROR(MATCH(F1502,Код_КВР,0)),"",INDIRECT(ADDRESS(MATCH(F1502,Код_КВР,0)+1,2,,,"КВР")))</f>
        <v xml:space="preserve">Прочая закупка товаров, работ и услуг для обеспечения муниципальных нужд         </v>
      </c>
      <c r="B1502" s="126">
        <v>811</v>
      </c>
      <c r="C1502" s="8" t="s">
        <v>211</v>
      </c>
      <c r="D1502" s="8" t="s">
        <v>188</v>
      </c>
      <c r="E1502" s="126" t="s">
        <v>64</v>
      </c>
      <c r="F1502" s="126">
        <v>244</v>
      </c>
      <c r="G1502" s="69">
        <v>4795.1000000000004</v>
      </c>
      <c r="H1502" s="69"/>
      <c r="I1502" s="69">
        <f t="shared" si="330"/>
        <v>4795.1000000000004</v>
      </c>
      <c r="J1502" s="69"/>
      <c r="K1502" s="84">
        <f t="shared" si="326"/>
        <v>4795.1000000000004</v>
      </c>
      <c r="L1502" s="13">
        <f>-208.8-100-469.4</f>
        <v>-778.2</v>
      </c>
      <c r="M1502" s="84">
        <f t="shared" si="320"/>
        <v>4016.9000000000005</v>
      </c>
      <c r="N1502" s="13"/>
      <c r="O1502" s="84">
        <f t="shared" si="321"/>
        <v>4016.9000000000005</v>
      </c>
      <c r="P1502" s="13"/>
      <c r="Q1502" s="84">
        <f t="shared" si="331"/>
        <v>4016.9000000000005</v>
      </c>
      <c r="R1502" s="13">
        <f>733.7-676.9-3.7-0.1-1.9-1.2</f>
        <v>49.900000000000063</v>
      </c>
      <c r="S1502" s="84">
        <f t="shared" si="327"/>
        <v>4066.8000000000006</v>
      </c>
      <c r="T1502" s="13"/>
      <c r="U1502" s="84">
        <f t="shared" si="325"/>
        <v>4066.8000000000006</v>
      </c>
    </row>
    <row r="1503" spans="1:23" ht="49.5">
      <c r="A1503" s="61" t="str">
        <f ca="1">IF(ISERROR(MATCH(E1503,Код_КЦСР,0)),"",INDIRECT(ADDRESS(MATCH(E1503,Код_КЦСР,0)+1,2,,,"КЦСР")))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03" s="126">
        <v>811</v>
      </c>
      <c r="C1503" s="8" t="s">
        <v>211</v>
      </c>
      <c r="D1503" s="8" t="s">
        <v>188</v>
      </c>
      <c r="E1503" s="126" t="s">
        <v>68</v>
      </c>
      <c r="F1503" s="126"/>
      <c r="G1503" s="69">
        <f t="shared" ref="G1503:T1510" si="334">G1504</f>
        <v>10110.9</v>
      </c>
      <c r="H1503" s="69">
        <f t="shared" si="334"/>
        <v>0</v>
      </c>
      <c r="I1503" s="69">
        <f t="shared" si="330"/>
        <v>10110.9</v>
      </c>
      <c r="J1503" s="69">
        <f t="shared" si="334"/>
        <v>0</v>
      </c>
      <c r="K1503" s="84">
        <f t="shared" si="326"/>
        <v>10110.9</v>
      </c>
      <c r="L1503" s="13">
        <f t="shared" si="334"/>
        <v>0</v>
      </c>
      <c r="M1503" s="84">
        <f t="shared" si="320"/>
        <v>10110.9</v>
      </c>
      <c r="N1503" s="13">
        <f t="shared" si="334"/>
        <v>0</v>
      </c>
      <c r="O1503" s="84">
        <f t="shared" si="321"/>
        <v>10110.9</v>
      </c>
      <c r="P1503" s="13">
        <f t="shared" si="334"/>
        <v>0</v>
      </c>
      <c r="Q1503" s="84">
        <f t="shared" si="331"/>
        <v>10110.9</v>
      </c>
      <c r="R1503" s="13">
        <f t="shared" si="334"/>
        <v>0</v>
      </c>
      <c r="S1503" s="84">
        <f>Q1503+R1503</f>
        <v>10110.9</v>
      </c>
      <c r="T1503" s="13">
        <f>T1504+T1508</f>
        <v>11317.199999999999</v>
      </c>
      <c r="U1503" s="84">
        <f t="shared" si="325"/>
        <v>21428.1</v>
      </c>
    </row>
    <row r="1504" spans="1:23">
      <c r="A1504" s="61" t="str">
        <f ca="1">IF(ISERROR(MATCH(E1504,Код_КЦСР,0)),"",INDIRECT(ADDRESS(MATCH(E1504,Код_КЦСР,0)+1,2,,,"КЦСР")))</f>
        <v>Капитальный ремонт  объектов муниципальной собственности</v>
      </c>
      <c r="B1504" s="126">
        <v>811</v>
      </c>
      <c r="C1504" s="8" t="s">
        <v>211</v>
      </c>
      <c r="D1504" s="8" t="s">
        <v>188</v>
      </c>
      <c r="E1504" s="126" t="s">
        <v>76</v>
      </c>
      <c r="F1504" s="126"/>
      <c r="G1504" s="69">
        <f t="shared" si="334"/>
        <v>10110.9</v>
      </c>
      <c r="H1504" s="69">
        <f t="shared" si="334"/>
        <v>0</v>
      </c>
      <c r="I1504" s="69">
        <f t="shared" si="330"/>
        <v>10110.9</v>
      </c>
      <c r="J1504" s="69">
        <f t="shared" si="334"/>
        <v>0</v>
      </c>
      <c r="K1504" s="84">
        <f t="shared" si="326"/>
        <v>10110.9</v>
      </c>
      <c r="L1504" s="13">
        <f t="shared" si="334"/>
        <v>0</v>
      </c>
      <c r="M1504" s="84">
        <f t="shared" si="320"/>
        <v>10110.9</v>
      </c>
      <c r="N1504" s="13">
        <f t="shared" si="334"/>
        <v>0</v>
      </c>
      <c r="O1504" s="84">
        <f t="shared" si="321"/>
        <v>10110.9</v>
      </c>
      <c r="P1504" s="13">
        <f t="shared" si="334"/>
        <v>0</v>
      </c>
      <c r="Q1504" s="84">
        <f t="shared" si="331"/>
        <v>10110.9</v>
      </c>
      <c r="R1504" s="13">
        <f t="shared" si="334"/>
        <v>0</v>
      </c>
      <c r="S1504" s="84">
        <f t="shared" si="327"/>
        <v>10110.9</v>
      </c>
      <c r="T1504" s="13">
        <f t="shared" si="334"/>
        <v>-2086.1</v>
      </c>
      <c r="U1504" s="84">
        <f t="shared" si="325"/>
        <v>8024.7999999999993</v>
      </c>
    </row>
    <row r="1505" spans="1:21">
      <c r="A1505" s="61" t="str">
        <f ca="1">IF(ISERROR(MATCH(F1505,Код_КВР,0)),"",INDIRECT(ADDRESS(MATCH(F1505,Код_КВР,0)+1,2,,,"КВР")))</f>
        <v>Закупка товаров, работ и услуг для муниципальных нужд</v>
      </c>
      <c r="B1505" s="126">
        <v>811</v>
      </c>
      <c r="C1505" s="8" t="s">
        <v>211</v>
      </c>
      <c r="D1505" s="8" t="s">
        <v>188</v>
      </c>
      <c r="E1505" s="126" t="s">
        <v>76</v>
      </c>
      <c r="F1505" s="126">
        <v>200</v>
      </c>
      <c r="G1505" s="69">
        <f t="shared" si="334"/>
        <v>10110.9</v>
      </c>
      <c r="H1505" s="69">
        <f t="shared" si="334"/>
        <v>0</v>
      </c>
      <c r="I1505" s="69">
        <f t="shared" si="330"/>
        <v>10110.9</v>
      </c>
      <c r="J1505" s="69">
        <f t="shared" si="334"/>
        <v>0</v>
      </c>
      <c r="K1505" s="84">
        <f t="shared" si="326"/>
        <v>10110.9</v>
      </c>
      <c r="L1505" s="13">
        <f t="shared" si="334"/>
        <v>0</v>
      </c>
      <c r="M1505" s="84">
        <f t="shared" si="320"/>
        <v>10110.9</v>
      </c>
      <c r="N1505" s="13">
        <f t="shared" si="334"/>
        <v>0</v>
      </c>
      <c r="O1505" s="84">
        <f t="shared" si="321"/>
        <v>10110.9</v>
      </c>
      <c r="P1505" s="13">
        <f t="shared" si="334"/>
        <v>0</v>
      </c>
      <c r="Q1505" s="84">
        <f t="shared" si="331"/>
        <v>10110.9</v>
      </c>
      <c r="R1505" s="13">
        <f t="shared" si="334"/>
        <v>0</v>
      </c>
      <c r="S1505" s="84">
        <f t="shared" si="327"/>
        <v>10110.9</v>
      </c>
      <c r="T1505" s="13">
        <f t="shared" si="334"/>
        <v>-2086.1</v>
      </c>
      <c r="U1505" s="84">
        <f t="shared" si="325"/>
        <v>8024.7999999999993</v>
      </c>
    </row>
    <row r="1506" spans="1:21" ht="33">
      <c r="A1506" s="61" t="str">
        <f ca="1">IF(ISERROR(MATCH(F1506,Код_КВР,0)),"",INDIRECT(ADDRESS(MATCH(F1506,Код_КВР,0)+1,2,,,"КВР")))</f>
        <v>Иные закупки товаров, работ и услуг для обеспечения муниципальных нужд</v>
      </c>
      <c r="B1506" s="126">
        <v>811</v>
      </c>
      <c r="C1506" s="8" t="s">
        <v>211</v>
      </c>
      <c r="D1506" s="8" t="s">
        <v>188</v>
      </c>
      <c r="E1506" s="126" t="s">
        <v>76</v>
      </c>
      <c r="F1506" s="126">
        <v>240</v>
      </c>
      <c r="G1506" s="69">
        <f t="shared" si="334"/>
        <v>10110.9</v>
      </c>
      <c r="H1506" s="69">
        <f t="shared" si="334"/>
        <v>0</v>
      </c>
      <c r="I1506" s="69">
        <f t="shared" si="330"/>
        <v>10110.9</v>
      </c>
      <c r="J1506" s="69">
        <f t="shared" si="334"/>
        <v>0</v>
      </c>
      <c r="K1506" s="84">
        <f t="shared" si="326"/>
        <v>10110.9</v>
      </c>
      <c r="L1506" s="13">
        <f t="shared" si="334"/>
        <v>0</v>
      </c>
      <c r="M1506" s="84">
        <f t="shared" si="320"/>
        <v>10110.9</v>
      </c>
      <c r="N1506" s="13">
        <f t="shared" si="334"/>
        <v>0</v>
      </c>
      <c r="O1506" s="84">
        <f t="shared" si="321"/>
        <v>10110.9</v>
      </c>
      <c r="P1506" s="13">
        <f t="shared" si="334"/>
        <v>0</v>
      </c>
      <c r="Q1506" s="84">
        <f t="shared" si="331"/>
        <v>10110.9</v>
      </c>
      <c r="R1506" s="13">
        <f t="shared" si="334"/>
        <v>0</v>
      </c>
      <c r="S1506" s="84">
        <f t="shared" si="327"/>
        <v>10110.9</v>
      </c>
      <c r="T1506" s="13">
        <f t="shared" si="334"/>
        <v>-2086.1</v>
      </c>
      <c r="U1506" s="84">
        <f t="shared" si="325"/>
        <v>8024.7999999999993</v>
      </c>
    </row>
    <row r="1507" spans="1:21" ht="33">
      <c r="A1507" s="61" t="str">
        <f ca="1">IF(ISERROR(MATCH(F1507,Код_КВР,0)),"",INDIRECT(ADDRESS(MATCH(F1507,Код_КВР,0)+1,2,,,"КВР")))</f>
        <v>Закупка товаров, работ, услуг в целях капитального ремонта муниципального имущества</v>
      </c>
      <c r="B1507" s="126">
        <v>811</v>
      </c>
      <c r="C1507" s="8" t="s">
        <v>211</v>
      </c>
      <c r="D1507" s="8" t="s">
        <v>188</v>
      </c>
      <c r="E1507" s="126" t="s">
        <v>76</v>
      </c>
      <c r="F1507" s="126">
        <v>243</v>
      </c>
      <c r="G1507" s="69">
        <v>10110.9</v>
      </c>
      <c r="H1507" s="69"/>
      <c r="I1507" s="69">
        <f t="shared" si="330"/>
        <v>10110.9</v>
      </c>
      <c r="J1507" s="69"/>
      <c r="K1507" s="84">
        <f t="shared" si="326"/>
        <v>10110.9</v>
      </c>
      <c r="L1507" s="13"/>
      <c r="M1507" s="84">
        <f t="shared" si="320"/>
        <v>10110.9</v>
      </c>
      <c r="N1507" s="13"/>
      <c r="O1507" s="84">
        <f t="shared" si="321"/>
        <v>10110.9</v>
      </c>
      <c r="P1507" s="13"/>
      <c r="Q1507" s="84">
        <f t="shared" si="331"/>
        <v>10110.9</v>
      </c>
      <c r="R1507" s="13"/>
      <c r="S1507" s="84">
        <f t="shared" si="327"/>
        <v>10110.9</v>
      </c>
      <c r="T1507" s="13">
        <f>-2086.1</f>
        <v>-2086.1</v>
      </c>
      <c r="U1507" s="84">
        <f t="shared" si="325"/>
        <v>8024.7999999999993</v>
      </c>
    </row>
    <row r="1508" spans="1:21" ht="49.5">
      <c r="A1508" s="61" t="str">
        <f ca="1">IF(ISERROR(MATCH(E1508,Код_КЦСР,0)),"",INDIRECT(ADDRESS(MATCH(E1508,Код_КЦСР,0)+1,2,,,"КЦСР")))</f>
        <v>Создание и развитие сети многофункциональных центров предоставления государственных и муниципальных услуг за счет иных межбюджетных трасфертов из федерального бюджета</v>
      </c>
      <c r="B1508" s="126">
        <v>811</v>
      </c>
      <c r="C1508" s="8" t="s">
        <v>211</v>
      </c>
      <c r="D1508" s="8" t="s">
        <v>188</v>
      </c>
      <c r="E1508" s="126" t="s">
        <v>683</v>
      </c>
      <c r="F1508" s="126"/>
      <c r="G1508" s="69"/>
      <c r="H1508" s="69"/>
      <c r="I1508" s="69"/>
      <c r="J1508" s="69"/>
      <c r="K1508" s="84"/>
      <c r="L1508" s="13"/>
      <c r="M1508" s="84"/>
      <c r="N1508" s="13"/>
      <c r="O1508" s="84"/>
      <c r="P1508" s="13"/>
      <c r="Q1508" s="84"/>
      <c r="R1508" s="13"/>
      <c r="S1508" s="84">
        <f>Q1508+R1508</f>
        <v>0</v>
      </c>
      <c r="T1508" s="13">
        <f t="shared" si="334"/>
        <v>13403.3</v>
      </c>
      <c r="U1508" s="84">
        <f t="shared" si="325"/>
        <v>13403.3</v>
      </c>
    </row>
    <row r="1509" spans="1:21">
      <c r="A1509" s="61" t="str">
        <f ca="1">IF(ISERROR(MATCH(F1509,Код_КВР,0)),"",INDIRECT(ADDRESS(MATCH(F1509,Код_КВР,0)+1,2,,,"КВР")))</f>
        <v>Закупка товаров, работ и услуг для муниципальных нужд</v>
      </c>
      <c r="B1509" s="126">
        <v>811</v>
      </c>
      <c r="C1509" s="8" t="s">
        <v>211</v>
      </c>
      <c r="D1509" s="8" t="s">
        <v>188</v>
      </c>
      <c r="E1509" s="126" t="s">
        <v>683</v>
      </c>
      <c r="F1509" s="126">
        <v>200</v>
      </c>
      <c r="G1509" s="69"/>
      <c r="H1509" s="69"/>
      <c r="I1509" s="69"/>
      <c r="J1509" s="69"/>
      <c r="K1509" s="84"/>
      <c r="L1509" s="13"/>
      <c r="M1509" s="84"/>
      <c r="N1509" s="13"/>
      <c r="O1509" s="84"/>
      <c r="P1509" s="13"/>
      <c r="Q1509" s="84"/>
      <c r="R1509" s="13"/>
      <c r="S1509" s="84">
        <f t="shared" si="327"/>
        <v>0</v>
      </c>
      <c r="T1509" s="13">
        <f t="shared" si="334"/>
        <v>13403.3</v>
      </c>
      <c r="U1509" s="84">
        <f t="shared" si="325"/>
        <v>13403.3</v>
      </c>
    </row>
    <row r="1510" spans="1:21" ht="33">
      <c r="A1510" s="61" t="str">
        <f ca="1">IF(ISERROR(MATCH(F1510,Код_КВР,0)),"",INDIRECT(ADDRESS(MATCH(F1510,Код_КВР,0)+1,2,,,"КВР")))</f>
        <v>Иные закупки товаров, работ и услуг для обеспечения муниципальных нужд</v>
      </c>
      <c r="B1510" s="126">
        <v>811</v>
      </c>
      <c r="C1510" s="8" t="s">
        <v>211</v>
      </c>
      <c r="D1510" s="8" t="s">
        <v>188</v>
      </c>
      <c r="E1510" s="126" t="s">
        <v>683</v>
      </c>
      <c r="F1510" s="126">
        <v>240</v>
      </c>
      <c r="G1510" s="69"/>
      <c r="H1510" s="69"/>
      <c r="I1510" s="69"/>
      <c r="J1510" s="69"/>
      <c r="K1510" s="84"/>
      <c r="L1510" s="13"/>
      <c r="M1510" s="84"/>
      <c r="N1510" s="13"/>
      <c r="O1510" s="84"/>
      <c r="P1510" s="13"/>
      <c r="Q1510" s="84"/>
      <c r="R1510" s="13"/>
      <c r="S1510" s="84">
        <f t="shared" si="327"/>
        <v>0</v>
      </c>
      <c r="T1510" s="13">
        <f t="shared" si="334"/>
        <v>13403.3</v>
      </c>
      <c r="U1510" s="84">
        <f t="shared" si="325"/>
        <v>13403.3</v>
      </c>
    </row>
    <row r="1511" spans="1:21" ht="33">
      <c r="A1511" s="61" t="str">
        <f ca="1">IF(ISERROR(MATCH(F1511,Код_КВР,0)),"",INDIRECT(ADDRESS(MATCH(F1511,Код_КВР,0)+1,2,,,"КВР")))</f>
        <v>Закупка товаров, работ, услуг в целях капитального ремонта муниципального имущества</v>
      </c>
      <c r="B1511" s="126">
        <v>811</v>
      </c>
      <c r="C1511" s="8" t="s">
        <v>211</v>
      </c>
      <c r="D1511" s="8" t="s">
        <v>188</v>
      </c>
      <c r="E1511" s="126" t="s">
        <v>683</v>
      </c>
      <c r="F1511" s="126">
        <v>243</v>
      </c>
      <c r="G1511" s="69"/>
      <c r="H1511" s="69"/>
      <c r="I1511" s="69"/>
      <c r="J1511" s="69"/>
      <c r="K1511" s="84"/>
      <c r="L1511" s="13"/>
      <c r="M1511" s="84"/>
      <c r="N1511" s="13"/>
      <c r="O1511" s="84"/>
      <c r="P1511" s="13"/>
      <c r="Q1511" s="84"/>
      <c r="R1511" s="13"/>
      <c r="S1511" s="84">
        <f t="shared" si="327"/>
        <v>0</v>
      </c>
      <c r="T1511" s="13">
        <v>13403.3</v>
      </c>
      <c r="U1511" s="84">
        <f t="shared" si="325"/>
        <v>13403.3</v>
      </c>
    </row>
    <row r="1512" spans="1:21">
      <c r="A1512" s="61" t="str">
        <f ca="1">IF(ISERROR(MATCH(C1512,Код_Раздел,0)),"",INDIRECT(ADDRESS(MATCH(C1512,Код_Раздел,0)+1,2,,,"Раздел")))</f>
        <v>Национальная экономика</v>
      </c>
      <c r="B1512" s="126">
        <v>811</v>
      </c>
      <c r="C1512" s="8" t="s">
        <v>214</v>
      </c>
      <c r="D1512" s="8"/>
      <c r="E1512" s="126"/>
      <c r="F1512" s="126"/>
      <c r="G1512" s="69">
        <f>G1513+G1524+G1554</f>
        <v>172390.99999999997</v>
      </c>
      <c r="H1512" s="69">
        <f>H1513+H1524+H1554</f>
        <v>-15804.3</v>
      </c>
      <c r="I1512" s="69">
        <f t="shared" si="330"/>
        <v>156586.69999999998</v>
      </c>
      <c r="J1512" s="69">
        <f>J1513+J1524+J1554</f>
        <v>0</v>
      </c>
      <c r="K1512" s="84">
        <f t="shared" si="326"/>
        <v>156586.69999999998</v>
      </c>
      <c r="L1512" s="13">
        <f>L1513+L1524+L1554+L1547</f>
        <v>3322.3</v>
      </c>
      <c r="M1512" s="84">
        <f t="shared" si="320"/>
        <v>159908.99999999997</v>
      </c>
      <c r="N1512" s="13">
        <f>N1513+N1524+N1554+N1547</f>
        <v>-2635.8999999999996</v>
      </c>
      <c r="O1512" s="84">
        <f t="shared" si="321"/>
        <v>157273.09999999998</v>
      </c>
      <c r="P1512" s="13">
        <f>P1513+P1524+P1554+P1547</f>
        <v>0</v>
      </c>
      <c r="Q1512" s="84">
        <f t="shared" si="331"/>
        <v>157273.09999999998</v>
      </c>
      <c r="R1512" s="13">
        <f>R1513+R1524+R1554+R1547</f>
        <v>7540.6</v>
      </c>
      <c r="S1512" s="84">
        <f t="shared" si="327"/>
        <v>164813.69999999998</v>
      </c>
      <c r="T1512" s="13">
        <f>T1513+T1524+T1554+T1547</f>
        <v>2312.900000000001</v>
      </c>
      <c r="U1512" s="84">
        <f t="shared" si="325"/>
        <v>167126.59999999998</v>
      </c>
    </row>
    <row r="1513" spans="1:21">
      <c r="A1513" s="76" t="s">
        <v>357</v>
      </c>
      <c r="B1513" s="126">
        <v>811</v>
      </c>
      <c r="C1513" s="8" t="s">
        <v>214</v>
      </c>
      <c r="D1513" s="8" t="s">
        <v>220</v>
      </c>
      <c r="E1513" s="126"/>
      <c r="F1513" s="126"/>
      <c r="G1513" s="69">
        <f>G1514+G1519</f>
        <v>82953.899999999994</v>
      </c>
      <c r="H1513" s="69">
        <f>H1514+H1519</f>
        <v>-15804.3</v>
      </c>
      <c r="I1513" s="69">
        <f t="shared" si="330"/>
        <v>67149.599999999991</v>
      </c>
      <c r="J1513" s="69">
        <f>J1514+J1519</f>
        <v>0</v>
      </c>
      <c r="K1513" s="84">
        <f t="shared" si="326"/>
        <v>67149.599999999991</v>
      </c>
      <c r="L1513" s="13">
        <f>L1514+L1519</f>
        <v>0</v>
      </c>
      <c r="M1513" s="84">
        <f t="shared" si="320"/>
        <v>67149.599999999991</v>
      </c>
      <c r="N1513" s="13">
        <f>N1514+N1519</f>
        <v>-2565.6999999999998</v>
      </c>
      <c r="O1513" s="84">
        <f t="shared" si="321"/>
        <v>64583.899999999994</v>
      </c>
      <c r="P1513" s="13">
        <f>P1514+P1519</f>
        <v>0</v>
      </c>
      <c r="Q1513" s="84">
        <f t="shared" si="331"/>
        <v>64583.899999999994</v>
      </c>
      <c r="R1513" s="13">
        <f>R1514+R1519</f>
        <v>-49.9</v>
      </c>
      <c r="S1513" s="84">
        <f t="shared" si="327"/>
        <v>64533.999999999993</v>
      </c>
      <c r="T1513" s="13">
        <f>T1514+T1519</f>
        <v>0</v>
      </c>
      <c r="U1513" s="84">
        <f t="shared" si="325"/>
        <v>64533.999999999993</v>
      </c>
    </row>
    <row r="1514" spans="1:21" ht="33">
      <c r="A1514" s="61" t="str">
        <f ca="1">IF(ISERROR(MATCH(E1514,Код_КЦСР,0)),"",INDIRECT(ADDRESS(MATCH(E1514,Код_КЦСР,0)+1,2,,,"КЦСР")))</f>
        <v>Муниципальная программа «Развитие городского общественного транспорта» на 2014-2017 годы</v>
      </c>
      <c r="B1514" s="126">
        <v>811</v>
      </c>
      <c r="C1514" s="8" t="s">
        <v>214</v>
      </c>
      <c r="D1514" s="8" t="s">
        <v>220</v>
      </c>
      <c r="E1514" s="126" t="s">
        <v>38</v>
      </c>
      <c r="F1514" s="126"/>
      <c r="G1514" s="69">
        <f t="shared" ref="G1514:T1517" si="335">G1515</f>
        <v>18724.900000000001</v>
      </c>
      <c r="H1514" s="69">
        <f t="shared" si="335"/>
        <v>0</v>
      </c>
      <c r="I1514" s="69">
        <f t="shared" si="330"/>
        <v>18724.900000000001</v>
      </c>
      <c r="J1514" s="69">
        <f t="shared" si="335"/>
        <v>0</v>
      </c>
      <c r="K1514" s="84">
        <f t="shared" si="326"/>
        <v>18724.900000000001</v>
      </c>
      <c r="L1514" s="13">
        <f t="shared" si="335"/>
        <v>0</v>
      </c>
      <c r="M1514" s="84">
        <f t="shared" si="320"/>
        <v>18724.900000000001</v>
      </c>
      <c r="N1514" s="13">
        <f t="shared" si="335"/>
        <v>0</v>
      </c>
      <c r="O1514" s="84">
        <f t="shared" si="321"/>
        <v>18724.900000000001</v>
      </c>
      <c r="P1514" s="13">
        <f t="shared" si="335"/>
        <v>0</v>
      </c>
      <c r="Q1514" s="84">
        <f t="shared" si="331"/>
        <v>18724.900000000001</v>
      </c>
      <c r="R1514" s="13">
        <f t="shared" si="335"/>
        <v>0</v>
      </c>
      <c r="S1514" s="84">
        <f t="shared" si="327"/>
        <v>18724.900000000001</v>
      </c>
      <c r="T1514" s="13">
        <f t="shared" si="335"/>
        <v>0</v>
      </c>
      <c r="U1514" s="84">
        <f t="shared" si="325"/>
        <v>18724.900000000001</v>
      </c>
    </row>
    <row r="1515" spans="1:21">
      <c r="A1515" s="61" t="str">
        <f ca="1">IF(ISERROR(MATCH(E1515,Код_КЦСР,0)),"",INDIRECT(ADDRESS(MATCH(E1515,Код_КЦСР,0)+1,2,,,"КЦСР")))</f>
        <v>Приобретение автобусов в муниципальную собственность</v>
      </c>
      <c r="B1515" s="126">
        <v>811</v>
      </c>
      <c r="C1515" s="8" t="s">
        <v>214</v>
      </c>
      <c r="D1515" s="8" t="s">
        <v>220</v>
      </c>
      <c r="E1515" s="126" t="s">
        <v>39</v>
      </c>
      <c r="F1515" s="126"/>
      <c r="G1515" s="69">
        <f t="shared" si="335"/>
        <v>18724.900000000001</v>
      </c>
      <c r="H1515" s="69">
        <f t="shared" si="335"/>
        <v>0</v>
      </c>
      <c r="I1515" s="69">
        <f t="shared" si="330"/>
        <v>18724.900000000001</v>
      </c>
      <c r="J1515" s="69">
        <f t="shared" si="335"/>
        <v>0</v>
      </c>
      <c r="K1515" s="84">
        <f t="shared" si="326"/>
        <v>18724.900000000001</v>
      </c>
      <c r="L1515" s="13">
        <f t="shared" si="335"/>
        <v>0</v>
      </c>
      <c r="M1515" s="84">
        <f t="shared" si="320"/>
        <v>18724.900000000001</v>
      </c>
      <c r="N1515" s="13">
        <f t="shared" si="335"/>
        <v>0</v>
      </c>
      <c r="O1515" s="84">
        <f t="shared" si="321"/>
        <v>18724.900000000001</v>
      </c>
      <c r="P1515" s="13">
        <f t="shared" si="335"/>
        <v>0</v>
      </c>
      <c r="Q1515" s="84">
        <f t="shared" si="331"/>
        <v>18724.900000000001</v>
      </c>
      <c r="R1515" s="13">
        <f t="shared" si="335"/>
        <v>0</v>
      </c>
      <c r="S1515" s="84">
        <f t="shared" si="327"/>
        <v>18724.900000000001</v>
      </c>
      <c r="T1515" s="13">
        <f t="shared" si="335"/>
        <v>0</v>
      </c>
      <c r="U1515" s="84">
        <f t="shared" si="325"/>
        <v>18724.900000000001</v>
      </c>
    </row>
    <row r="1516" spans="1:21">
      <c r="A1516" s="61" t="str">
        <f ca="1">IF(ISERROR(MATCH(F1516,Код_КВР,0)),"",INDIRECT(ADDRESS(MATCH(F1516,Код_КВР,0)+1,2,,,"КВР")))</f>
        <v>Закупка товаров, работ и услуг для муниципальных нужд</v>
      </c>
      <c r="B1516" s="126">
        <v>811</v>
      </c>
      <c r="C1516" s="8" t="s">
        <v>214</v>
      </c>
      <c r="D1516" s="8" t="s">
        <v>220</v>
      </c>
      <c r="E1516" s="126" t="s">
        <v>39</v>
      </c>
      <c r="F1516" s="126">
        <v>200</v>
      </c>
      <c r="G1516" s="69">
        <f t="shared" si="335"/>
        <v>18724.900000000001</v>
      </c>
      <c r="H1516" s="69">
        <f t="shared" si="335"/>
        <v>0</v>
      </c>
      <c r="I1516" s="69">
        <f t="shared" si="330"/>
        <v>18724.900000000001</v>
      </c>
      <c r="J1516" s="69">
        <f t="shared" si="335"/>
        <v>0</v>
      </c>
      <c r="K1516" s="84">
        <f t="shared" si="326"/>
        <v>18724.900000000001</v>
      </c>
      <c r="L1516" s="13">
        <f t="shared" si="335"/>
        <v>0</v>
      </c>
      <c r="M1516" s="84">
        <f t="shared" si="320"/>
        <v>18724.900000000001</v>
      </c>
      <c r="N1516" s="13">
        <f t="shared" si="335"/>
        <v>0</v>
      </c>
      <c r="O1516" s="84">
        <f t="shared" si="321"/>
        <v>18724.900000000001</v>
      </c>
      <c r="P1516" s="13">
        <f t="shared" si="335"/>
        <v>0</v>
      </c>
      <c r="Q1516" s="84">
        <f t="shared" si="331"/>
        <v>18724.900000000001</v>
      </c>
      <c r="R1516" s="13">
        <f t="shared" si="335"/>
        <v>0</v>
      </c>
      <c r="S1516" s="84">
        <f t="shared" si="327"/>
        <v>18724.900000000001</v>
      </c>
      <c r="T1516" s="13">
        <f t="shared" si="335"/>
        <v>0</v>
      </c>
      <c r="U1516" s="84">
        <f t="shared" si="325"/>
        <v>18724.900000000001</v>
      </c>
    </row>
    <row r="1517" spans="1:21" ht="33">
      <c r="A1517" s="61" t="str">
        <f ca="1">IF(ISERROR(MATCH(F1517,Код_КВР,0)),"",INDIRECT(ADDRESS(MATCH(F1517,Код_КВР,0)+1,2,,,"КВР")))</f>
        <v>Иные закупки товаров, работ и услуг для обеспечения муниципальных нужд</v>
      </c>
      <c r="B1517" s="126">
        <v>811</v>
      </c>
      <c r="C1517" s="8" t="s">
        <v>214</v>
      </c>
      <c r="D1517" s="8" t="s">
        <v>220</v>
      </c>
      <c r="E1517" s="126" t="s">
        <v>39</v>
      </c>
      <c r="F1517" s="126">
        <v>240</v>
      </c>
      <c r="G1517" s="69">
        <f t="shared" si="335"/>
        <v>18724.900000000001</v>
      </c>
      <c r="H1517" s="69">
        <f t="shared" si="335"/>
        <v>0</v>
      </c>
      <c r="I1517" s="69">
        <f t="shared" si="330"/>
        <v>18724.900000000001</v>
      </c>
      <c r="J1517" s="69">
        <f t="shared" si="335"/>
        <v>0</v>
      </c>
      <c r="K1517" s="84">
        <f t="shared" si="326"/>
        <v>18724.900000000001</v>
      </c>
      <c r="L1517" s="13">
        <f t="shared" si="335"/>
        <v>0</v>
      </c>
      <c r="M1517" s="84">
        <f t="shared" si="320"/>
        <v>18724.900000000001</v>
      </c>
      <c r="N1517" s="13">
        <f t="shared" si="335"/>
        <v>0</v>
      </c>
      <c r="O1517" s="84">
        <f t="shared" si="321"/>
        <v>18724.900000000001</v>
      </c>
      <c r="P1517" s="13">
        <f t="shared" si="335"/>
        <v>0</v>
      </c>
      <c r="Q1517" s="84">
        <f t="shared" si="331"/>
        <v>18724.900000000001</v>
      </c>
      <c r="R1517" s="13">
        <f t="shared" si="335"/>
        <v>0</v>
      </c>
      <c r="S1517" s="84">
        <f t="shared" si="327"/>
        <v>18724.900000000001</v>
      </c>
      <c r="T1517" s="13">
        <f t="shared" si="335"/>
        <v>0</v>
      </c>
      <c r="U1517" s="84">
        <f t="shared" si="325"/>
        <v>18724.900000000001</v>
      </c>
    </row>
    <row r="1518" spans="1:21" ht="33">
      <c r="A1518" s="61" t="str">
        <f ca="1">IF(ISERROR(MATCH(F1518,Код_КВР,0)),"",INDIRECT(ADDRESS(MATCH(F1518,Код_КВР,0)+1,2,,,"КВР")))</f>
        <v xml:space="preserve">Прочая закупка товаров, работ и услуг для обеспечения муниципальных нужд         </v>
      </c>
      <c r="B1518" s="126">
        <v>811</v>
      </c>
      <c r="C1518" s="8" t="s">
        <v>214</v>
      </c>
      <c r="D1518" s="8" t="s">
        <v>220</v>
      </c>
      <c r="E1518" s="126" t="s">
        <v>39</v>
      </c>
      <c r="F1518" s="126">
        <v>244</v>
      </c>
      <c r="G1518" s="69">
        <v>18724.900000000001</v>
      </c>
      <c r="H1518" s="69"/>
      <c r="I1518" s="69">
        <f t="shared" si="330"/>
        <v>18724.900000000001</v>
      </c>
      <c r="J1518" s="69"/>
      <c r="K1518" s="84">
        <f t="shared" si="326"/>
        <v>18724.900000000001</v>
      </c>
      <c r="L1518" s="13"/>
      <c r="M1518" s="84">
        <f t="shared" ref="M1518:M1623" si="336">K1518+L1518</f>
        <v>18724.900000000001</v>
      </c>
      <c r="N1518" s="13"/>
      <c r="O1518" s="84">
        <f t="shared" ref="O1518:O1623" si="337">M1518+N1518</f>
        <v>18724.900000000001</v>
      </c>
      <c r="P1518" s="13"/>
      <c r="Q1518" s="84">
        <f t="shared" si="331"/>
        <v>18724.900000000001</v>
      </c>
      <c r="R1518" s="13"/>
      <c r="S1518" s="84">
        <f t="shared" si="327"/>
        <v>18724.900000000001</v>
      </c>
      <c r="T1518" s="13"/>
      <c r="U1518" s="84">
        <f t="shared" ref="U1518:U1582" si="338">S1518+T1518</f>
        <v>18724.900000000001</v>
      </c>
    </row>
    <row r="1519" spans="1:21" ht="33">
      <c r="A1519" s="61" t="str">
        <f ca="1">IF(ISERROR(MATCH(E1519,Код_КЦСР,0)),"",INDIRECT(ADDRESS(MATCH(E1519,Код_КЦСР,0)+1,2,,,"КЦСР")))</f>
        <v>Муниципальная программа «Развитие земельно-имущественного комплекса  города Череповца» на 2014-2018 годы</v>
      </c>
      <c r="B1519" s="126">
        <v>811</v>
      </c>
      <c r="C1519" s="8" t="s">
        <v>214</v>
      </c>
      <c r="D1519" s="8" t="s">
        <v>220</v>
      </c>
      <c r="E1519" s="126" t="s">
        <v>60</v>
      </c>
      <c r="F1519" s="126"/>
      <c r="G1519" s="69">
        <f t="shared" ref="G1519:T1522" si="339">G1520</f>
        <v>64229</v>
      </c>
      <c r="H1519" s="69">
        <f t="shared" si="339"/>
        <v>-15804.3</v>
      </c>
      <c r="I1519" s="69">
        <f t="shared" si="330"/>
        <v>48424.7</v>
      </c>
      <c r="J1519" s="69">
        <f t="shared" si="339"/>
        <v>0</v>
      </c>
      <c r="K1519" s="84">
        <f t="shared" si="326"/>
        <v>48424.7</v>
      </c>
      <c r="L1519" s="13">
        <f t="shared" si="339"/>
        <v>0</v>
      </c>
      <c r="M1519" s="84">
        <f t="shared" si="336"/>
        <v>48424.7</v>
      </c>
      <c r="N1519" s="13">
        <f t="shared" si="339"/>
        <v>-2565.6999999999998</v>
      </c>
      <c r="O1519" s="84">
        <f t="shared" si="337"/>
        <v>45859</v>
      </c>
      <c r="P1519" s="13">
        <f t="shared" si="339"/>
        <v>0</v>
      </c>
      <c r="Q1519" s="84">
        <f t="shared" si="331"/>
        <v>45859</v>
      </c>
      <c r="R1519" s="13">
        <f t="shared" si="339"/>
        <v>-49.9</v>
      </c>
      <c r="S1519" s="84">
        <f t="shared" si="327"/>
        <v>45809.1</v>
      </c>
      <c r="T1519" s="13">
        <f t="shared" si="339"/>
        <v>0</v>
      </c>
      <c r="U1519" s="84">
        <f t="shared" si="338"/>
        <v>45809.1</v>
      </c>
    </row>
    <row r="1520" spans="1:21" ht="33">
      <c r="A1520" s="61" t="str">
        <f ca="1">IF(ISERROR(MATCH(E1520,Код_КЦСР,0)),"",INDIRECT(ADDRESS(MATCH(E1520,Код_КЦСР,0)+1,2,,,"КЦСР")))</f>
        <v>Формирование и обеспечение сохранности муниципального земельно-имущественного комплекса</v>
      </c>
      <c r="B1520" s="126">
        <v>811</v>
      </c>
      <c r="C1520" s="8" t="s">
        <v>214</v>
      </c>
      <c r="D1520" s="8" t="s">
        <v>220</v>
      </c>
      <c r="E1520" s="126" t="s">
        <v>62</v>
      </c>
      <c r="F1520" s="126"/>
      <c r="G1520" s="69">
        <f t="shared" si="339"/>
        <v>64229</v>
      </c>
      <c r="H1520" s="69">
        <f t="shared" si="339"/>
        <v>-15804.3</v>
      </c>
      <c r="I1520" s="69">
        <f t="shared" si="330"/>
        <v>48424.7</v>
      </c>
      <c r="J1520" s="69">
        <f t="shared" si="339"/>
        <v>0</v>
      </c>
      <c r="K1520" s="84">
        <f t="shared" si="326"/>
        <v>48424.7</v>
      </c>
      <c r="L1520" s="13">
        <f t="shared" si="339"/>
        <v>0</v>
      </c>
      <c r="M1520" s="84">
        <f t="shared" si="336"/>
        <v>48424.7</v>
      </c>
      <c r="N1520" s="13">
        <f t="shared" si="339"/>
        <v>-2565.6999999999998</v>
      </c>
      <c r="O1520" s="84">
        <f t="shared" si="337"/>
        <v>45859</v>
      </c>
      <c r="P1520" s="13">
        <f t="shared" si="339"/>
        <v>0</v>
      </c>
      <c r="Q1520" s="84">
        <f t="shared" si="331"/>
        <v>45859</v>
      </c>
      <c r="R1520" s="13">
        <f t="shared" si="339"/>
        <v>-49.9</v>
      </c>
      <c r="S1520" s="84">
        <f t="shared" si="327"/>
        <v>45809.1</v>
      </c>
      <c r="T1520" s="13">
        <f t="shared" si="339"/>
        <v>0</v>
      </c>
      <c r="U1520" s="84">
        <f t="shared" si="338"/>
        <v>45809.1</v>
      </c>
    </row>
    <row r="1521" spans="1:21">
      <c r="A1521" s="61" t="str">
        <f ca="1">IF(ISERROR(MATCH(F1521,Код_КВР,0)),"",INDIRECT(ADDRESS(MATCH(F1521,Код_КВР,0)+1,2,,,"КВР")))</f>
        <v>Закупка товаров, работ и услуг для муниципальных нужд</v>
      </c>
      <c r="B1521" s="126">
        <v>811</v>
      </c>
      <c r="C1521" s="8" t="s">
        <v>214</v>
      </c>
      <c r="D1521" s="8" t="s">
        <v>220</v>
      </c>
      <c r="E1521" s="126" t="s">
        <v>62</v>
      </c>
      <c r="F1521" s="126">
        <v>200</v>
      </c>
      <c r="G1521" s="69">
        <f t="shared" si="339"/>
        <v>64229</v>
      </c>
      <c r="H1521" s="69">
        <f t="shared" si="339"/>
        <v>-15804.3</v>
      </c>
      <c r="I1521" s="69">
        <f t="shared" si="330"/>
        <v>48424.7</v>
      </c>
      <c r="J1521" s="69">
        <f t="shared" si="339"/>
        <v>0</v>
      </c>
      <c r="K1521" s="84">
        <f t="shared" si="326"/>
        <v>48424.7</v>
      </c>
      <c r="L1521" s="13">
        <f t="shared" si="339"/>
        <v>0</v>
      </c>
      <c r="M1521" s="84">
        <f t="shared" si="336"/>
        <v>48424.7</v>
      </c>
      <c r="N1521" s="13">
        <f t="shared" si="339"/>
        <v>-2565.6999999999998</v>
      </c>
      <c r="O1521" s="84">
        <f t="shared" si="337"/>
        <v>45859</v>
      </c>
      <c r="P1521" s="13">
        <f t="shared" si="339"/>
        <v>0</v>
      </c>
      <c r="Q1521" s="84">
        <f t="shared" si="331"/>
        <v>45859</v>
      </c>
      <c r="R1521" s="13">
        <f t="shared" si="339"/>
        <v>-49.9</v>
      </c>
      <c r="S1521" s="84">
        <f t="shared" si="327"/>
        <v>45809.1</v>
      </c>
      <c r="T1521" s="13">
        <f t="shared" si="339"/>
        <v>0</v>
      </c>
      <c r="U1521" s="84">
        <f t="shared" si="338"/>
        <v>45809.1</v>
      </c>
    </row>
    <row r="1522" spans="1:21" ht="33">
      <c r="A1522" s="61" t="str">
        <f ca="1">IF(ISERROR(MATCH(F1522,Код_КВР,0)),"",INDIRECT(ADDRESS(MATCH(F1522,Код_КВР,0)+1,2,,,"КВР")))</f>
        <v>Иные закупки товаров, работ и услуг для обеспечения муниципальных нужд</v>
      </c>
      <c r="B1522" s="126">
        <v>811</v>
      </c>
      <c r="C1522" s="8" t="s">
        <v>214</v>
      </c>
      <c r="D1522" s="8" t="s">
        <v>220</v>
      </c>
      <c r="E1522" s="126" t="s">
        <v>62</v>
      </c>
      <c r="F1522" s="126">
        <v>240</v>
      </c>
      <c r="G1522" s="69">
        <f t="shared" si="339"/>
        <v>64229</v>
      </c>
      <c r="H1522" s="69">
        <f t="shared" si="339"/>
        <v>-15804.3</v>
      </c>
      <c r="I1522" s="69">
        <f t="shared" si="330"/>
        <v>48424.7</v>
      </c>
      <c r="J1522" s="69">
        <f t="shared" si="339"/>
        <v>0</v>
      </c>
      <c r="K1522" s="84">
        <f t="shared" si="326"/>
        <v>48424.7</v>
      </c>
      <c r="L1522" s="13">
        <f t="shared" si="339"/>
        <v>0</v>
      </c>
      <c r="M1522" s="84">
        <f t="shared" si="336"/>
        <v>48424.7</v>
      </c>
      <c r="N1522" s="13">
        <f t="shared" si="339"/>
        <v>-2565.6999999999998</v>
      </c>
      <c r="O1522" s="84">
        <f t="shared" si="337"/>
        <v>45859</v>
      </c>
      <c r="P1522" s="13">
        <f t="shared" si="339"/>
        <v>0</v>
      </c>
      <c r="Q1522" s="84">
        <f t="shared" si="331"/>
        <v>45859</v>
      </c>
      <c r="R1522" s="13">
        <f t="shared" si="339"/>
        <v>-49.9</v>
      </c>
      <c r="S1522" s="84">
        <f t="shared" si="327"/>
        <v>45809.1</v>
      </c>
      <c r="T1522" s="13">
        <f t="shared" si="339"/>
        <v>0</v>
      </c>
      <c r="U1522" s="84">
        <f t="shared" si="338"/>
        <v>45809.1</v>
      </c>
    </row>
    <row r="1523" spans="1:21" ht="33">
      <c r="A1523" s="61" t="str">
        <f ca="1">IF(ISERROR(MATCH(F1523,Код_КВР,0)),"",INDIRECT(ADDRESS(MATCH(F1523,Код_КВР,0)+1,2,,,"КВР")))</f>
        <v xml:space="preserve">Прочая закупка товаров, работ и услуг для обеспечения муниципальных нужд         </v>
      </c>
      <c r="B1523" s="126">
        <v>811</v>
      </c>
      <c r="C1523" s="8" t="s">
        <v>214</v>
      </c>
      <c r="D1523" s="8" t="s">
        <v>220</v>
      </c>
      <c r="E1523" s="126" t="s">
        <v>62</v>
      </c>
      <c r="F1523" s="126">
        <v>244</v>
      </c>
      <c r="G1523" s="69">
        <v>64229</v>
      </c>
      <c r="H1523" s="69">
        <v>-15804.3</v>
      </c>
      <c r="I1523" s="69">
        <f t="shared" si="330"/>
        <v>48424.7</v>
      </c>
      <c r="J1523" s="69"/>
      <c r="K1523" s="84">
        <f t="shared" si="326"/>
        <v>48424.7</v>
      </c>
      <c r="L1523" s="13"/>
      <c r="M1523" s="84">
        <f t="shared" si="336"/>
        <v>48424.7</v>
      </c>
      <c r="N1523" s="13">
        <v>-2565.6999999999998</v>
      </c>
      <c r="O1523" s="84">
        <f t="shared" si="337"/>
        <v>45859</v>
      </c>
      <c r="P1523" s="13"/>
      <c r="Q1523" s="84">
        <f t="shared" si="331"/>
        <v>45859</v>
      </c>
      <c r="R1523" s="13">
        <v>-49.9</v>
      </c>
      <c r="S1523" s="84">
        <f t="shared" si="327"/>
        <v>45809.1</v>
      </c>
      <c r="T1523" s="13"/>
      <c r="U1523" s="84">
        <f t="shared" si="338"/>
        <v>45809.1</v>
      </c>
    </row>
    <row r="1524" spans="1:21">
      <c r="A1524" s="76" t="s">
        <v>178</v>
      </c>
      <c r="B1524" s="126">
        <v>811</v>
      </c>
      <c r="C1524" s="8" t="s">
        <v>214</v>
      </c>
      <c r="D1524" s="8" t="s">
        <v>217</v>
      </c>
      <c r="E1524" s="126"/>
      <c r="F1524" s="126"/>
      <c r="G1524" s="69">
        <f t="shared" ref="G1524:T1529" si="340">G1525</f>
        <v>2004.9</v>
      </c>
      <c r="H1524" s="69">
        <f t="shared" si="340"/>
        <v>0</v>
      </c>
      <c r="I1524" s="69">
        <f t="shared" si="330"/>
        <v>2004.9</v>
      </c>
      <c r="J1524" s="69">
        <f t="shared" si="340"/>
        <v>-594.6</v>
      </c>
      <c r="K1524" s="84">
        <f t="shared" si="326"/>
        <v>1410.3000000000002</v>
      </c>
      <c r="L1524" s="13">
        <f t="shared" si="340"/>
        <v>2159</v>
      </c>
      <c r="M1524" s="84">
        <f t="shared" si="336"/>
        <v>3569.3</v>
      </c>
      <c r="N1524" s="13">
        <f t="shared" si="340"/>
        <v>0</v>
      </c>
      <c r="O1524" s="84">
        <f t="shared" si="337"/>
        <v>3569.3</v>
      </c>
      <c r="P1524" s="13">
        <f t="shared" si="340"/>
        <v>0</v>
      </c>
      <c r="Q1524" s="84">
        <f t="shared" si="331"/>
        <v>3569.3</v>
      </c>
      <c r="R1524" s="13">
        <f t="shared" si="340"/>
        <v>4378.7</v>
      </c>
      <c r="S1524" s="84">
        <f t="shared" si="327"/>
        <v>7948</v>
      </c>
      <c r="T1524" s="13">
        <f t="shared" si="340"/>
        <v>-2466.2999999999997</v>
      </c>
      <c r="U1524" s="84">
        <f t="shared" si="338"/>
        <v>5481.7000000000007</v>
      </c>
    </row>
    <row r="1525" spans="1:21" ht="49.5">
      <c r="A1525" s="61" t="str">
        <f ca="1">IF(ISERROR(MATCH(E1525,Код_КЦСР,0)),"",INDIRECT(ADDRESS(MATCH(E1525,Код_КЦСР,0)+1,2,,,"КЦСР")))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25" s="126">
        <v>811</v>
      </c>
      <c r="C1525" s="8" t="s">
        <v>214</v>
      </c>
      <c r="D1525" s="8" t="s">
        <v>217</v>
      </c>
      <c r="E1525" s="126" t="s">
        <v>68</v>
      </c>
      <c r="F1525" s="126"/>
      <c r="G1525" s="69">
        <f t="shared" si="340"/>
        <v>2004.9</v>
      </c>
      <c r="H1525" s="69">
        <f t="shared" si="340"/>
        <v>0</v>
      </c>
      <c r="I1525" s="69">
        <f t="shared" si="330"/>
        <v>2004.9</v>
      </c>
      <c r="J1525" s="69">
        <f t="shared" si="340"/>
        <v>-594.6</v>
      </c>
      <c r="K1525" s="84">
        <f t="shared" si="326"/>
        <v>1410.3000000000002</v>
      </c>
      <c r="L1525" s="13">
        <f t="shared" si="340"/>
        <v>2159</v>
      </c>
      <c r="M1525" s="84">
        <f t="shared" si="336"/>
        <v>3569.3</v>
      </c>
      <c r="N1525" s="13">
        <f t="shared" si="340"/>
        <v>0</v>
      </c>
      <c r="O1525" s="84">
        <f t="shared" si="337"/>
        <v>3569.3</v>
      </c>
      <c r="P1525" s="13">
        <f t="shared" si="340"/>
        <v>0</v>
      </c>
      <c r="Q1525" s="84">
        <f t="shared" si="331"/>
        <v>3569.3</v>
      </c>
      <c r="R1525" s="13">
        <f>R1526</f>
        <v>4378.7</v>
      </c>
      <c r="S1525" s="84">
        <f t="shared" si="327"/>
        <v>7948</v>
      </c>
      <c r="T1525" s="13">
        <f>T1526</f>
        <v>-2466.2999999999997</v>
      </c>
      <c r="U1525" s="84">
        <f t="shared" si="338"/>
        <v>5481.7000000000007</v>
      </c>
    </row>
    <row r="1526" spans="1:21" ht="33">
      <c r="A1526" s="61" t="str">
        <f ca="1">IF(ISERROR(MATCH(E1526,Код_КЦСР,0)),"",INDIRECT(ADDRESS(MATCH(E1526,Код_КЦСР,0)+1,2,,,"КЦСР")))</f>
        <v>Капитальное строительство и реконструкция объектов муниципальной собственности</v>
      </c>
      <c r="B1526" s="126">
        <v>811</v>
      </c>
      <c r="C1526" s="8" t="s">
        <v>214</v>
      </c>
      <c r="D1526" s="8" t="s">
        <v>217</v>
      </c>
      <c r="E1526" s="126" t="s">
        <v>70</v>
      </c>
      <c r="F1526" s="126"/>
      <c r="G1526" s="69">
        <f t="shared" si="340"/>
        <v>2004.9</v>
      </c>
      <c r="H1526" s="69">
        <f t="shared" si="340"/>
        <v>0</v>
      </c>
      <c r="I1526" s="69">
        <f t="shared" si="330"/>
        <v>2004.9</v>
      </c>
      <c r="J1526" s="69">
        <f t="shared" si="340"/>
        <v>-594.6</v>
      </c>
      <c r="K1526" s="84">
        <f t="shared" si="326"/>
        <v>1410.3000000000002</v>
      </c>
      <c r="L1526" s="13">
        <f t="shared" si="340"/>
        <v>2159</v>
      </c>
      <c r="M1526" s="84">
        <f t="shared" si="336"/>
        <v>3569.3</v>
      </c>
      <c r="N1526" s="13">
        <f t="shared" si="340"/>
        <v>0</v>
      </c>
      <c r="O1526" s="84">
        <f t="shared" si="337"/>
        <v>3569.3</v>
      </c>
      <c r="P1526" s="13">
        <f t="shared" si="340"/>
        <v>0</v>
      </c>
      <c r="Q1526" s="84">
        <f t="shared" si="331"/>
        <v>3569.3</v>
      </c>
      <c r="R1526" s="13">
        <f>R1527+R1531+R1535+R1539+R1543</f>
        <v>4378.7</v>
      </c>
      <c r="S1526" s="84">
        <f t="shared" si="327"/>
        <v>7948</v>
      </c>
      <c r="T1526" s="13">
        <f>T1527+T1531+T1535+T1539+T1543</f>
        <v>-2466.2999999999997</v>
      </c>
      <c r="U1526" s="84">
        <f t="shared" si="338"/>
        <v>5481.7000000000007</v>
      </c>
    </row>
    <row r="1527" spans="1:21">
      <c r="A1527" s="61" t="str">
        <f ca="1">IF(ISERROR(MATCH(E1527,Код_КЦСР,0)),"",INDIRECT(ADDRESS(MATCH(E1527,Код_КЦСР,0)+1,2,,,"КЦСР")))</f>
        <v>Строительство объектов сметной стоимостью до 100 млн. рублей</v>
      </c>
      <c r="B1527" s="126">
        <v>811</v>
      </c>
      <c r="C1527" s="8" t="s">
        <v>214</v>
      </c>
      <c r="D1527" s="8" t="s">
        <v>217</v>
      </c>
      <c r="E1527" s="126" t="s">
        <v>71</v>
      </c>
      <c r="F1527" s="126"/>
      <c r="G1527" s="69">
        <f t="shared" si="340"/>
        <v>2004.9</v>
      </c>
      <c r="H1527" s="69">
        <f t="shared" si="340"/>
        <v>0</v>
      </c>
      <c r="I1527" s="69">
        <f t="shared" si="330"/>
        <v>2004.9</v>
      </c>
      <c r="J1527" s="69">
        <f t="shared" si="340"/>
        <v>-594.6</v>
      </c>
      <c r="K1527" s="84">
        <f t="shared" si="326"/>
        <v>1410.3000000000002</v>
      </c>
      <c r="L1527" s="13">
        <f t="shared" si="340"/>
        <v>2159</v>
      </c>
      <c r="M1527" s="84">
        <f t="shared" si="336"/>
        <v>3569.3</v>
      </c>
      <c r="N1527" s="13">
        <f t="shared" si="340"/>
        <v>0</v>
      </c>
      <c r="O1527" s="84">
        <f t="shared" si="337"/>
        <v>3569.3</v>
      </c>
      <c r="P1527" s="13">
        <f t="shared" si="340"/>
        <v>0</v>
      </c>
      <c r="Q1527" s="84">
        <f t="shared" si="331"/>
        <v>3569.3</v>
      </c>
      <c r="R1527" s="13">
        <f t="shared" si="340"/>
        <v>806.19999999999993</v>
      </c>
      <c r="S1527" s="84">
        <f t="shared" si="327"/>
        <v>4375.5</v>
      </c>
      <c r="T1527" s="13">
        <f t="shared" si="340"/>
        <v>-758.5</v>
      </c>
      <c r="U1527" s="84">
        <f t="shared" si="338"/>
        <v>3617</v>
      </c>
    </row>
    <row r="1528" spans="1:21" ht="33">
      <c r="A1528" s="61" t="str">
        <f ca="1">IF(ISERROR(MATCH(F1528,Код_КВР,0)),"",INDIRECT(ADDRESS(MATCH(F1528,Код_КВР,0)+1,2,,,"КВР")))</f>
        <v>Капитальные вложения в объекты недвижимого имущества муниципальной собственности</v>
      </c>
      <c r="B1528" s="126">
        <v>811</v>
      </c>
      <c r="C1528" s="8" t="s">
        <v>214</v>
      </c>
      <c r="D1528" s="8" t="s">
        <v>217</v>
      </c>
      <c r="E1528" s="126" t="s">
        <v>71</v>
      </c>
      <c r="F1528" s="126">
        <v>400</v>
      </c>
      <c r="G1528" s="69">
        <f t="shared" si="340"/>
        <v>2004.9</v>
      </c>
      <c r="H1528" s="69">
        <f t="shared" si="340"/>
        <v>0</v>
      </c>
      <c r="I1528" s="69">
        <f t="shared" si="330"/>
        <v>2004.9</v>
      </c>
      <c r="J1528" s="69">
        <f t="shared" si="340"/>
        <v>-594.6</v>
      </c>
      <c r="K1528" s="84">
        <f t="shared" si="326"/>
        <v>1410.3000000000002</v>
      </c>
      <c r="L1528" s="13">
        <f t="shared" si="340"/>
        <v>2159</v>
      </c>
      <c r="M1528" s="84">
        <f t="shared" si="336"/>
        <v>3569.3</v>
      </c>
      <c r="N1528" s="13">
        <f t="shared" si="340"/>
        <v>0</v>
      </c>
      <c r="O1528" s="84">
        <f t="shared" si="337"/>
        <v>3569.3</v>
      </c>
      <c r="P1528" s="13">
        <f t="shared" si="340"/>
        <v>0</v>
      </c>
      <c r="Q1528" s="84">
        <f t="shared" si="331"/>
        <v>3569.3</v>
      </c>
      <c r="R1528" s="13">
        <f t="shared" si="340"/>
        <v>806.19999999999993</v>
      </c>
      <c r="S1528" s="84">
        <f t="shared" si="327"/>
        <v>4375.5</v>
      </c>
      <c r="T1528" s="13">
        <f t="shared" si="340"/>
        <v>-758.5</v>
      </c>
      <c r="U1528" s="84">
        <f t="shared" si="338"/>
        <v>3617</v>
      </c>
    </row>
    <row r="1529" spans="1:21">
      <c r="A1529" s="61" t="str">
        <f ca="1">IF(ISERROR(MATCH(F1529,Код_КВР,0)),"",INDIRECT(ADDRESS(MATCH(F1529,Код_КВР,0)+1,2,,,"КВР")))</f>
        <v>Бюджетные инвестиции</v>
      </c>
      <c r="B1529" s="126">
        <v>811</v>
      </c>
      <c r="C1529" s="8" t="s">
        <v>214</v>
      </c>
      <c r="D1529" s="8" t="s">
        <v>217</v>
      </c>
      <c r="E1529" s="126" t="s">
        <v>71</v>
      </c>
      <c r="F1529" s="126">
        <v>410</v>
      </c>
      <c r="G1529" s="69">
        <f t="shared" si="340"/>
        <v>2004.9</v>
      </c>
      <c r="H1529" s="69">
        <f t="shared" si="340"/>
        <v>0</v>
      </c>
      <c r="I1529" s="69">
        <f t="shared" si="330"/>
        <v>2004.9</v>
      </c>
      <c r="J1529" s="69">
        <f t="shared" si="340"/>
        <v>-594.6</v>
      </c>
      <c r="K1529" s="84">
        <f t="shared" si="326"/>
        <v>1410.3000000000002</v>
      </c>
      <c r="L1529" s="13">
        <f t="shared" si="340"/>
        <v>2159</v>
      </c>
      <c r="M1529" s="84">
        <f t="shared" si="336"/>
        <v>3569.3</v>
      </c>
      <c r="N1529" s="13">
        <f t="shared" si="340"/>
        <v>0</v>
      </c>
      <c r="O1529" s="84">
        <f t="shared" si="337"/>
        <v>3569.3</v>
      </c>
      <c r="P1529" s="13">
        <f t="shared" si="340"/>
        <v>0</v>
      </c>
      <c r="Q1529" s="84">
        <f t="shared" si="331"/>
        <v>3569.3</v>
      </c>
      <c r="R1529" s="13">
        <f t="shared" si="340"/>
        <v>806.19999999999993</v>
      </c>
      <c r="S1529" s="84">
        <f t="shared" si="327"/>
        <v>4375.5</v>
      </c>
      <c r="T1529" s="13">
        <f t="shared" si="340"/>
        <v>-758.5</v>
      </c>
      <c r="U1529" s="84">
        <f t="shared" si="338"/>
        <v>3617</v>
      </c>
    </row>
    <row r="1530" spans="1:21" ht="33">
      <c r="A1530" s="61" t="str">
        <f ca="1">IF(ISERROR(MATCH(F1530,Код_КВР,0)),"",INDIRECT(ADDRESS(MATCH(F1530,Код_КВР,0)+1,2,,,"КВР")))</f>
        <v>Бюджетные инвестиции в объекты капитального строительства муниципальной собственности</v>
      </c>
      <c r="B1530" s="126">
        <v>811</v>
      </c>
      <c r="C1530" s="8" t="s">
        <v>214</v>
      </c>
      <c r="D1530" s="8" t="s">
        <v>217</v>
      </c>
      <c r="E1530" s="126" t="s">
        <v>71</v>
      </c>
      <c r="F1530" s="126">
        <v>414</v>
      </c>
      <c r="G1530" s="69">
        <v>2004.9</v>
      </c>
      <c r="H1530" s="69"/>
      <c r="I1530" s="69">
        <f t="shared" si="330"/>
        <v>2004.9</v>
      </c>
      <c r="J1530" s="69">
        <v>-594.6</v>
      </c>
      <c r="K1530" s="84">
        <f t="shared" si="326"/>
        <v>1410.3000000000002</v>
      </c>
      <c r="L1530" s="13">
        <f>2196+1318-1355</f>
        <v>2159</v>
      </c>
      <c r="M1530" s="84">
        <f t="shared" si="336"/>
        <v>3569.3</v>
      </c>
      <c r="N1530" s="13"/>
      <c r="O1530" s="84">
        <f t="shared" si="337"/>
        <v>3569.3</v>
      </c>
      <c r="P1530" s="13"/>
      <c r="Q1530" s="84">
        <f t="shared" si="331"/>
        <v>3569.3</v>
      </c>
      <c r="R1530" s="13">
        <f>672.4+204-70.2</f>
        <v>806.19999999999993</v>
      </c>
      <c r="S1530" s="84">
        <f t="shared" si="327"/>
        <v>4375.5</v>
      </c>
      <c r="T1530" s="13">
        <f>-455.7-220-82.8</f>
        <v>-758.5</v>
      </c>
      <c r="U1530" s="84">
        <f t="shared" si="338"/>
        <v>3617</v>
      </c>
    </row>
    <row r="1531" spans="1:21" ht="33">
      <c r="A1531" s="61" t="str">
        <f ca="1">IF(ISERROR(MATCH(E1531,Код_КЦСР,0)),"",INDIRECT(ADDRESS(MATCH(E1531,Код_КЦСР,0)+1,2,,,"КЦСР")))</f>
        <v>Реконструкция Октябрьского проспекта на участке от Октябрьского моста до ул. Любецкой</v>
      </c>
      <c r="B1531" s="126">
        <v>811</v>
      </c>
      <c r="C1531" s="8" t="s">
        <v>214</v>
      </c>
      <c r="D1531" s="8" t="s">
        <v>217</v>
      </c>
      <c r="E1531" s="126" t="s">
        <v>646</v>
      </c>
      <c r="F1531" s="126"/>
      <c r="G1531" s="69"/>
      <c r="H1531" s="69"/>
      <c r="I1531" s="69"/>
      <c r="J1531" s="69"/>
      <c r="K1531" s="84"/>
      <c r="L1531" s="13"/>
      <c r="M1531" s="84"/>
      <c r="N1531" s="13"/>
      <c r="O1531" s="84"/>
      <c r="P1531" s="13"/>
      <c r="Q1531" s="84"/>
      <c r="R1531" s="13">
        <f>R1532</f>
        <v>1944</v>
      </c>
      <c r="S1531" s="84">
        <f t="shared" si="327"/>
        <v>1944</v>
      </c>
      <c r="T1531" s="13">
        <f>T1532</f>
        <v>-1063.9000000000001</v>
      </c>
      <c r="U1531" s="84">
        <f t="shared" si="338"/>
        <v>880.09999999999991</v>
      </c>
    </row>
    <row r="1532" spans="1:21" ht="33">
      <c r="A1532" s="61" t="str">
        <f ca="1">IF(ISERROR(MATCH(F1532,Код_КВР,0)),"",INDIRECT(ADDRESS(MATCH(F1532,Код_КВР,0)+1,2,,,"КВР")))</f>
        <v>Капитальные вложения в объекты недвижимого имущества муниципальной собственности</v>
      </c>
      <c r="B1532" s="126">
        <v>811</v>
      </c>
      <c r="C1532" s="8" t="s">
        <v>214</v>
      </c>
      <c r="D1532" s="8" t="s">
        <v>217</v>
      </c>
      <c r="E1532" s="126" t="s">
        <v>646</v>
      </c>
      <c r="F1532" s="126">
        <v>400</v>
      </c>
      <c r="G1532" s="69"/>
      <c r="H1532" s="69"/>
      <c r="I1532" s="69"/>
      <c r="J1532" s="69"/>
      <c r="K1532" s="84"/>
      <c r="L1532" s="13"/>
      <c r="M1532" s="84"/>
      <c r="N1532" s="13"/>
      <c r="O1532" s="84"/>
      <c r="P1532" s="13"/>
      <c r="Q1532" s="84"/>
      <c r="R1532" s="13">
        <f>R1533</f>
        <v>1944</v>
      </c>
      <c r="S1532" s="84">
        <f t="shared" si="327"/>
        <v>1944</v>
      </c>
      <c r="T1532" s="13">
        <f>T1533</f>
        <v>-1063.9000000000001</v>
      </c>
      <c r="U1532" s="84">
        <f t="shared" si="338"/>
        <v>880.09999999999991</v>
      </c>
    </row>
    <row r="1533" spans="1:21">
      <c r="A1533" s="61" t="str">
        <f ca="1">IF(ISERROR(MATCH(F1533,Код_КВР,0)),"",INDIRECT(ADDRESS(MATCH(F1533,Код_КВР,0)+1,2,,,"КВР")))</f>
        <v>Бюджетные инвестиции</v>
      </c>
      <c r="B1533" s="126">
        <v>811</v>
      </c>
      <c r="C1533" s="8" t="s">
        <v>214</v>
      </c>
      <c r="D1533" s="8" t="s">
        <v>217</v>
      </c>
      <c r="E1533" s="126" t="s">
        <v>646</v>
      </c>
      <c r="F1533" s="126">
        <v>410</v>
      </c>
      <c r="G1533" s="69"/>
      <c r="H1533" s="69"/>
      <c r="I1533" s="69"/>
      <c r="J1533" s="69"/>
      <c r="K1533" s="84"/>
      <c r="L1533" s="13"/>
      <c r="M1533" s="84"/>
      <c r="N1533" s="13"/>
      <c r="O1533" s="84"/>
      <c r="P1533" s="13"/>
      <c r="Q1533" s="84"/>
      <c r="R1533" s="13">
        <f>R1534</f>
        <v>1944</v>
      </c>
      <c r="S1533" s="84">
        <f t="shared" si="327"/>
        <v>1944</v>
      </c>
      <c r="T1533" s="13">
        <f>T1534</f>
        <v>-1063.9000000000001</v>
      </c>
      <c r="U1533" s="84">
        <f t="shared" si="338"/>
        <v>880.09999999999991</v>
      </c>
    </row>
    <row r="1534" spans="1:21" ht="33">
      <c r="A1534" s="61" t="str">
        <f ca="1">IF(ISERROR(MATCH(F1534,Код_КВР,0)),"",INDIRECT(ADDRESS(MATCH(F1534,Код_КВР,0)+1,2,,,"КВР")))</f>
        <v>Бюджетные инвестиции в объекты капитального строительства муниципальной собственности</v>
      </c>
      <c r="B1534" s="126">
        <v>811</v>
      </c>
      <c r="C1534" s="8" t="s">
        <v>214</v>
      </c>
      <c r="D1534" s="8" t="s">
        <v>217</v>
      </c>
      <c r="E1534" s="126" t="s">
        <v>646</v>
      </c>
      <c r="F1534" s="126">
        <v>414</v>
      </c>
      <c r="G1534" s="69"/>
      <c r="H1534" s="69"/>
      <c r="I1534" s="69"/>
      <c r="J1534" s="69"/>
      <c r="K1534" s="84"/>
      <c r="L1534" s="13"/>
      <c r="M1534" s="84"/>
      <c r="N1534" s="13"/>
      <c r="O1534" s="84"/>
      <c r="P1534" s="13"/>
      <c r="Q1534" s="84"/>
      <c r="R1534" s="13">
        <f>1944</f>
        <v>1944</v>
      </c>
      <c r="S1534" s="84">
        <f t="shared" si="327"/>
        <v>1944</v>
      </c>
      <c r="T1534" s="13">
        <v>-1063.9000000000001</v>
      </c>
      <c r="U1534" s="84">
        <f t="shared" si="338"/>
        <v>880.09999999999991</v>
      </c>
    </row>
    <row r="1535" spans="1:21">
      <c r="A1535" s="61" t="str">
        <f ca="1">IF(ISERROR(MATCH(E1535,Код_КЦСР,0)),"",INDIRECT(ADDRESS(MATCH(E1535,Код_КЦСР,0)+1,2,,,"КЦСР")))</f>
        <v>Реконструкция пр. Строителей</v>
      </c>
      <c r="B1535" s="126">
        <v>811</v>
      </c>
      <c r="C1535" s="8" t="s">
        <v>214</v>
      </c>
      <c r="D1535" s="8" t="s">
        <v>217</v>
      </c>
      <c r="E1535" s="126" t="s">
        <v>648</v>
      </c>
      <c r="F1535" s="126"/>
      <c r="G1535" s="69"/>
      <c r="H1535" s="69"/>
      <c r="I1535" s="69"/>
      <c r="J1535" s="69"/>
      <c r="K1535" s="84"/>
      <c r="L1535" s="13"/>
      <c r="M1535" s="84"/>
      <c r="N1535" s="13"/>
      <c r="O1535" s="84"/>
      <c r="P1535" s="13"/>
      <c r="Q1535" s="84"/>
      <c r="R1535" s="13">
        <f>R1536</f>
        <v>585.4</v>
      </c>
      <c r="S1535" s="84">
        <f t="shared" si="327"/>
        <v>585.4</v>
      </c>
      <c r="T1535" s="13">
        <f>T1536</f>
        <v>-322.2</v>
      </c>
      <c r="U1535" s="84">
        <f t="shared" si="338"/>
        <v>263.2</v>
      </c>
    </row>
    <row r="1536" spans="1:21" ht="33">
      <c r="A1536" s="61" t="str">
        <f ca="1">IF(ISERROR(MATCH(F1536,Код_КВР,0)),"",INDIRECT(ADDRESS(MATCH(F1536,Код_КВР,0)+1,2,,,"КВР")))</f>
        <v>Капитальные вложения в объекты недвижимого имущества муниципальной собственности</v>
      </c>
      <c r="B1536" s="126">
        <v>811</v>
      </c>
      <c r="C1536" s="8" t="s">
        <v>214</v>
      </c>
      <c r="D1536" s="8" t="s">
        <v>217</v>
      </c>
      <c r="E1536" s="126" t="s">
        <v>648</v>
      </c>
      <c r="F1536" s="126">
        <v>400</v>
      </c>
      <c r="G1536" s="69"/>
      <c r="H1536" s="69"/>
      <c r="I1536" s="69"/>
      <c r="J1536" s="69"/>
      <c r="K1536" s="84"/>
      <c r="L1536" s="13"/>
      <c r="M1536" s="84"/>
      <c r="N1536" s="13"/>
      <c r="O1536" s="84"/>
      <c r="P1536" s="13"/>
      <c r="Q1536" s="84"/>
      <c r="R1536" s="13">
        <f>R1537</f>
        <v>585.4</v>
      </c>
      <c r="S1536" s="84">
        <f t="shared" si="327"/>
        <v>585.4</v>
      </c>
      <c r="T1536" s="13">
        <f>T1537</f>
        <v>-322.2</v>
      </c>
      <c r="U1536" s="84">
        <f t="shared" si="338"/>
        <v>263.2</v>
      </c>
    </row>
    <row r="1537" spans="1:21">
      <c r="A1537" s="61" t="str">
        <f ca="1">IF(ISERROR(MATCH(F1537,Код_КВР,0)),"",INDIRECT(ADDRESS(MATCH(F1537,Код_КВР,0)+1,2,,,"КВР")))</f>
        <v>Бюджетные инвестиции</v>
      </c>
      <c r="B1537" s="126">
        <v>811</v>
      </c>
      <c r="C1537" s="8" t="s">
        <v>214</v>
      </c>
      <c r="D1537" s="8" t="s">
        <v>217</v>
      </c>
      <c r="E1537" s="126" t="s">
        <v>648</v>
      </c>
      <c r="F1537" s="126">
        <v>410</v>
      </c>
      <c r="G1537" s="69"/>
      <c r="H1537" s="69"/>
      <c r="I1537" s="69"/>
      <c r="J1537" s="69"/>
      <c r="K1537" s="84"/>
      <c r="L1537" s="13"/>
      <c r="M1537" s="84"/>
      <c r="N1537" s="13"/>
      <c r="O1537" s="84"/>
      <c r="P1537" s="13"/>
      <c r="Q1537" s="84"/>
      <c r="R1537" s="13">
        <f>R1538</f>
        <v>585.4</v>
      </c>
      <c r="S1537" s="84">
        <f t="shared" si="327"/>
        <v>585.4</v>
      </c>
      <c r="T1537" s="13">
        <f>T1538</f>
        <v>-322.2</v>
      </c>
      <c r="U1537" s="84">
        <f t="shared" si="338"/>
        <v>263.2</v>
      </c>
    </row>
    <row r="1538" spans="1:21" ht="33">
      <c r="A1538" s="61" t="str">
        <f ca="1">IF(ISERROR(MATCH(F1538,Код_КВР,0)),"",INDIRECT(ADDRESS(MATCH(F1538,Код_КВР,0)+1,2,,,"КВР")))</f>
        <v>Бюджетные инвестиции в объекты капитального строительства муниципальной собственности</v>
      </c>
      <c r="B1538" s="126">
        <v>811</v>
      </c>
      <c r="C1538" s="8" t="s">
        <v>214</v>
      </c>
      <c r="D1538" s="8" t="s">
        <v>217</v>
      </c>
      <c r="E1538" s="126" t="s">
        <v>648</v>
      </c>
      <c r="F1538" s="126">
        <v>414</v>
      </c>
      <c r="G1538" s="69"/>
      <c r="H1538" s="69"/>
      <c r="I1538" s="69"/>
      <c r="J1538" s="69"/>
      <c r="K1538" s="84"/>
      <c r="L1538" s="13"/>
      <c r="M1538" s="84"/>
      <c r="N1538" s="13"/>
      <c r="O1538" s="84"/>
      <c r="P1538" s="13"/>
      <c r="Q1538" s="84"/>
      <c r="R1538" s="13">
        <v>585.4</v>
      </c>
      <c r="S1538" s="84">
        <f t="shared" si="327"/>
        <v>585.4</v>
      </c>
      <c r="T1538" s="13">
        <v>-322.2</v>
      </c>
      <c r="U1538" s="84">
        <f t="shared" si="338"/>
        <v>263.2</v>
      </c>
    </row>
    <row r="1539" spans="1:21">
      <c r="A1539" s="61" t="str">
        <f ca="1">IF(ISERROR(MATCH(E1539,Код_КЦСР,0)),"",INDIRECT(ADDRESS(MATCH(E1539,Код_КЦСР,0)+1,2,,,"КЦСР")))</f>
        <v>Реконструкция ул. Мамлеева</v>
      </c>
      <c r="B1539" s="126">
        <v>811</v>
      </c>
      <c r="C1539" s="8" t="s">
        <v>214</v>
      </c>
      <c r="D1539" s="8" t="s">
        <v>217</v>
      </c>
      <c r="E1539" s="126" t="s">
        <v>650</v>
      </c>
      <c r="F1539" s="126"/>
      <c r="G1539" s="69"/>
      <c r="H1539" s="69"/>
      <c r="I1539" s="69"/>
      <c r="J1539" s="69"/>
      <c r="K1539" s="84"/>
      <c r="L1539" s="13"/>
      <c r="M1539" s="84"/>
      <c r="N1539" s="13"/>
      <c r="O1539" s="84"/>
      <c r="P1539" s="13"/>
      <c r="Q1539" s="84"/>
      <c r="R1539" s="13">
        <f>R1540</f>
        <v>524.70000000000005</v>
      </c>
      <c r="S1539" s="84">
        <f t="shared" si="327"/>
        <v>524.70000000000005</v>
      </c>
      <c r="T1539" s="13">
        <f>T1540</f>
        <v>-130.69999999999999</v>
      </c>
      <c r="U1539" s="84">
        <f t="shared" si="338"/>
        <v>394.00000000000006</v>
      </c>
    </row>
    <row r="1540" spans="1:21" ht="33">
      <c r="A1540" s="61" t="str">
        <f ca="1">IF(ISERROR(MATCH(F1540,Код_КВР,0)),"",INDIRECT(ADDRESS(MATCH(F1540,Код_КВР,0)+1,2,,,"КВР")))</f>
        <v>Капитальные вложения в объекты недвижимого имущества муниципальной собственности</v>
      </c>
      <c r="B1540" s="126">
        <v>811</v>
      </c>
      <c r="C1540" s="8" t="s">
        <v>214</v>
      </c>
      <c r="D1540" s="8" t="s">
        <v>217</v>
      </c>
      <c r="E1540" s="126" t="s">
        <v>650</v>
      </c>
      <c r="F1540" s="126">
        <v>400</v>
      </c>
      <c r="G1540" s="69"/>
      <c r="H1540" s="69"/>
      <c r="I1540" s="69"/>
      <c r="J1540" s="69"/>
      <c r="K1540" s="84"/>
      <c r="L1540" s="13"/>
      <c r="M1540" s="84"/>
      <c r="N1540" s="13"/>
      <c r="O1540" s="84"/>
      <c r="P1540" s="13"/>
      <c r="Q1540" s="84"/>
      <c r="R1540" s="13">
        <f>R1541</f>
        <v>524.70000000000005</v>
      </c>
      <c r="S1540" s="84">
        <f t="shared" si="327"/>
        <v>524.70000000000005</v>
      </c>
      <c r="T1540" s="13">
        <f>T1541</f>
        <v>-130.69999999999999</v>
      </c>
      <c r="U1540" s="84">
        <f t="shared" si="338"/>
        <v>394.00000000000006</v>
      </c>
    </row>
    <row r="1541" spans="1:21">
      <c r="A1541" s="61" t="str">
        <f ca="1">IF(ISERROR(MATCH(F1541,Код_КВР,0)),"",INDIRECT(ADDRESS(MATCH(F1541,Код_КВР,0)+1,2,,,"КВР")))</f>
        <v>Бюджетные инвестиции</v>
      </c>
      <c r="B1541" s="126">
        <v>811</v>
      </c>
      <c r="C1541" s="8" t="s">
        <v>214</v>
      </c>
      <c r="D1541" s="8" t="s">
        <v>217</v>
      </c>
      <c r="E1541" s="126" t="s">
        <v>650</v>
      </c>
      <c r="F1541" s="126">
        <v>410</v>
      </c>
      <c r="G1541" s="69"/>
      <c r="H1541" s="69"/>
      <c r="I1541" s="69"/>
      <c r="J1541" s="69"/>
      <c r="K1541" s="84"/>
      <c r="L1541" s="13"/>
      <c r="M1541" s="84"/>
      <c r="N1541" s="13"/>
      <c r="O1541" s="84"/>
      <c r="P1541" s="13"/>
      <c r="Q1541" s="84"/>
      <c r="R1541" s="13">
        <f>R1542</f>
        <v>524.70000000000005</v>
      </c>
      <c r="S1541" s="84">
        <f t="shared" si="327"/>
        <v>524.70000000000005</v>
      </c>
      <c r="T1541" s="13">
        <f>T1542</f>
        <v>-130.69999999999999</v>
      </c>
      <c r="U1541" s="84">
        <f t="shared" si="338"/>
        <v>394.00000000000006</v>
      </c>
    </row>
    <row r="1542" spans="1:21" ht="33">
      <c r="A1542" s="61" t="str">
        <f ca="1">IF(ISERROR(MATCH(F1542,Код_КВР,0)),"",INDIRECT(ADDRESS(MATCH(F1542,Код_КВР,0)+1,2,,,"КВР")))</f>
        <v>Бюджетные инвестиции в объекты капитального строительства муниципальной собственности</v>
      </c>
      <c r="B1542" s="126">
        <v>811</v>
      </c>
      <c r="C1542" s="8" t="s">
        <v>214</v>
      </c>
      <c r="D1542" s="8" t="s">
        <v>217</v>
      </c>
      <c r="E1542" s="126" t="s">
        <v>650</v>
      </c>
      <c r="F1542" s="126">
        <v>414</v>
      </c>
      <c r="G1542" s="69"/>
      <c r="H1542" s="69"/>
      <c r="I1542" s="69"/>
      <c r="J1542" s="69"/>
      <c r="K1542" s="84"/>
      <c r="L1542" s="13"/>
      <c r="M1542" s="84"/>
      <c r="N1542" s="13"/>
      <c r="O1542" s="84"/>
      <c r="P1542" s="13"/>
      <c r="Q1542" s="84"/>
      <c r="R1542" s="13">
        <f>524.7</f>
        <v>524.70000000000005</v>
      </c>
      <c r="S1542" s="84">
        <f t="shared" si="327"/>
        <v>524.70000000000005</v>
      </c>
      <c r="T1542" s="13">
        <v>-130.69999999999999</v>
      </c>
      <c r="U1542" s="84">
        <f t="shared" si="338"/>
        <v>394.00000000000006</v>
      </c>
    </row>
    <row r="1543" spans="1:21">
      <c r="A1543" s="61" t="str">
        <f ca="1">IF(ISERROR(MATCH(E1543,Код_КЦСР,0)),"",INDIRECT(ADDRESS(MATCH(E1543,Код_КЦСР,0)+1,2,,,"КЦСР")))</f>
        <v>Реконструкция ул. Данилова</v>
      </c>
      <c r="B1543" s="126">
        <v>811</v>
      </c>
      <c r="C1543" s="8" t="s">
        <v>214</v>
      </c>
      <c r="D1543" s="8" t="s">
        <v>217</v>
      </c>
      <c r="E1543" s="126" t="s">
        <v>652</v>
      </c>
      <c r="F1543" s="126"/>
      <c r="G1543" s="69"/>
      <c r="H1543" s="69"/>
      <c r="I1543" s="69"/>
      <c r="J1543" s="69"/>
      <c r="K1543" s="84"/>
      <c r="L1543" s="13"/>
      <c r="M1543" s="84"/>
      <c r="N1543" s="13"/>
      <c r="O1543" s="84"/>
      <c r="P1543" s="13"/>
      <c r="Q1543" s="84"/>
      <c r="R1543" s="13">
        <f>R1544</f>
        <v>518.4</v>
      </c>
      <c r="S1543" s="84">
        <f t="shared" si="327"/>
        <v>518.4</v>
      </c>
      <c r="T1543" s="13">
        <f>T1544</f>
        <v>-191</v>
      </c>
      <c r="U1543" s="84">
        <f t="shared" si="338"/>
        <v>327.39999999999998</v>
      </c>
    </row>
    <row r="1544" spans="1:21" ht="33">
      <c r="A1544" s="61" t="str">
        <f ca="1">IF(ISERROR(MATCH(F1544,Код_КВР,0)),"",INDIRECT(ADDRESS(MATCH(F1544,Код_КВР,0)+1,2,,,"КВР")))</f>
        <v>Капитальные вложения в объекты недвижимого имущества муниципальной собственности</v>
      </c>
      <c r="B1544" s="126">
        <v>811</v>
      </c>
      <c r="C1544" s="8" t="s">
        <v>214</v>
      </c>
      <c r="D1544" s="8" t="s">
        <v>217</v>
      </c>
      <c r="E1544" s="126" t="s">
        <v>652</v>
      </c>
      <c r="F1544" s="126">
        <v>400</v>
      </c>
      <c r="G1544" s="69"/>
      <c r="H1544" s="69"/>
      <c r="I1544" s="69"/>
      <c r="J1544" s="69"/>
      <c r="K1544" s="84"/>
      <c r="L1544" s="13"/>
      <c r="M1544" s="84"/>
      <c r="N1544" s="13"/>
      <c r="O1544" s="84"/>
      <c r="P1544" s="13"/>
      <c r="Q1544" s="84"/>
      <c r="R1544" s="13">
        <f>R1545</f>
        <v>518.4</v>
      </c>
      <c r="S1544" s="84">
        <f t="shared" si="327"/>
        <v>518.4</v>
      </c>
      <c r="T1544" s="13">
        <f>T1545</f>
        <v>-191</v>
      </c>
      <c r="U1544" s="84">
        <f t="shared" si="338"/>
        <v>327.39999999999998</v>
      </c>
    </row>
    <row r="1545" spans="1:21">
      <c r="A1545" s="61" t="str">
        <f ca="1">IF(ISERROR(MATCH(F1545,Код_КВР,0)),"",INDIRECT(ADDRESS(MATCH(F1545,Код_КВР,0)+1,2,,,"КВР")))</f>
        <v>Бюджетные инвестиции</v>
      </c>
      <c r="B1545" s="126">
        <v>811</v>
      </c>
      <c r="C1545" s="8" t="s">
        <v>214</v>
      </c>
      <c r="D1545" s="8" t="s">
        <v>217</v>
      </c>
      <c r="E1545" s="126" t="s">
        <v>652</v>
      </c>
      <c r="F1545" s="126">
        <v>410</v>
      </c>
      <c r="G1545" s="69"/>
      <c r="H1545" s="69"/>
      <c r="I1545" s="69"/>
      <c r="J1545" s="69"/>
      <c r="K1545" s="84"/>
      <c r="L1545" s="13"/>
      <c r="M1545" s="84"/>
      <c r="N1545" s="13"/>
      <c r="O1545" s="84"/>
      <c r="P1545" s="13"/>
      <c r="Q1545" s="84"/>
      <c r="R1545" s="13">
        <f>R1546</f>
        <v>518.4</v>
      </c>
      <c r="S1545" s="84">
        <f t="shared" si="327"/>
        <v>518.4</v>
      </c>
      <c r="T1545" s="13">
        <f>T1546</f>
        <v>-191</v>
      </c>
      <c r="U1545" s="84">
        <f t="shared" si="338"/>
        <v>327.39999999999998</v>
      </c>
    </row>
    <row r="1546" spans="1:21" ht="33">
      <c r="A1546" s="61" t="str">
        <f ca="1">IF(ISERROR(MATCH(F1546,Код_КВР,0)),"",INDIRECT(ADDRESS(MATCH(F1546,Код_КВР,0)+1,2,,,"КВР")))</f>
        <v>Бюджетные инвестиции в объекты капитального строительства муниципальной собственности</v>
      </c>
      <c r="B1546" s="126">
        <v>811</v>
      </c>
      <c r="C1546" s="8" t="s">
        <v>214</v>
      </c>
      <c r="D1546" s="8" t="s">
        <v>217</v>
      </c>
      <c r="E1546" s="126" t="s">
        <v>652</v>
      </c>
      <c r="F1546" s="126">
        <v>414</v>
      </c>
      <c r="G1546" s="69"/>
      <c r="H1546" s="69"/>
      <c r="I1546" s="69"/>
      <c r="J1546" s="69"/>
      <c r="K1546" s="84"/>
      <c r="L1546" s="13"/>
      <c r="M1546" s="84"/>
      <c r="N1546" s="13"/>
      <c r="O1546" s="84"/>
      <c r="P1546" s="13"/>
      <c r="Q1546" s="84"/>
      <c r="R1546" s="13">
        <f>518.4</f>
        <v>518.4</v>
      </c>
      <c r="S1546" s="84">
        <f t="shared" si="327"/>
        <v>518.4</v>
      </c>
      <c r="T1546" s="13">
        <v>-191</v>
      </c>
      <c r="U1546" s="84">
        <f t="shared" si="338"/>
        <v>327.39999999999998</v>
      </c>
    </row>
    <row r="1547" spans="1:21">
      <c r="A1547" s="12" t="s">
        <v>228</v>
      </c>
      <c r="B1547" s="126">
        <v>811</v>
      </c>
      <c r="C1547" s="8" t="s">
        <v>214</v>
      </c>
      <c r="D1547" s="8" t="s">
        <v>186</v>
      </c>
      <c r="E1547" s="126"/>
      <c r="F1547" s="126"/>
      <c r="G1547" s="69"/>
      <c r="H1547" s="69"/>
      <c r="I1547" s="69"/>
      <c r="J1547" s="69"/>
      <c r="K1547" s="84"/>
      <c r="L1547" s="13">
        <f>L1548</f>
        <v>1150</v>
      </c>
      <c r="M1547" s="84">
        <f t="shared" si="336"/>
        <v>1150</v>
      </c>
      <c r="N1547" s="13">
        <f>N1548</f>
        <v>0</v>
      </c>
      <c r="O1547" s="84">
        <f t="shared" si="337"/>
        <v>1150</v>
      </c>
      <c r="P1547" s="13">
        <f>P1548</f>
        <v>0</v>
      </c>
      <c r="Q1547" s="84">
        <f t="shared" si="331"/>
        <v>1150</v>
      </c>
      <c r="R1547" s="13">
        <f>R1548</f>
        <v>-56.3</v>
      </c>
      <c r="S1547" s="84">
        <f t="shared" si="327"/>
        <v>1093.7</v>
      </c>
      <c r="T1547" s="13">
        <f>T1548</f>
        <v>-98.7</v>
      </c>
      <c r="U1547" s="84">
        <f t="shared" si="338"/>
        <v>995</v>
      </c>
    </row>
    <row r="1548" spans="1:21" ht="49.5">
      <c r="A1548" s="61" t="str">
        <f ca="1">IF(ISERROR(MATCH(E1548,Код_КЦСР,0)),"",INDIRECT(ADDRESS(MATCH(E1548,Код_КЦСР,0)+1,2,,,"КЦСР")))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48" s="126">
        <v>811</v>
      </c>
      <c r="C1548" s="8" t="s">
        <v>214</v>
      </c>
      <c r="D1548" s="8" t="s">
        <v>186</v>
      </c>
      <c r="E1548" s="126" t="s">
        <v>68</v>
      </c>
      <c r="F1548" s="126"/>
      <c r="G1548" s="69"/>
      <c r="H1548" s="69"/>
      <c r="I1548" s="69"/>
      <c r="J1548" s="69"/>
      <c r="K1548" s="84"/>
      <c r="L1548" s="13">
        <f t="shared" ref="L1548:T1552" si="341">L1549</f>
        <v>1150</v>
      </c>
      <c r="M1548" s="84">
        <f t="shared" si="336"/>
        <v>1150</v>
      </c>
      <c r="N1548" s="13">
        <f t="shared" si="341"/>
        <v>0</v>
      </c>
      <c r="O1548" s="84">
        <f t="shared" si="337"/>
        <v>1150</v>
      </c>
      <c r="P1548" s="13">
        <f t="shared" si="341"/>
        <v>0</v>
      </c>
      <c r="Q1548" s="84">
        <f t="shared" si="331"/>
        <v>1150</v>
      </c>
      <c r="R1548" s="13">
        <f t="shared" si="341"/>
        <v>-56.3</v>
      </c>
      <c r="S1548" s="84">
        <f t="shared" si="327"/>
        <v>1093.7</v>
      </c>
      <c r="T1548" s="13">
        <f t="shared" si="341"/>
        <v>-98.7</v>
      </c>
      <c r="U1548" s="84">
        <f t="shared" si="338"/>
        <v>995</v>
      </c>
    </row>
    <row r="1549" spans="1:21" ht="33">
      <c r="A1549" s="61" t="str">
        <f ca="1">IF(ISERROR(MATCH(E1549,Код_КЦСР,0)),"",INDIRECT(ADDRESS(MATCH(E1549,Код_КЦСР,0)+1,2,,,"КЦСР")))</f>
        <v>Капитальное строительство и реконструкция объектов муниципальной собственности</v>
      </c>
      <c r="B1549" s="126">
        <v>811</v>
      </c>
      <c r="C1549" s="8" t="s">
        <v>214</v>
      </c>
      <c r="D1549" s="8" t="s">
        <v>186</v>
      </c>
      <c r="E1549" s="126" t="s">
        <v>70</v>
      </c>
      <c r="F1549" s="126"/>
      <c r="G1549" s="69"/>
      <c r="H1549" s="69"/>
      <c r="I1549" s="69"/>
      <c r="J1549" s="69"/>
      <c r="K1549" s="84"/>
      <c r="L1549" s="13">
        <f t="shared" si="341"/>
        <v>1150</v>
      </c>
      <c r="M1549" s="84">
        <f t="shared" si="336"/>
        <v>1150</v>
      </c>
      <c r="N1549" s="13">
        <f t="shared" si="341"/>
        <v>0</v>
      </c>
      <c r="O1549" s="84">
        <f t="shared" si="337"/>
        <v>1150</v>
      </c>
      <c r="P1549" s="13">
        <f t="shared" si="341"/>
        <v>0</v>
      </c>
      <c r="Q1549" s="84">
        <f t="shared" si="331"/>
        <v>1150</v>
      </c>
      <c r="R1549" s="13">
        <f t="shared" si="341"/>
        <v>-56.3</v>
      </c>
      <c r="S1549" s="84">
        <f t="shared" si="327"/>
        <v>1093.7</v>
      </c>
      <c r="T1549" s="13">
        <f t="shared" si="341"/>
        <v>-98.7</v>
      </c>
      <c r="U1549" s="84">
        <f t="shared" si="338"/>
        <v>995</v>
      </c>
    </row>
    <row r="1550" spans="1:21">
      <c r="A1550" s="61" t="str">
        <f ca="1">IF(ISERROR(MATCH(E1550,Код_КЦСР,0)),"",INDIRECT(ADDRESS(MATCH(E1550,Код_КЦСР,0)+1,2,,,"КЦСР")))</f>
        <v>Строительство объектов сметной стоимостью до 100 млн. рублей</v>
      </c>
      <c r="B1550" s="126">
        <v>811</v>
      </c>
      <c r="C1550" s="8" t="s">
        <v>214</v>
      </c>
      <c r="D1550" s="8" t="s">
        <v>186</v>
      </c>
      <c r="E1550" s="126" t="s">
        <v>71</v>
      </c>
      <c r="F1550" s="126"/>
      <c r="G1550" s="69"/>
      <c r="H1550" s="69"/>
      <c r="I1550" s="69"/>
      <c r="J1550" s="69"/>
      <c r="K1550" s="84"/>
      <c r="L1550" s="13">
        <f t="shared" si="341"/>
        <v>1150</v>
      </c>
      <c r="M1550" s="84">
        <f t="shared" si="336"/>
        <v>1150</v>
      </c>
      <c r="N1550" s="13">
        <f t="shared" si="341"/>
        <v>0</v>
      </c>
      <c r="O1550" s="84">
        <f t="shared" si="337"/>
        <v>1150</v>
      </c>
      <c r="P1550" s="13">
        <f t="shared" si="341"/>
        <v>0</v>
      </c>
      <c r="Q1550" s="84">
        <f t="shared" si="331"/>
        <v>1150</v>
      </c>
      <c r="R1550" s="13">
        <f t="shared" si="341"/>
        <v>-56.3</v>
      </c>
      <c r="S1550" s="84">
        <f t="shared" si="327"/>
        <v>1093.7</v>
      </c>
      <c r="T1550" s="13">
        <f t="shared" si="341"/>
        <v>-98.7</v>
      </c>
      <c r="U1550" s="84">
        <f t="shared" si="338"/>
        <v>995</v>
      </c>
    </row>
    <row r="1551" spans="1:21" ht="33">
      <c r="A1551" s="61" t="str">
        <f ca="1">IF(ISERROR(MATCH(F1551,Код_КВР,0)),"",INDIRECT(ADDRESS(MATCH(F1551,Код_КВР,0)+1,2,,,"КВР")))</f>
        <v>Капитальные вложения в объекты недвижимого имущества муниципальной собственности</v>
      </c>
      <c r="B1551" s="126">
        <v>811</v>
      </c>
      <c r="C1551" s="8" t="s">
        <v>214</v>
      </c>
      <c r="D1551" s="8" t="s">
        <v>186</v>
      </c>
      <c r="E1551" s="126" t="s">
        <v>71</v>
      </c>
      <c r="F1551" s="126">
        <v>400</v>
      </c>
      <c r="G1551" s="69"/>
      <c r="H1551" s="69"/>
      <c r="I1551" s="69"/>
      <c r="J1551" s="69"/>
      <c r="K1551" s="84"/>
      <c r="L1551" s="13">
        <f t="shared" si="341"/>
        <v>1150</v>
      </c>
      <c r="M1551" s="84">
        <f t="shared" si="336"/>
        <v>1150</v>
      </c>
      <c r="N1551" s="13">
        <f t="shared" si="341"/>
        <v>0</v>
      </c>
      <c r="O1551" s="84">
        <f t="shared" si="337"/>
        <v>1150</v>
      </c>
      <c r="P1551" s="13">
        <f t="shared" si="341"/>
        <v>0</v>
      </c>
      <c r="Q1551" s="84">
        <f t="shared" si="331"/>
        <v>1150</v>
      </c>
      <c r="R1551" s="13">
        <f t="shared" si="341"/>
        <v>-56.3</v>
      </c>
      <c r="S1551" s="84">
        <f t="shared" si="327"/>
        <v>1093.7</v>
      </c>
      <c r="T1551" s="13">
        <f t="shared" si="341"/>
        <v>-98.7</v>
      </c>
      <c r="U1551" s="84">
        <f t="shared" si="338"/>
        <v>995</v>
      </c>
    </row>
    <row r="1552" spans="1:21">
      <c r="A1552" s="61" t="str">
        <f ca="1">IF(ISERROR(MATCH(F1552,Код_КВР,0)),"",INDIRECT(ADDRESS(MATCH(F1552,Код_КВР,0)+1,2,,,"КВР")))</f>
        <v>Бюджетные инвестиции</v>
      </c>
      <c r="B1552" s="126">
        <v>811</v>
      </c>
      <c r="C1552" s="8" t="s">
        <v>214</v>
      </c>
      <c r="D1552" s="8" t="s">
        <v>186</v>
      </c>
      <c r="E1552" s="126" t="s">
        <v>71</v>
      </c>
      <c r="F1552" s="126">
        <v>410</v>
      </c>
      <c r="G1552" s="69"/>
      <c r="H1552" s="69"/>
      <c r="I1552" s="69"/>
      <c r="J1552" s="69"/>
      <c r="K1552" s="84"/>
      <c r="L1552" s="13">
        <f t="shared" si="341"/>
        <v>1150</v>
      </c>
      <c r="M1552" s="84">
        <f t="shared" si="336"/>
        <v>1150</v>
      </c>
      <c r="N1552" s="13">
        <f t="shared" si="341"/>
        <v>0</v>
      </c>
      <c r="O1552" s="84">
        <f t="shared" si="337"/>
        <v>1150</v>
      </c>
      <c r="P1552" s="13">
        <f t="shared" si="341"/>
        <v>0</v>
      </c>
      <c r="Q1552" s="84">
        <f t="shared" si="331"/>
        <v>1150</v>
      </c>
      <c r="R1552" s="13">
        <f t="shared" si="341"/>
        <v>-56.3</v>
      </c>
      <c r="S1552" s="84">
        <f t="shared" si="327"/>
        <v>1093.7</v>
      </c>
      <c r="T1552" s="13">
        <f t="shared" si="341"/>
        <v>-98.7</v>
      </c>
      <c r="U1552" s="84">
        <f t="shared" si="338"/>
        <v>995</v>
      </c>
    </row>
    <row r="1553" spans="1:22" ht="33">
      <c r="A1553" s="61" t="str">
        <f ca="1">IF(ISERROR(MATCH(F1553,Код_КВР,0)),"",INDIRECT(ADDRESS(MATCH(F1553,Код_КВР,0)+1,2,,,"КВР")))</f>
        <v>Бюджетные инвестиции в объекты капитального строительства муниципальной собственности</v>
      </c>
      <c r="B1553" s="126">
        <v>811</v>
      </c>
      <c r="C1553" s="8" t="s">
        <v>214</v>
      </c>
      <c r="D1553" s="8" t="s">
        <v>186</v>
      </c>
      <c r="E1553" s="126" t="s">
        <v>71</v>
      </c>
      <c r="F1553" s="126">
        <v>414</v>
      </c>
      <c r="G1553" s="69"/>
      <c r="H1553" s="69"/>
      <c r="I1553" s="69"/>
      <c r="J1553" s="69"/>
      <c r="K1553" s="84"/>
      <c r="L1553" s="13">
        <v>1150</v>
      </c>
      <c r="M1553" s="84">
        <f t="shared" si="336"/>
        <v>1150</v>
      </c>
      <c r="N1553" s="13"/>
      <c r="O1553" s="84">
        <f t="shared" si="337"/>
        <v>1150</v>
      </c>
      <c r="P1553" s="13"/>
      <c r="Q1553" s="84">
        <f t="shared" si="331"/>
        <v>1150</v>
      </c>
      <c r="R1553" s="13">
        <v>-56.3</v>
      </c>
      <c r="S1553" s="84">
        <f t="shared" si="327"/>
        <v>1093.7</v>
      </c>
      <c r="T1553" s="13">
        <f>-98.7</f>
        <v>-98.7</v>
      </c>
      <c r="U1553" s="84">
        <f t="shared" si="338"/>
        <v>995</v>
      </c>
    </row>
    <row r="1554" spans="1:22">
      <c r="A1554" s="12" t="s">
        <v>221</v>
      </c>
      <c r="B1554" s="126">
        <v>811</v>
      </c>
      <c r="C1554" s="8" t="s">
        <v>214</v>
      </c>
      <c r="D1554" s="8" t="s">
        <v>194</v>
      </c>
      <c r="E1554" s="126"/>
      <c r="F1554" s="126"/>
      <c r="G1554" s="69">
        <f>G1555+G1560+G1565+G1589</f>
        <v>87432.199999999983</v>
      </c>
      <c r="H1554" s="69">
        <f>H1555+H1560+H1565+H1589</f>
        <v>0</v>
      </c>
      <c r="I1554" s="69">
        <f t="shared" si="330"/>
        <v>87432.199999999983</v>
      </c>
      <c r="J1554" s="69">
        <f>J1555+J1560+J1565+J1589</f>
        <v>594.6</v>
      </c>
      <c r="K1554" s="84">
        <f t="shared" si="326"/>
        <v>88026.799999999988</v>
      </c>
      <c r="L1554" s="13">
        <f>L1555+L1560+L1565+L1589</f>
        <v>13.300000000000011</v>
      </c>
      <c r="M1554" s="84">
        <f t="shared" si="336"/>
        <v>88040.099999999991</v>
      </c>
      <c r="N1554" s="13">
        <f>N1555+N1560+N1565+N1589</f>
        <v>-70.2</v>
      </c>
      <c r="O1554" s="84">
        <f t="shared" si="337"/>
        <v>87969.9</v>
      </c>
      <c r="P1554" s="13">
        <f>P1555+P1560+P1565+P1589</f>
        <v>0</v>
      </c>
      <c r="Q1554" s="84">
        <f t="shared" si="331"/>
        <v>87969.9</v>
      </c>
      <c r="R1554" s="13">
        <f>R1555+R1560+R1565+R1589</f>
        <v>3268.1000000000004</v>
      </c>
      <c r="S1554" s="84">
        <f t="shared" si="327"/>
        <v>91238</v>
      </c>
      <c r="T1554" s="13">
        <f>T1555+T1560+T1565+T1589</f>
        <v>4877.9000000000005</v>
      </c>
      <c r="U1554" s="84">
        <f t="shared" si="338"/>
        <v>96115.9</v>
      </c>
    </row>
    <row r="1555" spans="1:22" ht="33" hidden="1">
      <c r="A1555" s="61" t="str">
        <f ca="1">IF(ISERROR(MATCH(E1555,Код_КЦСР,0)),"",INDIRECT(ADDRESS(MATCH(E1555,Код_КЦСР,0)+1,2,,,"КЦСР")))</f>
        <v>Муниципальная программа «Развитие внутреннего и въездного туризма в г. Череповце» на 2014-2022 годы</v>
      </c>
      <c r="B1555" s="100">
        <v>811</v>
      </c>
      <c r="C1555" s="8" t="s">
        <v>214</v>
      </c>
      <c r="D1555" s="8" t="s">
        <v>194</v>
      </c>
      <c r="E1555" s="100" t="s">
        <v>1</v>
      </c>
      <c r="F1555" s="100"/>
      <c r="G1555" s="69">
        <f t="shared" ref="G1555:T1558" si="342">G1556</f>
        <v>0</v>
      </c>
      <c r="H1555" s="69">
        <f t="shared" si="342"/>
        <v>0</v>
      </c>
      <c r="I1555" s="69">
        <f t="shared" si="330"/>
        <v>0</v>
      </c>
      <c r="J1555" s="69">
        <f t="shared" si="342"/>
        <v>0</v>
      </c>
      <c r="K1555" s="84">
        <f t="shared" si="326"/>
        <v>0</v>
      </c>
      <c r="L1555" s="13">
        <f t="shared" si="342"/>
        <v>0</v>
      </c>
      <c r="M1555" s="84">
        <f t="shared" si="336"/>
        <v>0</v>
      </c>
      <c r="N1555" s="13">
        <f t="shared" si="342"/>
        <v>0</v>
      </c>
      <c r="O1555" s="84">
        <f t="shared" si="337"/>
        <v>0</v>
      </c>
      <c r="P1555" s="13">
        <f t="shared" si="342"/>
        <v>0</v>
      </c>
      <c r="Q1555" s="84">
        <f t="shared" si="331"/>
        <v>0</v>
      </c>
      <c r="R1555" s="13">
        <f t="shared" si="342"/>
        <v>0</v>
      </c>
      <c r="S1555" s="84">
        <f t="shared" si="327"/>
        <v>0</v>
      </c>
      <c r="T1555" s="13">
        <f t="shared" si="342"/>
        <v>0</v>
      </c>
      <c r="U1555" s="84">
        <f t="shared" si="338"/>
        <v>0</v>
      </c>
      <c r="V1555" s="142" t="s">
        <v>706</v>
      </c>
    </row>
    <row r="1556" spans="1:22" hidden="1">
      <c r="A1556" s="61" t="str">
        <f ca="1">IF(ISERROR(MATCH(E1556,Код_КЦСР,0)),"",INDIRECT(ADDRESS(MATCH(E1556,Код_КЦСР,0)+1,2,,,"КЦСР")))</f>
        <v>Продвижение городского туристского продукта на российском рынке</v>
      </c>
      <c r="B1556" s="100">
        <v>811</v>
      </c>
      <c r="C1556" s="8" t="s">
        <v>214</v>
      </c>
      <c r="D1556" s="8" t="s">
        <v>194</v>
      </c>
      <c r="E1556" s="100" t="s">
        <v>2</v>
      </c>
      <c r="F1556" s="100"/>
      <c r="G1556" s="69">
        <f t="shared" si="342"/>
        <v>0</v>
      </c>
      <c r="H1556" s="69">
        <f t="shared" si="342"/>
        <v>0</v>
      </c>
      <c r="I1556" s="69">
        <f t="shared" si="330"/>
        <v>0</v>
      </c>
      <c r="J1556" s="69">
        <f t="shared" si="342"/>
        <v>0</v>
      </c>
      <c r="K1556" s="84">
        <f t="shared" si="326"/>
        <v>0</v>
      </c>
      <c r="L1556" s="13">
        <f t="shared" si="342"/>
        <v>0</v>
      </c>
      <c r="M1556" s="84">
        <f t="shared" si="336"/>
        <v>0</v>
      </c>
      <c r="N1556" s="13">
        <f t="shared" si="342"/>
        <v>0</v>
      </c>
      <c r="O1556" s="84">
        <f t="shared" si="337"/>
        <v>0</v>
      </c>
      <c r="P1556" s="13">
        <f t="shared" si="342"/>
        <v>0</v>
      </c>
      <c r="Q1556" s="84">
        <f t="shared" si="331"/>
        <v>0</v>
      </c>
      <c r="R1556" s="13">
        <f t="shared" si="342"/>
        <v>0</v>
      </c>
      <c r="S1556" s="84">
        <f t="shared" si="327"/>
        <v>0</v>
      </c>
      <c r="T1556" s="13">
        <f t="shared" si="342"/>
        <v>0</v>
      </c>
      <c r="U1556" s="84">
        <f t="shared" si="338"/>
        <v>0</v>
      </c>
      <c r="V1556" s="142" t="s">
        <v>706</v>
      </c>
    </row>
    <row r="1557" spans="1:22" hidden="1">
      <c r="A1557" s="61" t="str">
        <f ca="1">IF(ISERROR(MATCH(F1557,Код_КВР,0)),"",INDIRECT(ADDRESS(MATCH(F1557,Код_КВР,0)+1,2,,,"КВР")))</f>
        <v>Закупка товаров, работ и услуг для муниципальных нужд</v>
      </c>
      <c r="B1557" s="100">
        <v>811</v>
      </c>
      <c r="C1557" s="8" t="s">
        <v>214</v>
      </c>
      <c r="D1557" s="8" t="s">
        <v>194</v>
      </c>
      <c r="E1557" s="100" t="s">
        <v>2</v>
      </c>
      <c r="F1557" s="100">
        <v>200</v>
      </c>
      <c r="G1557" s="69">
        <f t="shared" si="342"/>
        <v>0</v>
      </c>
      <c r="H1557" s="69">
        <f t="shared" si="342"/>
        <v>0</v>
      </c>
      <c r="I1557" s="69">
        <f t="shared" si="330"/>
        <v>0</v>
      </c>
      <c r="J1557" s="69">
        <f t="shared" si="342"/>
        <v>0</v>
      </c>
      <c r="K1557" s="84">
        <f t="shared" si="326"/>
        <v>0</v>
      </c>
      <c r="L1557" s="13">
        <f t="shared" si="342"/>
        <v>0</v>
      </c>
      <c r="M1557" s="84">
        <f t="shared" si="336"/>
        <v>0</v>
      </c>
      <c r="N1557" s="13">
        <f t="shared" si="342"/>
        <v>0</v>
      </c>
      <c r="O1557" s="84">
        <f t="shared" si="337"/>
        <v>0</v>
      </c>
      <c r="P1557" s="13">
        <f t="shared" si="342"/>
        <v>0</v>
      </c>
      <c r="Q1557" s="84">
        <f t="shared" si="331"/>
        <v>0</v>
      </c>
      <c r="R1557" s="13">
        <f t="shared" si="342"/>
        <v>0</v>
      </c>
      <c r="S1557" s="84">
        <f t="shared" si="327"/>
        <v>0</v>
      </c>
      <c r="T1557" s="13">
        <f t="shared" si="342"/>
        <v>0</v>
      </c>
      <c r="U1557" s="84">
        <f t="shared" si="338"/>
        <v>0</v>
      </c>
      <c r="V1557" s="142" t="s">
        <v>706</v>
      </c>
    </row>
    <row r="1558" spans="1:22" ht="33" hidden="1">
      <c r="A1558" s="61" t="str">
        <f ca="1">IF(ISERROR(MATCH(F1558,Код_КВР,0)),"",INDIRECT(ADDRESS(MATCH(F1558,Код_КВР,0)+1,2,,,"КВР")))</f>
        <v>Иные закупки товаров, работ и услуг для обеспечения муниципальных нужд</v>
      </c>
      <c r="B1558" s="100">
        <v>811</v>
      </c>
      <c r="C1558" s="8" t="s">
        <v>214</v>
      </c>
      <c r="D1558" s="8" t="s">
        <v>194</v>
      </c>
      <c r="E1558" s="100" t="s">
        <v>2</v>
      </c>
      <c r="F1558" s="100">
        <v>240</v>
      </c>
      <c r="G1558" s="69">
        <f t="shared" si="342"/>
        <v>0</v>
      </c>
      <c r="H1558" s="69">
        <f t="shared" si="342"/>
        <v>0</v>
      </c>
      <c r="I1558" s="69">
        <f t="shared" si="330"/>
        <v>0</v>
      </c>
      <c r="J1558" s="69">
        <f t="shared" si="342"/>
        <v>0</v>
      </c>
      <c r="K1558" s="84">
        <f t="shared" si="326"/>
        <v>0</v>
      </c>
      <c r="L1558" s="13">
        <f t="shared" si="342"/>
        <v>0</v>
      </c>
      <c r="M1558" s="84">
        <f t="shared" si="336"/>
        <v>0</v>
      </c>
      <c r="N1558" s="13">
        <f t="shared" si="342"/>
        <v>0</v>
      </c>
      <c r="O1558" s="84">
        <f t="shared" si="337"/>
        <v>0</v>
      </c>
      <c r="P1558" s="13">
        <f t="shared" si="342"/>
        <v>0</v>
      </c>
      <c r="Q1558" s="84">
        <f t="shared" si="331"/>
        <v>0</v>
      </c>
      <c r="R1558" s="13">
        <f t="shared" si="342"/>
        <v>0</v>
      </c>
      <c r="S1558" s="84">
        <f t="shared" ref="S1558:S1636" si="343">Q1558+R1558</f>
        <v>0</v>
      </c>
      <c r="T1558" s="13">
        <f t="shared" si="342"/>
        <v>0</v>
      </c>
      <c r="U1558" s="84">
        <f t="shared" si="338"/>
        <v>0</v>
      </c>
      <c r="V1558" s="142" t="s">
        <v>706</v>
      </c>
    </row>
    <row r="1559" spans="1:22" ht="33" hidden="1">
      <c r="A1559" s="61" t="str">
        <f ca="1">IF(ISERROR(MATCH(F1559,Код_КВР,0)),"",INDIRECT(ADDRESS(MATCH(F1559,Код_КВР,0)+1,2,,,"КВР")))</f>
        <v xml:space="preserve">Прочая закупка товаров, работ и услуг для обеспечения муниципальных нужд         </v>
      </c>
      <c r="B1559" s="100">
        <v>811</v>
      </c>
      <c r="C1559" s="8" t="s">
        <v>214</v>
      </c>
      <c r="D1559" s="8" t="s">
        <v>194</v>
      </c>
      <c r="E1559" s="100" t="s">
        <v>2</v>
      </c>
      <c r="F1559" s="100">
        <v>244</v>
      </c>
      <c r="G1559" s="69"/>
      <c r="H1559" s="69"/>
      <c r="I1559" s="69">
        <f t="shared" si="330"/>
        <v>0</v>
      </c>
      <c r="J1559" s="69"/>
      <c r="K1559" s="84">
        <f t="shared" ref="K1559:K1645" si="344">I1559+J1559</f>
        <v>0</v>
      </c>
      <c r="L1559" s="13"/>
      <c r="M1559" s="84">
        <f t="shared" si="336"/>
        <v>0</v>
      </c>
      <c r="N1559" s="13"/>
      <c r="O1559" s="84">
        <f t="shared" si="337"/>
        <v>0</v>
      </c>
      <c r="P1559" s="13"/>
      <c r="Q1559" s="84">
        <f t="shared" si="331"/>
        <v>0</v>
      </c>
      <c r="R1559" s="13"/>
      <c r="S1559" s="84">
        <f t="shared" si="343"/>
        <v>0</v>
      </c>
      <c r="T1559" s="13"/>
      <c r="U1559" s="84">
        <f t="shared" si="338"/>
        <v>0</v>
      </c>
      <c r="V1559" s="142" t="s">
        <v>706</v>
      </c>
    </row>
    <row r="1560" spans="1:22" ht="33">
      <c r="A1560" s="61" t="str">
        <f ca="1">IF(ISERROR(MATCH(E1560,Код_КЦСР,0)),"",INDIRECT(ADDRESS(MATCH(E1560,Код_КЦСР,0)+1,2,,,"КЦСР")))</f>
        <v>Муниципальная программа «Развитие земельно-имущественного комплекса  города Череповца» на 2014-2018 годы</v>
      </c>
      <c r="B1560" s="126">
        <v>811</v>
      </c>
      <c r="C1560" s="8" t="s">
        <v>214</v>
      </c>
      <c r="D1560" s="8" t="s">
        <v>194</v>
      </c>
      <c r="E1560" s="126" t="s">
        <v>60</v>
      </c>
      <c r="F1560" s="126"/>
      <c r="G1560" s="69">
        <f t="shared" ref="G1560:T1563" si="345">G1561</f>
        <v>728.2</v>
      </c>
      <c r="H1560" s="69">
        <f t="shared" si="345"/>
        <v>0</v>
      </c>
      <c r="I1560" s="69">
        <f t="shared" si="330"/>
        <v>728.2</v>
      </c>
      <c r="J1560" s="69">
        <f t="shared" si="345"/>
        <v>0</v>
      </c>
      <c r="K1560" s="84">
        <f t="shared" si="344"/>
        <v>728.2</v>
      </c>
      <c r="L1560" s="13">
        <f t="shared" si="345"/>
        <v>0</v>
      </c>
      <c r="M1560" s="84">
        <f t="shared" si="336"/>
        <v>728.2</v>
      </c>
      <c r="N1560" s="13">
        <f t="shared" si="345"/>
        <v>-70.2</v>
      </c>
      <c r="O1560" s="84">
        <f t="shared" si="337"/>
        <v>658</v>
      </c>
      <c r="P1560" s="13">
        <f t="shared" si="345"/>
        <v>0</v>
      </c>
      <c r="Q1560" s="84">
        <f t="shared" si="331"/>
        <v>658</v>
      </c>
      <c r="R1560" s="13">
        <f t="shared" si="345"/>
        <v>0</v>
      </c>
      <c r="S1560" s="84">
        <f t="shared" si="343"/>
        <v>658</v>
      </c>
      <c r="T1560" s="13">
        <f t="shared" si="345"/>
        <v>0</v>
      </c>
      <c r="U1560" s="84">
        <f t="shared" si="338"/>
        <v>658</v>
      </c>
    </row>
    <row r="1561" spans="1:22" ht="33">
      <c r="A1561" s="61" t="str">
        <f ca="1">IF(ISERROR(MATCH(E1561,Код_КЦСР,0)),"",INDIRECT(ADDRESS(MATCH(E1561,Код_КЦСР,0)+1,2,,,"КЦСР")))</f>
        <v>Обеспечение исполнения полномочий органа местного самоуправления в области наружной рекламы</v>
      </c>
      <c r="B1561" s="126">
        <v>811</v>
      </c>
      <c r="C1561" s="8" t="s">
        <v>214</v>
      </c>
      <c r="D1561" s="8" t="s">
        <v>194</v>
      </c>
      <c r="E1561" s="126" t="s">
        <v>66</v>
      </c>
      <c r="F1561" s="126"/>
      <c r="G1561" s="69">
        <f t="shared" si="345"/>
        <v>728.2</v>
      </c>
      <c r="H1561" s="69">
        <f t="shared" si="345"/>
        <v>0</v>
      </c>
      <c r="I1561" s="69">
        <f t="shared" si="330"/>
        <v>728.2</v>
      </c>
      <c r="J1561" s="69">
        <f t="shared" si="345"/>
        <v>0</v>
      </c>
      <c r="K1561" s="84">
        <f t="shared" si="344"/>
        <v>728.2</v>
      </c>
      <c r="L1561" s="13">
        <f t="shared" si="345"/>
        <v>0</v>
      </c>
      <c r="M1561" s="84">
        <f t="shared" si="336"/>
        <v>728.2</v>
      </c>
      <c r="N1561" s="13">
        <f t="shared" si="345"/>
        <v>-70.2</v>
      </c>
      <c r="O1561" s="84">
        <f t="shared" si="337"/>
        <v>658</v>
      </c>
      <c r="P1561" s="13">
        <f t="shared" si="345"/>
        <v>0</v>
      </c>
      <c r="Q1561" s="84">
        <f t="shared" si="331"/>
        <v>658</v>
      </c>
      <c r="R1561" s="13">
        <f t="shared" si="345"/>
        <v>0</v>
      </c>
      <c r="S1561" s="84">
        <f t="shared" si="343"/>
        <v>658</v>
      </c>
      <c r="T1561" s="13">
        <f t="shared" si="345"/>
        <v>0</v>
      </c>
      <c r="U1561" s="84">
        <f t="shared" si="338"/>
        <v>658</v>
      </c>
    </row>
    <row r="1562" spans="1:22">
      <c r="A1562" s="61" t="str">
        <f ca="1">IF(ISERROR(MATCH(F1562,Код_КВР,0)),"",INDIRECT(ADDRESS(MATCH(F1562,Код_КВР,0)+1,2,,,"КВР")))</f>
        <v>Закупка товаров, работ и услуг для муниципальных нужд</v>
      </c>
      <c r="B1562" s="126">
        <v>811</v>
      </c>
      <c r="C1562" s="8" t="s">
        <v>214</v>
      </c>
      <c r="D1562" s="8" t="s">
        <v>194</v>
      </c>
      <c r="E1562" s="126" t="s">
        <v>66</v>
      </c>
      <c r="F1562" s="126">
        <v>200</v>
      </c>
      <c r="G1562" s="69">
        <f t="shared" si="345"/>
        <v>728.2</v>
      </c>
      <c r="H1562" s="69">
        <f t="shared" si="345"/>
        <v>0</v>
      </c>
      <c r="I1562" s="69">
        <f t="shared" si="330"/>
        <v>728.2</v>
      </c>
      <c r="J1562" s="69">
        <f t="shared" si="345"/>
        <v>0</v>
      </c>
      <c r="K1562" s="84">
        <f t="shared" si="344"/>
        <v>728.2</v>
      </c>
      <c r="L1562" s="13">
        <f t="shared" si="345"/>
        <v>0</v>
      </c>
      <c r="M1562" s="84">
        <f t="shared" si="336"/>
        <v>728.2</v>
      </c>
      <c r="N1562" s="13">
        <f t="shared" si="345"/>
        <v>-70.2</v>
      </c>
      <c r="O1562" s="84">
        <f t="shared" si="337"/>
        <v>658</v>
      </c>
      <c r="P1562" s="13">
        <f t="shared" si="345"/>
        <v>0</v>
      </c>
      <c r="Q1562" s="84">
        <f t="shared" si="331"/>
        <v>658</v>
      </c>
      <c r="R1562" s="13">
        <f t="shared" si="345"/>
        <v>0</v>
      </c>
      <c r="S1562" s="84">
        <f t="shared" si="343"/>
        <v>658</v>
      </c>
      <c r="T1562" s="13">
        <f t="shared" si="345"/>
        <v>0</v>
      </c>
      <c r="U1562" s="84">
        <f t="shared" si="338"/>
        <v>658</v>
      </c>
    </row>
    <row r="1563" spans="1:22" ht="33">
      <c r="A1563" s="61" t="str">
        <f ca="1">IF(ISERROR(MATCH(F1563,Код_КВР,0)),"",INDIRECT(ADDRESS(MATCH(F1563,Код_КВР,0)+1,2,,,"КВР")))</f>
        <v>Иные закупки товаров, работ и услуг для обеспечения муниципальных нужд</v>
      </c>
      <c r="B1563" s="126">
        <v>811</v>
      </c>
      <c r="C1563" s="8" t="s">
        <v>214</v>
      </c>
      <c r="D1563" s="8" t="s">
        <v>194</v>
      </c>
      <c r="E1563" s="126" t="s">
        <v>66</v>
      </c>
      <c r="F1563" s="126">
        <v>240</v>
      </c>
      <c r="G1563" s="69">
        <f t="shared" si="345"/>
        <v>728.2</v>
      </c>
      <c r="H1563" s="69">
        <f t="shared" si="345"/>
        <v>0</v>
      </c>
      <c r="I1563" s="69">
        <f t="shared" si="330"/>
        <v>728.2</v>
      </c>
      <c r="J1563" s="69">
        <f t="shared" si="345"/>
        <v>0</v>
      </c>
      <c r="K1563" s="84">
        <f t="shared" si="344"/>
        <v>728.2</v>
      </c>
      <c r="L1563" s="13">
        <f t="shared" si="345"/>
        <v>0</v>
      </c>
      <c r="M1563" s="84">
        <f t="shared" si="336"/>
        <v>728.2</v>
      </c>
      <c r="N1563" s="13">
        <f t="shared" si="345"/>
        <v>-70.2</v>
      </c>
      <c r="O1563" s="84">
        <f t="shared" si="337"/>
        <v>658</v>
      </c>
      <c r="P1563" s="13">
        <f t="shared" si="345"/>
        <v>0</v>
      </c>
      <c r="Q1563" s="84">
        <f t="shared" si="331"/>
        <v>658</v>
      </c>
      <c r="R1563" s="13">
        <f t="shared" si="345"/>
        <v>0</v>
      </c>
      <c r="S1563" s="84">
        <f t="shared" si="343"/>
        <v>658</v>
      </c>
      <c r="T1563" s="13">
        <f t="shared" si="345"/>
        <v>0</v>
      </c>
      <c r="U1563" s="84">
        <f t="shared" si="338"/>
        <v>658</v>
      </c>
    </row>
    <row r="1564" spans="1:22" ht="33">
      <c r="A1564" s="61" t="str">
        <f ca="1">IF(ISERROR(MATCH(F1564,Код_КВР,0)),"",INDIRECT(ADDRESS(MATCH(F1564,Код_КВР,0)+1,2,,,"КВР")))</f>
        <v xml:space="preserve">Прочая закупка товаров, работ и услуг для обеспечения муниципальных нужд         </v>
      </c>
      <c r="B1564" s="126">
        <v>811</v>
      </c>
      <c r="C1564" s="8" t="s">
        <v>214</v>
      </c>
      <c r="D1564" s="8" t="s">
        <v>194</v>
      </c>
      <c r="E1564" s="126" t="s">
        <v>66</v>
      </c>
      <c r="F1564" s="126">
        <v>244</v>
      </c>
      <c r="G1564" s="69">
        <v>728.2</v>
      </c>
      <c r="H1564" s="69"/>
      <c r="I1564" s="69">
        <f t="shared" si="330"/>
        <v>728.2</v>
      </c>
      <c r="J1564" s="69"/>
      <c r="K1564" s="84">
        <f t="shared" si="344"/>
        <v>728.2</v>
      </c>
      <c r="L1564" s="13"/>
      <c r="M1564" s="84">
        <f t="shared" si="336"/>
        <v>728.2</v>
      </c>
      <c r="N1564" s="13">
        <v>-70.2</v>
      </c>
      <c r="O1564" s="84">
        <f t="shared" si="337"/>
        <v>658</v>
      </c>
      <c r="P1564" s="13"/>
      <c r="Q1564" s="84">
        <f t="shared" si="331"/>
        <v>658</v>
      </c>
      <c r="R1564" s="13"/>
      <c r="S1564" s="84">
        <f t="shared" si="343"/>
        <v>658</v>
      </c>
      <c r="T1564" s="13"/>
      <c r="U1564" s="84">
        <f t="shared" si="338"/>
        <v>658</v>
      </c>
    </row>
    <row r="1565" spans="1:22" ht="49.5">
      <c r="A1565" s="61" t="str">
        <f ca="1">IF(ISERROR(MATCH(E1565,Код_КЦСР,0)),"",INDIRECT(ADDRESS(MATCH(E1565,Код_КЦСР,0)+1,2,,,"КЦСР")))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65" s="126">
        <v>811</v>
      </c>
      <c r="C1565" s="8" t="s">
        <v>214</v>
      </c>
      <c r="D1565" s="8" t="s">
        <v>194</v>
      </c>
      <c r="E1565" s="126" t="s">
        <v>68</v>
      </c>
      <c r="F1565" s="126"/>
      <c r="G1565" s="69">
        <f>G1575</f>
        <v>49603.399999999994</v>
      </c>
      <c r="H1565" s="69">
        <f>H1575</f>
        <v>0</v>
      </c>
      <c r="I1565" s="69">
        <f t="shared" si="330"/>
        <v>49603.399999999994</v>
      </c>
      <c r="J1565" s="69">
        <f>J1571+J1575</f>
        <v>594.6</v>
      </c>
      <c r="K1565" s="84">
        <f t="shared" si="344"/>
        <v>50197.999999999993</v>
      </c>
      <c r="L1565" s="13">
        <f>L1571+L1575</f>
        <v>13.300000000000011</v>
      </c>
      <c r="M1565" s="84">
        <f t="shared" si="336"/>
        <v>50211.299999999996</v>
      </c>
      <c r="N1565" s="13">
        <f>N1571+N1575</f>
        <v>0</v>
      </c>
      <c r="O1565" s="84">
        <f t="shared" si="337"/>
        <v>50211.299999999996</v>
      </c>
      <c r="P1565" s="13">
        <f>P1571+P1575</f>
        <v>0</v>
      </c>
      <c r="Q1565" s="84">
        <f>O1565+P1565</f>
        <v>50211.299999999996</v>
      </c>
      <c r="R1565" s="13">
        <f>R1571+R1575+R1566</f>
        <v>3268.1000000000004</v>
      </c>
      <c r="S1565" s="84">
        <f>Q1565+R1565</f>
        <v>53479.399999999994</v>
      </c>
      <c r="T1565" s="13">
        <f>T1571+T1575+T1566+T1585</f>
        <v>4969.3</v>
      </c>
      <c r="U1565" s="84">
        <f t="shared" si="338"/>
        <v>58448.7</v>
      </c>
    </row>
    <row r="1566" spans="1:22" ht="34.5" customHeight="1">
      <c r="A1566" s="61" t="str">
        <f ca="1">IF(ISERROR(MATCH(E1566,Код_КЦСР,0)),"",INDIRECT(ADDRESS(MATCH(E1566,Код_КЦСР,0)+1,2,,,"КЦСР")))</f>
        <v>Капитальное строительство и реконструкция объектов муниципальной собственности</v>
      </c>
      <c r="B1566" s="126">
        <v>811</v>
      </c>
      <c r="C1566" s="8" t="s">
        <v>214</v>
      </c>
      <c r="D1566" s="8" t="s">
        <v>194</v>
      </c>
      <c r="E1566" s="126" t="s">
        <v>70</v>
      </c>
      <c r="F1566" s="126"/>
      <c r="G1566" s="69"/>
      <c r="H1566" s="69"/>
      <c r="I1566" s="69"/>
      <c r="J1566" s="69"/>
      <c r="K1566" s="84"/>
      <c r="L1566" s="13"/>
      <c r="M1566" s="84"/>
      <c r="N1566" s="13"/>
      <c r="O1566" s="84"/>
      <c r="P1566" s="13"/>
      <c r="Q1566" s="84"/>
      <c r="R1566" s="13">
        <f>R1567</f>
        <v>3008.8</v>
      </c>
      <c r="S1566" s="84">
        <f>S1567</f>
        <v>3008.8</v>
      </c>
      <c r="T1566" s="13">
        <f>T1567</f>
        <v>-341.6</v>
      </c>
      <c r="U1566" s="84">
        <f t="shared" si="338"/>
        <v>2667.2000000000003</v>
      </c>
    </row>
    <row r="1567" spans="1:22">
      <c r="A1567" s="61" t="str">
        <f ca="1">IF(ISERROR(MATCH(E1567,Код_КЦСР,0)),"",INDIRECT(ADDRESS(MATCH(E1567,Код_КЦСР,0)+1,2,,,"КЦСР")))</f>
        <v>Строительство объектов сметной стоимостью до 100 млн. рублей</v>
      </c>
      <c r="B1567" s="126">
        <v>811</v>
      </c>
      <c r="C1567" s="8" t="s">
        <v>214</v>
      </c>
      <c r="D1567" s="8" t="s">
        <v>194</v>
      </c>
      <c r="E1567" s="126" t="s">
        <v>71</v>
      </c>
      <c r="F1567" s="126"/>
      <c r="G1567" s="69"/>
      <c r="H1567" s="69"/>
      <c r="I1567" s="69"/>
      <c r="J1567" s="69"/>
      <c r="K1567" s="84"/>
      <c r="L1567" s="13"/>
      <c r="M1567" s="84"/>
      <c r="N1567" s="13"/>
      <c r="O1567" s="84"/>
      <c r="P1567" s="13"/>
      <c r="Q1567" s="84"/>
      <c r="R1567" s="13">
        <f>R1568</f>
        <v>3008.8</v>
      </c>
      <c r="S1567" s="84">
        <f t="shared" si="343"/>
        <v>3008.8</v>
      </c>
      <c r="T1567" s="13">
        <f>T1568</f>
        <v>-341.6</v>
      </c>
      <c r="U1567" s="84">
        <f t="shared" si="338"/>
        <v>2667.2000000000003</v>
      </c>
    </row>
    <row r="1568" spans="1:22" ht="33">
      <c r="A1568" s="61" t="str">
        <f ca="1">IF(ISERROR(MATCH(F1568,Код_КВР,0)),"",INDIRECT(ADDRESS(MATCH(F1568,Код_КВР,0)+1,2,,,"КВР")))</f>
        <v>Капитальные вложения в объекты недвижимого имущества муниципальной собственности</v>
      </c>
      <c r="B1568" s="126">
        <v>811</v>
      </c>
      <c r="C1568" s="8" t="s">
        <v>214</v>
      </c>
      <c r="D1568" s="8" t="s">
        <v>194</v>
      </c>
      <c r="E1568" s="126" t="s">
        <v>71</v>
      </c>
      <c r="F1568" s="126">
        <v>400</v>
      </c>
      <c r="G1568" s="69"/>
      <c r="H1568" s="69"/>
      <c r="I1568" s="69"/>
      <c r="J1568" s="69"/>
      <c r="K1568" s="84"/>
      <c r="L1568" s="13"/>
      <c r="M1568" s="84"/>
      <c r="N1568" s="13"/>
      <c r="O1568" s="84"/>
      <c r="P1568" s="13"/>
      <c r="Q1568" s="84"/>
      <c r="R1568" s="13">
        <f>R1569</f>
        <v>3008.8</v>
      </c>
      <c r="S1568" s="84">
        <f t="shared" si="343"/>
        <v>3008.8</v>
      </c>
      <c r="T1568" s="13">
        <f>T1569</f>
        <v>-341.6</v>
      </c>
      <c r="U1568" s="84">
        <f t="shared" si="338"/>
        <v>2667.2000000000003</v>
      </c>
    </row>
    <row r="1569" spans="1:21">
      <c r="A1569" s="61" t="str">
        <f ca="1">IF(ISERROR(MATCH(F1569,Код_КВР,0)),"",INDIRECT(ADDRESS(MATCH(F1569,Код_КВР,0)+1,2,,,"КВР")))</f>
        <v>Бюджетные инвестиции</v>
      </c>
      <c r="B1569" s="126">
        <v>811</v>
      </c>
      <c r="C1569" s="8" t="s">
        <v>214</v>
      </c>
      <c r="D1569" s="8" t="s">
        <v>194</v>
      </c>
      <c r="E1569" s="126" t="s">
        <v>71</v>
      </c>
      <c r="F1569" s="126">
        <v>410</v>
      </c>
      <c r="G1569" s="69"/>
      <c r="H1569" s="69"/>
      <c r="I1569" s="69"/>
      <c r="J1569" s="69"/>
      <c r="K1569" s="84"/>
      <c r="L1569" s="13"/>
      <c r="M1569" s="84"/>
      <c r="N1569" s="13"/>
      <c r="O1569" s="84"/>
      <c r="P1569" s="13"/>
      <c r="Q1569" s="84"/>
      <c r="R1569" s="13">
        <f>R1570</f>
        <v>3008.8</v>
      </c>
      <c r="S1569" s="84">
        <f t="shared" si="343"/>
        <v>3008.8</v>
      </c>
      <c r="T1569" s="13">
        <f>T1570</f>
        <v>-341.6</v>
      </c>
      <c r="U1569" s="84">
        <f t="shared" si="338"/>
        <v>2667.2000000000003</v>
      </c>
    </row>
    <row r="1570" spans="1:21" ht="33">
      <c r="A1570" s="61" t="str">
        <f ca="1">IF(ISERROR(MATCH(F1570,Код_КВР,0)),"",INDIRECT(ADDRESS(MATCH(F1570,Код_КВР,0)+1,2,,,"КВР")))</f>
        <v>Бюджетные инвестиции в объекты капитального строительства муниципальной собственности</v>
      </c>
      <c r="B1570" s="126">
        <v>811</v>
      </c>
      <c r="C1570" s="8" t="s">
        <v>214</v>
      </c>
      <c r="D1570" s="8" t="s">
        <v>194</v>
      </c>
      <c r="E1570" s="126" t="s">
        <v>71</v>
      </c>
      <c r="F1570" s="126">
        <v>414</v>
      </c>
      <c r="G1570" s="69"/>
      <c r="H1570" s="69"/>
      <c r="I1570" s="69"/>
      <c r="J1570" s="69"/>
      <c r="K1570" s="84"/>
      <c r="L1570" s="13"/>
      <c r="M1570" s="84"/>
      <c r="N1570" s="13"/>
      <c r="O1570" s="84"/>
      <c r="P1570" s="13"/>
      <c r="Q1570" s="84"/>
      <c r="R1570" s="13">
        <v>3008.8</v>
      </c>
      <c r="S1570" s="84">
        <f t="shared" si="343"/>
        <v>3008.8</v>
      </c>
      <c r="T1570" s="13">
        <v>-341.6</v>
      </c>
      <c r="U1570" s="84">
        <f t="shared" si="338"/>
        <v>2667.2000000000003</v>
      </c>
    </row>
    <row r="1571" spans="1:21">
      <c r="A1571" s="61" t="str">
        <f ca="1">IF(ISERROR(MATCH(E1571,Код_КЦСР,0)),"",INDIRECT(ADDRESS(MATCH(E1571,Код_КЦСР,0)+1,2,,,"КЦСР")))</f>
        <v>Капитальный ремонт  объектов муниципальной собственности</v>
      </c>
      <c r="B1571" s="126">
        <v>811</v>
      </c>
      <c r="C1571" s="8" t="s">
        <v>214</v>
      </c>
      <c r="D1571" s="8" t="s">
        <v>194</v>
      </c>
      <c r="E1571" s="126" t="s">
        <v>76</v>
      </c>
      <c r="F1571" s="126"/>
      <c r="G1571" s="69"/>
      <c r="H1571" s="69"/>
      <c r="I1571" s="69"/>
      <c r="J1571" s="69">
        <f>J1572</f>
        <v>594.6</v>
      </c>
      <c r="K1571" s="84">
        <f t="shared" si="344"/>
        <v>594.6</v>
      </c>
      <c r="L1571" s="13">
        <f>L1572</f>
        <v>0</v>
      </c>
      <c r="M1571" s="84">
        <f t="shared" si="336"/>
        <v>594.6</v>
      </c>
      <c r="N1571" s="13">
        <f>N1572</f>
        <v>0</v>
      </c>
      <c r="O1571" s="84">
        <f t="shared" si="337"/>
        <v>594.6</v>
      </c>
      <c r="P1571" s="13">
        <f>P1572</f>
        <v>0</v>
      </c>
      <c r="Q1571" s="84">
        <f t="shared" si="331"/>
        <v>594.6</v>
      </c>
      <c r="R1571" s="13">
        <f>R1572</f>
        <v>-118.7</v>
      </c>
      <c r="S1571" s="84">
        <f t="shared" si="343"/>
        <v>475.90000000000003</v>
      </c>
      <c r="T1571" s="13">
        <f>T1572</f>
        <v>0</v>
      </c>
      <c r="U1571" s="84">
        <f t="shared" si="338"/>
        <v>475.90000000000003</v>
      </c>
    </row>
    <row r="1572" spans="1:21">
      <c r="A1572" s="61" t="str">
        <f t="shared" ref="A1572:A1574" ca="1" si="346">IF(ISERROR(MATCH(F1572,Код_КВР,0)),"",INDIRECT(ADDRESS(MATCH(F1572,Код_КВР,0)+1,2,,,"КВР")))</f>
        <v>Закупка товаров, работ и услуг для муниципальных нужд</v>
      </c>
      <c r="B1572" s="126">
        <v>811</v>
      </c>
      <c r="C1572" s="8" t="s">
        <v>214</v>
      </c>
      <c r="D1572" s="8" t="s">
        <v>194</v>
      </c>
      <c r="E1572" s="126" t="s">
        <v>76</v>
      </c>
      <c r="F1572" s="126">
        <v>200</v>
      </c>
      <c r="G1572" s="69"/>
      <c r="H1572" s="69"/>
      <c r="I1572" s="69"/>
      <c r="J1572" s="69">
        <f>J1573</f>
        <v>594.6</v>
      </c>
      <c r="K1572" s="84">
        <f t="shared" si="344"/>
        <v>594.6</v>
      </c>
      <c r="L1572" s="13">
        <f>L1573</f>
        <v>0</v>
      </c>
      <c r="M1572" s="84">
        <f t="shared" si="336"/>
        <v>594.6</v>
      </c>
      <c r="N1572" s="13">
        <f>N1573</f>
        <v>0</v>
      </c>
      <c r="O1572" s="84">
        <f t="shared" si="337"/>
        <v>594.6</v>
      </c>
      <c r="P1572" s="13">
        <f>P1573</f>
        <v>0</v>
      </c>
      <c r="Q1572" s="84">
        <f t="shared" ref="Q1572:Q1645" si="347">O1572+P1572</f>
        <v>594.6</v>
      </c>
      <c r="R1572" s="13">
        <f>R1573</f>
        <v>-118.7</v>
      </c>
      <c r="S1572" s="84">
        <f t="shared" si="343"/>
        <v>475.90000000000003</v>
      </c>
      <c r="T1572" s="13">
        <f>T1573</f>
        <v>0</v>
      </c>
      <c r="U1572" s="84">
        <f t="shared" si="338"/>
        <v>475.90000000000003</v>
      </c>
    </row>
    <row r="1573" spans="1:21" ht="33">
      <c r="A1573" s="61" t="str">
        <f t="shared" ca="1" si="346"/>
        <v>Иные закупки товаров, работ и услуг для обеспечения муниципальных нужд</v>
      </c>
      <c r="B1573" s="126">
        <v>811</v>
      </c>
      <c r="C1573" s="8" t="s">
        <v>214</v>
      </c>
      <c r="D1573" s="8" t="s">
        <v>194</v>
      </c>
      <c r="E1573" s="126" t="s">
        <v>76</v>
      </c>
      <c r="F1573" s="126">
        <v>240</v>
      </c>
      <c r="G1573" s="69"/>
      <c r="H1573" s="69"/>
      <c r="I1573" s="69"/>
      <c r="J1573" s="69">
        <f>J1574</f>
        <v>594.6</v>
      </c>
      <c r="K1573" s="84">
        <f t="shared" si="344"/>
        <v>594.6</v>
      </c>
      <c r="L1573" s="13">
        <f>L1574</f>
        <v>0</v>
      </c>
      <c r="M1573" s="84">
        <f t="shared" si="336"/>
        <v>594.6</v>
      </c>
      <c r="N1573" s="13">
        <f>N1574</f>
        <v>0</v>
      </c>
      <c r="O1573" s="84">
        <f t="shared" si="337"/>
        <v>594.6</v>
      </c>
      <c r="P1573" s="13">
        <f>P1574</f>
        <v>0</v>
      </c>
      <c r="Q1573" s="84">
        <f t="shared" si="347"/>
        <v>594.6</v>
      </c>
      <c r="R1573" s="13">
        <f>R1574</f>
        <v>-118.7</v>
      </c>
      <c r="S1573" s="84">
        <f t="shared" si="343"/>
        <v>475.90000000000003</v>
      </c>
      <c r="T1573" s="13">
        <f>T1574</f>
        <v>0</v>
      </c>
      <c r="U1573" s="84">
        <f t="shared" si="338"/>
        <v>475.90000000000003</v>
      </c>
    </row>
    <row r="1574" spans="1:21" ht="33">
      <c r="A1574" s="61" t="str">
        <f t="shared" ca="1" si="346"/>
        <v>Закупка товаров, работ, услуг в целях капитального ремонта муниципального имущества</v>
      </c>
      <c r="B1574" s="126">
        <v>811</v>
      </c>
      <c r="C1574" s="8" t="s">
        <v>214</v>
      </c>
      <c r="D1574" s="8" t="s">
        <v>194</v>
      </c>
      <c r="E1574" s="126" t="s">
        <v>76</v>
      </c>
      <c r="F1574" s="126">
        <v>243</v>
      </c>
      <c r="G1574" s="69"/>
      <c r="H1574" s="69"/>
      <c r="I1574" s="69"/>
      <c r="J1574" s="69">
        <v>594.6</v>
      </c>
      <c r="K1574" s="84">
        <f t="shared" si="344"/>
        <v>594.6</v>
      </c>
      <c r="L1574" s="13"/>
      <c r="M1574" s="84">
        <f t="shared" si="336"/>
        <v>594.6</v>
      </c>
      <c r="N1574" s="13"/>
      <c r="O1574" s="84">
        <f t="shared" si="337"/>
        <v>594.6</v>
      </c>
      <c r="P1574" s="13"/>
      <c r="Q1574" s="84">
        <f t="shared" si="347"/>
        <v>594.6</v>
      </c>
      <c r="R1574" s="13">
        <v>-118.7</v>
      </c>
      <c r="S1574" s="84">
        <f t="shared" si="343"/>
        <v>475.90000000000003</v>
      </c>
      <c r="T1574" s="13"/>
      <c r="U1574" s="84">
        <f t="shared" si="338"/>
        <v>475.90000000000003</v>
      </c>
    </row>
    <row r="1575" spans="1:21">
      <c r="A1575" s="61" t="str">
        <f ca="1">IF(ISERROR(MATCH(E1575,Код_КЦСР,0)),"",INDIRECT(ADDRESS(MATCH(E1575,Код_КЦСР,0)+1,2,,,"КЦСР")))</f>
        <v xml:space="preserve">Обеспечение создания условий для реализации муниципальной программы </v>
      </c>
      <c r="B1575" s="126">
        <v>811</v>
      </c>
      <c r="C1575" s="8" t="s">
        <v>214</v>
      </c>
      <c r="D1575" s="8" t="s">
        <v>194</v>
      </c>
      <c r="E1575" s="126" t="s">
        <v>77</v>
      </c>
      <c r="F1575" s="126"/>
      <c r="G1575" s="69">
        <f>G1576+G1578+G1581</f>
        <v>49603.399999999994</v>
      </c>
      <c r="H1575" s="69">
        <f>H1576+H1578+H1581</f>
        <v>0</v>
      </c>
      <c r="I1575" s="69">
        <f t="shared" si="330"/>
        <v>49603.399999999994</v>
      </c>
      <c r="J1575" s="69">
        <f>J1576+J1578+J1581</f>
        <v>0</v>
      </c>
      <c r="K1575" s="84">
        <f t="shared" si="344"/>
        <v>49603.399999999994</v>
      </c>
      <c r="L1575" s="13">
        <f>L1576+L1578+L1581</f>
        <v>13.300000000000011</v>
      </c>
      <c r="M1575" s="84">
        <f t="shared" si="336"/>
        <v>49616.7</v>
      </c>
      <c r="N1575" s="13">
        <f>N1576+N1578+N1581</f>
        <v>0</v>
      </c>
      <c r="O1575" s="84">
        <f t="shared" si="337"/>
        <v>49616.7</v>
      </c>
      <c r="P1575" s="13">
        <f>P1576+P1578+P1581</f>
        <v>0</v>
      </c>
      <c r="Q1575" s="84">
        <f t="shared" si="347"/>
        <v>49616.7</v>
      </c>
      <c r="R1575" s="13">
        <f>R1576+R1578+R1581</f>
        <v>378</v>
      </c>
      <c r="S1575" s="84">
        <f t="shared" si="343"/>
        <v>49994.7</v>
      </c>
      <c r="T1575" s="13">
        <f>T1576+T1578+T1581</f>
        <v>-39.099999999999994</v>
      </c>
      <c r="U1575" s="84">
        <f t="shared" si="338"/>
        <v>49955.6</v>
      </c>
    </row>
    <row r="1576" spans="1:21" ht="33">
      <c r="A1576" s="61" t="str">
        <f t="shared" ref="A1576:A1582" ca="1" si="348">IF(ISERROR(MATCH(F1576,Код_КВР,0)),"",INDIRECT(ADDRESS(MATCH(F1576,Код_КВР,0)+1,2,,,"КВР")))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76" s="126">
        <v>811</v>
      </c>
      <c r="C1576" s="8" t="s">
        <v>214</v>
      </c>
      <c r="D1576" s="8" t="s">
        <v>194</v>
      </c>
      <c r="E1576" s="126" t="s">
        <v>77</v>
      </c>
      <c r="F1576" s="126">
        <v>100</v>
      </c>
      <c r="G1576" s="69">
        <f>G1577</f>
        <v>46091.199999999997</v>
      </c>
      <c r="H1576" s="69">
        <f>H1577</f>
        <v>0</v>
      </c>
      <c r="I1576" s="69">
        <f t="shared" si="330"/>
        <v>46091.199999999997</v>
      </c>
      <c r="J1576" s="69">
        <f>J1577</f>
        <v>0</v>
      </c>
      <c r="K1576" s="84">
        <f t="shared" si="344"/>
        <v>46091.199999999997</v>
      </c>
      <c r="L1576" s="13">
        <f>L1577</f>
        <v>-380.3</v>
      </c>
      <c r="M1576" s="84">
        <f t="shared" si="336"/>
        <v>45710.899999999994</v>
      </c>
      <c r="N1576" s="13">
        <f>N1577</f>
        <v>0</v>
      </c>
      <c r="O1576" s="84">
        <f t="shared" si="337"/>
        <v>45710.899999999994</v>
      </c>
      <c r="P1576" s="13">
        <f>P1577</f>
        <v>0</v>
      </c>
      <c r="Q1576" s="84">
        <f t="shared" si="347"/>
        <v>45710.899999999994</v>
      </c>
      <c r="R1576" s="13">
        <f>R1577</f>
        <v>-76.2</v>
      </c>
      <c r="S1576" s="84">
        <f t="shared" si="343"/>
        <v>45634.7</v>
      </c>
      <c r="T1576" s="13">
        <f>T1577</f>
        <v>0</v>
      </c>
      <c r="U1576" s="84">
        <f t="shared" si="338"/>
        <v>45634.7</v>
      </c>
    </row>
    <row r="1577" spans="1:21">
      <c r="A1577" s="61" t="str">
        <f t="shared" ca="1" si="348"/>
        <v>Расходы на выплаты персоналу казенных учреждений</v>
      </c>
      <c r="B1577" s="126">
        <v>811</v>
      </c>
      <c r="C1577" s="8" t="s">
        <v>214</v>
      </c>
      <c r="D1577" s="8" t="s">
        <v>194</v>
      </c>
      <c r="E1577" s="126" t="s">
        <v>77</v>
      </c>
      <c r="F1577" s="126">
        <v>110</v>
      </c>
      <c r="G1577" s="69">
        <v>46091.199999999997</v>
      </c>
      <c r="H1577" s="69"/>
      <c r="I1577" s="69">
        <f t="shared" si="330"/>
        <v>46091.199999999997</v>
      </c>
      <c r="J1577" s="69"/>
      <c r="K1577" s="84">
        <f t="shared" si="344"/>
        <v>46091.199999999997</v>
      </c>
      <c r="L1577" s="13">
        <v>-380.3</v>
      </c>
      <c r="M1577" s="84">
        <f t="shared" si="336"/>
        <v>45710.899999999994</v>
      </c>
      <c r="N1577" s="13"/>
      <c r="O1577" s="84">
        <f t="shared" si="337"/>
        <v>45710.899999999994</v>
      </c>
      <c r="P1577" s="13"/>
      <c r="Q1577" s="84">
        <f t="shared" si="347"/>
        <v>45710.899999999994</v>
      </c>
      <c r="R1577" s="13">
        <f>-30-46.2</f>
        <v>-76.2</v>
      </c>
      <c r="S1577" s="84">
        <f t="shared" si="343"/>
        <v>45634.7</v>
      </c>
      <c r="T1577" s="13"/>
      <c r="U1577" s="84">
        <f t="shared" si="338"/>
        <v>45634.7</v>
      </c>
    </row>
    <row r="1578" spans="1:21">
      <c r="A1578" s="61" t="str">
        <f t="shared" ca="1" si="348"/>
        <v>Закупка товаров, работ и услуг для муниципальных нужд</v>
      </c>
      <c r="B1578" s="126">
        <v>811</v>
      </c>
      <c r="C1578" s="8" t="s">
        <v>214</v>
      </c>
      <c r="D1578" s="8" t="s">
        <v>194</v>
      </c>
      <c r="E1578" s="126" t="s">
        <v>77</v>
      </c>
      <c r="F1578" s="126">
        <v>200</v>
      </c>
      <c r="G1578" s="69">
        <f>G1579</f>
        <v>2827.7</v>
      </c>
      <c r="H1578" s="69">
        <f>H1579</f>
        <v>0</v>
      </c>
      <c r="I1578" s="69">
        <f t="shared" si="330"/>
        <v>2827.7</v>
      </c>
      <c r="J1578" s="69">
        <f>J1579</f>
        <v>0</v>
      </c>
      <c r="K1578" s="84">
        <f t="shared" si="344"/>
        <v>2827.7</v>
      </c>
      <c r="L1578" s="13">
        <f>L1579</f>
        <v>393.6</v>
      </c>
      <c r="M1578" s="84">
        <f t="shared" si="336"/>
        <v>3221.2999999999997</v>
      </c>
      <c r="N1578" s="13">
        <f>N1579</f>
        <v>0</v>
      </c>
      <c r="O1578" s="84">
        <f t="shared" si="337"/>
        <v>3221.2999999999997</v>
      </c>
      <c r="P1578" s="13">
        <f>P1579</f>
        <v>0</v>
      </c>
      <c r="Q1578" s="84">
        <f t="shared" si="347"/>
        <v>3221.2999999999997</v>
      </c>
      <c r="R1578" s="13">
        <f>R1579</f>
        <v>651.70000000000005</v>
      </c>
      <c r="S1578" s="84">
        <f t="shared" si="343"/>
        <v>3873</v>
      </c>
      <c r="T1578" s="13">
        <f>T1579</f>
        <v>0</v>
      </c>
      <c r="U1578" s="84">
        <f t="shared" si="338"/>
        <v>3873</v>
      </c>
    </row>
    <row r="1579" spans="1:21" ht="33">
      <c r="A1579" s="61" t="str">
        <f t="shared" ca="1" si="348"/>
        <v>Иные закупки товаров, работ и услуг для обеспечения муниципальных нужд</v>
      </c>
      <c r="B1579" s="126">
        <v>811</v>
      </c>
      <c r="C1579" s="8" t="s">
        <v>214</v>
      </c>
      <c r="D1579" s="8" t="s">
        <v>194</v>
      </c>
      <c r="E1579" s="126" t="s">
        <v>77</v>
      </c>
      <c r="F1579" s="126">
        <v>240</v>
      </c>
      <c r="G1579" s="69">
        <f>G1580</f>
        <v>2827.7</v>
      </c>
      <c r="H1579" s="69">
        <f>H1580</f>
        <v>0</v>
      </c>
      <c r="I1579" s="69">
        <f t="shared" si="330"/>
        <v>2827.7</v>
      </c>
      <c r="J1579" s="69">
        <f>J1580</f>
        <v>0</v>
      </c>
      <c r="K1579" s="84">
        <f t="shared" si="344"/>
        <v>2827.7</v>
      </c>
      <c r="L1579" s="13">
        <f>L1580</f>
        <v>393.6</v>
      </c>
      <c r="M1579" s="84">
        <f t="shared" si="336"/>
        <v>3221.2999999999997</v>
      </c>
      <c r="N1579" s="13">
        <f>N1580</f>
        <v>0</v>
      </c>
      <c r="O1579" s="84">
        <f t="shared" si="337"/>
        <v>3221.2999999999997</v>
      </c>
      <c r="P1579" s="13">
        <f>P1580</f>
        <v>0</v>
      </c>
      <c r="Q1579" s="84">
        <f t="shared" si="347"/>
        <v>3221.2999999999997</v>
      </c>
      <c r="R1579" s="13">
        <f>R1580</f>
        <v>651.70000000000005</v>
      </c>
      <c r="S1579" s="84">
        <f t="shared" si="343"/>
        <v>3873</v>
      </c>
      <c r="T1579" s="13">
        <f>T1580</f>
        <v>0</v>
      </c>
      <c r="U1579" s="84">
        <f t="shared" si="338"/>
        <v>3873</v>
      </c>
    </row>
    <row r="1580" spans="1:21" ht="33">
      <c r="A1580" s="61" t="str">
        <f t="shared" ca="1" si="348"/>
        <v xml:space="preserve">Прочая закупка товаров, работ и услуг для обеспечения муниципальных нужд         </v>
      </c>
      <c r="B1580" s="126">
        <v>811</v>
      </c>
      <c r="C1580" s="8" t="s">
        <v>214</v>
      </c>
      <c r="D1580" s="8" t="s">
        <v>194</v>
      </c>
      <c r="E1580" s="126" t="s">
        <v>77</v>
      </c>
      <c r="F1580" s="126">
        <v>244</v>
      </c>
      <c r="G1580" s="69">
        <v>2827.7</v>
      </c>
      <c r="H1580" s="69"/>
      <c r="I1580" s="69">
        <f t="shared" si="330"/>
        <v>2827.7</v>
      </c>
      <c r="J1580" s="69"/>
      <c r="K1580" s="84">
        <f t="shared" si="344"/>
        <v>2827.7</v>
      </c>
      <c r="L1580" s="13">
        <f>30+363.6</f>
        <v>393.6</v>
      </c>
      <c r="M1580" s="84">
        <f t="shared" si="336"/>
        <v>3221.2999999999997</v>
      </c>
      <c r="N1580" s="13"/>
      <c r="O1580" s="84">
        <f t="shared" si="337"/>
        <v>3221.2999999999997</v>
      </c>
      <c r="P1580" s="13"/>
      <c r="Q1580" s="84">
        <f t="shared" si="347"/>
        <v>3221.2999999999997</v>
      </c>
      <c r="R1580" s="13">
        <f>292.5+85.5+273.7</f>
        <v>651.70000000000005</v>
      </c>
      <c r="S1580" s="84">
        <f t="shared" si="343"/>
        <v>3873</v>
      </c>
      <c r="T1580" s="13"/>
      <c r="U1580" s="84">
        <f t="shared" si="338"/>
        <v>3873</v>
      </c>
    </row>
    <row r="1581" spans="1:21">
      <c r="A1581" s="61" t="str">
        <f t="shared" ca="1" si="348"/>
        <v>Иные бюджетные ассигнования</v>
      </c>
      <c r="B1581" s="126">
        <v>811</v>
      </c>
      <c r="C1581" s="8" t="s">
        <v>214</v>
      </c>
      <c r="D1581" s="8" t="s">
        <v>194</v>
      </c>
      <c r="E1581" s="126" t="s">
        <v>77</v>
      </c>
      <c r="F1581" s="126">
        <v>800</v>
      </c>
      <c r="G1581" s="69">
        <f>G1582</f>
        <v>684.5</v>
      </c>
      <c r="H1581" s="69">
        <f>H1582</f>
        <v>0</v>
      </c>
      <c r="I1581" s="69">
        <f t="shared" si="330"/>
        <v>684.5</v>
      </c>
      <c r="J1581" s="69">
        <f>J1582</f>
        <v>0</v>
      </c>
      <c r="K1581" s="84">
        <f t="shared" si="344"/>
        <v>684.5</v>
      </c>
      <c r="L1581" s="13">
        <f>L1582</f>
        <v>0</v>
      </c>
      <c r="M1581" s="84">
        <f t="shared" si="336"/>
        <v>684.5</v>
      </c>
      <c r="N1581" s="13">
        <f>N1582</f>
        <v>0</v>
      </c>
      <c r="O1581" s="84">
        <f t="shared" si="337"/>
        <v>684.5</v>
      </c>
      <c r="P1581" s="13">
        <f>P1582</f>
        <v>0</v>
      </c>
      <c r="Q1581" s="84">
        <f t="shared" si="347"/>
        <v>684.5</v>
      </c>
      <c r="R1581" s="13">
        <f>R1582</f>
        <v>-197.5</v>
      </c>
      <c r="S1581" s="84">
        <f t="shared" si="343"/>
        <v>487</v>
      </c>
      <c r="T1581" s="13">
        <f>T1582</f>
        <v>-39.099999999999994</v>
      </c>
      <c r="U1581" s="84">
        <f t="shared" si="338"/>
        <v>447.9</v>
      </c>
    </row>
    <row r="1582" spans="1:21">
      <c r="A1582" s="61" t="str">
        <f t="shared" ca="1" si="348"/>
        <v>Уплата налогов, сборов и иных платежей</v>
      </c>
      <c r="B1582" s="126">
        <v>811</v>
      </c>
      <c r="C1582" s="8" t="s">
        <v>214</v>
      </c>
      <c r="D1582" s="8" t="s">
        <v>194</v>
      </c>
      <c r="E1582" s="126" t="s">
        <v>77</v>
      </c>
      <c r="F1582" s="126">
        <v>850</v>
      </c>
      <c r="G1582" s="69">
        <f>G1583+G1584</f>
        <v>684.5</v>
      </c>
      <c r="H1582" s="69">
        <f>H1583+H1584</f>
        <v>0</v>
      </c>
      <c r="I1582" s="69">
        <f t="shared" si="330"/>
        <v>684.5</v>
      </c>
      <c r="J1582" s="69">
        <f>J1583+J1584</f>
        <v>0</v>
      </c>
      <c r="K1582" s="84">
        <f t="shared" si="344"/>
        <v>684.5</v>
      </c>
      <c r="L1582" s="13">
        <f>L1583+L1584</f>
        <v>0</v>
      </c>
      <c r="M1582" s="84">
        <f t="shared" si="336"/>
        <v>684.5</v>
      </c>
      <c r="N1582" s="13">
        <f>N1583+N1584</f>
        <v>0</v>
      </c>
      <c r="O1582" s="84">
        <f t="shared" si="337"/>
        <v>684.5</v>
      </c>
      <c r="P1582" s="13">
        <f>P1583+P1584</f>
        <v>0</v>
      </c>
      <c r="Q1582" s="84">
        <f t="shared" si="347"/>
        <v>684.5</v>
      </c>
      <c r="R1582" s="13">
        <f>R1583+R1584</f>
        <v>-197.5</v>
      </c>
      <c r="S1582" s="84">
        <f t="shared" si="343"/>
        <v>487</v>
      </c>
      <c r="T1582" s="13">
        <f>T1583+T1584</f>
        <v>-39.099999999999994</v>
      </c>
      <c r="U1582" s="84">
        <f t="shared" si="338"/>
        <v>447.9</v>
      </c>
    </row>
    <row r="1583" spans="1:21">
      <c r="A1583" s="61" t="str">
        <f ca="1">IF(ISERROR(MATCH(F1583,Код_КВР,0)),"",INDIRECT(ADDRESS(MATCH(F1583,Код_КВР,0)+1,2,,,"КВР")))</f>
        <v>Уплата налога на имущество организаций и земельного налога</v>
      </c>
      <c r="B1583" s="126">
        <v>811</v>
      </c>
      <c r="C1583" s="8" t="s">
        <v>214</v>
      </c>
      <c r="D1583" s="8" t="s">
        <v>194</v>
      </c>
      <c r="E1583" s="126" t="s">
        <v>77</v>
      </c>
      <c r="F1583" s="126">
        <v>851</v>
      </c>
      <c r="G1583" s="69">
        <v>183.1</v>
      </c>
      <c r="H1583" s="69"/>
      <c r="I1583" s="69">
        <f t="shared" ref="I1583:I1660" si="349">G1583+H1583</f>
        <v>183.1</v>
      </c>
      <c r="J1583" s="69"/>
      <c r="K1583" s="84">
        <f t="shared" si="344"/>
        <v>183.1</v>
      </c>
      <c r="L1583" s="13"/>
      <c r="M1583" s="84">
        <f t="shared" si="336"/>
        <v>183.1</v>
      </c>
      <c r="N1583" s="13"/>
      <c r="O1583" s="84">
        <f t="shared" si="337"/>
        <v>183.1</v>
      </c>
      <c r="P1583" s="13"/>
      <c r="Q1583" s="84">
        <f t="shared" si="347"/>
        <v>183.1</v>
      </c>
      <c r="R1583" s="13">
        <v>-130</v>
      </c>
      <c r="S1583" s="84">
        <f t="shared" si="343"/>
        <v>53.099999999999994</v>
      </c>
      <c r="T1583" s="13">
        <v>-35.799999999999997</v>
      </c>
      <c r="U1583" s="84">
        <f t="shared" ref="U1583:U1650" si="350">S1583+T1583</f>
        <v>17.299999999999997</v>
      </c>
    </row>
    <row r="1584" spans="1:21">
      <c r="A1584" s="61" t="str">
        <f ca="1">IF(ISERROR(MATCH(F1584,Код_КВР,0)),"",INDIRECT(ADDRESS(MATCH(F1584,Код_КВР,0)+1,2,,,"КВР")))</f>
        <v>Уплата прочих налогов, сборов и иных платежей</v>
      </c>
      <c r="B1584" s="126">
        <v>811</v>
      </c>
      <c r="C1584" s="8" t="s">
        <v>214</v>
      </c>
      <c r="D1584" s="8" t="s">
        <v>194</v>
      </c>
      <c r="E1584" s="126" t="s">
        <v>77</v>
      </c>
      <c r="F1584" s="126">
        <v>852</v>
      </c>
      <c r="G1584" s="69">
        <v>501.4</v>
      </c>
      <c r="H1584" s="69"/>
      <c r="I1584" s="69">
        <f t="shared" si="349"/>
        <v>501.4</v>
      </c>
      <c r="J1584" s="69"/>
      <c r="K1584" s="84">
        <f t="shared" si="344"/>
        <v>501.4</v>
      </c>
      <c r="L1584" s="13"/>
      <c r="M1584" s="84">
        <f t="shared" si="336"/>
        <v>501.4</v>
      </c>
      <c r="N1584" s="13"/>
      <c r="O1584" s="84">
        <f t="shared" si="337"/>
        <v>501.4</v>
      </c>
      <c r="P1584" s="13"/>
      <c r="Q1584" s="84">
        <f t="shared" si="347"/>
        <v>501.4</v>
      </c>
      <c r="R1584" s="13">
        <f>-67.5</f>
        <v>-67.5</v>
      </c>
      <c r="S1584" s="84">
        <f t="shared" si="343"/>
        <v>433.9</v>
      </c>
      <c r="T1584" s="13">
        <f>-2-1.3</f>
        <v>-3.3</v>
      </c>
      <c r="U1584" s="84">
        <f t="shared" si="350"/>
        <v>430.59999999999997</v>
      </c>
    </row>
    <row r="1585" spans="1:21" ht="33.75" customHeight="1">
      <c r="A1585" s="61" t="str">
        <f ca="1">IF(ISERROR(MATCH(E1585,Код_КЦСР,0)),"",INDIRECT(ADDRESS(MATCH(E1585,Код_КЦСР,0)+1,2,,,"КЦСР")))</f>
        <v>Реализация перспективных проектов в сфере развития туризма за счет субсидии из областного бюджета</v>
      </c>
      <c r="B1585" s="126">
        <v>811</v>
      </c>
      <c r="C1585" s="8" t="s">
        <v>214</v>
      </c>
      <c r="D1585" s="8" t="s">
        <v>194</v>
      </c>
      <c r="E1585" s="126" t="s">
        <v>681</v>
      </c>
      <c r="F1585" s="126"/>
      <c r="G1585" s="69"/>
      <c r="H1585" s="69"/>
      <c r="I1585" s="69"/>
      <c r="J1585" s="69"/>
      <c r="K1585" s="84"/>
      <c r="L1585" s="13"/>
      <c r="M1585" s="84"/>
      <c r="N1585" s="13"/>
      <c r="O1585" s="84"/>
      <c r="P1585" s="13"/>
      <c r="Q1585" s="84"/>
      <c r="R1585" s="13"/>
      <c r="S1585" s="84">
        <f t="shared" si="343"/>
        <v>0</v>
      </c>
      <c r="T1585" s="13">
        <f>T1586</f>
        <v>5350</v>
      </c>
      <c r="U1585" s="84">
        <f t="shared" si="350"/>
        <v>5350</v>
      </c>
    </row>
    <row r="1586" spans="1:21" ht="33">
      <c r="A1586" s="61" t="str">
        <f ca="1">IF(ISERROR(MATCH(F1586,Код_КВР,0)),"",INDIRECT(ADDRESS(MATCH(F1586,Код_КВР,0)+1,2,,,"КВР")))</f>
        <v>Капитальные вложения в объекты недвижимого имущества муниципальной собственности</v>
      </c>
      <c r="B1586" s="126">
        <v>811</v>
      </c>
      <c r="C1586" s="8" t="s">
        <v>214</v>
      </c>
      <c r="D1586" s="8" t="s">
        <v>194</v>
      </c>
      <c r="E1586" s="126" t="s">
        <v>681</v>
      </c>
      <c r="F1586" s="126">
        <v>400</v>
      </c>
      <c r="G1586" s="69"/>
      <c r="H1586" s="69"/>
      <c r="I1586" s="69"/>
      <c r="J1586" s="69"/>
      <c r="K1586" s="84"/>
      <c r="L1586" s="13"/>
      <c r="M1586" s="84"/>
      <c r="N1586" s="13"/>
      <c r="O1586" s="84"/>
      <c r="P1586" s="13"/>
      <c r="Q1586" s="84"/>
      <c r="R1586" s="13"/>
      <c r="S1586" s="84">
        <f t="shared" si="343"/>
        <v>0</v>
      </c>
      <c r="T1586" s="13">
        <f>T1587</f>
        <v>5350</v>
      </c>
      <c r="U1586" s="84">
        <f t="shared" si="350"/>
        <v>5350</v>
      </c>
    </row>
    <row r="1587" spans="1:21">
      <c r="A1587" s="61" t="str">
        <f ca="1">IF(ISERROR(MATCH(F1587,Код_КВР,0)),"",INDIRECT(ADDRESS(MATCH(F1587,Код_КВР,0)+1,2,,,"КВР")))</f>
        <v>Бюджетные инвестиции</v>
      </c>
      <c r="B1587" s="126">
        <v>811</v>
      </c>
      <c r="C1587" s="8" t="s">
        <v>214</v>
      </c>
      <c r="D1587" s="8" t="s">
        <v>194</v>
      </c>
      <c r="E1587" s="126" t="s">
        <v>681</v>
      </c>
      <c r="F1587" s="126">
        <v>410</v>
      </c>
      <c r="G1587" s="69"/>
      <c r="H1587" s="69"/>
      <c r="I1587" s="69"/>
      <c r="J1587" s="69"/>
      <c r="K1587" s="84"/>
      <c r="L1587" s="13"/>
      <c r="M1587" s="84"/>
      <c r="N1587" s="13"/>
      <c r="O1587" s="84"/>
      <c r="P1587" s="13"/>
      <c r="Q1587" s="84"/>
      <c r="R1587" s="13"/>
      <c r="S1587" s="84">
        <f t="shared" si="343"/>
        <v>0</v>
      </c>
      <c r="T1587" s="13">
        <f>T1588</f>
        <v>5350</v>
      </c>
      <c r="U1587" s="84">
        <f t="shared" si="350"/>
        <v>5350</v>
      </c>
    </row>
    <row r="1588" spans="1:21" ht="33">
      <c r="A1588" s="61" t="str">
        <f ca="1">IF(ISERROR(MATCH(F1588,Код_КВР,0)),"",INDIRECT(ADDRESS(MATCH(F1588,Код_КВР,0)+1,2,,,"КВР")))</f>
        <v>Бюджетные инвестиции в объекты капитального строительства муниципальной собственности</v>
      </c>
      <c r="B1588" s="126">
        <v>811</v>
      </c>
      <c r="C1588" s="8" t="s">
        <v>214</v>
      </c>
      <c r="D1588" s="8" t="s">
        <v>194</v>
      </c>
      <c r="E1588" s="126" t="s">
        <v>681</v>
      </c>
      <c r="F1588" s="126">
        <v>414</v>
      </c>
      <c r="G1588" s="69"/>
      <c r="H1588" s="69"/>
      <c r="I1588" s="69"/>
      <c r="J1588" s="69"/>
      <c r="K1588" s="84"/>
      <c r="L1588" s="13"/>
      <c r="M1588" s="84"/>
      <c r="N1588" s="13"/>
      <c r="O1588" s="84"/>
      <c r="P1588" s="13"/>
      <c r="Q1588" s="84"/>
      <c r="R1588" s="13"/>
      <c r="S1588" s="84">
        <f t="shared" si="343"/>
        <v>0</v>
      </c>
      <c r="T1588" s="13">
        <v>5350</v>
      </c>
      <c r="U1588" s="84">
        <f t="shared" si="350"/>
        <v>5350</v>
      </c>
    </row>
    <row r="1589" spans="1:21" ht="33">
      <c r="A1589" s="61" t="str">
        <f ca="1">IF(ISERROR(MATCH(E1589,Код_КЦСР,0)),"",INDIRECT(ADDRESS(MATCH(E1589,Код_КЦСР,0)+1,2,,,"КЦСР")))</f>
        <v>Непрограммные направления деятельности органов местного самоуправления</v>
      </c>
      <c r="B1589" s="126">
        <v>811</v>
      </c>
      <c r="C1589" s="8" t="s">
        <v>214</v>
      </c>
      <c r="D1589" s="8" t="s">
        <v>194</v>
      </c>
      <c r="E1589" s="126" t="s">
        <v>295</v>
      </c>
      <c r="F1589" s="126"/>
      <c r="G1589" s="69">
        <f>G1590</f>
        <v>37100.6</v>
      </c>
      <c r="H1589" s="69">
        <f>H1590</f>
        <v>0</v>
      </c>
      <c r="I1589" s="69">
        <f t="shared" si="349"/>
        <v>37100.6</v>
      </c>
      <c r="J1589" s="69">
        <f>J1590</f>
        <v>0</v>
      </c>
      <c r="K1589" s="84">
        <f t="shared" si="344"/>
        <v>37100.6</v>
      </c>
      <c r="L1589" s="13">
        <f>L1590</f>
        <v>0</v>
      </c>
      <c r="M1589" s="84">
        <f t="shared" si="336"/>
        <v>37100.6</v>
      </c>
      <c r="N1589" s="13">
        <f>N1590</f>
        <v>0</v>
      </c>
      <c r="O1589" s="84">
        <f t="shared" si="337"/>
        <v>37100.6</v>
      </c>
      <c r="P1589" s="13">
        <f>P1590</f>
        <v>0</v>
      </c>
      <c r="Q1589" s="84">
        <f t="shared" si="347"/>
        <v>37100.6</v>
      </c>
      <c r="R1589" s="13">
        <f>R1590</f>
        <v>0</v>
      </c>
      <c r="S1589" s="84">
        <f t="shared" si="343"/>
        <v>37100.6</v>
      </c>
      <c r="T1589" s="13">
        <f>T1590</f>
        <v>-91.4</v>
      </c>
      <c r="U1589" s="84">
        <f t="shared" si="350"/>
        <v>37009.199999999997</v>
      </c>
    </row>
    <row r="1590" spans="1:21">
      <c r="A1590" s="61" t="str">
        <f ca="1">IF(ISERROR(MATCH(E1590,Код_КЦСР,0)),"",INDIRECT(ADDRESS(MATCH(E1590,Код_КЦСР,0)+1,2,,,"КЦСР")))</f>
        <v>Расходы, не включенные в муниципальные программы города Череповца</v>
      </c>
      <c r="B1590" s="126">
        <v>811</v>
      </c>
      <c r="C1590" s="8" t="s">
        <v>214</v>
      </c>
      <c r="D1590" s="8" t="s">
        <v>194</v>
      </c>
      <c r="E1590" s="126" t="s">
        <v>297</v>
      </c>
      <c r="F1590" s="126"/>
      <c r="G1590" s="69">
        <f>G1591+G1601</f>
        <v>37100.6</v>
      </c>
      <c r="H1590" s="69">
        <f>H1591+H1601</f>
        <v>0</v>
      </c>
      <c r="I1590" s="69">
        <f t="shared" si="349"/>
        <v>37100.6</v>
      </c>
      <c r="J1590" s="69">
        <f>J1591+J1601</f>
        <v>0</v>
      </c>
      <c r="K1590" s="84">
        <f t="shared" si="344"/>
        <v>37100.6</v>
      </c>
      <c r="L1590" s="13">
        <f>L1591+L1601</f>
        <v>0</v>
      </c>
      <c r="M1590" s="84">
        <f t="shared" si="336"/>
        <v>37100.6</v>
      </c>
      <c r="N1590" s="13">
        <f>N1591+N1601</f>
        <v>0</v>
      </c>
      <c r="O1590" s="84">
        <f t="shared" si="337"/>
        <v>37100.6</v>
      </c>
      <c r="P1590" s="13">
        <f>P1591+P1601</f>
        <v>0</v>
      </c>
      <c r="Q1590" s="84">
        <f t="shared" si="347"/>
        <v>37100.6</v>
      </c>
      <c r="R1590" s="13">
        <f>R1591+R1601</f>
        <v>0</v>
      </c>
      <c r="S1590" s="84">
        <f t="shared" si="343"/>
        <v>37100.6</v>
      </c>
      <c r="T1590" s="13">
        <f>T1591+T1601</f>
        <v>-91.4</v>
      </c>
      <c r="U1590" s="84">
        <f t="shared" si="350"/>
        <v>37009.199999999997</v>
      </c>
    </row>
    <row r="1591" spans="1:21" ht="33">
      <c r="A1591" s="61" t="str">
        <f ca="1">IF(ISERROR(MATCH(E1591,Код_КЦСР,0)),"",INDIRECT(ADDRESS(MATCH(E1591,Код_КЦСР,0)+1,2,,,"КЦСР")))</f>
        <v>Руководство и управление в сфере установленных функций органов местного самоуправления</v>
      </c>
      <c r="B1591" s="126">
        <v>811</v>
      </c>
      <c r="C1591" s="8" t="s">
        <v>214</v>
      </c>
      <c r="D1591" s="8" t="s">
        <v>194</v>
      </c>
      <c r="E1591" s="126" t="s">
        <v>299</v>
      </c>
      <c r="F1591" s="126"/>
      <c r="G1591" s="69">
        <f>G1592</f>
        <v>36988.299999999996</v>
      </c>
      <c r="H1591" s="69">
        <f>H1592</f>
        <v>0</v>
      </c>
      <c r="I1591" s="69">
        <f t="shared" si="349"/>
        <v>36988.299999999996</v>
      </c>
      <c r="J1591" s="69">
        <f>J1592</f>
        <v>0</v>
      </c>
      <c r="K1591" s="84">
        <f t="shared" si="344"/>
        <v>36988.299999999996</v>
      </c>
      <c r="L1591" s="13">
        <f>L1592</f>
        <v>0</v>
      </c>
      <c r="M1591" s="84">
        <f t="shared" si="336"/>
        <v>36988.299999999996</v>
      </c>
      <c r="N1591" s="13">
        <f>N1592</f>
        <v>0</v>
      </c>
      <c r="O1591" s="84">
        <f t="shared" si="337"/>
        <v>36988.299999999996</v>
      </c>
      <c r="P1591" s="13">
        <f>P1592</f>
        <v>0</v>
      </c>
      <c r="Q1591" s="84">
        <f t="shared" si="347"/>
        <v>36988.299999999996</v>
      </c>
      <c r="R1591" s="13">
        <f>R1592</f>
        <v>0</v>
      </c>
      <c r="S1591" s="84">
        <f t="shared" si="343"/>
        <v>36988.299999999996</v>
      </c>
      <c r="T1591" s="13">
        <f>T1592</f>
        <v>0</v>
      </c>
      <c r="U1591" s="84">
        <f t="shared" si="350"/>
        <v>36988.299999999996</v>
      </c>
    </row>
    <row r="1592" spans="1:21">
      <c r="A1592" s="61" t="str">
        <f ca="1">IF(ISERROR(MATCH(E1592,Код_КЦСР,0)),"",INDIRECT(ADDRESS(MATCH(E1592,Код_КЦСР,0)+1,2,,,"КЦСР")))</f>
        <v>Центральный аппарат</v>
      </c>
      <c r="B1592" s="126">
        <v>811</v>
      </c>
      <c r="C1592" s="8" t="s">
        <v>214</v>
      </c>
      <c r="D1592" s="8" t="s">
        <v>194</v>
      </c>
      <c r="E1592" s="126" t="s">
        <v>302</v>
      </c>
      <c r="F1592" s="126"/>
      <c r="G1592" s="69">
        <f>G1593+G1595+G1598</f>
        <v>36988.299999999996</v>
      </c>
      <c r="H1592" s="69">
        <f>H1593+H1595+H1598</f>
        <v>0</v>
      </c>
      <c r="I1592" s="69">
        <f t="shared" si="349"/>
        <v>36988.299999999996</v>
      </c>
      <c r="J1592" s="69">
        <f>J1593+J1595+J1598</f>
        <v>0</v>
      </c>
      <c r="K1592" s="84">
        <f t="shared" si="344"/>
        <v>36988.299999999996</v>
      </c>
      <c r="L1592" s="13">
        <f>L1593+L1595+L1598</f>
        <v>0</v>
      </c>
      <c r="M1592" s="84">
        <f t="shared" si="336"/>
        <v>36988.299999999996</v>
      </c>
      <c r="N1592" s="13">
        <f>N1593+N1595+N1598</f>
        <v>0</v>
      </c>
      <c r="O1592" s="84">
        <f t="shared" si="337"/>
        <v>36988.299999999996</v>
      </c>
      <c r="P1592" s="13">
        <f>P1593+P1595+P1598</f>
        <v>0</v>
      </c>
      <c r="Q1592" s="84">
        <f t="shared" si="347"/>
        <v>36988.299999999996</v>
      </c>
      <c r="R1592" s="13">
        <f>R1593+R1595+R1598</f>
        <v>0</v>
      </c>
      <c r="S1592" s="84">
        <f t="shared" si="343"/>
        <v>36988.299999999996</v>
      </c>
      <c r="T1592" s="13">
        <f>T1593+T1595+T1598</f>
        <v>0</v>
      </c>
      <c r="U1592" s="84">
        <f t="shared" si="350"/>
        <v>36988.299999999996</v>
      </c>
    </row>
    <row r="1593" spans="1:21" ht="33">
      <c r="A1593" s="61" t="str">
        <f t="shared" ref="A1593:A1599" ca="1" si="351">IF(ISERROR(MATCH(F1593,Код_КВР,0)),"",INDIRECT(ADDRESS(MATCH(F1593,Код_КВР,0)+1,2,,,"КВР")))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93" s="126">
        <v>811</v>
      </c>
      <c r="C1593" s="8" t="s">
        <v>214</v>
      </c>
      <c r="D1593" s="8" t="s">
        <v>194</v>
      </c>
      <c r="E1593" s="126" t="s">
        <v>302</v>
      </c>
      <c r="F1593" s="126">
        <v>100</v>
      </c>
      <c r="G1593" s="69">
        <f>G1594</f>
        <v>36963.699999999997</v>
      </c>
      <c r="H1593" s="69">
        <f>H1594</f>
        <v>0</v>
      </c>
      <c r="I1593" s="69">
        <f t="shared" si="349"/>
        <v>36963.699999999997</v>
      </c>
      <c r="J1593" s="69">
        <f>J1594</f>
        <v>0</v>
      </c>
      <c r="K1593" s="84">
        <f t="shared" si="344"/>
        <v>36963.699999999997</v>
      </c>
      <c r="L1593" s="13">
        <f>L1594</f>
        <v>0</v>
      </c>
      <c r="M1593" s="84">
        <f t="shared" si="336"/>
        <v>36963.699999999997</v>
      </c>
      <c r="N1593" s="13">
        <f>N1594</f>
        <v>0</v>
      </c>
      <c r="O1593" s="84">
        <f t="shared" si="337"/>
        <v>36963.699999999997</v>
      </c>
      <c r="P1593" s="13">
        <f>P1594</f>
        <v>0</v>
      </c>
      <c r="Q1593" s="84">
        <f t="shared" si="347"/>
        <v>36963.699999999997</v>
      </c>
      <c r="R1593" s="13">
        <f>R1594</f>
        <v>-1.4</v>
      </c>
      <c r="S1593" s="84">
        <f t="shared" si="343"/>
        <v>36962.299999999996</v>
      </c>
      <c r="T1593" s="13">
        <f>T1594</f>
        <v>0</v>
      </c>
      <c r="U1593" s="84">
        <f t="shared" si="350"/>
        <v>36962.299999999996</v>
      </c>
    </row>
    <row r="1594" spans="1:21">
      <c r="A1594" s="61" t="str">
        <f t="shared" ca="1" si="351"/>
        <v>Расходы на выплаты персоналу муниципальных органов</v>
      </c>
      <c r="B1594" s="126">
        <v>811</v>
      </c>
      <c r="C1594" s="8" t="s">
        <v>214</v>
      </c>
      <c r="D1594" s="8" t="s">
        <v>194</v>
      </c>
      <c r="E1594" s="126" t="s">
        <v>302</v>
      </c>
      <c r="F1594" s="126">
        <v>120</v>
      </c>
      <c r="G1594" s="69">
        <v>36963.699999999997</v>
      </c>
      <c r="H1594" s="69"/>
      <c r="I1594" s="69">
        <f t="shared" si="349"/>
        <v>36963.699999999997</v>
      </c>
      <c r="J1594" s="69"/>
      <c r="K1594" s="84">
        <f t="shared" si="344"/>
        <v>36963.699999999997</v>
      </c>
      <c r="L1594" s="13"/>
      <c r="M1594" s="84">
        <f t="shared" si="336"/>
        <v>36963.699999999997</v>
      </c>
      <c r="N1594" s="13"/>
      <c r="O1594" s="84">
        <f t="shared" si="337"/>
        <v>36963.699999999997</v>
      </c>
      <c r="P1594" s="13"/>
      <c r="Q1594" s="84">
        <f t="shared" si="347"/>
        <v>36963.699999999997</v>
      </c>
      <c r="R1594" s="13">
        <v>-1.4</v>
      </c>
      <c r="S1594" s="84">
        <f t="shared" si="343"/>
        <v>36962.299999999996</v>
      </c>
      <c r="T1594" s="13"/>
      <c r="U1594" s="84">
        <f t="shared" si="350"/>
        <v>36962.299999999996</v>
      </c>
    </row>
    <row r="1595" spans="1:21">
      <c r="A1595" s="61" t="str">
        <f t="shared" ca="1" si="351"/>
        <v>Закупка товаров, работ и услуг для муниципальных нужд</v>
      </c>
      <c r="B1595" s="126">
        <v>811</v>
      </c>
      <c r="C1595" s="8" t="s">
        <v>214</v>
      </c>
      <c r="D1595" s="8" t="s">
        <v>194</v>
      </c>
      <c r="E1595" s="126" t="s">
        <v>302</v>
      </c>
      <c r="F1595" s="126">
        <v>200</v>
      </c>
      <c r="G1595" s="69">
        <f>G1596</f>
        <v>21.6</v>
      </c>
      <c r="H1595" s="69">
        <f>H1596</f>
        <v>0</v>
      </c>
      <c r="I1595" s="69">
        <f t="shared" si="349"/>
        <v>21.6</v>
      </c>
      <c r="J1595" s="69">
        <f>J1596</f>
        <v>0</v>
      </c>
      <c r="K1595" s="84">
        <f t="shared" si="344"/>
        <v>21.6</v>
      </c>
      <c r="L1595" s="13">
        <f>L1596</f>
        <v>0</v>
      </c>
      <c r="M1595" s="84">
        <f t="shared" si="336"/>
        <v>21.6</v>
      </c>
      <c r="N1595" s="13">
        <f>N1596</f>
        <v>0</v>
      </c>
      <c r="O1595" s="84">
        <f t="shared" si="337"/>
        <v>21.6</v>
      </c>
      <c r="P1595" s="13">
        <f>P1596</f>
        <v>0</v>
      </c>
      <c r="Q1595" s="84">
        <f t="shared" si="347"/>
        <v>21.6</v>
      </c>
      <c r="R1595" s="13">
        <f>R1596</f>
        <v>1.4</v>
      </c>
      <c r="S1595" s="84">
        <f t="shared" si="343"/>
        <v>23</v>
      </c>
      <c r="T1595" s="13">
        <f>T1596</f>
        <v>0</v>
      </c>
      <c r="U1595" s="84">
        <f t="shared" si="350"/>
        <v>23</v>
      </c>
    </row>
    <row r="1596" spans="1:21" ht="33">
      <c r="A1596" s="61" t="str">
        <f t="shared" ca="1" si="351"/>
        <v>Иные закупки товаров, работ и услуг для обеспечения муниципальных нужд</v>
      </c>
      <c r="B1596" s="126">
        <v>811</v>
      </c>
      <c r="C1596" s="8" t="s">
        <v>214</v>
      </c>
      <c r="D1596" s="8" t="s">
        <v>194</v>
      </c>
      <c r="E1596" s="126" t="s">
        <v>302</v>
      </c>
      <c r="F1596" s="126">
        <v>240</v>
      </c>
      <c r="G1596" s="69">
        <f>G1597</f>
        <v>21.6</v>
      </c>
      <c r="H1596" s="69">
        <f>H1597</f>
        <v>0</v>
      </c>
      <c r="I1596" s="69">
        <f t="shared" si="349"/>
        <v>21.6</v>
      </c>
      <c r="J1596" s="69">
        <f>J1597</f>
        <v>0</v>
      </c>
      <c r="K1596" s="84">
        <f t="shared" si="344"/>
        <v>21.6</v>
      </c>
      <c r="L1596" s="13">
        <f>L1597</f>
        <v>0</v>
      </c>
      <c r="M1596" s="84">
        <f t="shared" si="336"/>
        <v>21.6</v>
      </c>
      <c r="N1596" s="13">
        <f>N1597</f>
        <v>0</v>
      </c>
      <c r="O1596" s="84">
        <f t="shared" si="337"/>
        <v>21.6</v>
      </c>
      <c r="P1596" s="13">
        <f>P1597</f>
        <v>0</v>
      </c>
      <c r="Q1596" s="84">
        <f t="shared" si="347"/>
        <v>21.6</v>
      </c>
      <c r="R1596" s="13">
        <f>R1597</f>
        <v>1.4</v>
      </c>
      <c r="S1596" s="84">
        <f t="shared" si="343"/>
        <v>23</v>
      </c>
      <c r="T1596" s="13">
        <f>T1597</f>
        <v>0</v>
      </c>
      <c r="U1596" s="84">
        <f t="shared" si="350"/>
        <v>23</v>
      </c>
    </row>
    <row r="1597" spans="1:21" ht="33">
      <c r="A1597" s="61" t="str">
        <f t="shared" ca="1" si="351"/>
        <v xml:space="preserve">Прочая закупка товаров, работ и услуг для обеспечения муниципальных нужд         </v>
      </c>
      <c r="B1597" s="126">
        <v>811</v>
      </c>
      <c r="C1597" s="8" t="s">
        <v>214</v>
      </c>
      <c r="D1597" s="8" t="s">
        <v>194</v>
      </c>
      <c r="E1597" s="126" t="s">
        <v>302</v>
      </c>
      <c r="F1597" s="126">
        <v>244</v>
      </c>
      <c r="G1597" s="69">
        <v>21.6</v>
      </c>
      <c r="H1597" s="69"/>
      <c r="I1597" s="69">
        <f t="shared" si="349"/>
        <v>21.6</v>
      </c>
      <c r="J1597" s="69"/>
      <c r="K1597" s="84">
        <f t="shared" si="344"/>
        <v>21.6</v>
      </c>
      <c r="L1597" s="13"/>
      <c r="M1597" s="84">
        <f t="shared" si="336"/>
        <v>21.6</v>
      </c>
      <c r="N1597" s="13"/>
      <c r="O1597" s="84">
        <f t="shared" si="337"/>
        <v>21.6</v>
      </c>
      <c r="P1597" s="13"/>
      <c r="Q1597" s="84">
        <f t="shared" si="347"/>
        <v>21.6</v>
      </c>
      <c r="R1597" s="13">
        <v>1.4</v>
      </c>
      <c r="S1597" s="84">
        <f t="shared" si="343"/>
        <v>23</v>
      </c>
      <c r="T1597" s="13"/>
      <c r="U1597" s="84">
        <f t="shared" si="350"/>
        <v>23</v>
      </c>
    </row>
    <row r="1598" spans="1:21">
      <c r="A1598" s="61" t="str">
        <f t="shared" ca="1" si="351"/>
        <v>Иные бюджетные ассигнования</v>
      </c>
      <c r="B1598" s="126">
        <v>811</v>
      </c>
      <c r="C1598" s="8" t="s">
        <v>214</v>
      </c>
      <c r="D1598" s="8" t="s">
        <v>194</v>
      </c>
      <c r="E1598" s="126" t="s">
        <v>302</v>
      </c>
      <c r="F1598" s="126">
        <v>800</v>
      </c>
      <c r="G1598" s="69">
        <f>G1599</f>
        <v>3</v>
      </c>
      <c r="H1598" s="69">
        <f>H1599</f>
        <v>0</v>
      </c>
      <c r="I1598" s="69">
        <f t="shared" si="349"/>
        <v>3</v>
      </c>
      <c r="J1598" s="69">
        <f>J1599</f>
        <v>0</v>
      </c>
      <c r="K1598" s="84">
        <f t="shared" si="344"/>
        <v>3</v>
      </c>
      <c r="L1598" s="13">
        <f>L1599</f>
        <v>0</v>
      </c>
      <c r="M1598" s="84">
        <f t="shared" si="336"/>
        <v>3</v>
      </c>
      <c r="N1598" s="13">
        <f>N1599</f>
        <v>0</v>
      </c>
      <c r="O1598" s="84">
        <f t="shared" si="337"/>
        <v>3</v>
      </c>
      <c r="P1598" s="13">
        <f>P1599</f>
        <v>0</v>
      </c>
      <c r="Q1598" s="84">
        <f t="shared" si="347"/>
        <v>3</v>
      </c>
      <c r="R1598" s="13">
        <f>R1599</f>
        <v>0</v>
      </c>
      <c r="S1598" s="84">
        <f t="shared" si="343"/>
        <v>3</v>
      </c>
      <c r="T1598" s="13">
        <f>T1599</f>
        <v>0</v>
      </c>
      <c r="U1598" s="84">
        <f t="shared" si="350"/>
        <v>3</v>
      </c>
    </row>
    <row r="1599" spans="1:21">
      <c r="A1599" s="61" t="str">
        <f t="shared" ca="1" si="351"/>
        <v>Уплата налогов, сборов и иных платежей</v>
      </c>
      <c r="B1599" s="126">
        <v>811</v>
      </c>
      <c r="C1599" s="8" t="s">
        <v>214</v>
      </c>
      <c r="D1599" s="8" t="s">
        <v>194</v>
      </c>
      <c r="E1599" s="126" t="s">
        <v>302</v>
      </c>
      <c r="F1599" s="126">
        <v>850</v>
      </c>
      <c r="G1599" s="69">
        <f>G1600</f>
        <v>3</v>
      </c>
      <c r="H1599" s="69">
        <f>H1600</f>
        <v>0</v>
      </c>
      <c r="I1599" s="69">
        <f t="shared" si="349"/>
        <v>3</v>
      </c>
      <c r="J1599" s="69">
        <f>J1600</f>
        <v>0</v>
      </c>
      <c r="K1599" s="84">
        <f t="shared" si="344"/>
        <v>3</v>
      </c>
      <c r="L1599" s="13">
        <f>L1600</f>
        <v>0</v>
      </c>
      <c r="M1599" s="84">
        <f t="shared" si="336"/>
        <v>3</v>
      </c>
      <c r="N1599" s="13">
        <f>N1600</f>
        <v>0</v>
      </c>
      <c r="O1599" s="84">
        <f t="shared" si="337"/>
        <v>3</v>
      </c>
      <c r="P1599" s="13">
        <f>P1600</f>
        <v>0</v>
      </c>
      <c r="Q1599" s="84">
        <f t="shared" si="347"/>
        <v>3</v>
      </c>
      <c r="R1599" s="13">
        <f>R1600</f>
        <v>0</v>
      </c>
      <c r="S1599" s="84">
        <f t="shared" si="343"/>
        <v>3</v>
      </c>
      <c r="T1599" s="13">
        <f>T1600</f>
        <v>0</v>
      </c>
      <c r="U1599" s="84">
        <f t="shared" si="350"/>
        <v>3</v>
      </c>
    </row>
    <row r="1600" spans="1:21">
      <c r="A1600" s="61" t="str">
        <f ca="1">IF(ISERROR(MATCH(F1600,Код_КВР,0)),"",INDIRECT(ADDRESS(MATCH(F1600,Код_КВР,0)+1,2,,,"КВР")))</f>
        <v>Уплата прочих налогов, сборов и иных платежей</v>
      </c>
      <c r="B1600" s="126">
        <v>811</v>
      </c>
      <c r="C1600" s="8" t="s">
        <v>214</v>
      </c>
      <c r="D1600" s="8" t="s">
        <v>194</v>
      </c>
      <c r="E1600" s="126" t="s">
        <v>302</v>
      </c>
      <c r="F1600" s="126">
        <v>852</v>
      </c>
      <c r="G1600" s="69">
        <v>3</v>
      </c>
      <c r="H1600" s="69"/>
      <c r="I1600" s="69">
        <f t="shared" si="349"/>
        <v>3</v>
      </c>
      <c r="J1600" s="69"/>
      <c r="K1600" s="84">
        <f t="shared" si="344"/>
        <v>3</v>
      </c>
      <c r="L1600" s="13"/>
      <c r="M1600" s="84">
        <f t="shared" si="336"/>
        <v>3</v>
      </c>
      <c r="N1600" s="13"/>
      <c r="O1600" s="84">
        <f t="shared" si="337"/>
        <v>3</v>
      </c>
      <c r="P1600" s="13"/>
      <c r="Q1600" s="84">
        <f t="shared" si="347"/>
        <v>3</v>
      </c>
      <c r="R1600" s="13"/>
      <c r="S1600" s="84">
        <f t="shared" si="343"/>
        <v>3</v>
      </c>
      <c r="T1600" s="13"/>
      <c r="U1600" s="84">
        <f t="shared" si="350"/>
        <v>3</v>
      </c>
    </row>
    <row r="1601" spans="1:21" ht="135.19999999999999" customHeight="1">
      <c r="A1601" s="61" t="str">
        <f ca="1">IF(ISERROR(MATCH(E1601,Код_КЦСР,0)),"",INDIRECT(ADDRESS(MATCH(E1601,Код_КЦСР,0)+1,2,,,"КЦСР")))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601" s="126">
        <v>811</v>
      </c>
      <c r="C1601" s="8" t="s">
        <v>214</v>
      </c>
      <c r="D1601" s="8" t="s">
        <v>194</v>
      </c>
      <c r="E1601" s="126" t="s">
        <v>417</v>
      </c>
      <c r="F1601" s="126"/>
      <c r="G1601" s="69">
        <f>G1602</f>
        <v>112.3</v>
      </c>
      <c r="H1601" s="69">
        <f>H1602</f>
        <v>0</v>
      </c>
      <c r="I1601" s="69">
        <f t="shared" si="349"/>
        <v>112.3</v>
      </c>
      <c r="J1601" s="69">
        <f>J1602</f>
        <v>0</v>
      </c>
      <c r="K1601" s="84">
        <f t="shared" si="344"/>
        <v>112.3</v>
      </c>
      <c r="L1601" s="13">
        <f>L1602</f>
        <v>0</v>
      </c>
      <c r="M1601" s="84">
        <f t="shared" si="336"/>
        <v>112.3</v>
      </c>
      <c r="N1601" s="13">
        <f>N1602</f>
        <v>0</v>
      </c>
      <c r="O1601" s="84">
        <f t="shared" si="337"/>
        <v>112.3</v>
      </c>
      <c r="P1601" s="13">
        <f>P1602</f>
        <v>0</v>
      </c>
      <c r="Q1601" s="84">
        <f t="shared" si="347"/>
        <v>112.3</v>
      </c>
      <c r="R1601" s="13">
        <f>R1602</f>
        <v>0</v>
      </c>
      <c r="S1601" s="84">
        <f t="shared" si="343"/>
        <v>112.3</v>
      </c>
      <c r="T1601" s="13">
        <f>T1602</f>
        <v>-91.4</v>
      </c>
      <c r="U1601" s="84">
        <f t="shared" si="350"/>
        <v>20.899999999999991</v>
      </c>
    </row>
    <row r="1602" spans="1:21" ht="33">
      <c r="A1602" s="61" t="str">
        <f ca="1">IF(ISERROR(MATCH(F1602,Код_КВР,0)),"",INDIRECT(ADDRESS(MATCH(F1602,Код_КВР,0)+1,2,,,"КВР")))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02" s="126">
        <v>811</v>
      </c>
      <c r="C1602" s="8" t="s">
        <v>214</v>
      </c>
      <c r="D1602" s="8" t="s">
        <v>194</v>
      </c>
      <c r="E1602" s="126" t="s">
        <v>417</v>
      </c>
      <c r="F1602" s="126">
        <v>100</v>
      </c>
      <c r="G1602" s="69">
        <f>G1603</f>
        <v>112.3</v>
      </c>
      <c r="H1602" s="69">
        <f>H1603</f>
        <v>0</v>
      </c>
      <c r="I1602" s="69">
        <f t="shared" si="349"/>
        <v>112.3</v>
      </c>
      <c r="J1602" s="69">
        <f>J1603</f>
        <v>0</v>
      </c>
      <c r="K1602" s="84">
        <f t="shared" si="344"/>
        <v>112.3</v>
      </c>
      <c r="L1602" s="13">
        <f>L1603</f>
        <v>0</v>
      </c>
      <c r="M1602" s="84">
        <f t="shared" si="336"/>
        <v>112.3</v>
      </c>
      <c r="N1602" s="13">
        <f>N1603</f>
        <v>0</v>
      </c>
      <c r="O1602" s="84">
        <f t="shared" si="337"/>
        <v>112.3</v>
      </c>
      <c r="P1602" s="13">
        <f>P1603</f>
        <v>0</v>
      </c>
      <c r="Q1602" s="84">
        <f t="shared" si="347"/>
        <v>112.3</v>
      </c>
      <c r="R1602" s="13">
        <f>R1603</f>
        <v>0</v>
      </c>
      <c r="S1602" s="84">
        <f t="shared" si="343"/>
        <v>112.3</v>
      </c>
      <c r="T1602" s="13">
        <f>T1603</f>
        <v>-91.4</v>
      </c>
      <c r="U1602" s="84">
        <f t="shared" si="350"/>
        <v>20.899999999999991</v>
      </c>
    </row>
    <row r="1603" spans="1:21">
      <c r="A1603" s="61" t="str">
        <f ca="1">IF(ISERROR(MATCH(F1603,Код_КВР,0)),"",INDIRECT(ADDRESS(MATCH(F1603,Код_КВР,0)+1,2,,,"КВР")))</f>
        <v>Расходы на выплаты персоналу муниципальных органов</v>
      </c>
      <c r="B1603" s="126">
        <v>811</v>
      </c>
      <c r="C1603" s="8" t="s">
        <v>214</v>
      </c>
      <c r="D1603" s="8" t="s">
        <v>194</v>
      </c>
      <c r="E1603" s="126" t="s">
        <v>417</v>
      </c>
      <c r="F1603" s="126">
        <v>120</v>
      </c>
      <c r="G1603" s="69">
        <v>112.3</v>
      </c>
      <c r="H1603" s="69"/>
      <c r="I1603" s="69">
        <f t="shared" si="349"/>
        <v>112.3</v>
      </c>
      <c r="J1603" s="69"/>
      <c r="K1603" s="84">
        <f t="shared" si="344"/>
        <v>112.3</v>
      </c>
      <c r="L1603" s="13"/>
      <c r="M1603" s="84">
        <f t="shared" si="336"/>
        <v>112.3</v>
      </c>
      <c r="N1603" s="13"/>
      <c r="O1603" s="84">
        <f t="shared" si="337"/>
        <v>112.3</v>
      </c>
      <c r="P1603" s="13"/>
      <c r="Q1603" s="84">
        <f t="shared" si="347"/>
        <v>112.3</v>
      </c>
      <c r="R1603" s="13"/>
      <c r="S1603" s="84">
        <f t="shared" si="343"/>
        <v>112.3</v>
      </c>
      <c r="T1603" s="13">
        <v>-91.4</v>
      </c>
      <c r="U1603" s="84">
        <f t="shared" si="350"/>
        <v>20.899999999999991</v>
      </c>
    </row>
    <row r="1604" spans="1:21">
      <c r="A1604" s="61" t="str">
        <f ca="1">IF(ISERROR(MATCH(C1604,Код_Раздел,0)),"",INDIRECT(ADDRESS(MATCH(C1604,Код_Раздел,0)+1,2,,,"Раздел")))</f>
        <v>Жилищно-коммунальное хозяйство</v>
      </c>
      <c r="B1604" s="126">
        <v>811</v>
      </c>
      <c r="C1604" s="8" t="s">
        <v>219</v>
      </c>
      <c r="D1604" s="8"/>
      <c r="E1604" s="126"/>
      <c r="F1604" s="126"/>
      <c r="G1604" s="69">
        <f>G1611+G1622</f>
        <v>9522</v>
      </c>
      <c r="H1604" s="69">
        <f>H1611+H1622</f>
        <v>0</v>
      </c>
      <c r="I1604" s="69">
        <f t="shared" si="349"/>
        <v>9522</v>
      </c>
      <c r="J1604" s="69">
        <f>J1611+J1622</f>
        <v>0</v>
      </c>
      <c r="K1604" s="84">
        <f t="shared" si="344"/>
        <v>9522</v>
      </c>
      <c r="L1604" s="13">
        <f>L1611+L1622</f>
        <v>412.80000000000018</v>
      </c>
      <c r="M1604" s="84">
        <f t="shared" si="336"/>
        <v>9934.7999999999993</v>
      </c>
      <c r="N1604" s="13">
        <f>N1611+N1622</f>
        <v>3842.2</v>
      </c>
      <c r="O1604" s="84">
        <f t="shared" si="337"/>
        <v>13777</v>
      </c>
      <c r="P1604" s="13">
        <f>P1611+P1622</f>
        <v>0</v>
      </c>
      <c r="Q1604" s="84">
        <f t="shared" si="347"/>
        <v>13777</v>
      </c>
      <c r="R1604" s="13">
        <f>R1611+R1622+R1605</f>
        <v>1797.4</v>
      </c>
      <c r="S1604" s="84">
        <f t="shared" si="343"/>
        <v>15574.4</v>
      </c>
      <c r="T1604" s="13">
        <f>T1611+T1622+T1605</f>
        <v>-1643</v>
      </c>
      <c r="U1604" s="84">
        <f t="shared" si="350"/>
        <v>13931.4</v>
      </c>
    </row>
    <row r="1605" spans="1:21">
      <c r="A1605" s="12" t="s">
        <v>224</v>
      </c>
      <c r="B1605" s="126">
        <v>811</v>
      </c>
      <c r="C1605" s="8" t="s">
        <v>219</v>
      </c>
      <c r="D1605" s="8" t="s">
        <v>211</v>
      </c>
      <c r="E1605" s="126"/>
      <c r="F1605" s="126"/>
      <c r="G1605" s="69"/>
      <c r="H1605" s="69"/>
      <c r="I1605" s="69"/>
      <c r="J1605" s="69"/>
      <c r="K1605" s="84"/>
      <c r="L1605" s="13"/>
      <c r="M1605" s="84"/>
      <c r="N1605" s="13"/>
      <c r="O1605" s="84"/>
      <c r="P1605" s="13"/>
      <c r="Q1605" s="84"/>
      <c r="R1605" s="13">
        <f>R1606</f>
        <v>186.4</v>
      </c>
      <c r="S1605" s="84">
        <f t="shared" si="343"/>
        <v>186.4</v>
      </c>
      <c r="T1605" s="13">
        <f>T1606</f>
        <v>0</v>
      </c>
      <c r="U1605" s="84">
        <f t="shared" si="350"/>
        <v>186.4</v>
      </c>
    </row>
    <row r="1606" spans="1:21" ht="49.5">
      <c r="A1606" s="61" t="str">
        <f ca="1">IF(ISERROR(MATCH(E1606,Код_КЦСР,0)),"",INDIRECT(ADDRESS(MATCH(E1606,Код_КЦСР,0)+1,2,,,"КЦСР")))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606" s="126">
        <v>811</v>
      </c>
      <c r="C1606" s="8" t="s">
        <v>219</v>
      </c>
      <c r="D1606" s="8" t="s">
        <v>211</v>
      </c>
      <c r="E1606" s="126" t="s">
        <v>68</v>
      </c>
      <c r="F1606" s="126"/>
      <c r="G1606" s="69"/>
      <c r="H1606" s="69"/>
      <c r="I1606" s="69"/>
      <c r="J1606" s="69"/>
      <c r="K1606" s="84"/>
      <c r="L1606" s="13"/>
      <c r="M1606" s="84"/>
      <c r="N1606" s="13"/>
      <c r="O1606" s="84"/>
      <c r="P1606" s="13"/>
      <c r="Q1606" s="84"/>
      <c r="R1606" s="13">
        <f>R1607</f>
        <v>186.4</v>
      </c>
      <c r="S1606" s="84">
        <f t="shared" si="343"/>
        <v>186.4</v>
      </c>
      <c r="T1606" s="13">
        <f>T1607</f>
        <v>0</v>
      </c>
      <c r="U1606" s="84">
        <f t="shared" si="350"/>
        <v>186.4</v>
      </c>
    </row>
    <row r="1607" spans="1:21">
      <c r="A1607" s="61" t="str">
        <f ca="1">IF(ISERROR(MATCH(E1607,Код_КЦСР,0)),"",INDIRECT(ADDRESS(MATCH(E1607,Код_КЦСР,0)+1,2,,,"КЦСР")))</f>
        <v>Капитальный ремонт  объектов муниципальной собственности</v>
      </c>
      <c r="B1607" s="126">
        <v>811</v>
      </c>
      <c r="C1607" s="8" t="s">
        <v>219</v>
      </c>
      <c r="D1607" s="8" t="s">
        <v>211</v>
      </c>
      <c r="E1607" s="126" t="s">
        <v>76</v>
      </c>
      <c r="F1607" s="126"/>
      <c r="G1607" s="69"/>
      <c r="H1607" s="69"/>
      <c r="I1607" s="69"/>
      <c r="J1607" s="69"/>
      <c r="K1607" s="84"/>
      <c r="L1607" s="13"/>
      <c r="M1607" s="84"/>
      <c r="N1607" s="13"/>
      <c r="O1607" s="84"/>
      <c r="P1607" s="13"/>
      <c r="Q1607" s="84"/>
      <c r="R1607" s="13">
        <f>R1608</f>
        <v>186.4</v>
      </c>
      <c r="S1607" s="84">
        <f t="shared" si="343"/>
        <v>186.4</v>
      </c>
      <c r="T1607" s="13">
        <f>T1608</f>
        <v>0</v>
      </c>
      <c r="U1607" s="84">
        <f t="shared" si="350"/>
        <v>186.4</v>
      </c>
    </row>
    <row r="1608" spans="1:21" ht="21.95" customHeight="1">
      <c r="A1608" s="61" t="str">
        <f ca="1">IF(ISERROR(MATCH(F1608,Код_КВР,0)),"",INDIRECT(ADDRESS(MATCH(F1608,Код_КВР,0)+1,2,,,"КВР")))</f>
        <v>Закупка товаров, работ и услуг для муниципальных нужд</v>
      </c>
      <c r="B1608" s="126">
        <v>811</v>
      </c>
      <c r="C1608" s="8" t="s">
        <v>219</v>
      </c>
      <c r="D1608" s="8" t="s">
        <v>211</v>
      </c>
      <c r="E1608" s="126" t="s">
        <v>76</v>
      </c>
      <c r="F1608" s="126">
        <v>200</v>
      </c>
      <c r="G1608" s="69"/>
      <c r="H1608" s="69"/>
      <c r="I1608" s="69"/>
      <c r="J1608" s="69"/>
      <c r="K1608" s="84"/>
      <c r="L1608" s="13"/>
      <c r="M1608" s="84"/>
      <c r="N1608" s="13"/>
      <c r="O1608" s="84"/>
      <c r="P1608" s="13"/>
      <c r="Q1608" s="84"/>
      <c r="R1608" s="13">
        <f>R1609</f>
        <v>186.4</v>
      </c>
      <c r="S1608" s="84">
        <f t="shared" si="343"/>
        <v>186.4</v>
      </c>
      <c r="T1608" s="13">
        <f>T1609</f>
        <v>0</v>
      </c>
      <c r="U1608" s="84">
        <f t="shared" si="350"/>
        <v>186.4</v>
      </c>
    </row>
    <row r="1609" spans="1:21" ht="37.5" customHeight="1">
      <c r="A1609" s="61" t="str">
        <f ca="1">IF(ISERROR(MATCH(F1609,Код_КВР,0)),"",INDIRECT(ADDRESS(MATCH(F1609,Код_КВР,0)+1,2,,,"КВР")))</f>
        <v>Иные закупки товаров, работ и услуг для обеспечения муниципальных нужд</v>
      </c>
      <c r="B1609" s="126">
        <v>811</v>
      </c>
      <c r="C1609" s="8" t="s">
        <v>219</v>
      </c>
      <c r="D1609" s="8" t="s">
        <v>211</v>
      </c>
      <c r="E1609" s="126" t="s">
        <v>76</v>
      </c>
      <c r="F1609" s="126">
        <v>240</v>
      </c>
      <c r="G1609" s="69"/>
      <c r="H1609" s="69"/>
      <c r="I1609" s="69"/>
      <c r="J1609" s="69"/>
      <c r="K1609" s="84"/>
      <c r="L1609" s="13"/>
      <c r="M1609" s="84"/>
      <c r="N1609" s="13"/>
      <c r="O1609" s="84"/>
      <c r="P1609" s="13"/>
      <c r="Q1609" s="84"/>
      <c r="R1609" s="13">
        <f>R1610</f>
        <v>186.4</v>
      </c>
      <c r="S1609" s="84">
        <f t="shared" si="343"/>
        <v>186.4</v>
      </c>
      <c r="T1609" s="13">
        <f>T1610</f>
        <v>0</v>
      </c>
      <c r="U1609" s="84">
        <f t="shared" si="350"/>
        <v>186.4</v>
      </c>
    </row>
    <row r="1610" spans="1:21" ht="33">
      <c r="A1610" s="61" t="str">
        <f ca="1">IF(ISERROR(MATCH(F1610,Код_КВР,0)),"",INDIRECT(ADDRESS(MATCH(F1610,Код_КВР,0)+1,2,,,"КВР")))</f>
        <v>Закупка товаров, работ, услуг в целях капитального ремонта муниципального имущества</v>
      </c>
      <c r="B1610" s="126">
        <v>811</v>
      </c>
      <c r="C1610" s="8" t="s">
        <v>219</v>
      </c>
      <c r="D1610" s="8" t="s">
        <v>211</v>
      </c>
      <c r="E1610" s="126" t="s">
        <v>76</v>
      </c>
      <c r="F1610" s="126">
        <v>243</v>
      </c>
      <c r="G1610" s="69"/>
      <c r="H1610" s="69"/>
      <c r="I1610" s="69"/>
      <c r="J1610" s="69"/>
      <c r="K1610" s="84"/>
      <c r="L1610" s="13"/>
      <c r="M1610" s="84"/>
      <c r="N1610" s="13"/>
      <c r="O1610" s="84"/>
      <c r="P1610" s="13"/>
      <c r="Q1610" s="84"/>
      <c r="R1610" s="13">
        <f>186.4</f>
        <v>186.4</v>
      </c>
      <c r="S1610" s="84">
        <f t="shared" si="343"/>
        <v>186.4</v>
      </c>
      <c r="T1610" s="13"/>
      <c r="U1610" s="84">
        <f t="shared" si="350"/>
        <v>186.4</v>
      </c>
    </row>
    <row r="1611" spans="1:21">
      <c r="A1611" s="12" t="s">
        <v>251</v>
      </c>
      <c r="B1611" s="126">
        <v>811</v>
      </c>
      <c r="C1611" s="8" t="s">
        <v>219</v>
      </c>
      <c r="D1611" s="8" t="s">
        <v>212</v>
      </c>
      <c r="E1611" s="126"/>
      <c r="F1611" s="126"/>
      <c r="G1611" s="69">
        <f t="shared" ref="G1611:T1616" si="352">G1612</f>
        <v>4522</v>
      </c>
      <c r="H1611" s="69">
        <f t="shared" si="352"/>
        <v>0</v>
      </c>
      <c r="I1611" s="69">
        <f t="shared" si="349"/>
        <v>4522</v>
      </c>
      <c r="J1611" s="69">
        <f t="shared" si="352"/>
        <v>0</v>
      </c>
      <c r="K1611" s="84">
        <f t="shared" si="344"/>
        <v>4522</v>
      </c>
      <c r="L1611" s="13">
        <f t="shared" si="352"/>
        <v>412.80000000000018</v>
      </c>
      <c r="M1611" s="84">
        <f t="shared" si="336"/>
        <v>4934.8</v>
      </c>
      <c r="N1611" s="13">
        <f t="shared" si="352"/>
        <v>0</v>
      </c>
      <c r="O1611" s="84">
        <f t="shared" si="337"/>
        <v>4934.8</v>
      </c>
      <c r="P1611" s="13">
        <f t="shared" si="352"/>
        <v>0</v>
      </c>
      <c r="Q1611" s="84">
        <f t="shared" si="347"/>
        <v>4934.8</v>
      </c>
      <c r="R1611" s="13">
        <f t="shared" si="352"/>
        <v>1611</v>
      </c>
      <c r="S1611" s="84">
        <f t="shared" si="343"/>
        <v>6545.8</v>
      </c>
      <c r="T1611" s="13">
        <f t="shared" si="352"/>
        <v>-1622.9</v>
      </c>
      <c r="U1611" s="84">
        <f t="shared" si="350"/>
        <v>4922.8999999999996</v>
      </c>
    </row>
    <row r="1612" spans="1:21" ht="49.5">
      <c r="A1612" s="61" t="str">
        <f ca="1">IF(ISERROR(MATCH(E1612,Код_КЦСР,0)),"",INDIRECT(ADDRESS(MATCH(E1612,Код_КЦСР,0)+1,2,,,"КЦСР")))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612" s="126">
        <v>811</v>
      </c>
      <c r="C1612" s="8" t="s">
        <v>219</v>
      </c>
      <c r="D1612" s="8" t="s">
        <v>212</v>
      </c>
      <c r="E1612" s="126" t="s">
        <v>68</v>
      </c>
      <c r="F1612" s="126"/>
      <c r="G1612" s="69">
        <f t="shared" si="352"/>
        <v>4522</v>
      </c>
      <c r="H1612" s="69">
        <f t="shared" si="352"/>
        <v>0</v>
      </c>
      <c r="I1612" s="69">
        <f t="shared" si="349"/>
        <v>4522</v>
      </c>
      <c r="J1612" s="69">
        <f t="shared" si="352"/>
        <v>0</v>
      </c>
      <c r="K1612" s="84">
        <f t="shared" si="344"/>
        <v>4522</v>
      </c>
      <c r="L1612" s="13">
        <f t="shared" si="352"/>
        <v>412.80000000000018</v>
      </c>
      <c r="M1612" s="84">
        <f t="shared" si="336"/>
        <v>4934.8</v>
      </c>
      <c r="N1612" s="13">
        <f t="shared" si="352"/>
        <v>0</v>
      </c>
      <c r="O1612" s="84">
        <f t="shared" si="337"/>
        <v>4934.8</v>
      </c>
      <c r="P1612" s="13">
        <f t="shared" si="352"/>
        <v>0</v>
      </c>
      <c r="Q1612" s="84">
        <f t="shared" si="347"/>
        <v>4934.8</v>
      </c>
      <c r="R1612" s="13">
        <f t="shared" si="352"/>
        <v>1611</v>
      </c>
      <c r="S1612" s="84">
        <f t="shared" si="343"/>
        <v>6545.8</v>
      </c>
      <c r="T1612" s="13">
        <f>T1613</f>
        <v>-1622.9</v>
      </c>
      <c r="U1612" s="84">
        <f t="shared" si="350"/>
        <v>4922.8999999999996</v>
      </c>
    </row>
    <row r="1613" spans="1:21" ht="33">
      <c r="A1613" s="61" t="str">
        <f ca="1">IF(ISERROR(MATCH(E1613,Код_КЦСР,0)),"",INDIRECT(ADDRESS(MATCH(E1613,Код_КЦСР,0)+1,2,,,"КЦСР")))</f>
        <v>Капитальное строительство и реконструкция объектов муниципальной собственности</v>
      </c>
      <c r="B1613" s="126">
        <v>811</v>
      </c>
      <c r="C1613" s="8" t="s">
        <v>219</v>
      </c>
      <c r="D1613" s="8" t="s">
        <v>212</v>
      </c>
      <c r="E1613" s="126" t="s">
        <v>70</v>
      </c>
      <c r="F1613" s="126"/>
      <c r="G1613" s="69">
        <f t="shared" si="352"/>
        <v>4522</v>
      </c>
      <c r="H1613" s="69">
        <f t="shared" si="352"/>
        <v>0</v>
      </c>
      <c r="I1613" s="69">
        <f t="shared" si="349"/>
        <v>4522</v>
      </c>
      <c r="J1613" s="69">
        <f t="shared" si="352"/>
        <v>0</v>
      </c>
      <c r="K1613" s="84">
        <f t="shared" si="344"/>
        <v>4522</v>
      </c>
      <c r="L1613" s="13">
        <f>L1614+L1618</f>
        <v>412.80000000000018</v>
      </c>
      <c r="M1613" s="84">
        <f t="shared" si="336"/>
        <v>4934.8</v>
      </c>
      <c r="N1613" s="13">
        <f>N1614+N1618</f>
        <v>0</v>
      </c>
      <c r="O1613" s="84">
        <f t="shared" si="337"/>
        <v>4934.8</v>
      </c>
      <c r="P1613" s="13">
        <f>P1614+P1618</f>
        <v>0</v>
      </c>
      <c r="Q1613" s="84">
        <f t="shared" si="347"/>
        <v>4934.8</v>
      </c>
      <c r="R1613" s="13">
        <f>R1614+R1618</f>
        <v>1611</v>
      </c>
      <c r="S1613" s="84">
        <f t="shared" si="343"/>
        <v>6545.8</v>
      </c>
      <c r="T1613" s="13">
        <f>T1614+T1618</f>
        <v>-1622.9</v>
      </c>
      <c r="U1613" s="84">
        <f t="shared" si="350"/>
        <v>4922.8999999999996</v>
      </c>
    </row>
    <row r="1614" spans="1:21">
      <c r="A1614" s="61" t="str">
        <f ca="1">IF(ISERROR(MATCH(E1614,Код_КЦСР,0)),"",INDIRECT(ADDRESS(MATCH(E1614,Код_КЦСР,0)+1,2,,,"КЦСР")))</f>
        <v>Строительство полигона твердых бытовых отходов (ТБО) №2</v>
      </c>
      <c r="B1614" s="126">
        <v>811</v>
      </c>
      <c r="C1614" s="8" t="s">
        <v>219</v>
      </c>
      <c r="D1614" s="8" t="s">
        <v>212</v>
      </c>
      <c r="E1614" s="126" t="s">
        <v>75</v>
      </c>
      <c r="F1614" s="126"/>
      <c r="G1614" s="69">
        <f t="shared" si="352"/>
        <v>4522</v>
      </c>
      <c r="H1614" s="69">
        <f t="shared" si="352"/>
        <v>0</v>
      </c>
      <c r="I1614" s="69">
        <f t="shared" si="349"/>
        <v>4522</v>
      </c>
      <c r="J1614" s="69">
        <f t="shared" si="352"/>
        <v>0</v>
      </c>
      <c r="K1614" s="84">
        <f t="shared" si="344"/>
        <v>4522</v>
      </c>
      <c r="L1614" s="13">
        <f t="shared" si="352"/>
        <v>-2087.1999999999998</v>
      </c>
      <c r="M1614" s="84">
        <f t="shared" si="336"/>
        <v>2434.8000000000002</v>
      </c>
      <c r="N1614" s="13">
        <f t="shared" si="352"/>
        <v>0</v>
      </c>
      <c r="O1614" s="84">
        <f t="shared" si="337"/>
        <v>2434.8000000000002</v>
      </c>
      <c r="P1614" s="13">
        <f t="shared" si="352"/>
        <v>0</v>
      </c>
      <c r="Q1614" s="84">
        <f t="shared" si="347"/>
        <v>2434.8000000000002</v>
      </c>
      <c r="R1614" s="13">
        <f t="shared" si="352"/>
        <v>1611</v>
      </c>
      <c r="S1614" s="84">
        <f t="shared" si="343"/>
        <v>4045.8</v>
      </c>
      <c r="T1614" s="13">
        <f t="shared" si="352"/>
        <v>-348.5</v>
      </c>
      <c r="U1614" s="84">
        <f t="shared" si="350"/>
        <v>3697.3</v>
      </c>
    </row>
    <row r="1615" spans="1:21" ht="33">
      <c r="A1615" s="61" t="str">
        <f ca="1">IF(ISERROR(MATCH(F1615,Код_КВР,0)),"",INDIRECT(ADDRESS(MATCH(F1615,Код_КВР,0)+1,2,,,"КВР")))</f>
        <v>Капитальные вложения в объекты недвижимого имущества муниципальной собственности</v>
      </c>
      <c r="B1615" s="126">
        <v>811</v>
      </c>
      <c r="C1615" s="8" t="s">
        <v>219</v>
      </c>
      <c r="D1615" s="8" t="s">
        <v>212</v>
      </c>
      <c r="E1615" s="126" t="s">
        <v>75</v>
      </c>
      <c r="F1615" s="126">
        <v>400</v>
      </c>
      <c r="G1615" s="69">
        <f t="shared" si="352"/>
        <v>4522</v>
      </c>
      <c r="H1615" s="69">
        <f t="shared" si="352"/>
        <v>0</v>
      </c>
      <c r="I1615" s="69">
        <f t="shared" si="349"/>
        <v>4522</v>
      </c>
      <c r="J1615" s="69">
        <f t="shared" si="352"/>
        <v>0</v>
      </c>
      <c r="K1615" s="84">
        <f t="shared" si="344"/>
        <v>4522</v>
      </c>
      <c r="L1615" s="13">
        <f t="shared" si="352"/>
        <v>-2087.1999999999998</v>
      </c>
      <c r="M1615" s="84">
        <f t="shared" si="336"/>
        <v>2434.8000000000002</v>
      </c>
      <c r="N1615" s="13">
        <f t="shared" si="352"/>
        <v>0</v>
      </c>
      <c r="O1615" s="84">
        <f t="shared" si="337"/>
        <v>2434.8000000000002</v>
      </c>
      <c r="P1615" s="13">
        <f t="shared" si="352"/>
        <v>0</v>
      </c>
      <c r="Q1615" s="84">
        <f t="shared" si="347"/>
        <v>2434.8000000000002</v>
      </c>
      <c r="R1615" s="13">
        <f t="shared" si="352"/>
        <v>1611</v>
      </c>
      <c r="S1615" s="84">
        <f t="shared" si="343"/>
        <v>4045.8</v>
      </c>
      <c r="T1615" s="13">
        <f t="shared" si="352"/>
        <v>-348.5</v>
      </c>
      <c r="U1615" s="84">
        <f t="shared" si="350"/>
        <v>3697.3</v>
      </c>
    </row>
    <row r="1616" spans="1:21">
      <c r="A1616" s="61" t="str">
        <f ca="1">IF(ISERROR(MATCH(F1616,Код_КВР,0)),"",INDIRECT(ADDRESS(MATCH(F1616,Код_КВР,0)+1,2,,,"КВР")))</f>
        <v>Бюджетные инвестиции</v>
      </c>
      <c r="B1616" s="126">
        <v>811</v>
      </c>
      <c r="C1616" s="8" t="s">
        <v>219</v>
      </c>
      <c r="D1616" s="8" t="s">
        <v>212</v>
      </c>
      <c r="E1616" s="126" t="s">
        <v>75</v>
      </c>
      <c r="F1616" s="126">
        <v>410</v>
      </c>
      <c r="G1616" s="69">
        <f t="shared" si="352"/>
        <v>4522</v>
      </c>
      <c r="H1616" s="69">
        <f t="shared" si="352"/>
        <v>0</v>
      </c>
      <c r="I1616" s="69">
        <f t="shared" si="349"/>
        <v>4522</v>
      </c>
      <c r="J1616" s="69">
        <f t="shared" si="352"/>
        <v>0</v>
      </c>
      <c r="K1616" s="84">
        <f t="shared" si="344"/>
        <v>4522</v>
      </c>
      <c r="L1616" s="13">
        <f t="shared" si="352"/>
        <v>-2087.1999999999998</v>
      </c>
      <c r="M1616" s="84">
        <f t="shared" si="336"/>
        <v>2434.8000000000002</v>
      </c>
      <c r="N1616" s="13">
        <f t="shared" si="352"/>
        <v>0</v>
      </c>
      <c r="O1616" s="84">
        <f t="shared" si="337"/>
        <v>2434.8000000000002</v>
      </c>
      <c r="P1616" s="13">
        <f t="shared" si="352"/>
        <v>0</v>
      </c>
      <c r="Q1616" s="84">
        <f t="shared" si="347"/>
        <v>2434.8000000000002</v>
      </c>
      <c r="R1616" s="13">
        <f t="shared" si="352"/>
        <v>1611</v>
      </c>
      <c r="S1616" s="84">
        <f t="shared" si="343"/>
        <v>4045.8</v>
      </c>
      <c r="T1616" s="13">
        <f t="shared" si="352"/>
        <v>-348.5</v>
      </c>
      <c r="U1616" s="84">
        <f t="shared" si="350"/>
        <v>3697.3</v>
      </c>
    </row>
    <row r="1617" spans="1:21" ht="33">
      <c r="A1617" s="61" t="str">
        <f ca="1">IF(ISERROR(MATCH(F1617,Код_КВР,0)),"",INDIRECT(ADDRESS(MATCH(F1617,Код_КВР,0)+1,2,,,"КВР")))</f>
        <v>Бюджетные инвестиции в объекты капитального строительства муниципальной собственности</v>
      </c>
      <c r="B1617" s="126">
        <v>811</v>
      </c>
      <c r="C1617" s="8" t="s">
        <v>219</v>
      </c>
      <c r="D1617" s="8" t="s">
        <v>212</v>
      </c>
      <c r="E1617" s="126" t="s">
        <v>75</v>
      </c>
      <c r="F1617" s="126">
        <v>414</v>
      </c>
      <c r="G1617" s="69">
        <v>4522</v>
      </c>
      <c r="H1617" s="69"/>
      <c r="I1617" s="69">
        <f t="shared" si="349"/>
        <v>4522</v>
      </c>
      <c r="J1617" s="69"/>
      <c r="K1617" s="84">
        <f t="shared" si="344"/>
        <v>4522</v>
      </c>
      <c r="L1617" s="13">
        <v>-2087.1999999999998</v>
      </c>
      <c r="M1617" s="84">
        <f t="shared" si="336"/>
        <v>2434.8000000000002</v>
      </c>
      <c r="N1617" s="13"/>
      <c r="O1617" s="84">
        <f t="shared" si="337"/>
        <v>2434.8000000000002</v>
      </c>
      <c r="P1617" s="13"/>
      <c r="Q1617" s="84">
        <f t="shared" si="347"/>
        <v>2434.8000000000002</v>
      </c>
      <c r="R1617" s="13">
        <v>1611</v>
      </c>
      <c r="S1617" s="84">
        <f t="shared" si="343"/>
        <v>4045.8</v>
      </c>
      <c r="T1617" s="13">
        <v>-348.5</v>
      </c>
      <c r="U1617" s="84">
        <f t="shared" si="350"/>
        <v>3697.3</v>
      </c>
    </row>
    <row r="1618" spans="1:21" ht="15.75" customHeight="1">
      <c r="A1618" s="61" t="str">
        <f ca="1">IF(ISERROR(MATCH(E1618,Код_КЦСР,0)),"",INDIRECT(ADDRESS(MATCH(E1618,Код_КЦСР,0)+1,2,,,"КЦСР")))</f>
        <v>Туристско-рекреационный кластер «Центральная городская набережная»</v>
      </c>
      <c r="B1618" s="126">
        <v>811</v>
      </c>
      <c r="C1618" s="8" t="s">
        <v>219</v>
      </c>
      <c r="D1618" s="8" t="s">
        <v>212</v>
      </c>
      <c r="E1618" s="126" t="s">
        <v>618</v>
      </c>
      <c r="F1618" s="126"/>
      <c r="G1618" s="69"/>
      <c r="H1618" s="69"/>
      <c r="I1618" s="69"/>
      <c r="J1618" s="69"/>
      <c r="K1618" s="84"/>
      <c r="L1618" s="13">
        <f>L1619</f>
        <v>2500</v>
      </c>
      <c r="M1618" s="84">
        <f t="shared" si="336"/>
        <v>2500</v>
      </c>
      <c r="N1618" s="13">
        <f>N1619</f>
        <v>0</v>
      </c>
      <c r="O1618" s="84">
        <f t="shared" si="337"/>
        <v>2500</v>
      </c>
      <c r="P1618" s="13">
        <f>P1619</f>
        <v>0</v>
      </c>
      <c r="Q1618" s="84">
        <f t="shared" si="347"/>
        <v>2500</v>
      </c>
      <c r="R1618" s="13">
        <f>R1619</f>
        <v>0</v>
      </c>
      <c r="S1618" s="84">
        <f t="shared" si="343"/>
        <v>2500</v>
      </c>
      <c r="T1618" s="13">
        <f>T1619</f>
        <v>-1274.4000000000001</v>
      </c>
      <c r="U1618" s="84">
        <f t="shared" si="350"/>
        <v>1225.5999999999999</v>
      </c>
    </row>
    <row r="1619" spans="1:21" ht="42.75" customHeight="1">
      <c r="A1619" s="61" t="str">
        <f ca="1">IF(ISERROR(MATCH(F1619,Код_КВР,0)),"",INDIRECT(ADDRESS(MATCH(F1619,Код_КВР,0)+1,2,,,"КВР")))</f>
        <v>Капитальные вложения в объекты недвижимого имущества муниципальной собственности</v>
      </c>
      <c r="B1619" s="126">
        <v>811</v>
      </c>
      <c r="C1619" s="8" t="s">
        <v>219</v>
      </c>
      <c r="D1619" s="8" t="s">
        <v>212</v>
      </c>
      <c r="E1619" s="126" t="s">
        <v>618</v>
      </c>
      <c r="F1619" s="126">
        <v>400</v>
      </c>
      <c r="G1619" s="69"/>
      <c r="H1619" s="69"/>
      <c r="I1619" s="69"/>
      <c r="J1619" s="69"/>
      <c r="K1619" s="84"/>
      <c r="L1619" s="13">
        <f>L1620</f>
        <v>2500</v>
      </c>
      <c r="M1619" s="84">
        <f t="shared" si="336"/>
        <v>2500</v>
      </c>
      <c r="N1619" s="13">
        <f>N1620</f>
        <v>0</v>
      </c>
      <c r="O1619" s="84">
        <f t="shared" si="337"/>
        <v>2500</v>
      </c>
      <c r="P1619" s="13">
        <f>P1620</f>
        <v>0</v>
      </c>
      <c r="Q1619" s="84">
        <f t="shared" si="347"/>
        <v>2500</v>
      </c>
      <c r="R1619" s="13">
        <f>R1620</f>
        <v>0</v>
      </c>
      <c r="S1619" s="84">
        <f t="shared" si="343"/>
        <v>2500</v>
      </c>
      <c r="T1619" s="13">
        <f>T1620</f>
        <v>-1274.4000000000001</v>
      </c>
      <c r="U1619" s="84">
        <f t="shared" si="350"/>
        <v>1225.5999999999999</v>
      </c>
    </row>
    <row r="1620" spans="1:21">
      <c r="A1620" s="61" t="str">
        <f ca="1">IF(ISERROR(MATCH(F1620,Код_КВР,0)),"",INDIRECT(ADDRESS(MATCH(F1620,Код_КВР,0)+1,2,,,"КВР")))</f>
        <v>Бюджетные инвестиции</v>
      </c>
      <c r="B1620" s="126">
        <v>811</v>
      </c>
      <c r="C1620" s="8" t="s">
        <v>219</v>
      </c>
      <c r="D1620" s="8" t="s">
        <v>212</v>
      </c>
      <c r="E1620" s="126" t="s">
        <v>618</v>
      </c>
      <c r="F1620" s="126">
        <v>410</v>
      </c>
      <c r="G1620" s="69"/>
      <c r="H1620" s="69"/>
      <c r="I1620" s="69"/>
      <c r="J1620" s="69"/>
      <c r="K1620" s="84"/>
      <c r="L1620" s="13">
        <f>L1621</f>
        <v>2500</v>
      </c>
      <c r="M1620" s="84">
        <f t="shared" si="336"/>
        <v>2500</v>
      </c>
      <c r="N1620" s="13">
        <f>N1621</f>
        <v>0</v>
      </c>
      <c r="O1620" s="84">
        <f t="shared" si="337"/>
        <v>2500</v>
      </c>
      <c r="P1620" s="13">
        <f>P1621</f>
        <v>0</v>
      </c>
      <c r="Q1620" s="84">
        <f t="shared" si="347"/>
        <v>2500</v>
      </c>
      <c r="R1620" s="13">
        <f>R1621</f>
        <v>0</v>
      </c>
      <c r="S1620" s="84">
        <f t="shared" si="343"/>
        <v>2500</v>
      </c>
      <c r="T1620" s="13">
        <f>T1621</f>
        <v>-1274.4000000000001</v>
      </c>
      <c r="U1620" s="84">
        <f t="shared" si="350"/>
        <v>1225.5999999999999</v>
      </c>
    </row>
    <row r="1621" spans="1:21" ht="33">
      <c r="A1621" s="61" t="str">
        <f ca="1">IF(ISERROR(MATCH(F1621,Код_КВР,0)),"",INDIRECT(ADDRESS(MATCH(F1621,Код_КВР,0)+1,2,,,"КВР")))</f>
        <v>Бюджетные инвестиции в объекты капитального строительства муниципальной собственности</v>
      </c>
      <c r="B1621" s="126">
        <v>811</v>
      </c>
      <c r="C1621" s="8" t="s">
        <v>219</v>
      </c>
      <c r="D1621" s="8" t="s">
        <v>212</v>
      </c>
      <c r="E1621" s="126" t="s">
        <v>618</v>
      </c>
      <c r="F1621" s="126">
        <v>414</v>
      </c>
      <c r="G1621" s="69"/>
      <c r="H1621" s="69"/>
      <c r="I1621" s="69"/>
      <c r="J1621" s="69"/>
      <c r="K1621" s="84"/>
      <c r="L1621" s="13">
        <v>2500</v>
      </c>
      <c r="M1621" s="84">
        <f t="shared" si="336"/>
        <v>2500</v>
      </c>
      <c r="N1621" s="13"/>
      <c r="O1621" s="84">
        <f t="shared" si="337"/>
        <v>2500</v>
      </c>
      <c r="P1621" s="13"/>
      <c r="Q1621" s="84">
        <f t="shared" si="347"/>
        <v>2500</v>
      </c>
      <c r="R1621" s="13"/>
      <c r="S1621" s="84">
        <f t="shared" si="343"/>
        <v>2500</v>
      </c>
      <c r="T1621" s="13">
        <f>37.1-1311.5</f>
        <v>-1274.4000000000001</v>
      </c>
      <c r="U1621" s="84">
        <f t="shared" si="350"/>
        <v>1225.5999999999999</v>
      </c>
    </row>
    <row r="1622" spans="1:21">
      <c r="A1622" s="61" t="s">
        <v>250</v>
      </c>
      <c r="B1622" s="126">
        <v>811</v>
      </c>
      <c r="C1622" s="8" t="s">
        <v>219</v>
      </c>
      <c r="D1622" s="8" t="s">
        <v>213</v>
      </c>
      <c r="E1622" s="126"/>
      <c r="F1622" s="126"/>
      <c r="G1622" s="69">
        <f t="shared" ref="G1622:T1627" si="353">G1623</f>
        <v>5000</v>
      </c>
      <c r="H1622" s="69">
        <f t="shared" si="353"/>
        <v>0</v>
      </c>
      <c r="I1622" s="69">
        <f t="shared" si="349"/>
        <v>5000</v>
      </c>
      <c r="J1622" s="69">
        <f t="shared" si="353"/>
        <v>0</v>
      </c>
      <c r="K1622" s="84">
        <f t="shared" si="344"/>
        <v>5000</v>
      </c>
      <c r="L1622" s="13">
        <f t="shared" si="353"/>
        <v>0</v>
      </c>
      <c r="M1622" s="84">
        <f t="shared" si="336"/>
        <v>5000</v>
      </c>
      <c r="N1622" s="13">
        <f t="shared" si="353"/>
        <v>3842.2</v>
      </c>
      <c r="O1622" s="84">
        <f t="shared" si="337"/>
        <v>8842.2000000000007</v>
      </c>
      <c r="P1622" s="13">
        <f t="shared" si="353"/>
        <v>0</v>
      </c>
      <c r="Q1622" s="84">
        <f t="shared" si="347"/>
        <v>8842.2000000000007</v>
      </c>
      <c r="R1622" s="13">
        <f t="shared" si="353"/>
        <v>0</v>
      </c>
      <c r="S1622" s="84">
        <f t="shared" si="343"/>
        <v>8842.2000000000007</v>
      </c>
      <c r="T1622" s="13">
        <f t="shared" si="353"/>
        <v>-20.100000000000001</v>
      </c>
      <c r="U1622" s="84">
        <f t="shared" si="350"/>
        <v>8822.1</v>
      </c>
    </row>
    <row r="1623" spans="1:21" ht="57.95" customHeight="1">
      <c r="A1623" s="61" t="str">
        <f ca="1">IF(ISERROR(MATCH(E1623,Код_КЦСР,0)),"",INDIRECT(ADDRESS(MATCH(E1623,Код_КЦСР,0)+1,2,,,"КЦСР")))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623" s="126">
        <v>811</v>
      </c>
      <c r="C1623" s="8" t="s">
        <v>219</v>
      </c>
      <c r="D1623" s="8" t="s">
        <v>213</v>
      </c>
      <c r="E1623" s="126" t="s">
        <v>68</v>
      </c>
      <c r="F1623" s="126"/>
      <c r="G1623" s="69">
        <f t="shared" si="353"/>
        <v>5000</v>
      </c>
      <c r="H1623" s="69">
        <f t="shared" si="353"/>
        <v>0</v>
      </c>
      <c r="I1623" s="69">
        <f t="shared" si="349"/>
        <v>5000</v>
      </c>
      <c r="J1623" s="69">
        <f t="shared" si="353"/>
        <v>0</v>
      </c>
      <c r="K1623" s="84">
        <f t="shared" si="344"/>
        <v>5000</v>
      </c>
      <c r="L1623" s="13">
        <f t="shared" si="353"/>
        <v>0</v>
      </c>
      <c r="M1623" s="84">
        <f t="shared" si="336"/>
        <v>5000</v>
      </c>
      <c r="N1623" s="13">
        <f t="shared" si="353"/>
        <v>3842.2</v>
      </c>
      <c r="O1623" s="84">
        <f t="shared" si="337"/>
        <v>8842.2000000000007</v>
      </c>
      <c r="P1623" s="13">
        <f t="shared" si="353"/>
        <v>0</v>
      </c>
      <c r="Q1623" s="84">
        <f t="shared" si="347"/>
        <v>8842.2000000000007</v>
      </c>
      <c r="R1623" s="13">
        <f t="shared" si="353"/>
        <v>0</v>
      </c>
      <c r="S1623" s="84">
        <f t="shared" si="343"/>
        <v>8842.2000000000007</v>
      </c>
      <c r="T1623" s="13">
        <f t="shared" si="353"/>
        <v>-20.100000000000001</v>
      </c>
      <c r="U1623" s="84">
        <f t="shared" si="350"/>
        <v>8822.1</v>
      </c>
    </row>
    <row r="1624" spans="1:21" ht="33">
      <c r="A1624" s="61" t="str">
        <f ca="1">IF(ISERROR(MATCH(E1624,Код_КЦСР,0)),"",INDIRECT(ADDRESS(MATCH(E1624,Код_КЦСР,0)+1,2,,,"КЦСР")))</f>
        <v>Капитальное строительство и реконструкция объектов муниципальной собственности</v>
      </c>
      <c r="B1624" s="126">
        <v>811</v>
      </c>
      <c r="C1624" s="8" t="s">
        <v>219</v>
      </c>
      <c r="D1624" s="8" t="s">
        <v>213</v>
      </c>
      <c r="E1624" s="126" t="s">
        <v>70</v>
      </c>
      <c r="F1624" s="126"/>
      <c r="G1624" s="69">
        <f t="shared" si="353"/>
        <v>5000</v>
      </c>
      <c r="H1624" s="69">
        <f t="shared" si="353"/>
        <v>0</v>
      </c>
      <c r="I1624" s="69">
        <f t="shared" si="349"/>
        <v>5000</v>
      </c>
      <c r="J1624" s="69">
        <f t="shared" si="353"/>
        <v>0</v>
      </c>
      <c r="K1624" s="84">
        <f t="shared" si="344"/>
        <v>5000</v>
      </c>
      <c r="L1624" s="13">
        <f t="shared" si="353"/>
        <v>0</v>
      </c>
      <c r="M1624" s="84">
        <f t="shared" ref="M1624:M1709" si="354">K1624+L1624</f>
        <v>5000</v>
      </c>
      <c r="N1624" s="13">
        <f t="shared" si="353"/>
        <v>3842.2</v>
      </c>
      <c r="O1624" s="84">
        <f t="shared" ref="O1624:O1709" si="355">M1624+N1624</f>
        <v>8842.2000000000007</v>
      </c>
      <c r="P1624" s="13">
        <f t="shared" si="353"/>
        <v>0</v>
      </c>
      <c r="Q1624" s="84">
        <f t="shared" si="347"/>
        <v>8842.2000000000007</v>
      </c>
      <c r="R1624" s="13">
        <f t="shared" si="353"/>
        <v>0</v>
      </c>
      <c r="S1624" s="84">
        <f t="shared" si="343"/>
        <v>8842.2000000000007</v>
      </c>
      <c r="T1624" s="13">
        <f t="shared" si="353"/>
        <v>-20.100000000000001</v>
      </c>
      <c r="U1624" s="84">
        <f t="shared" si="350"/>
        <v>8822.1</v>
      </c>
    </row>
    <row r="1625" spans="1:21">
      <c r="A1625" s="61" t="str">
        <f ca="1">IF(ISERROR(MATCH(E1625,Код_КЦСР,0)),"",INDIRECT(ADDRESS(MATCH(E1625,Код_КЦСР,0)+1,2,,,"КЦСР")))</f>
        <v>Строительство объектов сметной стоимостью до 100 млн. рублей</v>
      </c>
      <c r="B1625" s="126">
        <v>811</v>
      </c>
      <c r="C1625" s="8" t="s">
        <v>219</v>
      </c>
      <c r="D1625" s="8" t="s">
        <v>213</v>
      </c>
      <c r="E1625" s="126" t="s">
        <v>71</v>
      </c>
      <c r="F1625" s="126"/>
      <c r="G1625" s="69">
        <f t="shared" si="353"/>
        <v>5000</v>
      </c>
      <c r="H1625" s="69">
        <f t="shared" si="353"/>
        <v>0</v>
      </c>
      <c r="I1625" s="69">
        <f t="shared" si="349"/>
        <v>5000</v>
      </c>
      <c r="J1625" s="69">
        <f t="shared" si="353"/>
        <v>0</v>
      </c>
      <c r="K1625" s="84">
        <f t="shared" si="344"/>
        <v>5000</v>
      </c>
      <c r="L1625" s="13">
        <f t="shared" si="353"/>
        <v>0</v>
      </c>
      <c r="M1625" s="84">
        <f t="shared" si="354"/>
        <v>5000</v>
      </c>
      <c r="N1625" s="13">
        <f t="shared" si="353"/>
        <v>3842.2</v>
      </c>
      <c r="O1625" s="84">
        <f t="shared" si="355"/>
        <v>8842.2000000000007</v>
      </c>
      <c r="P1625" s="13">
        <f t="shared" si="353"/>
        <v>0</v>
      </c>
      <c r="Q1625" s="84">
        <f t="shared" si="347"/>
        <v>8842.2000000000007</v>
      </c>
      <c r="R1625" s="13">
        <f t="shared" si="353"/>
        <v>0</v>
      </c>
      <c r="S1625" s="84">
        <f t="shared" si="343"/>
        <v>8842.2000000000007</v>
      </c>
      <c r="T1625" s="13">
        <f t="shared" si="353"/>
        <v>-20.100000000000001</v>
      </c>
      <c r="U1625" s="84">
        <f t="shared" si="350"/>
        <v>8822.1</v>
      </c>
    </row>
    <row r="1626" spans="1:21" ht="33">
      <c r="A1626" s="61" t="str">
        <f ca="1">IF(ISERROR(MATCH(F1626,Код_КВР,0)),"",INDIRECT(ADDRESS(MATCH(F1626,Код_КВР,0)+1,2,,,"КВР")))</f>
        <v>Капитальные вложения в объекты недвижимого имущества муниципальной собственности</v>
      </c>
      <c r="B1626" s="126">
        <v>811</v>
      </c>
      <c r="C1626" s="8" t="s">
        <v>219</v>
      </c>
      <c r="D1626" s="8" t="s">
        <v>213</v>
      </c>
      <c r="E1626" s="126" t="s">
        <v>71</v>
      </c>
      <c r="F1626" s="126">
        <v>400</v>
      </c>
      <c r="G1626" s="69">
        <f t="shared" si="353"/>
        <v>5000</v>
      </c>
      <c r="H1626" s="69">
        <f t="shared" si="353"/>
        <v>0</v>
      </c>
      <c r="I1626" s="69">
        <f t="shared" si="349"/>
        <v>5000</v>
      </c>
      <c r="J1626" s="69">
        <f t="shared" si="353"/>
        <v>0</v>
      </c>
      <c r="K1626" s="84">
        <f t="shared" si="344"/>
        <v>5000</v>
      </c>
      <c r="L1626" s="13">
        <f t="shared" si="353"/>
        <v>0</v>
      </c>
      <c r="M1626" s="84">
        <f t="shared" si="354"/>
        <v>5000</v>
      </c>
      <c r="N1626" s="13">
        <f t="shared" si="353"/>
        <v>3842.2</v>
      </c>
      <c r="O1626" s="84">
        <f t="shared" si="355"/>
        <v>8842.2000000000007</v>
      </c>
      <c r="P1626" s="13">
        <f t="shared" si="353"/>
        <v>0</v>
      </c>
      <c r="Q1626" s="84">
        <f t="shared" si="347"/>
        <v>8842.2000000000007</v>
      </c>
      <c r="R1626" s="13">
        <f t="shared" si="353"/>
        <v>0</v>
      </c>
      <c r="S1626" s="84">
        <f t="shared" si="343"/>
        <v>8842.2000000000007</v>
      </c>
      <c r="T1626" s="13">
        <f t="shared" si="353"/>
        <v>-20.100000000000001</v>
      </c>
      <c r="U1626" s="84">
        <f t="shared" si="350"/>
        <v>8822.1</v>
      </c>
    </row>
    <row r="1627" spans="1:21">
      <c r="A1627" s="61" t="str">
        <f ca="1">IF(ISERROR(MATCH(F1627,Код_КВР,0)),"",INDIRECT(ADDRESS(MATCH(F1627,Код_КВР,0)+1,2,,,"КВР")))</f>
        <v>Бюджетные инвестиции</v>
      </c>
      <c r="B1627" s="126">
        <v>811</v>
      </c>
      <c r="C1627" s="8" t="s">
        <v>219</v>
      </c>
      <c r="D1627" s="8" t="s">
        <v>213</v>
      </c>
      <c r="E1627" s="126" t="s">
        <v>71</v>
      </c>
      <c r="F1627" s="126">
        <v>410</v>
      </c>
      <c r="G1627" s="69">
        <f t="shared" si="353"/>
        <v>5000</v>
      </c>
      <c r="H1627" s="69">
        <f t="shared" si="353"/>
        <v>0</v>
      </c>
      <c r="I1627" s="69">
        <f t="shared" si="349"/>
        <v>5000</v>
      </c>
      <c r="J1627" s="69">
        <f t="shared" si="353"/>
        <v>0</v>
      </c>
      <c r="K1627" s="84">
        <f t="shared" si="344"/>
        <v>5000</v>
      </c>
      <c r="L1627" s="13">
        <f t="shared" si="353"/>
        <v>0</v>
      </c>
      <c r="M1627" s="84">
        <f t="shared" si="354"/>
        <v>5000</v>
      </c>
      <c r="N1627" s="13">
        <f t="shared" si="353"/>
        <v>3842.2</v>
      </c>
      <c r="O1627" s="84">
        <f t="shared" si="355"/>
        <v>8842.2000000000007</v>
      </c>
      <c r="P1627" s="13">
        <f t="shared" si="353"/>
        <v>0</v>
      </c>
      <c r="Q1627" s="84">
        <f t="shared" si="347"/>
        <v>8842.2000000000007</v>
      </c>
      <c r="R1627" s="13">
        <f t="shared" si="353"/>
        <v>0</v>
      </c>
      <c r="S1627" s="84">
        <f t="shared" si="343"/>
        <v>8842.2000000000007</v>
      </c>
      <c r="T1627" s="13">
        <f t="shared" si="353"/>
        <v>-20.100000000000001</v>
      </c>
      <c r="U1627" s="84">
        <f t="shared" si="350"/>
        <v>8822.1</v>
      </c>
    </row>
    <row r="1628" spans="1:21" ht="33">
      <c r="A1628" s="61" t="str">
        <f ca="1">IF(ISERROR(MATCH(F1628,Код_КВР,0)),"",INDIRECT(ADDRESS(MATCH(F1628,Код_КВР,0)+1,2,,,"КВР")))</f>
        <v>Бюджетные инвестиции в объекты капитального строительства муниципальной собственности</v>
      </c>
      <c r="B1628" s="126">
        <v>811</v>
      </c>
      <c r="C1628" s="8" t="s">
        <v>219</v>
      </c>
      <c r="D1628" s="8" t="s">
        <v>213</v>
      </c>
      <c r="E1628" s="126" t="s">
        <v>71</v>
      </c>
      <c r="F1628" s="126">
        <v>414</v>
      </c>
      <c r="G1628" s="69">
        <v>5000</v>
      </c>
      <c r="H1628" s="69"/>
      <c r="I1628" s="69">
        <f t="shared" si="349"/>
        <v>5000</v>
      </c>
      <c r="J1628" s="69"/>
      <c r="K1628" s="84">
        <f t="shared" si="344"/>
        <v>5000</v>
      </c>
      <c r="L1628" s="13"/>
      <c r="M1628" s="84">
        <f t="shared" si="354"/>
        <v>5000</v>
      </c>
      <c r="N1628" s="13">
        <v>3842.2</v>
      </c>
      <c r="O1628" s="84">
        <f t="shared" si="355"/>
        <v>8842.2000000000007</v>
      </c>
      <c r="P1628" s="13"/>
      <c r="Q1628" s="84">
        <f t="shared" si="347"/>
        <v>8842.2000000000007</v>
      </c>
      <c r="R1628" s="13"/>
      <c r="S1628" s="84">
        <f t="shared" si="343"/>
        <v>8842.2000000000007</v>
      </c>
      <c r="T1628" s="13">
        <f>-20.1</f>
        <v>-20.100000000000001</v>
      </c>
      <c r="U1628" s="84">
        <f t="shared" si="350"/>
        <v>8822.1</v>
      </c>
    </row>
    <row r="1629" spans="1:21">
      <c r="A1629" s="61" t="str">
        <f ca="1">IF(ISERROR(MATCH(C1629,Код_Раздел,0)),"",INDIRECT(ADDRESS(MATCH(C1629,Код_Раздел,0)+1,2,,,"Раздел")))</f>
        <v>Образование</v>
      </c>
      <c r="B1629" s="126">
        <v>811</v>
      </c>
      <c r="C1629" s="8" t="s">
        <v>193</v>
      </c>
      <c r="D1629" s="8"/>
      <c r="E1629" s="126"/>
      <c r="F1629" s="126"/>
      <c r="G1629" s="69">
        <f>G1630+G1636+G1649</f>
        <v>122119.70000000001</v>
      </c>
      <c r="H1629" s="69">
        <f>H1630+H1636+H1649</f>
        <v>0</v>
      </c>
      <c r="I1629" s="69">
        <f t="shared" si="349"/>
        <v>122119.70000000001</v>
      </c>
      <c r="J1629" s="69">
        <f>J1630+J1636+J1649</f>
        <v>10964.4</v>
      </c>
      <c r="K1629" s="84">
        <f t="shared" si="344"/>
        <v>133084.1</v>
      </c>
      <c r="L1629" s="13">
        <f>L1630+L1636+L1649</f>
        <v>-5157</v>
      </c>
      <c r="M1629" s="84">
        <f t="shared" si="354"/>
        <v>127927.1</v>
      </c>
      <c r="N1629" s="13">
        <f>N1630+N1636+N1649</f>
        <v>0</v>
      </c>
      <c r="O1629" s="84">
        <f t="shared" si="355"/>
        <v>127927.1</v>
      </c>
      <c r="P1629" s="13">
        <f>P1630+P1636+P1649</f>
        <v>3959.5</v>
      </c>
      <c r="Q1629" s="84">
        <f t="shared" si="347"/>
        <v>131886.6</v>
      </c>
      <c r="R1629" s="13">
        <f>R1630+R1636+R1649</f>
        <v>269852.90000000002</v>
      </c>
      <c r="S1629" s="84">
        <f t="shared" si="343"/>
        <v>401739.5</v>
      </c>
      <c r="T1629" s="13">
        <f>T1630+T1636+T1649</f>
        <v>-3134.4</v>
      </c>
      <c r="U1629" s="84">
        <f t="shared" si="350"/>
        <v>398605.1</v>
      </c>
    </row>
    <row r="1630" spans="1:21">
      <c r="A1630" s="12" t="s">
        <v>248</v>
      </c>
      <c r="B1630" s="126">
        <v>811</v>
      </c>
      <c r="C1630" s="8" t="s">
        <v>193</v>
      </c>
      <c r="D1630" s="8" t="s">
        <v>212</v>
      </c>
      <c r="E1630" s="126"/>
      <c r="F1630" s="126"/>
      <c r="G1630" s="69">
        <f t="shared" ref="G1630:T1634" si="356">G1631</f>
        <v>31933.8</v>
      </c>
      <c r="H1630" s="69">
        <f t="shared" si="356"/>
        <v>0</v>
      </c>
      <c r="I1630" s="69">
        <f t="shared" si="349"/>
        <v>31933.8</v>
      </c>
      <c r="J1630" s="69">
        <f t="shared" si="356"/>
        <v>0</v>
      </c>
      <c r="K1630" s="84">
        <f t="shared" si="344"/>
        <v>31933.8</v>
      </c>
      <c r="L1630" s="13">
        <f t="shared" si="356"/>
        <v>0</v>
      </c>
      <c r="M1630" s="84">
        <f t="shared" si="354"/>
        <v>31933.8</v>
      </c>
      <c r="N1630" s="13">
        <f t="shared" si="356"/>
        <v>0</v>
      </c>
      <c r="O1630" s="84">
        <f t="shared" si="355"/>
        <v>31933.8</v>
      </c>
      <c r="P1630" s="13">
        <f t="shared" si="356"/>
        <v>0</v>
      </c>
      <c r="Q1630" s="84">
        <f t="shared" si="347"/>
        <v>31933.8</v>
      </c>
      <c r="R1630" s="13">
        <f t="shared" si="356"/>
        <v>-2893.5</v>
      </c>
      <c r="S1630" s="84">
        <f t="shared" si="343"/>
        <v>29040.3</v>
      </c>
      <c r="T1630" s="13">
        <f t="shared" si="356"/>
        <v>-1908.4</v>
      </c>
      <c r="U1630" s="84">
        <f t="shared" si="350"/>
        <v>27131.899999999998</v>
      </c>
    </row>
    <row r="1631" spans="1:21" ht="49.5">
      <c r="A1631" s="61" t="str">
        <f ca="1">IF(ISERROR(MATCH(E1631,Код_КЦСР,0)),"",INDIRECT(ADDRESS(MATCH(E1631,Код_КЦСР,0)+1,2,,,"КЦСР")))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631" s="126">
        <v>811</v>
      </c>
      <c r="C1631" s="8" t="s">
        <v>193</v>
      </c>
      <c r="D1631" s="8" t="s">
        <v>212</v>
      </c>
      <c r="E1631" s="126" t="s">
        <v>68</v>
      </c>
      <c r="F1631" s="126"/>
      <c r="G1631" s="69">
        <f t="shared" si="356"/>
        <v>31933.8</v>
      </c>
      <c r="H1631" s="69">
        <f t="shared" si="356"/>
        <v>0</v>
      </c>
      <c r="I1631" s="69">
        <f t="shared" si="349"/>
        <v>31933.8</v>
      </c>
      <c r="J1631" s="69">
        <f t="shared" si="356"/>
        <v>0</v>
      </c>
      <c r="K1631" s="84">
        <f t="shared" si="344"/>
        <v>31933.8</v>
      </c>
      <c r="L1631" s="13">
        <f t="shared" si="356"/>
        <v>0</v>
      </c>
      <c r="M1631" s="84">
        <f t="shared" si="354"/>
        <v>31933.8</v>
      </c>
      <c r="N1631" s="13">
        <f t="shared" si="356"/>
        <v>0</v>
      </c>
      <c r="O1631" s="84">
        <f t="shared" si="355"/>
        <v>31933.8</v>
      </c>
      <c r="P1631" s="13">
        <f t="shared" si="356"/>
        <v>0</v>
      </c>
      <c r="Q1631" s="84">
        <f t="shared" si="347"/>
        <v>31933.8</v>
      </c>
      <c r="R1631" s="13">
        <f t="shared" si="356"/>
        <v>-2893.5</v>
      </c>
      <c r="S1631" s="84">
        <f t="shared" si="343"/>
        <v>29040.3</v>
      </c>
      <c r="T1631" s="13">
        <f t="shared" si="356"/>
        <v>-1908.4</v>
      </c>
      <c r="U1631" s="84">
        <f t="shared" si="350"/>
        <v>27131.899999999998</v>
      </c>
    </row>
    <row r="1632" spans="1:21">
      <c r="A1632" s="61" t="str">
        <f ca="1">IF(ISERROR(MATCH(E1632,Код_КЦСР,0)),"",INDIRECT(ADDRESS(MATCH(E1632,Код_КЦСР,0)+1,2,,,"КЦСР")))</f>
        <v>Капитальный ремонт  объектов муниципальной собственности</v>
      </c>
      <c r="B1632" s="126">
        <v>811</v>
      </c>
      <c r="C1632" s="8" t="s">
        <v>193</v>
      </c>
      <c r="D1632" s="8" t="s">
        <v>212</v>
      </c>
      <c r="E1632" s="126" t="s">
        <v>76</v>
      </c>
      <c r="F1632" s="126"/>
      <c r="G1632" s="69">
        <f t="shared" si="356"/>
        <v>31933.8</v>
      </c>
      <c r="H1632" s="69">
        <f t="shared" si="356"/>
        <v>0</v>
      </c>
      <c r="I1632" s="69">
        <f t="shared" si="349"/>
        <v>31933.8</v>
      </c>
      <c r="J1632" s="69">
        <f t="shared" si="356"/>
        <v>0</v>
      </c>
      <c r="K1632" s="84">
        <f t="shared" si="344"/>
        <v>31933.8</v>
      </c>
      <c r="L1632" s="13">
        <f t="shared" si="356"/>
        <v>0</v>
      </c>
      <c r="M1632" s="84">
        <f t="shared" si="354"/>
        <v>31933.8</v>
      </c>
      <c r="N1632" s="13">
        <f t="shared" si="356"/>
        <v>0</v>
      </c>
      <c r="O1632" s="84">
        <f t="shared" si="355"/>
        <v>31933.8</v>
      </c>
      <c r="P1632" s="13">
        <f t="shared" si="356"/>
        <v>0</v>
      </c>
      <c r="Q1632" s="84">
        <f t="shared" si="347"/>
        <v>31933.8</v>
      </c>
      <c r="R1632" s="13">
        <f t="shared" si="356"/>
        <v>-2893.5</v>
      </c>
      <c r="S1632" s="84">
        <f t="shared" si="343"/>
        <v>29040.3</v>
      </c>
      <c r="T1632" s="13">
        <f t="shared" si="356"/>
        <v>-1908.4</v>
      </c>
      <c r="U1632" s="84">
        <f t="shared" si="350"/>
        <v>27131.899999999998</v>
      </c>
    </row>
    <row r="1633" spans="1:21">
      <c r="A1633" s="61" t="str">
        <f ca="1">IF(ISERROR(MATCH(F1633,Код_КВР,0)),"",INDIRECT(ADDRESS(MATCH(F1633,Код_КВР,0)+1,2,,,"КВР")))</f>
        <v>Закупка товаров, работ и услуг для муниципальных нужд</v>
      </c>
      <c r="B1633" s="126">
        <v>811</v>
      </c>
      <c r="C1633" s="8" t="s">
        <v>193</v>
      </c>
      <c r="D1633" s="8" t="s">
        <v>212</v>
      </c>
      <c r="E1633" s="126" t="s">
        <v>76</v>
      </c>
      <c r="F1633" s="126">
        <v>200</v>
      </c>
      <c r="G1633" s="69">
        <f t="shared" si="356"/>
        <v>31933.8</v>
      </c>
      <c r="H1633" s="69">
        <f t="shared" si="356"/>
        <v>0</v>
      </c>
      <c r="I1633" s="69">
        <f t="shared" si="349"/>
        <v>31933.8</v>
      </c>
      <c r="J1633" s="69">
        <f t="shared" si="356"/>
        <v>0</v>
      </c>
      <c r="K1633" s="84">
        <f t="shared" si="344"/>
        <v>31933.8</v>
      </c>
      <c r="L1633" s="13">
        <f t="shared" si="356"/>
        <v>0</v>
      </c>
      <c r="M1633" s="84">
        <f t="shared" si="354"/>
        <v>31933.8</v>
      </c>
      <c r="N1633" s="13">
        <f t="shared" si="356"/>
        <v>0</v>
      </c>
      <c r="O1633" s="84">
        <f t="shared" si="355"/>
        <v>31933.8</v>
      </c>
      <c r="P1633" s="13">
        <f t="shared" si="356"/>
        <v>0</v>
      </c>
      <c r="Q1633" s="84">
        <f t="shared" si="347"/>
        <v>31933.8</v>
      </c>
      <c r="R1633" s="13">
        <f t="shared" si="356"/>
        <v>-2893.5</v>
      </c>
      <c r="S1633" s="84">
        <f t="shared" si="343"/>
        <v>29040.3</v>
      </c>
      <c r="T1633" s="13">
        <f t="shared" si="356"/>
        <v>-1908.4</v>
      </c>
      <c r="U1633" s="84">
        <f t="shared" si="350"/>
        <v>27131.899999999998</v>
      </c>
    </row>
    <row r="1634" spans="1:21" ht="33">
      <c r="A1634" s="61" t="str">
        <f ca="1">IF(ISERROR(MATCH(F1634,Код_КВР,0)),"",INDIRECT(ADDRESS(MATCH(F1634,Код_КВР,0)+1,2,,,"КВР")))</f>
        <v>Иные закупки товаров, работ и услуг для обеспечения муниципальных нужд</v>
      </c>
      <c r="B1634" s="126">
        <v>811</v>
      </c>
      <c r="C1634" s="8" t="s">
        <v>193</v>
      </c>
      <c r="D1634" s="8" t="s">
        <v>212</v>
      </c>
      <c r="E1634" s="126" t="s">
        <v>76</v>
      </c>
      <c r="F1634" s="126">
        <v>240</v>
      </c>
      <c r="G1634" s="69">
        <f t="shared" si="356"/>
        <v>31933.8</v>
      </c>
      <c r="H1634" s="69">
        <f t="shared" si="356"/>
        <v>0</v>
      </c>
      <c r="I1634" s="69">
        <f t="shared" si="349"/>
        <v>31933.8</v>
      </c>
      <c r="J1634" s="69">
        <f t="shared" si="356"/>
        <v>0</v>
      </c>
      <c r="K1634" s="84">
        <f t="shared" si="344"/>
        <v>31933.8</v>
      </c>
      <c r="L1634" s="13">
        <f t="shared" si="356"/>
        <v>0</v>
      </c>
      <c r="M1634" s="84">
        <f t="shared" si="354"/>
        <v>31933.8</v>
      </c>
      <c r="N1634" s="13">
        <f t="shared" si="356"/>
        <v>0</v>
      </c>
      <c r="O1634" s="84">
        <f t="shared" si="355"/>
        <v>31933.8</v>
      </c>
      <c r="P1634" s="13">
        <f t="shared" si="356"/>
        <v>0</v>
      </c>
      <c r="Q1634" s="84">
        <f t="shared" si="347"/>
        <v>31933.8</v>
      </c>
      <c r="R1634" s="13">
        <f t="shared" si="356"/>
        <v>-2893.5</v>
      </c>
      <c r="S1634" s="84">
        <f t="shared" si="343"/>
        <v>29040.3</v>
      </c>
      <c r="T1634" s="13">
        <f t="shared" si="356"/>
        <v>-1908.4</v>
      </c>
      <c r="U1634" s="84">
        <f t="shared" si="350"/>
        <v>27131.899999999998</v>
      </c>
    </row>
    <row r="1635" spans="1:21" ht="33">
      <c r="A1635" s="61" t="str">
        <f ca="1">IF(ISERROR(MATCH(F1635,Код_КВР,0)),"",INDIRECT(ADDRESS(MATCH(F1635,Код_КВР,0)+1,2,,,"КВР")))</f>
        <v>Закупка товаров, работ, услуг в целях капитального ремонта муниципального имущества</v>
      </c>
      <c r="B1635" s="126">
        <v>811</v>
      </c>
      <c r="C1635" s="8" t="s">
        <v>193</v>
      </c>
      <c r="D1635" s="8" t="s">
        <v>212</v>
      </c>
      <c r="E1635" s="126" t="s">
        <v>76</v>
      </c>
      <c r="F1635" s="126">
        <v>243</v>
      </c>
      <c r="G1635" s="69">
        <v>31933.8</v>
      </c>
      <c r="H1635" s="69"/>
      <c r="I1635" s="69">
        <f t="shared" si="349"/>
        <v>31933.8</v>
      </c>
      <c r="J1635" s="69"/>
      <c r="K1635" s="84">
        <f t="shared" si="344"/>
        <v>31933.8</v>
      </c>
      <c r="L1635" s="13"/>
      <c r="M1635" s="84">
        <f t="shared" si="354"/>
        <v>31933.8</v>
      </c>
      <c r="N1635" s="13"/>
      <c r="O1635" s="84">
        <f t="shared" si="355"/>
        <v>31933.8</v>
      </c>
      <c r="P1635" s="13"/>
      <c r="Q1635" s="84">
        <f t="shared" si="347"/>
        <v>31933.8</v>
      </c>
      <c r="R1635" s="13">
        <v>-2893.5</v>
      </c>
      <c r="S1635" s="84">
        <f t="shared" si="343"/>
        <v>29040.3</v>
      </c>
      <c r="T1635" s="13">
        <f>-1784-124.4</f>
        <v>-1908.4</v>
      </c>
      <c r="U1635" s="84">
        <f t="shared" si="350"/>
        <v>27131.899999999998</v>
      </c>
    </row>
    <row r="1636" spans="1:21">
      <c r="A1636" s="12" t="s">
        <v>197</v>
      </c>
      <c r="B1636" s="126">
        <v>811</v>
      </c>
      <c r="C1636" s="8" t="s">
        <v>193</v>
      </c>
      <c r="D1636" s="8" t="s">
        <v>193</v>
      </c>
      <c r="E1636" s="126"/>
      <c r="F1636" s="126"/>
      <c r="G1636" s="69">
        <f>G1637</f>
        <v>5655.8</v>
      </c>
      <c r="H1636" s="69">
        <f>H1637</f>
        <v>0</v>
      </c>
      <c r="I1636" s="69">
        <f t="shared" si="349"/>
        <v>5655.8</v>
      </c>
      <c r="J1636" s="69">
        <f>J1637</f>
        <v>0</v>
      </c>
      <c r="K1636" s="84">
        <f t="shared" si="344"/>
        <v>5655.8</v>
      </c>
      <c r="L1636" s="13">
        <f>L1637</f>
        <v>0</v>
      </c>
      <c r="M1636" s="84">
        <f t="shared" si="354"/>
        <v>5655.8</v>
      </c>
      <c r="N1636" s="13">
        <f>N1637</f>
        <v>0</v>
      </c>
      <c r="O1636" s="84">
        <f t="shared" si="355"/>
        <v>5655.8</v>
      </c>
      <c r="P1636" s="13">
        <f>P1637</f>
        <v>0</v>
      </c>
      <c r="Q1636" s="84">
        <f t="shared" si="347"/>
        <v>5655.8</v>
      </c>
      <c r="R1636" s="13">
        <f>R1637</f>
        <v>0</v>
      </c>
      <c r="S1636" s="84">
        <f t="shared" si="343"/>
        <v>5655.8</v>
      </c>
      <c r="T1636" s="13">
        <f>T1637</f>
        <v>0</v>
      </c>
      <c r="U1636" s="84">
        <f t="shared" si="350"/>
        <v>5655.8</v>
      </c>
    </row>
    <row r="1637" spans="1:21" ht="33">
      <c r="A1637" s="61" t="str">
        <f ca="1">IF(ISERROR(MATCH(E1637,Код_КЦСР,0)),"",INDIRECT(ADDRESS(MATCH(E1637,Код_КЦСР,0)+1,2,,,"КЦСР")))</f>
        <v>Муниципальная программа «Социальная поддержка граждан» на 2014-2018 годы</v>
      </c>
      <c r="B1637" s="126">
        <v>811</v>
      </c>
      <c r="C1637" s="8" t="s">
        <v>193</v>
      </c>
      <c r="D1637" s="8" t="s">
        <v>193</v>
      </c>
      <c r="E1637" s="126" t="s">
        <v>5</v>
      </c>
      <c r="F1637" s="126"/>
      <c r="G1637" s="69">
        <f>G1638+G1642</f>
        <v>5655.8</v>
      </c>
      <c r="H1637" s="69">
        <f>H1638+H1642</f>
        <v>0</v>
      </c>
      <c r="I1637" s="69">
        <f t="shared" si="349"/>
        <v>5655.8</v>
      </c>
      <c r="J1637" s="69">
        <f>J1638+J1642</f>
        <v>0</v>
      </c>
      <c r="K1637" s="84">
        <f t="shared" si="344"/>
        <v>5655.8</v>
      </c>
      <c r="L1637" s="13">
        <f>L1638+L1642</f>
        <v>0</v>
      </c>
      <c r="M1637" s="84">
        <f t="shared" si="354"/>
        <v>5655.8</v>
      </c>
      <c r="N1637" s="13">
        <f>N1638+N1642</f>
        <v>0</v>
      </c>
      <c r="O1637" s="84">
        <f t="shared" si="355"/>
        <v>5655.8</v>
      </c>
      <c r="P1637" s="13">
        <f>P1638+P1642</f>
        <v>0</v>
      </c>
      <c r="Q1637" s="84">
        <f t="shared" si="347"/>
        <v>5655.8</v>
      </c>
      <c r="R1637" s="13">
        <f>R1638+R1642</f>
        <v>0</v>
      </c>
      <c r="S1637" s="84">
        <f t="shared" ref="S1637:S1715" si="357">Q1637+R1637</f>
        <v>5655.8</v>
      </c>
      <c r="T1637" s="13">
        <f>T1638+T1642</f>
        <v>0</v>
      </c>
      <c r="U1637" s="84">
        <f t="shared" si="350"/>
        <v>5655.8</v>
      </c>
    </row>
    <row r="1638" spans="1:21" ht="66">
      <c r="A1638" s="61" t="str">
        <f ca="1">IF(ISERROR(MATCH(E1638,Код_КЦСР,0)),"",INDIRECT(ADDRESS(MATCH(E1638,Код_КЦСР,0)+1,2,,,"КЦСР")))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638" s="126">
        <v>811</v>
      </c>
      <c r="C1638" s="8" t="s">
        <v>193</v>
      </c>
      <c r="D1638" s="8" t="s">
        <v>193</v>
      </c>
      <c r="E1638" s="126" t="s">
        <v>8</v>
      </c>
      <c r="F1638" s="126"/>
      <c r="G1638" s="69">
        <f t="shared" ref="G1638:T1640" si="358">G1639</f>
        <v>113.2</v>
      </c>
      <c r="H1638" s="69">
        <f t="shared" si="358"/>
        <v>0</v>
      </c>
      <c r="I1638" s="69">
        <f t="shared" si="349"/>
        <v>113.2</v>
      </c>
      <c r="J1638" s="69">
        <f t="shared" si="358"/>
        <v>0</v>
      </c>
      <c r="K1638" s="84">
        <f t="shared" si="344"/>
        <v>113.2</v>
      </c>
      <c r="L1638" s="13">
        <f t="shared" si="358"/>
        <v>0</v>
      </c>
      <c r="M1638" s="84">
        <f t="shared" si="354"/>
        <v>113.2</v>
      </c>
      <c r="N1638" s="13">
        <f t="shared" si="358"/>
        <v>0</v>
      </c>
      <c r="O1638" s="84">
        <f t="shared" si="355"/>
        <v>113.2</v>
      </c>
      <c r="P1638" s="13">
        <f t="shared" si="358"/>
        <v>0</v>
      </c>
      <c r="Q1638" s="84">
        <f t="shared" si="347"/>
        <v>113.2</v>
      </c>
      <c r="R1638" s="13">
        <f t="shared" si="358"/>
        <v>0</v>
      </c>
      <c r="S1638" s="84">
        <f t="shared" si="357"/>
        <v>113.2</v>
      </c>
      <c r="T1638" s="13">
        <f t="shared" si="358"/>
        <v>0</v>
      </c>
      <c r="U1638" s="84">
        <f t="shared" si="350"/>
        <v>113.2</v>
      </c>
    </row>
    <row r="1639" spans="1:21" ht="33">
      <c r="A1639" s="61" t="str">
        <f ca="1">IF(ISERROR(MATCH(F1639,Код_КВР,0)),"",INDIRECT(ADDRESS(MATCH(F1639,Код_КВР,0)+1,2,,,"КВР")))</f>
        <v>Капитальные вложения в объекты недвижимого имущества муниципальной собственности</v>
      </c>
      <c r="B1639" s="126">
        <v>811</v>
      </c>
      <c r="C1639" s="8" t="s">
        <v>193</v>
      </c>
      <c r="D1639" s="8" t="s">
        <v>193</v>
      </c>
      <c r="E1639" s="126" t="s">
        <v>8</v>
      </c>
      <c r="F1639" s="126">
        <v>400</v>
      </c>
      <c r="G1639" s="69">
        <f t="shared" si="358"/>
        <v>113.2</v>
      </c>
      <c r="H1639" s="69">
        <f t="shared" si="358"/>
        <v>0</v>
      </c>
      <c r="I1639" s="69">
        <f t="shared" si="349"/>
        <v>113.2</v>
      </c>
      <c r="J1639" s="69">
        <f t="shared" si="358"/>
        <v>0</v>
      </c>
      <c r="K1639" s="84">
        <f t="shared" si="344"/>
        <v>113.2</v>
      </c>
      <c r="L1639" s="13">
        <f t="shared" si="358"/>
        <v>0</v>
      </c>
      <c r="M1639" s="84">
        <f t="shared" si="354"/>
        <v>113.2</v>
      </c>
      <c r="N1639" s="13">
        <f t="shared" si="358"/>
        <v>0</v>
      </c>
      <c r="O1639" s="84">
        <f t="shared" si="355"/>
        <v>113.2</v>
      </c>
      <c r="P1639" s="13">
        <f t="shared" si="358"/>
        <v>0</v>
      </c>
      <c r="Q1639" s="84">
        <f t="shared" si="347"/>
        <v>113.2</v>
      </c>
      <c r="R1639" s="13">
        <f t="shared" si="358"/>
        <v>0</v>
      </c>
      <c r="S1639" s="84">
        <f t="shared" si="357"/>
        <v>113.2</v>
      </c>
      <c r="T1639" s="13">
        <f t="shared" si="358"/>
        <v>0</v>
      </c>
      <c r="U1639" s="84">
        <f t="shared" si="350"/>
        <v>113.2</v>
      </c>
    </row>
    <row r="1640" spans="1:21">
      <c r="A1640" s="61" t="str">
        <f ca="1">IF(ISERROR(MATCH(F1640,Код_КВР,0)),"",INDIRECT(ADDRESS(MATCH(F1640,Код_КВР,0)+1,2,,,"КВР")))</f>
        <v>Бюджетные инвестиции</v>
      </c>
      <c r="B1640" s="126">
        <v>811</v>
      </c>
      <c r="C1640" s="8" t="s">
        <v>193</v>
      </c>
      <c r="D1640" s="8" t="s">
        <v>193</v>
      </c>
      <c r="E1640" s="126" t="s">
        <v>8</v>
      </c>
      <c r="F1640" s="126">
        <v>410</v>
      </c>
      <c r="G1640" s="69">
        <f t="shared" si="358"/>
        <v>113.2</v>
      </c>
      <c r="H1640" s="69">
        <f t="shared" si="358"/>
        <v>0</v>
      </c>
      <c r="I1640" s="69">
        <f t="shared" si="349"/>
        <v>113.2</v>
      </c>
      <c r="J1640" s="69">
        <f t="shared" si="358"/>
        <v>0</v>
      </c>
      <c r="K1640" s="84">
        <f t="shared" si="344"/>
        <v>113.2</v>
      </c>
      <c r="L1640" s="13">
        <f t="shared" si="358"/>
        <v>0</v>
      </c>
      <c r="M1640" s="84">
        <f t="shared" si="354"/>
        <v>113.2</v>
      </c>
      <c r="N1640" s="13">
        <f t="shared" si="358"/>
        <v>0</v>
      </c>
      <c r="O1640" s="84">
        <f t="shared" si="355"/>
        <v>113.2</v>
      </c>
      <c r="P1640" s="13">
        <f t="shared" si="358"/>
        <v>0</v>
      </c>
      <c r="Q1640" s="84">
        <f t="shared" si="347"/>
        <v>113.2</v>
      </c>
      <c r="R1640" s="13">
        <f t="shared" si="358"/>
        <v>0</v>
      </c>
      <c r="S1640" s="84">
        <f t="shared" si="357"/>
        <v>113.2</v>
      </c>
      <c r="T1640" s="13">
        <f t="shared" si="358"/>
        <v>0</v>
      </c>
      <c r="U1640" s="84">
        <f t="shared" si="350"/>
        <v>113.2</v>
      </c>
    </row>
    <row r="1641" spans="1:21" ht="33">
      <c r="A1641" s="61" t="str">
        <f ca="1">IF(ISERROR(MATCH(F1641,Код_КВР,0)),"",INDIRECT(ADDRESS(MATCH(F1641,Код_КВР,0)+1,2,,,"КВР")))</f>
        <v>Бюджетные инвестиции в объекты капитального строительства муниципальной собственности</v>
      </c>
      <c r="B1641" s="126">
        <v>811</v>
      </c>
      <c r="C1641" s="8" t="s">
        <v>193</v>
      </c>
      <c r="D1641" s="8" t="s">
        <v>193</v>
      </c>
      <c r="E1641" s="126" t="s">
        <v>8</v>
      </c>
      <c r="F1641" s="126">
        <v>414</v>
      </c>
      <c r="G1641" s="69">
        <v>113.2</v>
      </c>
      <c r="H1641" s="69"/>
      <c r="I1641" s="69">
        <f t="shared" si="349"/>
        <v>113.2</v>
      </c>
      <c r="J1641" s="69"/>
      <c r="K1641" s="84">
        <f t="shared" si="344"/>
        <v>113.2</v>
      </c>
      <c r="L1641" s="13"/>
      <c r="M1641" s="84">
        <f t="shared" si="354"/>
        <v>113.2</v>
      </c>
      <c r="N1641" s="13"/>
      <c r="O1641" s="84">
        <f t="shared" si="355"/>
        <v>113.2</v>
      </c>
      <c r="P1641" s="13"/>
      <c r="Q1641" s="84">
        <f t="shared" si="347"/>
        <v>113.2</v>
      </c>
      <c r="R1641" s="13"/>
      <c r="S1641" s="84">
        <f t="shared" si="357"/>
        <v>113.2</v>
      </c>
      <c r="T1641" s="13"/>
      <c r="U1641" s="84">
        <f t="shared" si="350"/>
        <v>113.2</v>
      </c>
    </row>
    <row r="1642" spans="1:21" ht="66">
      <c r="A1642" s="61" t="str">
        <f ca="1">IF(ISERROR(MATCH(E1642,Код_КЦСР,0)),"",INDIRECT(ADDRESS(MATCH(E1642,Код_КЦСР,0)+1,2,,,"КЦСР")))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642" s="126">
        <v>811</v>
      </c>
      <c r="C1642" s="8" t="s">
        <v>193</v>
      </c>
      <c r="D1642" s="8" t="s">
        <v>193</v>
      </c>
      <c r="E1642" s="126" t="s">
        <v>405</v>
      </c>
      <c r="F1642" s="126"/>
      <c r="G1642" s="69">
        <f>G1643+G1646</f>
        <v>5542.6</v>
      </c>
      <c r="H1642" s="69">
        <f>H1643+H1646</f>
        <v>0</v>
      </c>
      <c r="I1642" s="69">
        <f t="shared" si="349"/>
        <v>5542.6</v>
      </c>
      <c r="J1642" s="69">
        <f>J1643+J1646</f>
        <v>0</v>
      </c>
      <c r="K1642" s="84">
        <f t="shared" si="344"/>
        <v>5542.6</v>
      </c>
      <c r="L1642" s="13">
        <f>L1643+L1646</f>
        <v>0</v>
      </c>
      <c r="M1642" s="84">
        <f t="shared" si="354"/>
        <v>5542.6</v>
      </c>
      <c r="N1642" s="13">
        <f>N1643+N1646</f>
        <v>0</v>
      </c>
      <c r="O1642" s="84">
        <f t="shared" si="355"/>
        <v>5542.6</v>
      </c>
      <c r="P1642" s="13">
        <f>P1643+P1646</f>
        <v>0</v>
      </c>
      <c r="Q1642" s="84">
        <f t="shared" si="347"/>
        <v>5542.6</v>
      </c>
      <c r="R1642" s="13">
        <f>R1643+R1646</f>
        <v>0</v>
      </c>
      <c r="S1642" s="84">
        <f t="shared" si="357"/>
        <v>5542.6</v>
      </c>
      <c r="T1642" s="13">
        <f>T1643+T1646</f>
        <v>0</v>
      </c>
      <c r="U1642" s="84">
        <f t="shared" si="350"/>
        <v>5542.6</v>
      </c>
    </row>
    <row r="1643" spans="1:21">
      <c r="A1643" s="61" t="str">
        <f t="shared" ref="A1643:A1648" ca="1" si="359">IF(ISERROR(MATCH(F1643,Код_КВР,0)),"",INDIRECT(ADDRESS(MATCH(F1643,Код_КВР,0)+1,2,,,"КВР")))</f>
        <v>Закупка товаров, работ и услуг для муниципальных нужд</v>
      </c>
      <c r="B1643" s="126">
        <v>811</v>
      </c>
      <c r="C1643" s="8" t="s">
        <v>193</v>
      </c>
      <c r="D1643" s="8" t="s">
        <v>193</v>
      </c>
      <c r="E1643" s="126" t="s">
        <v>405</v>
      </c>
      <c r="F1643" s="126">
        <v>200</v>
      </c>
      <c r="G1643" s="69">
        <f>G1644</f>
        <v>800</v>
      </c>
      <c r="H1643" s="69">
        <f>H1644</f>
        <v>0</v>
      </c>
      <c r="I1643" s="69">
        <f t="shared" si="349"/>
        <v>800</v>
      </c>
      <c r="J1643" s="69">
        <f>J1644</f>
        <v>0</v>
      </c>
      <c r="K1643" s="84">
        <f t="shared" si="344"/>
        <v>800</v>
      </c>
      <c r="L1643" s="13">
        <f>L1644</f>
        <v>0</v>
      </c>
      <c r="M1643" s="84">
        <f t="shared" si="354"/>
        <v>800</v>
      </c>
      <c r="N1643" s="13">
        <f>N1644</f>
        <v>0</v>
      </c>
      <c r="O1643" s="84">
        <f t="shared" si="355"/>
        <v>800</v>
      </c>
      <c r="P1643" s="13">
        <f>P1644</f>
        <v>0</v>
      </c>
      <c r="Q1643" s="84">
        <f t="shared" si="347"/>
        <v>800</v>
      </c>
      <c r="R1643" s="13">
        <f>R1644</f>
        <v>0</v>
      </c>
      <c r="S1643" s="84">
        <f t="shared" si="357"/>
        <v>800</v>
      </c>
      <c r="T1643" s="13">
        <f>T1644</f>
        <v>0</v>
      </c>
      <c r="U1643" s="84">
        <f t="shared" si="350"/>
        <v>800</v>
      </c>
    </row>
    <row r="1644" spans="1:21" ht="33">
      <c r="A1644" s="61" t="str">
        <f t="shared" ca="1" si="359"/>
        <v>Иные закупки товаров, работ и услуг для обеспечения муниципальных нужд</v>
      </c>
      <c r="B1644" s="126">
        <v>811</v>
      </c>
      <c r="C1644" s="8" t="s">
        <v>193</v>
      </c>
      <c r="D1644" s="8" t="s">
        <v>193</v>
      </c>
      <c r="E1644" s="126" t="s">
        <v>405</v>
      </c>
      <c r="F1644" s="126">
        <v>240</v>
      </c>
      <c r="G1644" s="69">
        <f>G1645</f>
        <v>800</v>
      </c>
      <c r="H1644" s="69">
        <f>H1645</f>
        <v>0</v>
      </c>
      <c r="I1644" s="69">
        <f t="shared" si="349"/>
        <v>800</v>
      </c>
      <c r="J1644" s="69">
        <f>J1645</f>
        <v>0</v>
      </c>
      <c r="K1644" s="84">
        <f t="shared" si="344"/>
        <v>800</v>
      </c>
      <c r="L1644" s="13">
        <f>L1645</f>
        <v>0</v>
      </c>
      <c r="M1644" s="84">
        <f t="shared" si="354"/>
        <v>800</v>
      </c>
      <c r="N1644" s="13">
        <f>N1645</f>
        <v>0</v>
      </c>
      <c r="O1644" s="84">
        <f t="shared" si="355"/>
        <v>800</v>
      </c>
      <c r="P1644" s="13">
        <f>P1645</f>
        <v>0</v>
      </c>
      <c r="Q1644" s="84">
        <f t="shared" si="347"/>
        <v>800</v>
      </c>
      <c r="R1644" s="13">
        <f>R1645</f>
        <v>0</v>
      </c>
      <c r="S1644" s="84">
        <f t="shared" si="357"/>
        <v>800</v>
      </c>
      <c r="T1644" s="13">
        <f>T1645</f>
        <v>0</v>
      </c>
      <c r="U1644" s="84">
        <f t="shared" si="350"/>
        <v>800</v>
      </c>
    </row>
    <row r="1645" spans="1:21" ht="33">
      <c r="A1645" s="61" t="str">
        <f t="shared" ca="1" si="359"/>
        <v>Закупка товаров, работ, услуг в целях капитального ремонта муниципального имущества</v>
      </c>
      <c r="B1645" s="126">
        <v>811</v>
      </c>
      <c r="C1645" s="8" t="s">
        <v>193</v>
      </c>
      <c r="D1645" s="8" t="s">
        <v>193</v>
      </c>
      <c r="E1645" s="126" t="s">
        <v>405</v>
      </c>
      <c r="F1645" s="126">
        <v>243</v>
      </c>
      <c r="G1645" s="69">
        <v>800</v>
      </c>
      <c r="H1645" s="69"/>
      <c r="I1645" s="69">
        <f t="shared" si="349"/>
        <v>800</v>
      </c>
      <c r="J1645" s="69"/>
      <c r="K1645" s="84">
        <f t="shared" si="344"/>
        <v>800</v>
      </c>
      <c r="L1645" s="13"/>
      <c r="M1645" s="84">
        <f t="shared" si="354"/>
        <v>800</v>
      </c>
      <c r="N1645" s="13"/>
      <c r="O1645" s="84">
        <f t="shared" si="355"/>
        <v>800</v>
      </c>
      <c r="P1645" s="13"/>
      <c r="Q1645" s="84">
        <f t="shared" si="347"/>
        <v>800</v>
      </c>
      <c r="R1645" s="13"/>
      <c r="S1645" s="84">
        <f t="shared" si="357"/>
        <v>800</v>
      </c>
      <c r="T1645" s="13"/>
      <c r="U1645" s="84">
        <f t="shared" si="350"/>
        <v>800</v>
      </c>
    </row>
    <row r="1646" spans="1:21" ht="33">
      <c r="A1646" s="61" t="str">
        <f t="shared" ca="1" si="359"/>
        <v>Капитальные вложения в объекты недвижимого имущества муниципальной собственности</v>
      </c>
      <c r="B1646" s="126">
        <v>811</v>
      </c>
      <c r="C1646" s="8" t="s">
        <v>193</v>
      </c>
      <c r="D1646" s="8" t="s">
        <v>193</v>
      </c>
      <c r="E1646" s="126" t="s">
        <v>405</v>
      </c>
      <c r="F1646" s="126">
        <v>400</v>
      </c>
      <c r="G1646" s="69">
        <f>G1647</f>
        <v>4742.6000000000004</v>
      </c>
      <c r="H1646" s="69">
        <f>H1647</f>
        <v>0</v>
      </c>
      <c r="I1646" s="69">
        <f t="shared" si="349"/>
        <v>4742.6000000000004</v>
      </c>
      <c r="J1646" s="69">
        <f>J1647</f>
        <v>0</v>
      </c>
      <c r="K1646" s="84">
        <f t="shared" ref="K1646:K1722" si="360">I1646+J1646</f>
        <v>4742.6000000000004</v>
      </c>
      <c r="L1646" s="13">
        <f>L1647</f>
        <v>0</v>
      </c>
      <c r="M1646" s="84">
        <f t="shared" si="354"/>
        <v>4742.6000000000004</v>
      </c>
      <c r="N1646" s="13">
        <f>N1647</f>
        <v>0</v>
      </c>
      <c r="O1646" s="84">
        <f t="shared" si="355"/>
        <v>4742.6000000000004</v>
      </c>
      <c r="P1646" s="13">
        <f>P1647</f>
        <v>0</v>
      </c>
      <c r="Q1646" s="84">
        <f t="shared" ref="Q1646:Q1724" si="361">O1646+P1646</f>
        <v>4742.6000000000004</v>
      </c>
      <c r="R1646" s="13">
        <f>R1647</f>
        <v>0</v>
      </c>
      <c r="S1646" s="84">
        <f t="shared" si="357"/>
        <v>4742.6000000000004</v>
      </c>
      <c r="T1646" s="13">
        <f>T1647</f>
        <v>0</v>
      </c>
      <c r="U1646" s="84">
        <f t="shared" si="350"/>
        <v>4742.6000000000004</v>
      </c>
    </row>
    <row r="1647" spans="1:21">
      <c r="A1647" s="61" t="str">
        <f t="shared" ca="1" si="359"/>
        <v>Бюджетные инвестиции</v>
      </c>
      <c r="B1647" s="126">
        <v>811</v>
      </c>
      <c r="C1647" s="8" t="s">
        <v>193</v>
      </c>
      <c r="D1647" s="8" t="s">
        <v>193</v>
      </c>
      <c r="E1647" s="126" t="s">
        <v>405</v>
      </c>
      <c r="F1647" s="126">
        <v>410</v>
      </c>
      <c r="G1647" s="69">
        <f>G1648</f>
        <v>4742.6000000000004</v>
      </c>
      <c r="H1647" s="69">
        <f>H1648</f>
        <v>0</v>
      </c>
      <c r="I1647" s="69">
        <f t="shared" si="349"/>
        <v>4742.6000000000004</v>
      </c>
      <c r="J1647" s="69">
        <f>J1648</f>
        <v>0</v>
      </c>
      <c r="K1647" s="84">
        <f t="shared" si="360"/>
        <v>4742.6000000000004</v>
      </c>
      <c r="L1647" s="13">
        <f>L1648</f>
        <v>0</v>
      </c>
      <c r="M1647" s="84">
        <f t="shared" si="354"/>
        <v>4742.6000000000004</v>
      </c>
      <c r="N1647" s="13">
        <f>N1648</f>
        <v>0</v>
      </c>
      <c r="O1647" s="84">
        <f t="shared" si="355"/>
        <v>4742.6000000000004</v>
      </c>
      <c r="P1647" s="13">
        <f>P1648</f>
        <v>0</v>
      </c>
      <c r="Q1647" s="84">
        <f t="shared" si="361"/>
        <v>4742.6000000000004</v>
      </c>
      <c r="R1647" s="13">
        <f>R1648</f>
        <v>0</v>
      </c>
      <c r="S1647" s="84">
        <f t="shared" si="357"/>
        <v>4742.6000000000004</v>
      </c>
      <c r="T1647" s="13">
        <f>T1648</f>
        <v>0</v>
      </c>
      <c r="U1647" s="84">
        <f t="shared" si="350"/>
        <v>4742.6000000000004</v>
      </c>
    </row>
    <row r="1648" spans="1:21" ht="33">
      <c r="A1648" s="61" t="str">
        <f t="shared" ca="1" si="359"/>
        <v>Бюджетные инвестиции в объекты капитального строительства муниципальной собственности</v>
      </c>
      <c r="B1648" s="126">
        <v>811</v>
      </c>
      <c r="C1648" s="8" t="s">
        <v>193</v>
      </c>
      <c r="D1648" s="8" t="s">
        <v>193</v>
      </c>
      <c r="E1648" s="126" t="s">
        <v>405</v>
      </c>
      <c r="F1648" s="126">
        <v>414</v>
      </c>
      <c r="G1648" s="69">
        <v>4742.6000000000004</v>
      </c>
      <c r="H1648" s="69"/>
      <c r="I1648" s="69">
        <f t="shared" si="349"/>
        <v>4742.6000000000004</v>
      </c>
      <c r="J1648" s="69"/>
      <c r="K1648" s="84">
        <f t="shared" si="360"/>
        <v>4742.6000000000004</v>
      </c>
      <c r="L1648" s="13"/>
      <c r="M1648" s="84">
        <f t="shared" si="354"/>
        <v>4742.6000000000004</v>
      </c>
      <c r="N1648" s="13"/>
      <c r="O1648" s="84">
        <f t="shared" si="355"/>
        <v>4742.6000000000004</v>
      </c>
      <c r="P1648" s="13"/>
      <c r="Q1648" s="84">
        <f t="shared" si="361"/>
        <v>4742.6000000000004</v>
      </c>
      <c r="R1648" s="13"/>
      <c r="S1648" s="84">
        <f t="shared" si="357"/>
        <v>4742.6000000000004</v>
      </c>
      <c r="T1648" s="13"/>
      <c r="U1648" s="84">
        <f t="shared" si="350"/>
        <v>4742.6000000000004</v>
      </c>
    </row>
    <row r="1649" spans="1:21">
      <c r="A1649" s="12" t="s">
        <v>249</v>
      </c>
      <c r="B1649" s="126">
        <v>811</v>
      </c>
      <c r="C1649" s="8" t="s">
        <v>193</v>
      </c>
      <c r="D1649" s="8" t="s">
        <v>217</v>
      </c>
      <c r="E1649" s="126"/>
      <c r="F1649" s="126"/>
      <c r="G1649" s="69">
        <f>G1650</f>
        <v>84530.1</v>
      </c>
      <c r="H1649" s="69">
        <f>H1650</f>
        <v>0</v>
      </c>
      <c r="I1649" s="69">
        <f t="shared" si="349"/>
        <v>84530.1</v>
      </c>
      <c r="J1649" s="69">
        <f>J1650</f>
        <v>10964.4</v>
      </c>
      <c r="K1649" s="84">
        <f t="shared" si="360"/>
        <v>95494.5</v>
      </c>
      <c r="L1649" s="13">
        <f>L1650</f>
        <v>-5157</v>
      </c>
      <c r="M1649" s="84">
        <f t="shared" si="354"/>
        <v>90337.5</v>
      </c>
      <c r="N1649" s="13">
        <f>N1650</f>
        <v>0</v>
      </c>
      <c r="O1649" s="84">
        <f t="shared" si="355"/>
        <v>90337.5</v>
      </c>
      <c r="P1649" s="13">
        <f>P1650</f>
        <v>3959.5</v>
      </c>
      <c r="Q1649" s="84">
        <f t="shared" si="361"/>
        <v>94297</v>
      </c>
      <c r="R1649" s="13">
        <f>R1650</f>
        <v>272746.40000000002</v>
      </c>
      <c r="S1649" s="84">
        <f t="shared" si="357"/>
        <v>367043.4</v>
      </c>
      <c r="T1649" s="13">
        <f>T1650</f>
        <v>-1226</v>
      </c>
      <c r="U1649" s="84">
        <f t="shared" si="350"/>
        <v>365817.4</v>
      </c>
    </row>
    <row r="1650" spans="1:21" ht="49.5">
      <c r="A1650" s="61" t="str">
        <f ca="1">IF(ISERROR(MATCH(E1650,Код_КЦСР,0)),"",INDIRECT(ADDRESS(MATCH(E1650,Код_КЦСР,0)+1,2,,,"КЦСР")))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650" s="126">
        <v>811</v>
      </c>
      <c r="C1650" s="8" t="s">
        <v>193</v>
      </c>
      <c r="D1650" s="8" t="s">
        <v>217</v>
      </c>
      <c r="E1650" s="126" t="s">
        <v>68</v>
      </c>
      <c r="F1650" s="126"/>
      <c r="G1650" s="69">
        <f>G1651+G1672</f>
        <v>84530.1</v>
      </c>
      <c r="H1650" s="69">
        <f>H1651+H1672</f>
        <v>0</v>
      </c>
      <c r="I1650" s="69">
        <f t="shared" si="349"/>
        <v>84530.1</v>
      </c>
      <c r="J1650" s="69">
        <f>J1651+J1672</f>
        <v>10964.4</v>
      </c>
      <c r="K1650" s="84">
        <f t="shared" si="360"/>
        <v>95494.5</v>
      </c>
      <c r="L1650" s="13">
        <f>L1651+L1672</f>
        <v>-5157</v>
      </c>
      <c r="M1650" s="84">
        <f t="shared" si="354"/>
        <v>90337.5</v>
      </c>
      <c r="N1650" s="13">
        <f>N1651+N1672</f>
        <v>0</v>
      </c>
      <c r="O1650" s="84">
        <f t="shared" si="355"/>
        <v>90337.5</v>
      </c>
      <c r="P1650" s="13">
        <f>P1651+P1672</f>
        <v>3959.5</v>
      </c>
      <c r="Q1650" s="84">
        <f t="shared" si="361"/>
        <v>94297</v>
      </c>
      <c r="R1650" s="13">
        <f>R1651+R1672+R1676</f>
        <v>272746.40000000002</v>
      </c>
      <c r="S1650" s="84">
        <f t="shared" si="357"/>
        <v>367043.4</v>
      </c>
      <c r="T1650" s="13">
        <f>T1651+T1672+T1676</f>
        <v>-1226</v>
      </c>
      <c r="U1650" s="84">
        <f t="shared" si="350"/>
        <v>365817.4</v>
      </c>
    </row>
    <row r="1651" spans="1:21" ht="33">
      <c r="A1651" s="61" t="str">
        <f ca="1">IF(ISERROR(MATCH(E1651,Код_КЦСР,0)),"",INDIRECT(ADDRESS(MATCH(E1651,Код_КЦСР,0)+1,2,,,"КЦСР")))</f>
        <v>Капитальное строительство и реконструкция объектов муниципальной собственности</v>
      </c>
      <c r="B1651" s="126">
        <v>811</v>
      </c>
      <c r="C1651" s="8" t="s">
        <v>193</v>
      </c>
      <c r="D1651" s="8" t="s">
        <v>217</v>
      </c>
      <c r="E1651" s="126" t="s">
        <v>70</v>
      </c>
      <c r="F1651" s="126"/>
      <c r="G1651" s="69">
        <f>G1652+G1656+G1660</f>
        <v>78778.8</v>
      </c>
      <c r="H1651" s="69">
        <f>H1652+H1656+H1660</f>
        <v>0</v>
      </c>
      <c r="I1651" s="69">
        <f t="shared" si="349"/>
        <v>78778.8</v>
      </c>
      <c r="J1651" s="69">
        <f>J1652+J1656+J1660+J1664</f>
        <v>10964.4</v>
      </c>
      <c r="K1651" s="84">
        <f t="shared" si="360"/>
        <v>89743.2</v>
      </c>
      <c r="L1651" s="13">
        <f>L1652+L1656+L1660+L1664</f>
        <v>-5157</v>
      </c>
      <c r="M1651" s="84">
        <f t="shared" si="354"/>
        <v>84586.2</v>
      </c>
      <c r="N1651" s="13">
        <f>N1652+N1656+N1660+N1664</f>
        <v>0</v>
      </c>
      <c r="O1651" s="84">
        <f t="shared" si="355"/>
        <v>84586.2</v>
      </c>
      <c r="P1651" s="13">
        <f>P1652+P1656+P1660+P1664</f>
        <v>3959.5</v>
      </c>
      <c r="Q1651" s="84">
        <f t="shared" si="361"/>
        <v>88545.7</v>
      </c>
      <c r="R1651" s="13">
        <f>R1652+R1656+R1660+R1664+R1668</f>
        <v>62702</v>
      </c>
      <c r="S1651" s="84">
        <f t="shared" si="357"/>
        <v>151247.70000000001</v>
      </c>
      <c r="T1651" s="13">
        <f>T1652+T1656+T1660+T1664+T1668</f>
        <v>-1226</v>
      </c>
      <c r="U1651" s="84">
        <f t="shared" ref="U1651:U1715" si="362">S1651+T1651</f>
        <v>150021.70000000001</v>
      </c>
    </row>
    <row r="1652" spans="1:21">
      <c r="A1652" s="61" t="str">
        <f ca="1">IF(ISERROR(MATCH(E1652,Код_КЦСР,0)),"",INDIRECT(ADDRESS(MATCH(E1652,Код_КЦСР,0)+1,2,,,"КЦСР")))</f>
        <v>Строительство объектов сметной стоимостью до 100 млн. рублей</v>
      </c>
      <c r="B1652" s="126">
        <v>811</v>
      </c>
      <c r="C1652" s="8" t="s">
        <v>193</v>
      </c>
      <c r="D1652" s="8" t="s">
        <v>217</v>
      </c>
      <c r="E1652" s="126" t="s">
        <v>71</v>
      </c>
      <c r="F1652" s="126"/>
      <c r="G1652" s="69">
        <f t="shared" ref="G1652:T1654" si="363">G1653</f>
        <v>178.8</v>
      </c>
      <c r="H1652" s="69">
        <f t="shared" si="363"/>
        <v>0</v>
      </c>
      <c r="I1652" s="69">
        <f t="shared" si="349"/>
        <v>178.8</v>
      </c>
      <c r="J1652" s="69">
        <f t="shared" si="363"/>
        <v>0</v>
      </c>
      <c r="K1652" s="84">
        <f t="shared" si="360"/>
        <v>178.8</v>
      </c>
      <c r="L1652" s="13">
        <f t="shared" si="363"/>
        <v>2500</v>
      </c>
      <c r="M1652" s="84">
        <f t="shared" si="354"/>
        <v>2678.8</v>
      </c>
      <c r="N1652" s="13">
        <f t="shared" si="363"/>
        <v>0</v>
      </c>
      <c r="O1652" s="84">
        <f t="shared" si="355"/>
        <v>2678.8</v>
      </c>
      <c r="P1652" s="13">
        <f t="shared" si="363"/>
        <v>3959.5</v>
      </c>
      <c r="Q1652" s="84">
        <f t="shared" si="361"/>
        <v>6638.3</v>
      </c>
      <c r="R1652" s="13">
        <f t="shared" si="363"/>
        <v>213.5</v>
      </c>
      <c r="S1652" s="84">
        <f t="shared" si="357"/>
        <v>6851.8</v>
      </c>
      <c r="T1652" s="13">
        <f t="shared" si="363"/>
        <v>-138.6</v>
      </c>
      <c r="U1652" s="84">
        <f t="shared" si="362"/>
        <v>6713.2</v>
      </c>
    </row>
    <row r="1653" spans="1:21" ht="33">
      <c r="A1653" s="61" t="str">
        <f ca="1">IF(ISERROR(MATCH(F1653,Код_КВР,0)),"",INDIRECT(ADDRESS(MATCH(F1653,Код_КВР,0)+1,2,,,"КВР")))</f>
        <v>Капитальные вложения в объекты недвижимого имущества муниципальной собственности</v>
      </c>
      <c r="B1653" s="126">
        <v>811</v>
      </c>
      <c r="C1653" s="8" t="s">
        <v>193</v>
      </c>
      <c r="D1653" s="8" t="s">
        <v>217</v>
      </c>
      <c r="E1653" s="126" t="s">
        <v>71</v>
      </c>
      <c r="F1653" s="126">
        <v>400</v>
      </c>
      <c r="G1653" s="69">
        <f t="shared" si="363"/>
        <v>178.8</v>
      </c>
      <c r="H1653" s="69">
        <f t="shared" si="363"/>
        <v>0</v>
      </c>
      <c r="I1653" s="69">
        <f t="shared" si="349"/>
        <v>178.8</v>
      </c>
      <c r="J1653" s="69">
        <f t="shared" si="363"/>
        <v>0</v>
      </c>
      <c r="K1653" s="84">
        <f t="shared" si="360"/>
        <v>178.8</v>
      </c>
      <c r="L1653" s="13">
        <f t="shared" si="363"/>
        <v>2500</v>
      </c>
      <c r="M1653" s="84">
        <f t="shared" si="354"/>
        <v>2678.8</v>
      </c>
      <c r="N1653" s="13">
        <f t="shared" si="363"/>
        <v>0</v>
      </c>
      <c r="O1653" s="84">
        <f t="shared" si="355"/>
        <v>2678.8</v>
      </c>
      <c r="P1653" s="13">
        <f t="shared" si="363"/>
        <v>3959.5</v>
      </c>
      <c r="Q1653" s="84">
        <f t="shared" si="361"/>
        <v>6638.3</v>
      </c>
      <c r="R1653" s="13">
        <f t="shared" si="363"/>
        <v>213.5</v>
      </c>
      <c r="S1653" s="84">
        <f t="shared" si="357"/>
        <v>6851.8</v>
      </c>
      <c r="T1653" s="13">
        <f t="shared" si="363"/>
        <v>-138.6</v>
      </c>
      <c r="U1653" s="84">
        <f t="shared" si="362"/>
        <v>6713.2</v>
      </c>
    </row>
    <row r="1654" spans="1:21">
      <c r="A1654" s="61" t="str">
        <f ca="1">IF(ISERROR(MATCH(F1654,Код_КВР,0)),"",INDIRECT(ADDRESS(MATCH(F1654,Код_КВР,0)+1,2,,,"КВР")))</f>
        <v>Бюджетные инвестиции</v>
      </c>
      <c r="B1654" s="126">
        <v>811</v>
      </c>
      <c r="C1654" s="8" t="s">
        <v>193</v>
      </c>
      <c r="D1654" s="8" t="s">
        <v>217</v>
      </c>
      <c r="E1654" s="126" t="s">
        <v>71</v>
      </c>
      <c r="F1654" s="126">
        <v>410</v>
      </c>
      <c r="G1654" s="69">
        <f t="shared" si="363"/>
        <v>178.8</v>
      </c>
      <c r="H1654" s="69">
        <f t="shared" si="363"/>
        <v>0</v>
      </c>
      <c r="I1654" s="69">
        <f t="shared" si="349"/>
        <v>178.8</v>
      </c>
      <c r="J1654" s="69">
        <f t="shared" si="363"/>
        <v>0</v>
      </c>
      <c r="K1654" s="84">
        <f t="shared" si="360"/>
        <v>178.8</v>
      </c>
      <c r="L1654" s="13">
        <f t="shared" si="363"/>
        <v>2500</v>
      </c>
      <c r="M1654" s="84">
        <f t="shared" si="354"/>
        <v>2678.8</v>
      </c>
      <c r="N1654" s="13">
        <f t="shared" si="363"/>
        <v>0</v>
      </c>
      <c r="O1654" s="84">
        <f t="shared" si="355"/>
        <v>2678.8</v>
      </c>
      <c r="P1654" s="13">
        <f t="shared" si="363"/>
        <v>3959.5</v>
      </c>
      <c r="Q1654" s="84">
        <f t="shared" si="361"/>
        <v>6638.3</v>
      </c>
      <c r="R1654" s="13">
        <f t="shared" si="363"/>
        <v>213.5</v>
      </c>
      <c r="S1654" s="84">
        <f t="shared" si="357"/>
        <v>6851.8</v>
      </c>
      <c r="T1654" s="13">
        <f t="shared" si="363"/>
        <v>-138.6</v>
      </c>
      <c r="U1654" s="84">
        <f t="shared" si="362"/>
        <v>6713.2</v>
      </c>
    </row>
    <row r="1655" spans="1:21" ht="33">
      <c r="A1655" s="61" t="str">
        <f ca="1">IF(ISERROR(MATCH(F1655,Код_КВР,0)),"",INDIRECT(ADDRESS(MATCH(F1655,Код_КВР,0)+1,2,,,"КВР")))</f>
        <v>Бюджетные инвестиции в объекты капитального строительства муниципальной собственности</v>
      </c>
      <c r="B1655" s="126">
        <v>811</v>
      </c>
      <c r="C1655" s="8" t="s">
        <v>193</v>
      </c>
      <c r="D1655" s="8" t="s">
        <v>217</v>
      </c>
      <c r="E1655" s="126" t="s">
        <v>71</v>
      </c>
      <c r="F1655" s="126">
        <v>414</v>
      </c>
      <c r="G1655" s="69">
        <v>178.8</v>
      </c>
      <c r="H1655" s="69"/>
      <c r="I1655" s="69">
        <f t="shared" si="349"/>
        <v>178.8</v>
      </c>
      <c r="J1655" s="69"/>
      <c r="K1655" s="84">
        <f t="shared" si="360"/>
        <v>178.8</v>
      </c>
      <c r="L1655" s="13">
        <v>2500</v>
      </c>
      <c r="M1655" s="84">
        <f t="shared" si="354"/>
        <v>2678.8</v>
      </c>
      <c r="N1655" s="13"/>
      <c r="O1655" s="84">
        <f t="shared" si="355"/>
        <v>2678.8</v>
      </c>
      <c r="P1655" s="13">
        <v>3959.5</v>
      </c>
      <c r="Q1655" s="84">
        <f t="shared" si="361"/>
        <v>6638.3</v>
      </c>
      <c r="R1655" s="13">
        <f>286.4+286.4+286.4+283.3-178.8-750.2</f>
        <v>213.5</v>
      </c>
      <c r="S1655" s="84">
        <f t="shared" si="357"/>
        <v>6851.8</v>
      </c>
      <c r="T1655" s="13">
        <f>-0.5-138.1</f>
        <v>-138.6</v>
      </c>
      <c r="U1655" s="84">
        <f t="shared" si="362"/>
        <v>6713.2</v>
      </c>
    </row>
    <row r="1656" spans="1:21">
      <c r="A1656" s="61" t="str">
        <f ca="1">IF(ISERROR(MATCH(E1656,Код_КЦСР,0)),"",INDIRECT(ADDRESS(MATCH(E1656,Код_КЦСР,0)+1,2,,,"КЦСР")))</f>
        <v>Строительство детского сада № 35 на 330 мест в 105 мкр.</v>
      </c>
      <c r="B1656" s="126">
        <v>811</v>
      </c>
      <c r="C1656" s="8" t="s">
        <v>193</v>
      </c>
      <c r="D1656" s="8" t="s">
        <v>217</v>
      </c>
      <c r="E1656" s="126" t="s">
        <v>73</v>
      </c>
      <c r="F1656" s="126"/>
      <c r="G1656" s="69">
        <f t="shared" ref="G1656:T1658" si="364">G1657</f>
        <v>51800</v>
      </c>
      <c r="H1656" s="69">
        <f t="shared" si="364"/>
        <v>0</v>
      </c>
      <c r="I1656" s="69">
        <f t="shared" si="349"/>
        <v>51800</v>
      </c>
      <c r="J1656" s="69">
        <f t="shared" si="364"/>
        <v>0</v>
      </c>
      <c r="K1656" s="84">
        <f t="shared" si="360"/>
        <v>51800</v>
      </c>
      <c r="L1656" s="13">
        <f t="shared" si="364"/>
        <v>-7657</v>
      </c>
      <c r="M1656" s="84">
        <f t="shared" si="354"/>
        <v>44143</v>
      </c>
      <c r="N1656" s="13">
        <f t="shared" si="364"/>
        <v>0</v>
      </c>
      <c r="O1656" s="84">
        <f t="shared" si="355"/>
        <v>44143</v>
      </c>
      <c r="P1656" s="13">
        <f t="shared" si="364"/>
        <v>0</v>
      </c>
      <c r="Q1656" s="84">
        <f t="shared" si="361"/>
        <v>44143</v>
      </c>
      <c r="R1656" s="13">
        <f t="shared" si="364"/>
        <v>0</v>
      </c>
      <c r="S1656" s="84">
        <f t="shared" si="357"/>
        <v>44143</v>
      </c>
      <c r="T1656" s="13">
        <f t="shared" si="364"/>
        <v>0</v>
      </c>
      <c r="U1656" s="84">
        <f t="shared" si="362"/>
        <v>44143</v>
      </c>
    </row>
    <row r="1657" spans="1:21" ht="33">
      <c r="A1657" s="61" t="str">
        <f ca="1">IF(ISERROR(MATCH(F1657,Код_КВР,0)),"",INDIRECT(ADDRESS(MATCH(F1657,Код_КВР,0)+1,2,,,"КВР")))</f>
        <v>Капитальные вложения в объекты недвижимого имущества муниципальной собственности</v>
      </c>
      <c r="B1657" s="126">
        <v>811</v>
      </c>
      <c r="C1657" s="8" t="s">
        <v>193</v>
      </c>
      <c r="D1657" s="8" t="s">
        <v>217</v>
      </c>
      <c r="E1657" s="126" t="s">
        <v>73</v>
      </c>
      <c r="F1657" s="126">
        <v>400</v>
      </c>
      <c r="G1657" s="69">
        <f t="shared" si="364"/>
        <v>51800</v>
      </c>
      <c r="H1657" s="69">
        <f t="shared" si="364"/>
        <v>0</v>
      </c>
      <c r="I1657" s="69">
        <f t="shared" si="349"/>
        <v>51800</v>
      </c>
      <c r="J1657" s="69">
        <f t="shared" si="364"/>
        <v>0</v>
      </c>
      <c r="K1657" s="84">
        <f t="shared" si="360"/>
        <v>51800</v>
      </c>
      <c r="L1657" s="13">
        <f t="shared" si="364"/>
        <v>-7657</v>
      </c>
      <c r="M1657" s="84">
        <f t="shared" si="354"/>
        <v>44143</v>
      </c>
      <c r="N1657" s="13">
        <f t="shared" si="364"/>
        <v>0</v>
      </c>
      <c r="O1657" s="84">
        <f t="shared" si="355"/>
        <v>44143</v>
      </c>
      <c r="P1657" s="13">
        <f t="shared" si="364"/>
        <v>0</v>
      </c>
      <c r="Q1657" s="84">
        <f t="shared" si="361"/>
        <v>44143</v>
      </c>
      <c r="R1657" s="13">
        <f t="shared" si="364"/>
        <v>0</v>
      </c>
      <c r="S1657" s="84">
        <f t="shared" si="357"/>
        <v>44143</v>
      </c>
      <c r="T1657" s="13">
        <f t="shared" si="364"/>
        <v>0</v>
      </c>
      <c r="U1657" s="84">
        <f t="shared" si="362"/>
        <v>44143</v>
      </c>
    </row>
    <row r="1658" spans="1:21">
      <c r="A1658" s="61" t="str">
        <f ca="1">IF(ISERROR(MATCH(F1658,Код_КВР,0)),"",INDIRECT(ADDRESS(MATCH(F1658,Код_КВР,0)+1,2,,,"КВР")))</f>
        <v>Бюджетные инвестиции</v>
      </c>
      <c r="B1658" s="126">
        <v>811</v>
      </c>
      <c r="C1658" s="8" t="s">
        <v>193</v>
      </c>
      <c r="D1658" s="8" t="s">
        <v>217</v>
      </c>
      <c r="E1658" s="126" t="s">
        <v>73</v>
      </c>
      <c r="F1658" s="126">
        <v>410</v>
      </c>
      <c r="G1658" s="69">
        <f t="shared" si="364"/>
        <v>51800</v>
      </c>
      <c r="H1658" s="69">
        <f t="shared" si="364"/>
        <v>0</v>
      </c>
      <c r="I1658" s="69">
        <f t="shared" si="349"/>
        <v>51800</v>
      </c>
      <c r="J1658" s="69">
        <f t="shared" si="364"/>
        <v>0</v>
      </c>
      <c r="K1658" s="84">
        <f t="shared" si="360"/>
        <v>51800</v>
      </c>
      <c r="L1658" s="13">
        <f t="shared" si="364"/>
        <v>-7657</v>
      </c>
      <c r="M1658" s="84">
        <f t="shared" si="354"/>
        <v>44143</v>
      </c>
      <c r="N1658" s="13">
        <f t="shared" si="364"/>
        <v>0</v>
      </c>
      <c r="O1658" s="84">
        <f t="shared" si="355"/>
        <v>44143</v>
      </c>
      <c r="P1658" s="13">
        <f t="shared" si="364"/>
        <v>0</v>
      </c>
      <c r="Q1658" s="84">
        <f t="shared" si="361"/>
        <v>44143</v>
      </c>
      <c r="R1658" s="13">
        <f t="shared" si="364"/>
        <v>0</v>
      </c>
      <c r="S1658" s="84">
        <f t="shared" si="357"/>
        <v>44143</v>
      </c>
      <c r="T1658" s="13">
        <f t="shared" si="364"/>
        <v>0</v>
      </c>
      <c r="U1658" s="84">
        <f t="shared" si="362"/>
        <v>44143</v>
      </c>
    </row>
    <row r="1659" spans="1:21" ht="33">
      <c r="A1659" s="61" t="str">
        <f ca="1">IF(ISERROR(MATCH(F1659,Код_КВР,0)),"",INDIRECT(ADDRESS(MATCH(F1659,Код_КВР,0)+1,2,,,"КВР")))</f>
        <v>Бюджетные инвестиции в объекты капитального строительства муниципальной собственности</v>
      </c>
      <c r="B1659" s="126">
        <v>811</v>
      </c>
      <c r="C1659" s="8" t="s">
        <v>193</v>
      </c>
      <c r="D1659" s="8" t="s">
        <v>217</v>
      </c>
      <c r="E1659" s="126" t="s">
        <v>73</v>
      </c>
      <c r="F1659" s="126">
        <v>414</v>
      </c>
      <c r="G1659" s="69">
        <v>51800</v>
      </c>
      <c r="H1659" s="69"/>
      <c r="I1659" s="69">
        <f t="shared" si="349"/>
        <v>51800</v>
      </c>
      <c r="J1659" s="69"/>
      <c r="K1659" s="84">
        <f t="shared" si="360"/>
        <v>51800</v>
      </c>
      <c r="L1659" s="13">
        <v>-7657</v>
      </c>
      <c r="M1659" s="84">
        <f t="shared" si="354"/>
        <v>44143</v>
      </c>
      <c r="N1659" s="13"/>
      <c r="O1659" s="84">
        <f t="shared" si="355"/>
        <v>44143</v>
      </c>
      <c r="P1659" s="13"/>
      <c r="Q1659" s="84">
        <f t="shared" si="361"/>
        <v>44143</v>
      </c>
      <c r="R1659" s="13"/>
      <c r="S1659" s="84">
        <f t="shared" si="357"/>
        <v>44143</v>
      </c>
      <c r="T1659" s="13"/>
      <c r="U1659" s="84">
        <f t="shared" si="362"/>
        <v>44143</v>
      </c>
    </row>
    <row r="1660" spans="1:21">
      <c r="A1660" s="61" t="str">
        <f ca="1">IF(ISERROR(MATCH(E1660,Код_КЦСР,0)),"",INDIRECT(ADDRESS(MATCH(E1660,Код_КЦСР,0)+1,2,,,"КЦСР")))</f>
        <v>Строительство детского сада № 27 в 115 мкр.</v>
      </c>
      <c r="B1660" s="126">
        <v>811</v>
      </c>
      <c r="C1660" s="8" t="s">
        <v>193</v>
      </c>
      <c r="D1660" s="8" t="s">
        <v>217</v>
      </c>
      <c r="E1660" s="126" t="s">
        <v>74</v>
      </c>
      <c r="F1660" s="126"/>
      <c r="G1660" s="69">
        <f t="shared" ref="G1660:T1662" si="365">G1661</f>
        <v>26800</v>
      </c>
      <c r="H1660" s="69">
        <f t="shared" si="365"/>
        <v>0</v>
      </c>
      <c r="I1660" s="69">
        <f t="shared" si="349"/>
        <v>26800</v>
      </c>
      <c r="J1660" s="69">
        <f t="shared" si="365"/>
        <v>0</v>
      </c>
      <c r="K1660" s="84">
        <f t="shared" si="360"/>
        <v>26800</v>
      </c>
      <c r="L1660" s="13">
        <f t="shared" si="365"/>
        <v>0</v>
      </c>
      <c r="M1660" s="84">
        <f t="shared" si="354"/>
        <v>26800</v>
      </c>
      <c r="N1660" s="13">
        <f t="shared" si="365"/>
        <v>0</v>
      </c>
      <c r="O1660" s="84">
        <f t="shared" si="355"/>
        <v>26800</v>
      </c>
      <c r="P1660" s="13">
        <f t="shared" si="365"/>
        <v>0</v>
      </c>
      <c r="Q1660" s="84">
        <f t="shared" si="361"/>
        <v>26800</v>
      </c>
      <c r="R1660" s="13">
        <f t="shared" si="365"/>
        <v>67686.3</v>
      </c>
      <c r="S1660" s="84">
        <f t="shared" si="357"/>
        <v>94486.3</v>
      </c>
      <c r="T1660" s="13">
        <f t="shared" si="365"/>
        <v>2</v>
      </c>
      <c r="U1660" s="84">
        <f t="shared" si="362"/>
        <v>94488.3</v>
      </c>
    </row>
    <row r="1661" spans="1:21" ht="33">
      <c r="A1661" s="61" t="str">
        <f ca="1">IF(ISERROR(MATCH(F1661,Код_КВР,0)),"",INDIRECT(ADDRESS(MATCH(F1661,Код_КВР,0)+1,2,,,"КВР")))</f>
        <v>Капитальные вложения в объекты недвижимого имущества муниципальной собственности</v>
      </c>
      <c r="B1661" s="126">
        <v>811</v>
      </c>
      <c r="C1661" s="8" t="s">
        <v>193</v>
      </c>
      <c r="D1661" s="8" t="s">
        <v>217</v>
      </c>
      <c r="E1661" s="126" t="s">
        <v>74</v>
      </c>
      <c r="F1661" s="126">
        <v>400</v>
      </c>
      <c r="G1661" s="69">
        <f t="shared" si="365"/>
        <v>26800</v>
      </c>
      <c r="H1661" s="69">
        <f t="shared" si="365"/>
        <v>0</v>
      </c>
      <c r="I1661" s="69">
        <f t="shared" ref="I1661:I1751" si="366">G1661+H1661</f>
        <v>26800</v>
      </c>
      <c r="J1661" s="69">
        <f t="shared" si="365"/>
        <v>0</v>
      </c>
      <c r="K1661" s="84">
        <f t="shared" si="360"/>
        <v>26800</v>
      </c>
      <c r="L1661" s="13">
        <f t="shared" si="365"/>
        <v>0</v>
      </c>
      <c r="M1661" s="84">
        <f t="shared" si="354"/>
        <v>26800</v>
      </c>
      <c r="N1661" s="13">
        <f t="shared" si="365"/>
        <v>0</v>
      </c>
      <c r="O1661" s="84">
        <f t="shared" si="355"/>
        <v>26800</v>
      </c>
      <c r="P1661" s="13">
        <f t="shared" si="365"/>
        <v>0</v>
      </c>
      <c r="Q1661" s="84">
        <f t="shared" si="361"/>
        <v>26800</v>
      </c>
      <c r="R1661" s="13">
        <f t="shared" si="365"/>
        <v>67686.3</v>
      </c>
      <c r="S1661" s="84">
        <f t="shared" si="357"/>
        <v>94486.3</v>
      </c>
      <c r="T1661" s="13">
        <f t="shared" si="365"/>
        <v>2</v>
      </c>
      <c r="U1661" s="84">
        <f t="shared" si="362"/>
        <v>94488.3</v>
      </c>
    </row>
    <row r="1662" spans="1:21">
      <c r="A1662" s="61" t="str">
        <f ca="1">IF(ISERROR(MATCH(F1662,Код_КВР,0)),"",INDIRECT(ADDRESS(MATCH(F1662,Код_КВР,0)+1,2,,,"КВР")))</f>
        <v>Бюджетные инвестиции</v>
      </c>
      <c r="B1662" s="126">
        <v>811</v>
      </c>
      <c r="C1662" s="8" t="s">
        <v>193</v>
      </c>
      <c r="D1662" s="8" t="s">
        <v>217</v>
      </c>
      <c r="E1662" s="126" t="s">
        <v>74</v>
      </c>
      <c r="F1662" s="126">
        <v>410</v>
      </c>
      <c r="G1662" s="69">
        <f t="shared" si="365"/>
        <v>26800</v>
      </c>
      <c r="H1662" s="69">
        <f t="shared" si="365"/>
        <v>0</v>
      </c>
      <c r="I1662" s="69">
        <f t="shared" si="366"/>
        <v>26800</v>
      </c>
      <c r="J1662" s="69">
        <f t="shared" si="365"/>
        <v>0</v>
      </c>
      <c r="K1662" s="84">
        <f t="shared" si="360"/>
        <v>26800</v>
      </c>
      <c r="L1662" s="13">
        <f t="shared" si="365"/>
        <v>0</v>
      </c>
      <c r="M1662" s="84">
        <f t="shared" si="354"/>
        <v>26800</v>
      </c>
      <c r="N1662" s="13">
        <f t="shared" si="365"/>
        <v>0</v>
      </c>
      <c r="O1662" s="84">
        <f t="shared" si="355"/>
        <v>26800</v>
      </c>
      <c r="P1662" s="13">
        <f t="shared" si="365"/>
        <v>0</v>
      </c>
      <c r="Q1662" s="84">
        <f t="shared" si="361"/>
        <v>26800</v>
      </c>
      <c r="R1662" s="13">
        <f t="shared" si="365"/>
        <v>67686.3</v>
      </c>
      <c r="S1662" s="84">
        <f t="shared" si="357"/>
        <v>94486.3</v>
      </c>
      <c r="T1662" s="13">
        <f t="shared" si="365"/>
        <v>2</v>
      </c>
      <c r="U1662" s="84">
        <f t="shared" si="362"/>
        <v>94488.3</v>
      </c>
    </row>
    <row r="1663" spans="1:21" ht="33">
      <c r="A1663" s="61" t="str">
        <f ca="1">IF(ISERROR(MATCH(F1663,Код_КВР,0)),"",INDIRECT(ADDRESS(MATCH(F1663,Код_КВР,0)+1,2,,,"КВР")))</f>
        <v>Бюджетные инвестиции в объекты капитального строительства муниципальной собственности</v>
      </c>
      <c r="B1663" s="126">
        <v>811</v>
      </c>
      <c r="C1663" s="8" t="s">
        <v>193</v>
      </c>
      <c r="D1663" s="8" t="s">
        <v>217</v>
      </c>
      <c r="E1663" s="126" t="s">
        <v>74</v>
      </c>
      <c r="F1663" s="126">
        <v>414</v>
      </c>
      <c r="G1663" s="69">
        <v>26800</v>
      </c>
      <c r="H1663" s="69"/>
      <c r="I1663" s="69">
        <f t="shared" si="366"/>
        <v>26800</v>
      </c>
      <c r="J1663" s="69"/>
      <c r="K1663" s="84">
        <f t="shared" si="360"/>
        <v>26800</v>
      </c>
      <c r="L1663" s="13"/>
      <c r="M1663" s="84">
        <f t="shared" si="354"/>
        <v>26800</v>
      </c>
      <c r="N1663" s="13"/>
      <c r="O1663" s="84">
        <f t="shared" si="355"/>
        <v>26800</v>
      </c>
      <c r="P1663" s="13"/>
      <c r="Q1663" s="84">
        <f t="shared" si="361"/>
        <v>26800</v>
      </c>
      <c r="R1663" s="13">
        <f>109794-45124.4+3017.1-0.4</f>
        <v>67686.3</v>
      </c>
      <c r="S1663" s="84">
        <f t="shared" si="357"/>
        <v>94486.3</v>
      </c>
      <c r="T1663" s="13">
        <v>2</v>
      </c>
      <c r="U1663" s="84">
        <f t="shared" si="362"/>
        <v>94488.3</v>
      </c>
    </row>
    <row r="1664" spans="1:21">
      <c r="A1664" s="61" t="str">
        <f ca="1">IF(ISERROR(MATCH(E1664,Код_КЦСР,0)),"",INDIRECT(ADDRESS(MATCH(E1664,Код_КЦСР,0)+1,2,,,"КЦСР")))</f>
        <v>Строительство детского сада № 20 в 112 мкр.</v>
      </c>
      <c r="B1664" s="126">
        <v>811</v>
      </c>
      <c r="C1664" s="8" t="s">
        <v>193</v>
      </c>
      <c r="D1664" s="8" t="s">
        <v>217</v>
      </c>
      <c r="E1664" s="126" t="s">
        <v>588</v>
      </c>
      <c r="F1664" s="126"/>
      <c r="G1664" s="69"/>
      <c r="H1664" s="69"/>
      <c r="I1664" s="69"/>
      <c r="J1664" s="69">
        <f>J1665</f>
        <v>10964.4</v>
      </c>
      <c r="K1664" s="84">
        <f t="shared" si="360"/>
        <v>10964.4</v>
      </c>
      <c r="L1664" s="13">
        <f>L1665</f>
        <v>0</v>
      </c>
      <c r="M1664" s="84">
        <f t="shared" si="354"/>
        <v>10964.4</v>
      </c>
      <c r="N1664" s="13">
        <f>N1665</f>
        <v>0</v>
      </c>
      <c r="O1664" s="84">
        <f t="shared" si="355"/>
        <v>10964.4</v>
      </c>
      <c r="P1664" s="13">
        <f>P1665</f>
        <v>0</v>
      </c>
      <c r="Q1664" s="84">
        <f t="shared" si="361"/>
        <v>10964.4</v>
      </c>
      <c r="R1664" s="13">
        <f>R1665</f>
        <v>-6487.5</v>
      </c>
      <c r="S1664" s="84">
        <f t="shared" si="357"/>
        <v>4476.8999999999996</v>
      </c>
      <c r="T1664" s="13">
        <f>T1665</f>
        <v>-548.4</v>
      </c>
      <c r="U1664" s="84">
        <f t="shared" si="362"/>
        <v>3928.4999999999995</v>
      </c>
    </row>
    <row r="1665" spans="1:22" ht="33">
      <c r="A1665" s="61" t="str">
        <f ca="1">IF(ISERROR(MATCH(F1665,Код_КВР,0)),"",INDIRECT(ADDRESS(MATCH(F1665,Код_КВР,0)+1,2,,,"КВР")))</f>
        <v>Капитальные вложения в объекты недвижимого имущества муниципальной собственности</v>
      </c>
      <c r="B1665" s="126">
        <v>811</v>
      </c>
      <c r="C1665" s="8" t="s">
        <v>193</v>
      </c>
      <c r="D1665" s="8" t="s">
        <v>217</v>
      </c>
      <c r="E1665" s="126" t="s">
        <v>588</v>
      </c>
      <c r="F1665" s="126">
        <v>400</v>
      </c>
      <c r="G1665" s="69"/>
      <c r="H1665" s="69"/>
      <c r="I1665" s="69"/>
      <c r="J1665" s="69">
        <f>J1666</f>
        <v>10964.4</v>
      </c>
      <c r="K1665" s="84">
        <f t="shared" si="360"/>
        <v>10964.4</v>
      </c>
      <c r="L1665" s="13">
        <f>L1666</f>
        <v>0</v>
      </c>
      <c r="M1665" s="84">
        <f t="shared" si="354"/>
        <v>10964.4</v>
      </c>
      <c r="N1665" s="13">
        <f>N1666</f>
        <v>0</v>
      </c>
      <c r="O1665" s="84">
        <f t="shared" si="355"/>
        <v>10964.4</v>
      </c>
      <c r="P1665" s="13">
        <f>P1666</f>
        <v>0</v>
      </c>
      <c r="Q1665" s="84">
        <f t="shared" si="361"/>
        <v>10964.4</v>
      </c>
      <c r="R1665" s="13">
        <f>R1666</f>
        <v>-6487.5</v>
      </c>
      <c r="S1665" s="84">
        <f t="shared" si="357"/>
        <v>4476.8999999999996</v>
      </c>
      <c r="T1665" s="13">
        <f>T1666</f>
        <v>-548.4</v>
      </c>
      <c r="U1665" s="84">
        <f t="shared" si="362"/>
        <v>3928.4999999999995</v>
      </c>
    </row>
    <row r="1666" spans="1:22">
      <c r="A1666" s="61" t="str">
        <f ca="1">IF(ISERROR(MATCH(F1666,Код_КВР,0)),"",INDIRECT(ADDRESS(MATCH(F1666,Код_КВР,0)+1,2,,,"КВР")))</f>
        <v>Бюджетные инвестиции</v>
      </c>
      <c r="B1666" s="126">
        <v>811</v>
      </c>
      <c r="C1666" s="8" t="s">
        <v>193</v>
      </c>
      <c r="D1666" s="8" t="s">
        <v>217</v>
      </c>
      <c r="E1666" s="126" t="s">
        <v>588</v>
      </c>
      <c r="F1666" s="126">
        <v>410</v>
      </c>
      <c r="G1666" s="69"/>
      <c r="H1666" s="69"/>
      <c r="I1666" s="69"/>
      <c r="J1666" s="69">
        <f>J1667</f>
        <v>10964.4</v>
      </c>
      <c r="K1666" s="84">
        <f t="shared" si="360"/>
        <v>10964.4</v>
      </c>
      <c r="L1666" s="13">
        <f>L1667</f>
        <v>0</v>
      </c>
      <c r="M1666" s="84">
        <f t="shared" si="354"/>
        <v>10964.4</v>
      </c>
      <c r="N1666" s="13">
        <f>N1667</f>
        <v>0</v>
      </c>
      <c r="O1666" s="84">
        <f t="shared" si="355"/>
        <v>10964.4</v>
      </c>
      <c r="P1666" s="13">
        <f>P1667</f>
        <v>0</v>
      </c>
      <c r="Q1666" s="84">
        <f t="shared" si="361"/>
        <v>10964.4</v>
      </c>
      <c r="R1666" s="13">
        <f>R1667</f>
        <v>-6487.5</v>
      </c>
      <c r="S1666" s="84">
        <f t="shared" si="357"/>
        <v>4476.8999999999996</v>
      </c>
      <c r="T1666" s="13">
        <f>T1667</f>
        <v>-548.4</v>
      </c>
      <c r="U1666" s="84">
        <f t="shared" si="362"/>
        <v>3928.4999999999995</v>
      </c>
    </row>
    <row r="1667" spans="1:22" ht="33">
      <c r="A1667" s="61" t="str">
        <f ca="1">IF(ISERROR(MATCH(F1667,Код_КВР,0)),"",INDIRECT(ADDRESS(MATCH(F1667,Код_КВР,0)+1,2,,,"КВР")))</f>
        <v>Бюджетные инвестиции в объекты капитального строительства муниципальной собственности</v>
      </c>
      <c r="B1667" s="126">
        <v>811</v>
      </c>
      <c r="C1667" s="8" t="s">
        <v>193</v>
      </c>
      <c r="D1667" s="8" t="s">
        <v>217</v>
      </c>
      <c r="E1667" s="126" t="s">
        <v>588</v>
      </c>
      <c r="F1667" s="126">
        <v>414</v>
      </c>
      <c r="G1667" s="69"/>
      <c r="H1667" s="69"/>
      <c r="I1667" s="69"/>
      <c r="J1667" s="69">
        <v>10964.4</v>
      </c>
      <c r="K1667" s="84">
        <f t="shared" si="360"/>
        <v>10964.4</v>
      </c>
      <c r="L1667" s="13"/>
      <c r="M1667" s="84">
        <f t="shared" si="354"/>
        <v>10964.4</v>
      </c>
      <c r="N1667" s="13"/>
      <c r="O1667" s="84">
        <f t="shared" si="355"/>
        <v>10964.4</v>
      </c>
      <c r="P1667" s="13"/>
      <c r="Q1667" s="84">
        <f>O1667+P1667</f>
        <v>10964.4</v>
      </c>
      <c r="R1667" s="13">
        <f>-6402-85.5</f>
        <v>-6487.5</v>
      </c>
      <c r="S1667" s="84">
        <f t="shared" si="357"/>
        <v>4476.8999999999996</v>
      </c>
      <c r="T1667" s="13">
        <f>-548.4</f>
        <v>-548.4</v>
      </c>
      <c r="U1667" s="84">
        <f t="shared" si="362"/>
        <v>3928.4999999999995</v>
      </c>
    </row>
    <row r="1668" spans="1:22" ht="23.25" customHeight="1">
      <c r="A1668" s="61" t="str">
        <f ca="1">IF(ISERROR(MATCH(E1668,Код_КЦСР,0)),"",INDIRECT(ADDRESS(MATCH(E1668,Код_КЦСР,0)+1,2,,,"КЦСР")))</f>
        <v>Строительство средней общеобразовательной школы № 24 в 112 мкр.</v>
      </c>
      <c r="B1668" s="126">
        <v>811</v>
      </c>
      <c r="C1668" s="8" t="s">
        <v>193</v>
      </c>
      <c r="D1668" s="8" t="s">
        <v>217</v>
      </c>
      <c r="E1668" s="126" t="s">
        <v>644</v>
      </c>
      <c r="F1668" s="126"/>
      <c r="G1668" s="69"/>
      <c r="H1668" s="69"/>
      <c r="I1668" s="69"/>
      <c r="J1668" s="69"/>
      <c r="K1668" s="84"/>
      <c r="L1668" s="13"/>
      <c r="M1668" s="84"/>
      <c r="N1668" s="13"/>
      <c r="O1668" s="84"/>
      <c r="P1668" s="13"/>
      <c r="Q1668" s="84"/>
      <c r="R1668" s="13">
        <f>R1669</f>
        <v>1289.7</v>
      </c>
      <c r="S1668" s="84">
        <f t="shared" si="357"/>
        <v>1289.7</v>
      </c>
      <c r="T1668" s="13">
        <f>T1669</f>
        <v>-541</v>
      </c>
      <c r="U1668" s="84">
        <f t="shared" si="362"/>
        <v>748.7</v>
      </c>
    </row>
    <row r="1669" spans="1:22" ht="33">
      <c r="A1669" s="61" t="str">
        <f ca="1">IF(ISERROR(MATCH(F1669,Код_КВР,0)),"",INDIRECT(ADDRESS(MATCH(F1669,Код_КВР,0)+1,2,,,"КВР")))</f>
        <v>Капитальные вложения в объекты недвижимого имущества муниципальной собственности</v>
      </c>
      <c r="B1669" s="126">
        <v>811</v>
      </c>
      <c r="C1669" s="8" t="s">
        <v>193</v>
      </c>
      <c r="D1669" s="8" t="s">
        <v>217</v>
      </c>
      <c r="E1669" s="126" t="s">
        <v>644</v>
      </c>
      <c r="F1669" s="126">
        <v>400</v>
      </c>
      <c r="G1669" s="69"/>
      <c r="H1669" s="69"/>
      <c r="I1669" s="69"/>
      <c r="J1669" s="69"/>
      <c r="K1669" s="84"/>
      <c r="L1669" s="13"/>
      <c r="M1669" s="84"/>
      <c r="N1669" s="13"/>
      <c r="O1669" s="84"/>
      <c r="P1669" s="13"/>
      <c r="Q1669" s="84"/>
      <c r="R1669" s="13">
        <f>R1670</f>
        <v>1289.7</v>
      </c>
      <c r="S1669" s="84">
        <f t="shared" si="357"/>
        <v>1289.7</v>
      </c>
      <c r="T1669" s="13">
        <f>T1670</f>
        <v>-541</v>
      </c>
      <c r="U1669" s="84">
        <f t="shared" si="362"/>
        <v>748.7</v>
      </c>
    </row>
    <row r="1670" spans="1:22">
      <c r="A1670" s="61" t="str">
        <f ca="1">IF(ISERROR(MATCH(F1670,Код_КВР,0)),"",INDIRECT(ADDRESS(MATCH(F1670,Код_КВР,0)+1,2,,,"КВР")))</f>
        <v>Бюджетные инвестиции</v>
      </c>
      <c r="B1670" s="126">
        <v>811</v>
      </c>
      <c r="C1670" s="8" t="s">
        <v>193</v>
      </c>
      <c r="D1670" s="8" t="s">
        <v>217</v>
      </c>
      <c r="E1670" s="126" t="s">
        <v>644</v>
      </c>
      <c r="F1670" s="126">
        <v>410</v>
      </c>
      <c r="G1670" s="69"/>
      <c r="H1670" s="69"/>
      <c r="I1670" s="69"/>
      <c r="J1670" s="69"/>
      <c r="K1670" s="84"/>
      <c r="L1670" s="13"/>
      <c r="M1670" s="84"/>
      <c r="N1670" s="13"/>
      <c r="O1670" s="84"/>
      <c r="P1670" s="13"/>
      <c r="Q1670" s="84"/>
      <c r="R1670" s="13">
        <f>R1671</f>
        <v>1289.7</v>
      </c>
      <c r="S1670" s="84">
        <f t="shared" si="357"/>
        <v>1289.7</v>
      </c>
      <c r="T1670" s="13">
        <f>T1671</f>
        <v>-541</v>
      </c>
      <c r="U1670" s="84">
        <f t="shared" si="362"/>
        <v>748.7</v>
      </c>
    </row>
    <row r="1671" spans="1:22" ht="33">
      <c r="A1671" s="61" t="str">
        <f ca="1">IF(ISERROR(MATCH(F1671,Код_КВР,0)),"",INDIRECT(ADDRESS(MATCH(F1671,Код_КВР,0)+1,2,,,"КВР")))</f>
        <v>Бюджетные инвестиции в объекты капитального строительства муниципальной собственности</v>
      </c>
      <c r="B1671" s="126">
        <v>811</v>
      </c>
      <c r="C1671" s="8" t="s">
        <v>193</v>
      </c>
      <c r="D1671" s="8" t="s">
        <v>217</v>
      </c>
      <c r="E1671" s="126" t="s">
        <v>644</v>
      </c>
      <c r="F1671" s="126">
        <v>414</v>
      </c>
      <c r="G1671" s="69"/>
      <c r="H1671" s="69"/>
      <c r="I1671" s="69"/>
      <c r="J1671" s="69"/>
      <c r="K1671" s="84"/>
      <c r="L1671" s="13"/>
      <c r="M1671" s="84"/>
      <c r="N1671" s="13"/>
      <c r="O1671" s="84"/>
      <c r="P1671" s="13"/>
      <c r="Q1671" s="84"/>
      <c r="R1671" s="13">
        <v>1289.7</v>
      </c>
      <c r="S1671" s="84">
        <f t="shared" si="357"/>
        <v>1289.7</v>
      </c>
      <c r="T1671" s="13">
        <v>-541</v>
      </c>
      <c r="U1671" s="84">
        <f t="shared" si="362"/>
        <v>748.7</v>
      </c>
    </row>
    <row r="1672" spans="1:22" hidden="1">
      <c r="A1672" s="61" t="str">
        <f ca="1">IF(ISERROR(MATCH(E1672,Код_КЦСР,0)),"",INDIRECT(ADDRESS(MATCH(E1672,Код_КЦСР,0)+1,2,,,"КЦСР")))</f>
        <v>Капитальный ремонт  объектов муниципальной собственности</v>
      </c>
      <c r="B1672" s="100">
        <v>811</v>
      </c>
      <c r="C1672" s="8" t="s">
        <v>193</v>
      </c>
      <c r="D1672" s="8" t="s">
        <v>217</v>
      </c>
      <c r="E1672" s="100" t="s">
        <v>76</v>
      </c>
      <c r="F1672" s="100"/>
      <c r="G1672" s="69">
        <f t="shared" ref="G1672:T1674" si="367">G1673</f>
        <v>5751.3</v>
      </c>
      <c r="H1672" s="69">
        <f t="shared" si="367"/>
        <v>0</v>
      </c>
      <c r="I1672" s="69">
        <f t="shared" si="366"/>
        <v>5751.3</v>
      </c>
      <c r="J1672" s="69">
        <f t="shared" si="367"/>
        <v>0</v>
      </c>
      <c r="K1672" s="84">
        <f t="shared" si="360"/>
        <v>5751.3</v>
      </c>
      <c r="L1672" s="13">
        <f t="shared" si="367"/>
        <v>0</v>
      </c>
      <c r="M1672" s="84">
        <f t="shared" si="354"/>
        <v>5751.3</v>
      </c>
      <c r="N1672" s="13">
        <f t="shared" si="367"/>
        <v>0</v>
      </c>
      <c r="O1672" s="84">
        <f t="shared" si="355"/>
        <v>5751.3</v>
      </c>
      <c r="P1672" s="13">
        <f t="shared" si="367"/>
        <v>0</v>
      </c>
      <c r="Q1672" s="84">
        <f t="shared" si="361"/>
        <v>5751.3</v>
      </c>
      <c r="R1672" s="13">
        <f t="shared" si="367"/>
        <v>-5751.3</v>
      </c>
      <c r="S1672" s="84">
        <f t="shared" si="357"/>
        <v>0</v>
      </c>
      <c r="T1672" s="13">
        <f t="shared" si="367"/>
        <v>0</v>
      </c>
      <c r="U1672" s="84">
        <f t="shared" si="362"/>
        <v>0</v>
      </c>
      <c r="V1672" s="142" t="s">
        <v>706</v>
      </c>
    </row>
    <row r="1673" spans="1:22" hidden="1">
      <c r="A1673" s="61" t="str">
        <f ca="1">IF(ISERROR(MATCH(F1673,Код_КВР,0)),"",INDIRECT(ADDRESS(MATCH(F1673,Код_КВР,0)+1,2,,,"КВР")))</f>
        <v>Закупка товаров, работ и услуг для муниципальных нужд</v>
      </c>
      <c r="B1673" s="100">
        <v>811</v>
      </c>
      <c r="C1673" s="8" t="s">
        <v>193</v>
      </c>
      <c r="D1673" s="8" t="s">
        <v>217</v>
      </c>
      <c r="E1673" s="100" t="s">
        <v>76</v>
      </c>
      <c r="F1673" s="100">
        <v>200</v>
      </c>
      <c r="G1673" s="69">
        <f t="shared" si="367"/>
        <v>5751.3</v>
      </c>
      <c r="H1673" s="69">
        <f t="shared" si="367"/>
        <v>0</v>
      </c>
      <c r="I1673" s="69">
        <f t="shared" si="366"/>
        <v>5751.3</v>
      </c>
      <c r="J1673" s="69">
        <f t="shared" si="367"/>
        <v>0</v>
      </c>
      <c r="K1673" s="84">
        <f t="shared" si="360"/>
        <v>5751.3</v>
      </c>
      <c r="L1673" s="13">
        <f t="shared" si="367"/>
        <v>0</v>
      </c>
      <c r="M1673" s="84">
        <f t="shared" si="354"/>
        <v>5751.3</v>
      </c>
      <c r="N1673" s="13">
        <f t="shared" si="367"/>
        <v>0</v>
      </c>
      <c r="O1673" s="84">
        <f t="shared" si="355"/>
        <v>5751.3</v>
      </c>
      <c r="P1673" s="13">
        <f t="shared" si="367"/>
        <v>0</v>
      </c>
      <c r="Q1673" s="84">
        <f t="shared" si="361"/>
        <v>5751.3</v>
      </c>
      <c r="R1673" s="13">
        <f t="shared" si="367"/>
        <v>-5751.3</v>
      </c>
      <c r="S1673" s="84">
        <f t="shared" si="357"/>
        <v>0</v>
      </c>
      <c r="T1673" s="13">
        <f t="shared" si="367"/>
        <v>0</v>
      </c>
      <c r="U1673" s="84">
        <f t="shared" si="362"/>
        <v>0</v>
      </c>
      <c r="V1673" s="142" t="s">
        <v>706</v>
      </c>
    </row>
    <row r="1674" spans="1:22" ht="33" hidden="1">
      <c r="A1674" s="61" t="str">
        <f ca="1">IF(ISERROR(MATCH(F1674,Код_КВР,0)),"",INDIRECT(ADDRESS(MATCH(F1674,Код_КВР,0)+1,2,,,"КВР")))</f>
        <v>Иные закупки товаров, работ и услуг для обеспечения муниципальных нужд</v>
      </c>
      <c r="B1674" s="100">
        <v>811</v>
      </c>
      <c r="C1674" s="8" t="s">
        <v>193</v>
      </c>
      <c r="D1674" s="8" t="s">
        <v>217</v>
      </c>
      <c r="E1674" s="100" t="s">
        <v>76</v>
      </c>
      <c r="F1674" s="100">
        <v>240</v>
      </c>
      <c r="G1674" s="69">
        <f t="shared" si="367"/>
        <v>5751.3</v>
      </c>
      <c r="H1674" s="69">
        <f t="shared" si="367"/>
        <v>0</v>
      </c>
      <c r="I1674" s="69">
        <f t="shared" si="366"/>
        <v>5751.3</v>
      </c>
      <c r="J1674" s="69">
        <f t="shared" si="367"/>
        <v>0</v>
      </c>
      <c r="K1674" s="84">
        <f t="shared" si="360"/>
        <v>5751.3</v>
      </c>
      <c r="L1674" s="13">
        <f t="shared" si="367"/>
        <v>0</v>
      </c>
      <c r="M1674" s="84">
        <f t="shared" si="354"/>
        <v>5751.3</v>
      </c>
      <c r="N1674" s="13">
        <f t="shared" si="367"/>
        <v>0</v>
      </c>
      <c r="O1674" s="84">
        <f t="shared" si="355"/>
        <v>5751.3</v>
      </c>
      <c r="P1674" s="13">
        <f t="shared" si="367"/>
        <v>0</v>
      </c>
      <c r="Q1674" s="84">
        <f t="shared" si="361"/>
        <v>5751.3</v>
      </c>
      <c r="R1674" s="13">
        <f t="shared" si="367"/>
        <v>-5751.3</v>
      </c>
      <c r="S1674" s="84">
        <f t="shared" si="357"/>
        <v>0</v>
      </c>
      <c r="T1674" s="13">
        <f t="shared" si="367"/>
        <v>0</v>
      </c>
      <c r="U1674" s="84">
        <f t="shared" si="362"/>
        <v>0</v>
      </c>
      <c r="V1674" s="142" t="s">
        <v>706</v>
      </c>
    </row>
    <row r="1675" spans="1:22" ht="33" hidden="1">
      <c r="A1675" s="61" t="str">
        <f ca="1">IF(ISERROR(MATCH(F1675,Код_КВР,0)),"",INDIRECT(ADDRESS(MATCH(F1675,Код_КВР,0)+1,2,,,"КВР")))</f>
        <v>Закупка товаров, работ, услуг в целях капитального ремонта муниципального имущества</v>
      </c>
      <c r="B1675" s="100">
        <v>811</v>
      </c>
      <c r="C1675" s="8" t="s">
        <v>193</v>
      </c>
      <c r="D1675" s="8" t="s">
        <v>217</v>
      </c>
      <c r="E1675" s="100" t="s">
        <v>76</v>
      </c>
      <c r="F1675" s="100">
        <v>243</v>
      </c>
      <c r="G1675" s="69">
        <v>5751.3</v>
      </c>
      <c r="H1675" s="69"/>
      <c r="I1675" s="69">
        <f t="shared" si="366"/>
        <v>5751.3</v>
      </c>
      <c r="J1675" s="69"/>
      <c r="K1675" s="84">
        <f t="shared" si="360"/>
        <v>5751.3</v>
      </c>
      <c r="L1675" s="13"/>
      <c r="M1675" s="84">
        <f t="shared" si="354"/>
        <v>5751.3</v>
      </c>
      <c r="N1675" s="13"/>
      <c r="O1675" s="84">
        <f t="shared" si="355"/>
        <v>5751.3</v>
      </c>
      <c r="P1675" s="13"/>
      <c r="Q1675" s="84">
        <f t="shared" si="361"/>
        <v>5751.3</v>
      </c>
      <c r="R1675" s="13">
        <v>-5751.3</v>
      </c>
      <c r="S1675" s="84">
        <f t="shared" si="357"/>
        <v>0</v>
      </c>
      <c r="T1675" s="13"/>
      <c r="U1675" s="84">
        <f t="shared" si="362"/>
        <v>0</v>
      </c>
      <c r="V1675" s="142" t="s">
        <v>706</v>
      </c>
    </row>
    <row r="1676" spans="1:22" ht="38.25" customHeight="1">
      <c r="A1676" s="61" t="str">
        <f ca="1">IF(ISERROR(MATCH(E1676,Код_КЦСР,0)),"",INDIRECT(ADDRESS(MATCH(E1676,Код_КЦСР,0)+1,2,,,"КЦСР")))</f>
        <v>Модернизация региональных систем дошкольного образования за счет субсидии из федерального бюджета</v>
      </c>
      <c r="B1676" s="126">
        <v>811</v>
      </c>
      <c r="C1676" s="8" t="s">
        <v>193</v>
      </c>
      <c r="D1676" s="8" t="s">
        <v>217</v>
      </c>
      <c r="E1676" s="126" t="s">
        <v>636</v>
      </c>
      <c r="F1676" s="126"/>
      <c r="G1676" s="69"/>
      <c r="H1676" s="69"/>
      <c r="I1676" s="69"/>
      <c r="J1676" s="69"/>
      <c r="K1676" s="84"/>
      <c r="L1676" s="13"/>
      <c r="M1676" s="84"/>
      <c r="N1676" s="13"/>
      <c r="O1676" s="84"/>
      <c r="P1676" s="13"/>
      <c r="Q1676" s="84"/>
      <c r="R1676" s="13">
        <f>R1677</f>
        <v>215795.7</v>
      </c>
      <c r="S1676" s="84">
        <f t="shared" si="357"/>
        <v>215795.7</v>
      </c>
      <c r="T1676" s="13">
        <f>T1677</f>
        <v>0</v>
      </c>
      <c r="U1676" s="84">
        <f t="shared" si="362"/>
        <v>215795.7</v>
      </c>
    </row>
    <row r="1677" spans="1:22" ht="33">
      <c r="A1677" s="61" t="str">
        <f ca="1">IF(ISERROR(MATCH(F1677,Код_КВР,0)),"",INDIRECT(ADDRESS(MATCH(F1677,Код_КВР,0)+1,2,,,"КВР")))</f>
        <v>Капитальные вложения в объекты недвижимого имущества муниципальной собственности</v>
      </c>
      <c r="B1677" s="126">
        <v>811</v>
      </c>
      <c r="C1677" s="8" t="s">
        <v>193</v>
      </c>
      <c r="D1677" s="8" t="s">
        <v>217</v>
      </c>
      <c r="E1677" s="126" t="s">
        <v>636</v>
      </c>
      <c r="F1677" s="126">
        <v>400</v>
      </c>
      <c r="G1677" s="69"/>
      <c r="H1677" s="69"/>
      <c r="I1677" s="69"/>
      <c r="J1677" s="69"/>
      <c r="K1677" s="84"/>
      <c r="L1677" s="13"/>
      <c r="M1677" s="84"/>
      <c r="N1677" s="13"/>
      <c r="O1677" s="84"/>
      <c r="P1677" s="13"/>
      <c r="Q1677" s="84"/>
      <c r="R1677" s="13">
        <f>R1678</f>
        <v>215795.7</v>
      </c>
      <c r="S1677" s="84">
        <f t="shared" si="357"/>
        <v>215795.7</v>
      </c>
      <c r="T1677" s="13">
        <f>T1678</f>
        <v>0</v>
      </c>
      <c r="U1677" s="84">
        <f t="shared" si="362"/>
        <v>215795.7</v>
      </c>
    </row>
    <row r="1678" spans="1:22">
      <c r="A1678" s="61" t="str">
        <f ca="1">IF(ISERROR(MATCH(F1678,Код_КВР,0)),"",INDIRECT(ADDRESS(MATCH(F1678,Код_КВР,0)+1,2,,,"КВР")))</f>
        <v>Бюджетные инвестиции</v>
      </c>
      <c r="B1678" s="126">
        <v>811</v>
      </c>
      <c r="C1678" s="8" t="s">
        <v>193</v>
      </c>
      <c r="D1678" s="8" t="s">
        <v>217</v>
      </c>
      <c r="E1678" s="126" t="s">
        <v>636</v>
      </c>
      <c r="F1678" s="126">
        <v>410</v>
      </c>
      <c r="G1678" s="69"/>
      <c r="H1678" s="69"/>
      <c r="I1678" s="69"/>
      <c r="J1678" s="69"/>
      <c r="K1678" s="84"/>
      <c r="L1678" s="13"/>
      <c r="M1678" s="84"/>
      <c r="N1678" s="13"/>
      <c r="O1678" s="84"/>
      <c r="P1678" s="13"/>
      <c r="Q1678" s="84"/>
      <c r="R1678" s="13">
        <f>R1679</f>
        <v>215795.7</v>
      </c>
      <c r="S1678" s="84">
        <f t="shared" si="357"/>
        <v>215795.7</v>
      </c>
      <c r="T1678" s="13">
        <f>T1679</f>
        <v>0</v>
      </c>
      <c r="U1678" s="84">
        <f t="shared" si="362"/>
        <v>215795.7</v>
      </c>
    </row>
    <row r="1679" spans="1:22" ht="33">
      <c r="A1679" s="61" t="str">
        <f ca="1">IF(ISERROR(MATCH(F1679,Код_КВР,0)),"",INDIRECT(ADDRESS(MATCH(F1679,Код_КВР,0)+1,2,,,"КВР")))</f>
        <v>Бюджетные инвестиции в объекты капитального строительства муниципальной собственности</v>
      </c>
      <c r="B1679" s="126">
        <v>811</v>
      </c>
      <c r="C1679" s="8" t="s">
        <v>193</v>
      </c>
      <c r="D1679" s="8" t="s">
        <v>217</v>
      </c>
      <c r="E1679" s="126" t="s">
        <v>636</v>
      </c>
      <c r="F1679" s="126">
        <v>414</v>
      </c>
      <c r="G1679" s="69"/>
      <c r="H1679" s="69"/>
      <c r="I1679" s="69"/>
      <c r="J1679" s="69"/>
      <c r="K1679" s="84"/>
      <c r="L1679" s="13"/>
      <c r="M1679" s="84"/>
      <c r="N1679" s="13"/>
      <c r="O1679" s="84"/>
      <c r="P1679" s="13"/>
      <c r="Q1679" s="84"/>
      <c r="R1679" s="13">
        <v>215795.7</v>
      </c>
      <c r="S1679" s="84">
        <f t="shared" si="357"/>
        <v>215795.7</v>
      </c>
      <c r="T1679" s="13"/>
      <c r="U1679" s="84">
        <f t="shared" si="362"/>
        <v>215795.7</v>
      </c>
    </row>
    <row r="1680" spans="1:22">
      <c r="A1680" s="61" t="str">
        <f ca="1">IF(ISERROR(MATCH(C1680,Код_Раздел,0)),"",INDIRECT(ADDRESS(MATCH(C1680,Код_Раздел,0)+1,2,,,"Раздел")))</f>
        <v>Культура, кинематография</v>
      </c>
      <c r="B1680" s="126">
        <v>811</v>
      </c>
      <c r="C1680" s="8" t="s">
        <v>220</v>
      </c>
      <c r="D1680" s="8"/>
      <c r="E1680" s="126"/>
      <c r="F1680" s="126"/>
      <c r="G1680" s="69"/>
      <c r="H1680" s="69"/>
      <c r="I1680" s="69"/>
      <c r="J1680" s="69"/>
      <c r="K1680" s="84"/>
      <c r="L1680" s="13">
        <f t="shared" ref="L1680:T1685" si="368">L1681</f>
        <v>1712.9</v>
      </c>
      <c r="M1680" s="84">
        <f t="shared" si="354"/>
        <v>1712.9</v>
      </c>
      <c r="N1680" s="13">
        <f t="shared" si="368"/>
        <v>0</v>
      </c>
      <c r="O1680" s="84">
        <f t="shared" si="355"/>
        <v>1712.9</v>
      </c>
      <c r="P1680" s="13">
        <f t="shared" si="368"/>
        <v>0</v>
      </c>
      <c r="Q1680" s="84">
        <f t="shared" si="361"/>
        <v>1712.9</v>
      </c>
      <c r="R1680" s="13">
        <f>R1681+R1687</f>
        <v>5719.1</v>
      </c>
      <c r="S1680" s="84">
        <f t="shared" si="357"/>
        <v>7432</v>
      </c>
      <c r="T1680" s="13">
        <f>T1681+T1687</f>
        <v>-203.2</v>
      </c>
      <c r="U1680" s="84">
        <f t="shared" si="362"/>
        <v>7228.8</v>
      </c>
    </row>
    <row r="1681" spans="1:21">
      <c r="A1681" s="12" t="s">
        <v>182</v>
      </c>
      <c r="B1681" s="126">
        <v>811</v>
      </c>
      <c r="C1681" s="8" t="s">
        <v>220</v>
      </c>
      <c r="D1681" s="8" t="s">
        <v>211</v>
      </c>
      <c r="E1681" s="126"/>
      <c r="F1681" s="126"/>
      <c r="G1681" s="69"/>
      <c r="H1681" s="69"/>
      <c r="I1681" s="69"/>
      <c r="J1681" s="69"/>
      <c r="K1681" s="84"/>
      <c r="L1681" s="13">
        <f t="shared" si="368"/>
        <v>1712.9</v>
      </c>
      <c r="M1681" s="84">
        <f t="shared" si="354"/>
        <v>1712.9</v>
      </c>
      <c r="N1681" s="13">
        <f t="shared" si="368"/>
        <v>0</v>
      </c>
      <c r="O1681" s="84">
        <f t="shared" si="355"/>
        <v>1712.9</v>
      </c>
      <c r="P1681" s="13">
        <f t="shared" si="368"/>
        <v>0</v>
      </c>
      <c r="Q1681" s="84">
        <f t="shared" si="361"/>
        <v>1712.9</v>
      </c>
      <c r="R1681" s="13">
        <f t="shared" si="368"/>
        <v>0</v>
      </c>
      <c r="S1681" s="84">
        <f t="shared" si="357"/>
        <v>1712.9</v>
      </c>
      <c r="T1681" s="13">
        <f t="shared" si="368"/>
        <v>0</v>
      </c>
      <c r="U1681" s="84">
        <f t="shared" si="362"/>
        <v>1712.9</v>
      </c>
    </row>
    <row r="1682" spans="1:21" ht="49.5">
      <c r="A1682" s="61" t="str">
        <f ca="1">IF(ISERROR(MATCH(E1682,Код_КЦСР,0)),"",INDIRECT(ADDRESS(MATCH(E1682,Код_КЦСР,0)+1,2,,,"КЦСР")))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682" s="126">
        <v>811</v>
      </c>
      <c r="C1682" s="8" t="s">
        <v>220</v>
      </c>
      <c r="D1682" s="8" t="s">
        <v>211</v>
      </c>
      <c r="E1682" s="126" t="s">
        <v>68</v>
      </c>
      <c r="F1682" s="126"/>
      <c r="G1682" s="69"/>
      <c r="H1682" s="69"/>
      <c r="I1682" s="69"/>
      <c r="J1682" s="69"/>
      <c r="K1682" s="84"/>
      <c r="L1682" s="13">
        <f t="shared" si="368"/>
        <v>1712.9</v>
      </c>
      <c r="M1682" s="84">
        <f t="shared" si="354"/>
        <v>1712.9</v>
      </c>
      <c r="N1682" s="13">
        <f t="shared" si="368"/>
        <v>0</v>
      </c>
      <c r="O1682" s="84">
        <f t="shared" si="355"/>
        <v>1712.9</v>
      </c>
      <c r="P1682" s="13">
        <f t="shared" si="368"/>
        <v>0</v>
      </c>
      <c r="Q1682" s="84">
        <f t="shared" si="361"/>
        <v>1712.9</v>
      </c>
      <c r="R1682" s="13">
        <f t="shared" si="368"/>
        <v>0</v>
      </c>
      <c r="S1682" s="84">
        <f t="shared" si="357"/>
        <v>1712.9</v>
      </c>
      <c r="T1682" s="13">
        <f t="shared" si="368"/>
        <v>0</v>
      </c>
      <c r="U1682" s="84">
        <f t="shared" si="362"/>
        <v>1712.9</v>
      </c>
    </row>
    <row r="1683" spans="1:21">
      <c r="A1683" s="61" t="str">
        <f ca="1">IF(ISERROR(MATCH(E1683,Код_КЦСР,0)),"",INDIRECT(ADDRESS(MATCH(E1683,Код_КЦСР,0)+1,2,,,"КЦСР")))</f>
        <v>Капитальный ремонт  объектов муниципальной собственности</v>
      </c>
      <c r="B1683" s="126">
        <v>811</v>
      </c>
      <c r="C1683" s="8" t="s">
        <v>220</v>
      </c>
      <c r="D1683" s="8" t="s">
        <v>211</v>
      </c>
      <c r="E1683" s="126" t="s">
        <v>76</v>
      </c>
      <c r="F1683" s="126"/>
      <c r="G1683" s="69"/>
      <c r="H1683" s="69"/>
      <c r="I1683" s="69"/>
      <c r="J1683" s="69"/>
      <c r="K1683" s="84"/>
      <c r="L1683" s="13">
        <f t="shared" si="368"/>
        <v>1712.9</v>
      </c>
      <c r="M1683" s="84">
        <f t="shared" si="354"/>
        <v>1712.9</v>
      </c>
      <c r="N1683" s="13">
        <f t="shared" si="368"/>
        <v>0</v>
      </c>
      <c r="O1683" s="84">
        <f t="shared" si="355"/>
        <v>1712.9</v>
      </c>
      <c r="P1683" s="13">
        <f t="shared" si="368"/>
        <v>0</v>
      </c>
      <c r="Q1683" s="84">
        <f t="shared" si="361"/>
        <v>1712.9</v>
      </c>
      <c r="R1683" s="13">
        <f t="shared" si="368"/>
        <v>0</v>
      </c>
      <c r="S1683" s="84">
        <f t="shared" si="357"/>
        <v>1712.9</v>
      </c>
      <c r="T1683" s="13">
        <f t="shared" si="368"/>
        <v>0</v>
      </c>
      <c r="U1683" s="84">
        <f t="shared" si="362"/>
        <v>1712.9</v>
      </c>
    </row>
    <row r="1684" spans="1:21">
      <c r="A1684" s="61" t="str">
        <f ca="1">IF(ISERROR(MATCH(F1684,Код_КВР,0)),"",INDIRECT(ADDRESS(MATCH(F1684,Код_КВР,0)+1,2,,,"КВР")))</f>
        <v>Закупка товаров, работ и услуг для муниципальных нужд</v>
      </c>
      <c r="B1684" s="126">
        <v>811</v>
      </c>
      <c r="C1684" s="8" t="s">
        <v>220</v>
      </c>
      <c r="D1684" s="8" t="s">
        <v>211</v>
      </c>
      <c r="E1684" s="126" t="s">
        <v>76</v>
      </c>
      <c r="F1684" s="126">
        <v>200</v>
      </c>
      <c r="G1684" s="69"/>
      <c r="H1684" s="69"/>
      <c r="I1684" s="69"/>
      <c r="J1684" s="69"/>
      <c r="K1684" s="84"/>
      <c r="L1684" s="13">
        <f t="shared" si="368"/>
        <v>1712.9</v>
      </c>
      <c r="M1684" s="84">
        <f t="shared" si="354"/>
        <v>1712.9</v>
      </c>
      <c r="N1684" s="13">
        <f t="shared" si="368"/>
        <v>0</v>
      </c>
      <c r="O1684" s="84">
        <f t="shared" si="355"/>
        <v>1712.9</v>
      </c>
      <c r="P1684" s="13">
        <f t="shared" si="368"/>
        <v>0</v>
      </c>
      <c r="Q1684" s="84">
        <f t="shared" si="361"/>
        <v>1712.9</v>
      </c>
      <c r="R1684" s="13">
        <f t="shared" si="368"/>
        <v>0</v>
      </c>
      <c r="S1684" s="84">
        <f t="shared" si="357"/>
        <v>1712.9</v>
      </c>
      <c r="T1684" s="13">
        <f t="shared" si="368"/>
        <v>0</v>
      </c>
      <c r="U1684" s="84">
        <f t="shared" si="362"/>
        <v>1712.9</v>
      </c>
    </row>
    <row r="1685" spans="1:21" ht="33">
      <c r="A1685" s="61" t="str">
        <f ca="1">IF(ISERROR(MATCH(F1685,Код_КВР,0)),"",INDIRECT(ADDRESS(MATCH(F1685,Код_КВР,0)+1,2,,,"КВР")))</f>
        <v>Иные закупки товаров, работ и услуг для обеспечения муниципальных нужд</v>
      </c>
      <c r="B1685" s="126">
        <v>811</v>
      </c>
      <c r="C1685" s="8" t="s">
        <v>220</v>
      </c>
      <c r="D1685" s="8" t="s">
        <v>211</v>
      </c>
      <c r="E1685" s="126" t="s">
        <v>76</v>
      </c>
      <c r="F1685" s="126">
        <v>240</v>
      </c>
      <c r="G1685" s="69"/>
      <c r="H1685" s="69"/>
      <c r="I1685" s="69"/>
      <c r="J1685" s="69"/>
      <c r="K1685" s="84"/>
      <c r="L1685" s="13">
        <f t="shared" si="368"/>
        <v>1712.9</v>
      </c>
      <c r="M1685" s="84">
        <f t="shared" si="354"/>
        <v>1712.9</v>
      </c>
      <c r="N1685" s="13">
        <f t="shared" si="368"/>
        <v>0</v>
      </c>
      <c r="O1685" s="84">
        <f t="shared" si="355"/>
        <v>1712.9</v>
      </c>
      <c r="P1685" s="13">
        <f t="shared" si="368"/>
        <v>0</v>
      </c>
      <c r="Q1685" s="84">
        <f t="shared" si="361"/>
        <v>1712.9</v>
      </c>
      <c r="R1685" s="13">
        <f t="shared" si="368"/>
        <v>0</v>
      </c>
      <c r="S1685" s="84">
        <f t="shared" si="357"/>
        <v>1712.9</v>
      </c>
      <c r="T1685" s="13">
        <f t="shared" si="368"/>
        <v>0</v>
      </c>
      <c r="U1685" s="84">
        <f t="shared" si="362"/>
        <v>1712.9</v>
      </c>
    </row>
    <row r="1686" spans="1:21" ht="33.75" customHeight="1">
      <c r="A1686" s="61" t="str">
        <f ca="1">IF(ISERROR(MATCH(F1686,Код_КВР,0)),"",INDIRECT(ADDRESS(MATCH(F1686,Код_КВР,0)+1,2,,,"КВР")))</f>
        <v>Закупка товаров, работ, услуг в целях капитального ремонта муниципального имущества</v>
      </c>
      <c r="B1686" s="126">
        <v>811</v>
      </c>
      <c r="C1686" s="8" t="s">
        <v>220</v>
      </c>
      <c r="D1686" s="8" t="s">
        <v>211</v>
      </c>
      <c r="E1686" s="126" t="s">
        <v>76</v>
      </c>
      <c r="F1686" s="126">
        <v>243</v>
      </c>
      <c r="G1686" s="69"/>
      <c r="H1686" s="69"/>
      <c r="I1686" s="69"/>
      <c r="J1686" s="69"/>
      <c r="K1686" s="84"/>
      <c r="L1686" s="13">
        <v>1712.9</v>
      </c>
      <c r="M1686" s="84">
        <f t="shared" si="354"/>
        <v>1712.9</v>
      </c>
      <c r="N1686" s="13"/>
      <c r="O1686" s="84">
        <f t="shared" si="355"/>
        <v>1712.9</v>
      </c>
      <c r="P1686" s="13"/>
      <c r="Q1686" s="84">
        <f t="shared" si="361"/>
        <v>1712.9</v>
      </c>
      <c r="R1686" s="13"/>
      <c r="S1686" s="84">
        <f t="shared" si="357"/>
        <v>1712.9</v>
      </c>
      <c r="T1686" s="13"/>
      <c r="U1686" s="84">
        <f t="shared" si="362"/>
        <v>1712.9</v>
      </c>
    </row>
    <row r="1687" spans="1:21" ht="20.25" customHeight="1">
      <c r="A1687" s="12" t="s">
        <v>161</v>
      </c>
      <c r="B1687" s="126">
        <v>811</v>
      </c>
      <c r="C1687" s="8" t="s">
        <v>220</v>
      </c>
      <c r="D1687" s="8" t="s">
        <v>214</v>
      </c>
      <c r="E1687" s="126"/>
      <c r="F1687" s="126"/>
      <c r="G1687" s="69"/>
      <c r="H1687" s="69"/>
      <c r="I1687" s="69"/>
      <c r="J1687" s="69"/>
      <c r="K1687" s="84"/>
      <c r="L1687" s="13"/>
      <c r="M1687" s="84"/>
      <c r="N1687" s="13"/>
      <c r="O1687" s="84"/>
      <c r="P1687" s="13"/>
      <c r="Q1687" s="84"/>
      <c r="R1687" s="13">
        <f t="shared" ref="R1687:R1692" si="369">R1688</f>
        <v>5719.1</v>
      </c>
      <c r="S1687" s="84">
        <f t="shared" si="357"/>
        <v>5719.1</v>
      </c>
      <c r="T1687" s="13">
        <f>T1688</f>
        <v>-203.2</v>
      </c>
      <c r="U1687" s="84">
        <f t="shared" si="362"/>
        <v>5515.9000000000005</v>
      </c>
    </row>
    <row r="1688" spans="1:21" ht="51" customHeight="1">
      <c r="A1688" s="61" t="str">
        <f ca="1">IF(ISERROR(MATCH(E1688,Код_КЦСР,0)),"",INDIRECT(ADDRESS(MATCH(E1688,Код_КЦСР,0)+1,2,,,"КЦСР")))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688" s="126">
        <v>811</v>
      </c>
      <c r="C1688" s="8" t="s">
        <v>220</v>
      </c>
      <c r="D1688" s="8" t="s">
        <v>214</v>
      </c>
      <c r="E1688" s="126" t="s">
        <v>68</v>
      </c>
      <c r="F1688" s="126"/>
      <c r="G1688" s="69"/>
      <c r="H1688" s="69"/>
      <c r="I1688" s="69"/>
      <c r="J1688" s="69"/>
      <c r="K1688" s="84"/>
      <c r="L1688" s="13"/>
      <c r="M1688" s="84"/>
      <c r="N1688" s="13"/>
      <c r="O1688" s="84"/>
      <c r="P1688" s="13"/>
      <c r="Q1688" s="84"/>
      <c r="R1688" s="13">
        <f t="shared" si="369"/>
        <v>5719.1</v>
      </c>
      <c r="S1688" s="84">
        <f>Q1688+R1688</f>
        <v>5719.1</v>
      </c>
      <c r="T1688" s="13">
        <f>T1690</f>
        <v>-203.2</v>
      </c>
      <c r="U1688" s="84">
        <f t="shared" si="362"/>
        <v>5515.9000000000005</v>
      </c>
    </row>
    <row r="1689" spans="1:21" ht="41.25" customHeight="1">
      <c r="A1689" s="61" t="str">
        <f ca="1">IF(ISERROR(MATCH(E1689,Код_КЦСР,0)),"",INDIRECT(ADDRESS(MATCH(E1689,Код_КЦСР,0)+1,2,,,"КЦСР")))</f>
        <v>Капитальное строительство и реконструкция объектов муниципальной собственности</v>
      </c>
      <c r="B1689" s="126">
        <v>811</v>
      </c>
      <c r="C1689" s="8" t="s">
        <v>220</v>
      </c>
      <c r="D1689" s="8" t="s">
        <v>214</v>
      </c>
      <c r="E1689" s="126" t="s">
        <v>70</v>
      </c>
      <c r="F1689" s="126"/>
      <c r="G1689" s="69"/>
      <c r="H1689" s="69"/>
      <c r="I1689" s="69"/>
      <c r="J1689" s="69"/>
      <c r="K1689" s="84"/>
      <c r="L1689" s="13"/>
      <c r="M1689" s="84"/>
      <c r="N1689" s="13"/>
      <c r="O1689" s="84"/>
      <c r="P1689" s="13"/>
      <c r="Q1689" s="84"/>
      <c r="R1689" s="13">
        <f t="shared" si="369"/>
        <v>5719.1</v>
      </c>
      <c r="S1689" s="84">
        <f>S1690</f>
        <v>5719.1</v>
      </c>
      <c r="T1689" s="13">
        <f>T1690</f>
        <v>-203.2</v>
      </c>
      <c r="U1689" s="84">
        <f t="shared" si="362"/>
        <v>5515.9000000000005</v>
      </c>
    </row>
    <row r="1690" spans="1:21" ht="22.5" customHeight="1">
      <c r="A1690" s="61" t="str">
        <f ca="1">IF(ISERROR(MATCH(E1690,Код_КЦСР,0)),"",INDIRECT(ADDRESS(MATCH(E1690,Код_КЦСР,0)+1,2,,,"КЦСР")))</f>
        <v>Строительство объектов сметной стоимостью до 100 млн. рублей</v>
      </c>
      <c r="B1690" s="126">
        <v>811</v>
      </c>
      <c r="C1690" s="8" t="s">
        <v>220</v>
      </c>
      <c r="D1690" s="8" t="s">
        <v>214</v>
      </c>
      <c r="E1690" s="126" t="s">
        <v>71</v>
      </c>
      <c r="F1690" s="126"/>
      <c r="G1690" s="69"/>
      <c r="H1690" s="69"/>
      <c r="I1690" s="69"/>
      <c r="J1690" s="69"/>
      <c r="K1690" s="84"/>
      <c r="L1690" s="13"/>
      <c r="M1690" s="84"/>
      <c r="N1690" s="13"/>
      <c r="O1690" s="84"/>
      <c r="P1690" s="13"/>
      <c r="Q1690" s="84"/>
      <c r="R1690" s="13">
        <f t="shared" si="369"/>
        <v>5719.1</v>
      </c>
      <c r="S1690" s="84">
        <f t="shared" si="357"/>
        <v>5719.1</v>
      </c>
      <c r="T1690" s="13">
        <f>T1691</f>
        <v>-203.2</v>
      </c>
      <c r="U1690" s="84">
        <f t="shared" si="362"/>
        <v>5515.9000000000005</v>
      </c>
    </row>
    <row r="1691" spans="1:21" ht="35.25" customHeight="1">
      <c r="A1691" s="61" t="str">
        <f ca="1">IF(ISERROR(MATCH(F1691,Код_КВР,0)),"",INDIRECT(ADDRESS(MATCH(F1691,Код_КВР,0)+1,2,,,"КВР")))</f>
        <v>Капитальные вложения в объекты недвижимого имущества муниципальной собственности</v>
      </c>
      <c r="B1691" s="126">
        <v>811</v>
      </c>
      <c r="C1691" s="8" t="s">
        <v>220</v>
      </c>
      <c r="D1691" s="8" t="s">
        <v>214</v>
      </c>
      <c r="E1691" s="126" t="s">
        <v>71</v>
      </c>
      <c r="F1691" s="126">
        <v>400</v>
      </c>
      <c r="G1691" s="69"/>
      <c r="H1691" s="69"/>
      <c r="I1691" s="69"/>
      <c r="J1691" s="69"/>
      <c r="K1691" s="84"/>
      <c r="L1691" s="13"/>
      <c r="M1691" s="84"/>
      <c r="N1691" s="13"/>
      <c r="O1691" s="84"/>
      <c r="P1691" s="13"/>
      <c r="Q1691" s="84"/>
      <c r="R1691" s="13">
        <f t="shared" si="369"/>
        <v>5719.1</v>
      </c>
      <c r="S1691" s="84">
        <f t="shared" si="357"/>
        <v>5719.1</v>
      </c>
      <c r="T1691" s="13">
        <f>T1692</f>
        <v>-203.2</v>
      </c>
      <c r="U1691" s="84">
        <f t="shared" si="362"/>
        <v>5515.9000000000005</v>
      </c>
    </row>
    <row r="1692" spans="1:21" ht="18.75" customHeight="1">
      <c r="A1692" s="61" t="str">
        <f ca="1">IF(ISERROR(MATCH(F1692,Код_КВР,0)),"",INDIRECT(ADDRESS(MATCH(F1692,Код_КВР,0)+1,2,,,"КВР")))</f>
        <v>Бюджетные инвестиции</v>
      </c>
      <c r="B1692" s="126">
        <v>811</v>
      </c>
      <c r="C1692" s="8" t="s">
        <v>220</v>
      </c>
      <c r="D1692" s="8" t="s">
        <v>214</v>
      </c>
      <c r="E1692" s="126" t="s">
        <v>71</v>
      </c>
      <c r="F1692" s="126">
        <v>410</v>
      </c>
      <c r="G1692" s="69"/>
      <c r="H1692" s="69"/>
      <c r="I1692" s="69"/>
      <c r="J1692" s="69"/>
      <c r="K1692" s="84"/>
      <c r="L1692" s="13"/>
      <c r="M1692" s="84"/>
      <c r="N1692" s="13"/>
      <c r="O1692" s="84"/>
      <c r="P1692" s="13"/>
      <c r="Q1692" s="84"/>
      <c r="R1692" s="13">
        <f t="shared" si="369"/>
        <v>5719.1</v>
      </c>
      <c r="S1692" s="84">
        <f t="shared" si="357"/>
        <v>5719.1</v>
      </c>
      <c r="T1692" s="13">
        <f>T1693</f>
        <v>-203.2</v>
      </c>
      <c r="U1692" s="84">
        <f t="shared" si="362"/>
        <v>5515.9000000000005</v>
      </c>
    </row>
    <row r="1693" spans="1:21" ht="33.75" customHeight="1">
      <c r="A1693" s="61" t="str">
        <f ca="1">IF(ISERROR(MATCH(F1693,Код_КВР,0)),"",INDIRECT(ADDRESS(MATCH(F1693,Код_КВР,0)+1,2,,,"КВР")))</f>
        <v>Бюджетные инвестиции в объекты капитального строительства муниципальной собственности</v>
      </c>
      <c r="B1693" s="126">
        <v>811</v>
      </c>
      <c r="C1693" s="8" t="s">
        <v>220</v>
      </c>
      <c r="D1693" s="8" t="s">
        <v>214</v>
      </c>
      <c r="E1693" s="126" t="s">
        <v>71</v>
      </c>
      <c r="F1693" s="126">
        <v>414</v>
      </c>
      <c r="G1693" s="69"/>
      <c r="H1693" s="69"/>
      <c r="I1693" s="69"/>
      <c r="J1693" s="69"/>
      <c r="K1693" s="84"/>
      <c r="L1693" s="13"/>
      <c r="M1693" s="84"/>
      <c r="N1693" s="13"/>
      <c r="O1693" s="84"/>
      <c r="P1693" s="13"/>
      <c r="Q1693" s="84"/>
      <c r="R1693" s="13">
        <f>7374.2-3017.1+1362</f>
        <v>5719.1</v>
      </c>
      <c r="S1693" s="84">
        <f t="shared" si="357"/>
        <v>5719.1</v>
      </c>
      <c r="T1693" s="13">
        <f>-203.2</f>
        <v>-203.2</v>
      </c>
      <c r="U1693" s="84">
        <f t="shared" si="362"/>
        <v>5515.9000000000005</v>
      </c>
    </row>
    <row r="1694" spans="1:21">
      <c r="A1694" s="61" t="str">
        <f ca="1">IF(ISERROR(MATCH(C1694,Код_Раздел,0)),"",INDIRECT(ADDRESS(MATCH(C1694,Код_Раздел,0)+1,2,,,"Раздел")))</f>
        <v>Физическая культура и спорт</v>
      </c>
      <c r="B1694" s="126">
        <v>811</v>
      </c>
      <c r="C1694" s="8" t="s">
        <v>222</v>
      </c>
      <c r="D1694" s="8"/>
      <c r="E1694" s="126"/>
      <c r="F1694" s="126"/>
      <c r="G1694" s="69">
        <f t="shared" ref="G1694:T1700" si="370">G1695</f>
        <v>10000</v>
      </c>
      <c r="H1694" s="69">
        <f t="shared" si="370"/>
        <v>0</v>
      </c>
      <c r="I1694" s="69">
        <f t="shared" si="366"/>
        <v>10000</v>
      </c>
      <c r="J1694" s="69">
        <f t="shared" si="370"/>
        <v>2813.9</v>
      </c>
      <c r="K1694" s="84">
        <f t="shared" si="360"/>
        <v>12813.9</v>
      </c>
      <c r="L1694" s="13">
        <f t="shared" si="370"/>
        <v>0</v>
      </c>
      <c r="M1694" s="84">
        <f t="shared" si="354"/>
        <v>12813.9</v>
      </c>
      <c r="N1694" s="13">
        <f t="shared" si="370"/>
        <v>0</v>
      </c>
      <c r="O1694" s="84">
        <f t="shared" si="355"/>
        <v>12813.9</v>
      </c>
      <c r="P1694" s="13">
        <f t="shared" si="370"/>
        <v>0</v>
      </c>
      <c r="Q1694" s="84">
        <f t="shared" si="361"/>
        <v>12813.9</v>
      </c>
      <c r="R1694" s="13">
        <f t="shared" si="370"/>
        <v>0</v>
      </c>
      <c r="S1694" s="84">
        <f t="shared" si="357"/>
        <v>12813.9</v>
      </c>
      <c r="T1694" s="13">
        <f t="shared" si="370"/>
        <v>0</v>
      </c>
      <c r="U1694" s="84">
        <f t="shared" si="362"/>
        <v>12813.9</v>
      </c>
    </row>
    <row r="1695" spans="1:21">
      <c r="A1695" s="12" t="s">
        <v>190</v>
      </c>
      <c r="B1695" s="126">
        <v>811</v>
      </c>
      <c r="C1695" s="8" t="s">
        <v>222</v>
      </c>
      <c r="D1695" s="8" t="s">
        <v>219</v>
      </c>
      <c r="E1695" s="126"/>
      <c r="F1695" s="126"/>
      <c r="G1695" s="69">
        <f t="shared" si="370"/>
        <v>10000</v>
      </c>
      <c r="H1695" s="69">
        <f t="shared" si="370"/>
        <v>0</v>
      </c>
      <c r="I1695" s="69">
        <f t="shared" si="366"/>
        <v>10000</v>
      </c>
      <c r="J1695" s="69">
        <f>J1696+J1702</f>
        <v>2813.9</v>
      </c>
      <c r="K1695" s="84">
        <f t="shared" si="360"/>
        <v>12813.9</v>
      </c>
      <c r="L1695" s="13">
        <f>L1696+L1702</f>
        <v>0</v>
      </c>
      <c r="M1695" s="84">
        <f t="shared" si="354"/>
        <v>12813.9</v>
      </c>
      <c r="N1695" s="13">
        <f>N1696+N1702</f>
        <v>0</v>
      </c>
      <c r="O1695" s="84">
        <f t="shared" si="355"/>
        <v>12813.9</v>
      </c>
      <c r="P1695" s="13">
        <f>P1696+P1702</f>
        <v>0</v>
      </c>
      <c r="Q1695" s="84">
        <f t="shared" si="361"/>
        <v>12813.9</v>
      </c>
      <c r="R1695" s="13">
        <f>R1696+R1702</f>
        <v>0</v>
      </c>
      <c r="S1695" s="84">
        <f t="shared" si="357"/>
        <v>12813.9</v>
      </c>
      <c r="T1695" s="13">
        <f>T1696+T1702</f>
        <v>0</v>
      </c>
      <c r="U1695" s="84">
        <f t="shared" si="362"/>
        <v>12813.9</v>
      </c>
    </row>
    <row r="1696" spans="1:21" ht="49.5">
      <c r="A1696" s="61" t="str">
        <f ca="1">IF(ISERROR(MATCH(E1696,Код_КЦСР,0)),"",INDIRECT(ADDRESS(MATCH(E1696,Код_КЦСР,0)+1,2,,,"КЦСР")))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696" s="126">
        <v>811</v>
      </c>
      <c r="C1696" s="8" t="s">
        <v>222</v>
      </c>
      <c r="D1696" s="8" t="s">
        <v>219</v>
      </c>
      <c r="E1696" s="126" t="s">
        <v>68</v>
      </c>
      <c r="F1696" s="126"/>
      <c r="G1696" s="69">
        <f t="shared" si="370"/>
        <v>10000</v>
      </c>
      <c r="H1696" s="69">
        <f t="shared" si="370"/>
        <v>0</v>
      </c>
      <c r="I1696" s="69">
        <f t="shared" si="366"/>
        <v>10000</v>
      </c>
      <c r="J1696" s="69">
        <f t="shared" si="370"/>
        <v>0</v>
      </c>
      <c r="K1696" s="84">
        <f t="shared" si="360"/>
        <v>10000</v>
      </c>
      <c r="L1696" s="13">
        <f t="shared" si="370"/>
        <v>0</v>
      </c>
      <c r="M1696" s="84">
        <f t="shared" si="354"/>
        <v>10000</v>
      </c>
      <c r="N1696" s="13">
        <f t="shared" si="370"/>
        <v>0</v>
      </c>
      <c r="O1696" s="84">
        <f t="shared" si="355"/>
        <v>10000</v>
      </c>
      <c r="P1696" s="13">
        <f t="shared" si="370"/>
        <v>0</v>
      </c>
      <c r="Q1696" s="84">
        <f t="shared" si="361"/>
        <v>10000</v>
      </c>
      <c r="R1696" s="13">
        <f t="shared" si="370"/>
        <v>0</v>
      </c>
      <c r="S1696" s="84">
        <f t="shared" si="357"/>
        <v>10000</v>
      </c>
      <c r="T1696" s="13">
        <f t="shared" si="370"/>
        <v>0</v>
      </c>
      <c r="U1696" s="84">
        <f t="shared" si="362"/>
        <v>10000</v>
      </c>
    </row>
    <row r="1697" spans="1:21" ht="33">
      <c r="A1697" s="61" t="str">
        <f ca="1">IF(ISERROR(MATCH(E1697,Код_КЦСР,0)),"",INDIRECT(ADDRESS(MATCH(E1697,Код_КЦСР,0)+1,2,,,"КЦСР")))</f>
        <v>Капитальное строительство и реконструкция объектов муниципальной собственности</v>
      </c>
      <c r="B1697" s="126">
        <v>811</v>
      </c>
      <c r="C1697" s="8" t="s">
        <v>222</v>
      </c>
      <c r="D1697" s="8" t="s">
        <v>219</v>
      </c>
      <c r="E1697" s="126" t="s">
        <v>70</v>
      </c>
      <c r="F1697" s="126"/>
      <c r="G1697" s="69">
        <f t="shared" si="370"/>
        <v>10000</v>
      </c>
      <c r="H1697" s="69">
        <f t="shared" si="370"/>
        <v>0</v>
      </c>
      <c r="I1697" s="69">
        <f t="shared" si="366"/>
        <v>10000</v>
      </c>
      <c r="J1697" s="69">
        <f t="shared" si="370"/>
        <v>0</v>
      </c>
      <c r="K1697" s="84">
        <f t="shared" si="360"/>
        <v>10000</v>
      </c>
      <c r="L1697" s="13">
        <f t="shared" si="370"/>
        <v>0</v>
      </c>
      <c r="M1697" s="84">
        <f t="shared" si="354"/>
        <v>10000</v>
      </c>
      <c r="N1697" s="13">
        <f t="shared" si="370"/>
        <v>0</v>
      </c>
      <c r="O1697" s="84">
        <f t="shared" si="355"/>
        <v>10000</v>
      </c>
      <c r="P1697" s="13">
        <f t="shared" si="370"/>
        <v>0</v>
      </c>
      <c r="Q1697" s="84">
        <f t="shared" si="361"/>
        <v>10000</v>
      </c>
      <c r="R1697" s="13">
        <f t="shared" si="370"/>
        <v>0</v>
      </c>
      <c r="S1697" s="84">
        <f t="shared" si="357"/>
        <v>10000</v>
      </c>
      <c r="T1697" s="13">
        <f t="shared" si="370"/>
        <v>0</v>
      </c>
      <c r="U1697" s="84">
        <f t="shared" si="362"/>
        <v>10000</v>
      </c>
    </row>
    <row r="1698" spans="1:21">
      <c r="A1698" s="61" t="str">
        <f ca="1">IF(ISERROR(MATCH(E1698,Код_КЦСР,0)),"",INDIRECT(ADDRESS(MATCH(E1698,Код_КЦСР,0)+1,2,,,"КЦСР")))</f>
        <v>Строительство объектов сметной стоимостью до 100 млн. рублей</v>
      </c>
      <c r="B1698" s="126">
        <v>811</v>
      </c>
      <c r="C1698" s="8" t="s">
        <v>222</v>
      </c>
      <c r="D1698" s="8" t="s">
        <v>219</v>
      </c>
      <c r="E1698" s="126" t="s">
        <v>71</v>
      </c>
      <c r="F1698" s="126"/>
      <c r="G1698" s="69">
        <f t="shared" si="370"/>
        <v>10000</v>
      </c>
      <c r="H1698" s="69">
        <f t="shared" si="370"/>
        <v>0</v>
      </c>
      <c r="I1698" s="69">
        <f t="shared" si="366"/>
        <v>10000</v>
      </c>
      <c r="J1698" s="69">
        <f t="shared" si="370"/>
        <v>0</v>
      </c>
      <c r="K1698" s="84">
        <f t="shared" si="360"/>
        <v>10000</v>
      </c>
      <c r="L1698" s="13">
        <f t="shared" si="370"/>
        <v>0</v>
      </c>
      <c r="M1698" s="84">
        <f t="shared" si="354"/>
        <v>10000</v>
      </c>
      <c r="N1698" s="13">
        <f t="shared" si="370"/>
        <v>0</v>
      </c>
      <c r="O1698" s="84">
        <f t="shared" si="355"/>
        <v>10000</v>
      </c>
      <c r="P1698" s="13">
        <f t="shared" si="370"/>
        <v>0</v>
      </c>
      <c r="Q1698" s="84">
        <f t="shared" si="361"/>
        <v>10000</v>
      </c>
      <c r="R1698" s="13">
        <f t="shared" si="370"/>
        <v>0</v>
      </c>
      <c r="S1698" s="84">
        <f t="shared" si="357"/>
        <v>10000</v>
      </c>
      <c r="T1698" s="13">
        <f t="shared" si="370"/>
        <v>0</v>
      </c>
      <c r="U1698" s="84">
        <f t="shared" si="362"/>
        <v>10000</v>
      </c>
    </row>
    <row r="1699" spans="1:21" ht="33">
      <c r="A1699" s="61" t="str">
        <f ca="1">IF(ISERROR(MATCH(F1699,Код_КВР,0)),"",INDIRECT(ADDRESS(MATCH(F1699,Код_КВР,0)+1,2,,,"КВР")))</f>
        <v>Капитальные вложения в объекты недвижимого имущества муниципальной собственности</v>
      </c>
      <c r="B1699" s="126">
        <v>811</v>
      </c>
      <c r="C1699" s="8" t="s">
        <v>222</v>
      </c>
      <c r="D1699" s="8" t="s">
        <v>219</v>
      </c>
      <c r="E1699" s="126" t="s">
        <v>71</v>
      </c>
      <c r="F1699" s="126">
        <v>400</v>
      </c>
      <c r="G1699" s="69">
        <f t="shared" si="370"/>
        <v>10000</v>
      </c>
      <c r="H1699" s="69">
        <f t="shared" si="370"/>
        <v>0</v>
      </c>
      <c r="I1699" s="69">
        <f t="shared" si="366"/>
        <v>10000</v>
      </c>
      <c r="J1699" s="69">
        <f t="shared" si="370"/>
        <v>0</v>
      </c>
      <c r="K1699" s="84">
        <f t="shared" si="360"/>
        <v>10000</v>
      </c>
      <c r="L1699" s="13">
        <f t="shared" si="370"/>
        <v>0</v>
      </c>
      <c r="M1699" s="84">
        <f t="shared" si="354"/>
        <v>10000</v>
      </c>
      <c r="N1699" s="13">
        <f t="shared" si="370"/>
        <v>0</v>
      </c>
      <c r="O1699" s="84">
        <f t="shared" si="355"/>
        <v>10000</v>
      </c>
      <c r="P1699" s="13">
        <f t="shared" si="370"/>
        <v>0</v>
      </c>
      <c r="Q1699" s="84">
        <f t="shared" si="361"/>
        <v>10000</v>
      </c>
      <c r="R1699" s="13">
        <f t="shared" si="370"/>
        <v>0</v>
      </c>
      <c r="S1699" s="84">
        <f t="shared" si="357"/>
        <v>10000</v>
      </c>
      <c r="T1699" s="13">
        <f t="shared" si="370"/>
        <v>0</v>
      </c>
      <c r="U1699" s="84">
        <f t="shared" si="362"/>
        <v>10000</v>
      </c>
    </row>
    <row r="1700" spans="1:21">
      <c r="A1700" s="61" t="str">
        <f ca="1">IF(ISERROR(MATCH(F1700,Код_КВР,0)),"",INDIRECT(ADDRESS(MATCH(F1700,Код_КВР,0)+1,2,,,"КВР")))</f>
        <v>Бюджетные инвестиции</v>
      </c>
      <c r="B1700" s="126">
        <v>811</v>
      </c>
      <c r="C1700" s="8" t="s">
        <v>222</v>
      </c>
      <c r="D1700" s="8" t="s">
        <v>219</v>
      </c>
      <c r="E1700" s="126" t="s">
        <v>71</v>
      </c>
      <c r="F1700" s="126">
        <v>410</v>
      </c>
      <c r="G1700" s="69">
        <f t="shared" si="370"/>
        <v>10000</v>
      </c>
      <c r="H1700" s="69">
        <f t="shared" si="370"/>
        <v>0</v>
      </c>
      <c r="I1700" s="69">
        <f t="shared" si="366"/>
        <v>10000</v>
      </c>
      <c r="J1700" s="69">
        <f t="shared" si="370"/>
        <v>0</v>
      </c>
      <c r="K1700" s="84">
        <f t="shared" si="360"/>
        <v>10000</v>
      </c>
      <c r="L1700" s="13">
        <f t="shared" si="370"/>
        <v>0</v>
      </c>
      <c r="M1700" s="84">
        <f t="shared" si="354"/>
        <v>10000</v>
      </c>
      <c r="N1700" s="13">
        <f t="shared" si="370"/>
        <v>0</v>
      </c>
      <c r="O1700" s="84">
        <f t="shared" si="355"/>
        <v>10000</v>
      </c>
      <c r="P1700" s="13">
        <f t="shared" si="370"/>
        <v>0</v>
      </c>
      <c r="Q1700" s="84">
        <f t="shared" si="361"/>
        <v>10000</v>
      </c>
      <c r="R1700" s="13">
        <f t="shared" si="370"/>
        <v>0</v>
      </c>
      <c r="S1700" s="84">
        <f t="shared" si="357"/>
        <v>10000</v>
      </c>
      <c r="T1700" s="13">
        <f t="shared" si="370"/>
        <v>0</v>
      </c>
      <c r="U1700" s="84">
        <f t="shared" si="362"/>
        <v>10000</v>
      </c>
    </row>
    <row r="1701" spans="1:21" ht="33">
      <c r="A1701" s="61" t="str">
        <f ca="1">IF(ISERROR(MATCH(F1701,Код_КВР,0)),"",INDIRECT(ADDRESS(MATCH(F1701,Код_КВР,0)+1,2,,,"КВР")))</f>
        <v>Бюджетные инвестиции в объекты капитального строительства муниципальной собственности</v>
      </c>
      <c r="B1701" s="126">
        <v>811</v>
      </c>
      <c r="C1701" s="8" t="s">
        <v>222</v>
      </c>
      <c r="D1701" s="8" t="s">
        <v>219</v>
      </c>
      <c r="E1701" s="126" t="s">
        <v>71</v>
      </c>
      <c r="F1701" s="126">
        <v>414</v>
      </c>
      <c r="G1701" s="69">
        <v>10000</v>
      </c>
      <c r="H1701" s="69"/>
      <c r="I1701" s="69">
        <f t="shared" si="366"/>
        <v>10000</v>
      </c>
      <c r="J1701" s="69"/>
      <c r="K1701" s="84">
        <f t="shared" si="360"/>
        <v>10000</v>
      </c>
      <c r="L1701" s="13"/>
      <c r="M1701" s="84">
        <f t="shared" si="354"/>
        <v>10000</v>
      </c>
      <c r="N1701" s="13"/>
      <c r="O1701" s="84">
        <f t="shared" si="355"/>
        <v>10000</v>
      </c>
      <c r="P1701" s="13"/>
      <c r="Q1701" s="84">
        <f t="shared" si="361"/>
        <v>10000</v>
      </c>
      <c r="R1701" s="13"/>
      <c r="S1701" s="84">
        <f t="shared" si="357"/>
        <v>10000</v>
      </c>
      <c r="T1701" s="13"/>
      <c r="U1701" s="84">
        <f t="shared" si="362"/>
        <v>10000</v>
      </c>
    </row>
    <row r="1702" spans="1:21" ht="33">
      <c r="A1702" s="61" t="str">
        <f ca="1">IF(ISERROR(MATCH(E1702,Код_КЦСР,0)),"",INDIRECT(ADDRESS(MATCH(E1702,Код_КЦСР,0)+1,2,,,"КЦСР")))</f>
        <v>Непрограммные направления деятельности органов местного самоуправления</v>
      </c>
      <c r="B1702" s="126">
        <v>811</v>
      </c>
      <c r="C1702" s="8" t="s">
        <v>222</v>
      </c>
      <c r="D1702" s="8" t="s">
        <v>219</v>
      </c>
      <c r="E1702" s="126" t="s">
        <v>295</v>
      </c>
      <c r="F1702" s="126"/>
      <c r="G1702" s="69"/>
      <c r="H1702" s="69"/>
      <c r="I1702" s="69"/>
      <c r="J1702" s="69">
        <f>J1703</f>
        <v>2813.9</v>
      </c>
      <c r="K1702" s="84">
        <f t="shared" si="360"/>
        <v>2813.9</v>
      </c>
      <c r="L1702" s="13">
        <f>L1703</f>
        <v>0</v>
      </c>
      <c r="M1702" s="84">
        <f t="shared" si="354"/>
        <v>2813.9</v>
      </c>
      <c r="N1702" s="13">
        <f>N1703</f>
        <v>0</v>
      </c>
      <c r="O1702" s="84">
        <f t="shared" si="355"/>
        <v>2813.9</v>
      </c>
      <c r="P1702" s="13">
        <f>P1703</f>
        <v>0</v>
      </c>
      <c r="Q1702" s="84">
        <f t="shared" si="361"/>
        <v>2813.9</v>
      </c>
      <c r="R1702" s="13">
        <f>R1703</f>
        <v>0</v>
      </c>
      <c r="S1702" s="84">
        <f t="shared" si="357"/>
        <v>2813.9</v>
      </c>
      <c r="T1702" s="13">
        <f>T1703</f>
        <v>0</v>
      </c>
      <c r="U1702" s="84">
        <f t="shared" si="362"/>
        <v>2813.9</v>
      </c>
    </row>
    <row r="1703" spans="1:21">
      <c r="A1703" s="61" t="str">
        <f ca="1">IF(ISERROR(MATCH(E1703,Код_КЦСР,0)),"",INDIRECT(ADDRESS(MATCH(E1703,Код_КЦСР,0)+1,2,,,"КЦСР")))</f>
        <v>Расходы, не включенные в муниципальные программы города Череповца</v>
      </c>
      <c r="B1703" s="126">
        <v>811</v>
      </c>
      <c r="C1703" s="8" t="s">
        <v>222</v>
      </c>
      <c r="D1703" s="8" t="s">
        <v>219</v>
      </c>
      <c r="E1703" s="126" t="s">
        <v>297</v>
      </c>
      <c r="F1703" s="126"/>
      <c r="G1703" s="69"/>
      <c r="H1703" s="69"/>
      <c r="I1703" s="69"/>
      <c r="J1703" s="69">
        <f>J1704</f>
        <v>2813.9</v>
      </c>
      <c r="K1703" s="84">
        <f t="shared" si="360"/>
        <v>2813.9</v>
      </c>
      <c r="L1703" s="13">
        <f>L1704</f>
        <v>0</v>
      </c>
      <c r="M1703" s="84">
        <f t="shared" si="354"/>
        <v>2813.9</v>
      </c>
      <c r="N1703" s="13">
        <f>N1704</f>
        <v>0</v>
      </c>
      <c r="O1703" s="84">
        <f t="shared" si="355"/>
        <v>2813.9</v>
      </c>
      <c r="P1703" s="13">
        <f>P1704</f>
        <v>0</v>
      </c>
      <c r="Q1703" s="84">
        <f t="shared" si="361"/>
        <v>2813.9</v>
      </c>
      <c r="R1703" s="13">
        <f>R1704</f>
        <v>0</v>
      </c>
      <c r="S1703" s="84">
        <f t="shared" si="357"/>
        <v>2813.9</v>
      </c>
      <c r="T1703" s="13">
        <f>T1704</f>
        <v>0</v>
      </c>
      <c r="U1703" s="84">
        <f t="shared" si="362"/>
        <v>2813.9</v>
      </c>
    </row>
    <row r="1704" spans="1:21">
      <c r="A1704" s="61" t="str">
        <f ca="1">IF(ISERROR(MATCH(E1704,Код_КЦСР,0)),"",INDIRECT(ADDRESS(MATCH(E1704,Код_КЦСР,0)+1,2,,,"КЦСР")))</f>
        <v>Кредиторская задолженность, сложившаяся по итогам 2013 года</v>
      </c>
      <c r="B1704" s="126">
        <v>811</v>
      </c>
      <c r="C1704" s="8" t="s">
        <v>222</v>
      </c>
      <c r="D1704" s="8" t="s">
        <v>219</v>
      </c>
      <c r="E1704" s="126" t="s">
        <v>367</v>
      </c>
      <c r="F1704" s="126"/>
      <c r="G1704" s="69"/>
      <c r="H1704" s="69"/>
      <c r="I1704" s="69"/>
      <c r="J1704" s="69">
        <f>J1705</f>
        <v>2813.9</v>
      </c>
      <c r="K1704" s="84">
        <f t="shared" si="360"/>
        <v>2813.9</v>
      </c>
      <c r="L1704" s="13">
        <f>L1705</f>
        <v>0</v>
      </c>
      <c r="M1704" s="84">
        <f t="shared" si="354"/>
        <v>2813.9</v>
      </c>
      <c r="N1704" s="13">
        <f>N1705</f>
        <v>0</v>
      </c>
      <c r="O1704" s="84">
        <f t="shared" si="355"/>
        <v>2813.9</v>
      </c>
      <c r="P1704" s="13">
        <f>P1705</f>
        <v>0</v>
      </c>
      <c r="Q1704" s="84">
        <f t="shared" si="361"/>
        <v>2813.9</v>
      </c>
      <c r="R1704" s="13">
        <f>R1705</f>
        <v>0</v>
      </c>
      <c r="S1704" s="84">
        <f t="shared" si="357"/>
        <v>2813.9</v>
      </c>
      <c r="T1704" s="13">
        <f>T1705</f>
        <v>0</v>
      </c>
      <c r="U1704" s="84">
        <f t="shared" si="362"/>
        <v>2813.9</v>
      </c>
    </row>
    <row r="1705" spans="1:21" ht="33">
      <c r="A1705" s="61" t="str">
        <f ca="1">IF(ISERROR(MATCH(F1705,Код_КВР,0)),"",INDIRECT(ADDRESS(MATCH(F1705,Код_КВР,0)+1,2,,,"КВР")))</f>
        <v>Капитальные вложения в объекты недвижимого имущества муниципальной собственности</v>
      </c>
      <c r="B1705" s="126">
        <v>811</v>
      </c>
      <c r="C1705" s="8" t="s">
        <v>222</v>
      </c>
      <c r="D1705" s="8" t="s">
        <v>219</v>
      </c>
      <c r="E1705" s="126" t="s">
        <v>367</v>
      </c>
      <c r="F1705" s="126">
        <v>400</v>
      </c>
      <c r="G1705" s="69"/>
      <c r="H1705" s="69"/>
      <c r="I1705" s="69"/>
      <c r="J1705" s="69">
        <f>J1706</f>
        <v>2813.9</v>
      </c>
      <c r="K1705" s="84">
        <f t="shared" si="360"/>
        <v>2813.9</v>
      </c>
      <c r="L1705" s="13">
        <f>L1706</f>
        <v>0</v>
      </c>
      <c r="M1705" s="84">
        <f t="shared" si="354"/>
        <v>2813.9</v>
      </c>
      <c r="N1705" s="13">
        <f>N1706</f>
        <v>0</v>
      </c>
      <c r="O1705" s="84">
        <f t="shared" si="355"/>
        <v>2813.9</v>
      </c>
      <c r="P1705" s="13">
        <f>P1706</f>
        <v>0</v>
      </c>
      <c r="Q1705" s="84">
        <f t="shared" si="361"/>
        <v>2813.9</v>
      </c>
      <c r="R1705" s="13">
        <f>R1706</f>
        <v>0</v>
      </c>
      <c r="S1705" s="84">
        <f t="shared" si="357"/>
        <v>2813.9</v>
      </c>
      <c r="T1705" s="13">
        <f>T1706</f>
        <v>0</v>
      </c>
      <c r="U1705" s="84">
        <f t="shared" si="362"/>
        <v>2813.9</v>
      </c>
    </row>
    <row r="1706" spans="1:21">
      <c r="A1706" s="61" t="str">
        <f ca="1">IF(ISERROR(MATCH(F1706,Код_КВР,0)),"",INDIRECT(ADDRESS(MATCH(F1706,Код_КВР,0)+1,2,,,"КВР")))</f>
        <v>Бюджетные инвестиции</v>
      </c>
      <c r="B1706" s="126">
        <v>811</v>
      </c>
      <c r="C1706" s="8" t="s">
        <v>222</v>
      </c>
      <c r="D1706" s="8" t="s">
        <v>219</v>
      </c>
      <c r="E1706" s="126" t="s">
        <v>367</v>
      </c>
      <c r="F1706" s="126">
        <v>410</v>
      </c>
      <c r="G1706" s="69"/>
      <c r="H1706" s="69"/>
      <c r="I1706" s="69"/>
      <c r="J1706" s="69">
        <f>J1707</f>
        <v>2813.9</v>
      </c>
      <c r="K1706" s="84">
        <f t="shared" si="360"/>
        <v>2813.9</v>
      </c>
      <c r="L1706" s="13">
        <f>L1707</f>
        <v>0</v>
      </c>
      <c r="M1706" s="84">
        <f t="shared" si="354"/>
        <v>2813.9</v>
      </c>
      <c r="N1706" s="13">
        <f>N1707</f>
        <v>0</v>
      </c>
      <c r="O1706" s="84">
        <f t="shared" si="355"/>
        <v>2813.9</v>
      </c>
      <c r="P1706" s="13">
        <f>P1707</f>
        <v>0</v>
      </c>
      <c r="Q1706" s="84">
        <f t="shared" si="361"/>
        <v>2813.9</v>
      </c>
      <c r="R1706" s="13">
        <f>R1707</f>
        <v>0</v>
      </c>
      <c r="S1706" s="84">
        <f t="shared" si="357"/>
        <v>2813.9</v>
      </c>
      <c r="T1706" s="13">
        <f>T1707</f>
        <v>0</v>
      </c>
      <c r="U1706" s="84">
        <f t="shared" si="362"/>
        <v>2813.9</v>
      </c>
    </row>
    <row r="1707" spans="1:21" ht="33">
      <c r="A1707" s="61" t="str">
        <f ca="1">IF(ISERROR(MATCH(F1707,Код_КВР,0)),"",INDIRECT(ADDRESS(MATCH(F1707,Код_КВР,0)+1,2,,,"КВР")))</f>
        <v>Бюджетные инвестиции в объекты капитального строительства муниципальной собственности</v>
      </c>
      <c r="B1707" s="126">
        <v>811</v>
      </c>
      <c r="C1707" s="8" t="s">
        <v>222</v>
      </c>
      <c r="D1707" s="8" t="s">
        <v>219</v>
      </c>
      <c r="E1707" s="126" t="s">
        <v>367</v>
      </c>
      <c r="F1707" s="126">
        <v>414</v>
      </c>
      <c r="G1707" s="69"/>
      <c r="H1707" s="69"/>
      <c r="I1707" s="69"/>
      <c r="J1707" s="69">
        <v>2813.9</v>
      </c>
      <c r="K1707" s="84">
        <f t="shared" si="360"/>
        <v>2813.9</v>
      </c>
      <c r="L1707" s="13"/>
      <c r="M1707" s="84">
        <f t="shared" si="354"/>
        <v>2813.9</v>
      </c>
      <c r="N1707" s="13"/>
      <c r="O1707" s="84">
        <f t="shared" si="355"/>
        <v>2813.9</v>
      </c>
      <c r="P1707" s="13"/>
      <c r="Q1707" s="84">
        <f t="shared" si="361"/>
        <v>2813.9</v>
      </c>
      <c r="R1707" s="13"/>
      <c r="S1707" s="84">
        <f t="shared" si="357"/>
        <v>2813.9</v>
      </c>
      <c r="T1707" s="13"/>
      <c r="U1707" s="84">
        <f t="shared" si="362"/>
        <v>2813.9</v>
      </c>
    </row>
    <row r="1708" spans="1:21">
      <c r="A1708" s="61" t="str">
        <f ca="1">IF(ISERROR(MATCH(B1708,Код_ППП,0)),"",INDIRECT(ADDRESS(MATCH(B1708,Код_ППП,0)+1,2,,,"ППП")))</f>
        <v xml:space="preserve">КОНТРОЛЬНО-СЧЕТНАЯ ПАЛАТА ГОРОДА ЧЕРЕПОВЦА </v>
      </c>
      <c r="B1708" s="126">
        <v>812</v>
      </c>
      <c r="C1708" s="8"/>
      <c r="D1708" s="8"/>
      <c r="E1708" s="126"/>
      <c r="F1708" s="126"/>
      <c r="G1708" s="69"/>
      <c r="H1708" s="69"/>
      <c r="I1708" s="69"/>
      <c r="J1708" s="69">
        <f t="shared" ref="J1708:T1713" si="371">J1709</f>
        <v>8199.9</v>
      </c>
      <c r="K1708" s="84">
        <f t="shared" si="360"/>
        <v>8199.9</v>
      </c>
      <c r="L1708" s="13">
        <f t="shared" si="371"/>
        <v>0</v>
      </c>
      <c r="M1708" s="84">
        <f t="shared" si="354"/>
        <v>8199.9</v>
      </c>
      <c r="N1708" s="13">
        <f t="shared" si="371"/>
        <v>0</v>
      </c>
      <c r="O1708" s="84">
        <f t="shared" si="355"/>
        <v>8199.9</v>
      </c>
      <c r="P1708" s="13">
        <f t="shared" si="371"/>
        <v>0</v>
      </c>
      <c r="Q1708" s="84">
        <f t="shared" si="361"/>
        <v>8199.9</v>
      </c>
      <c r="R1708" s="13">
        <f t="shared" si="371"/>
        <v>119.2</v>
      </c>
      <c r="S1708" s="84">
        <f t="shared" si="357"/>
        <v>8319.1</v>
      </c>
      <c r="T1708" s="13">
        <f t="shared" si="371"/>
        <v>0</v>
      </c>
      <c r="U1708" s="84">
        <f t="shared" si="362"/>
        <v>8319.1</v>
      </c>
    </row>
    <row r="1709" spans="1:21">
      <c r="A1709" s="61" t="str">
        <f ca="1">IF(ISERROR(MATCH(C1709,Код_Раздел,0)),"",INDIRECT(ADDRESS(MATCH(C1709,Код_Раздел,0)+1,2,,,"Раздел")))</f>
        <v>Общегосударственные  вопросы</v>
      </c>
      <c r="B1709" s="126">
        <v>812</v>
      </c>
      <c r="C1709" s="8" t="s">
        <v>211</v>
      </c>
      <c r="D1709" s="8"/>
      <c r="E1709" s="126"/>
      <c r="F1709" s="126"/>
      <c r="G1709" s="69"/>
      <c r="H1709" s="69"/>
      <c r="I1709" s="69"/>
      <c r="J1709" s="69">
        <f t="shared" si="371"/>
        <v>8199.9</v>
      </c>
      <c r="K1709" s="84">
        <f t="shared" si="360"/>
        <v>8199.9</v>
      </c>
      <c r="L1709" s="13">
        <f t="shared" si="371"/>
        <v>0</v>
      </c>
      <c r="M1709" s="84">
        <f t="shared" si="354"/>
        <v>8199.9</v>
      </c>
      <c r="N1709" s="13">
        <f t="shared" si="371"/>
        <v>0</v>
      </c>
      <c r="O1709" s="84">
        <f t="shared" si="355"/>
        <v>8199.9</v>
      </c>
      <c r="P1709" s="13">
        <f t="shared" si="371"/>
        <v>0</v>
      </c>
      <c r="Q1709" s="84">
        <f t="shared" si="361"/>
        <v>8199.9</v>
      </c>
      <c r="R1709" s="13">
        <f t="shared" si="371"/>
        <v>119.2</v>
      </c>
      <c r="S1709" s="84">
        <f t="shared" si="357"/>
        <v>8319.1</v>
      </c>
      <c r="T1709" s="13">
        <f t="shared" si="371"/>
        <v>0</v>
      </c>
      <c r="U1709" s="84">
        <f t="shared" si="362"/>
        <v>8319.1</v>
      </c>
    </row>
    <row r="1710" spans="1:21" ht="33">
      <c r="A1710" s="12" t="s">
        <v>163</v>
      </c>
      <c r="B1710" s="126">
        <v>812</v>
      </c>
      <c r="C1710" s="8" t="s">
        <v>211</v>
      </c>
      <c r="D1710" s="8" t="s">
        <v>215</v>
      </c>
      <c r="E1710" s="126"/>
      <c r="F1710" s="126"/>
      <c r="G1710" s="69"/>
      <c r="H1710" s="69"/>
      <c r="I1710" s="69"/>
      <c r="J1710" s="69">
        <f t="shared" si="371"/>
        <v>8199.9</v>
      </c>
      <c r="K1710" s="84">
        <f t="shared" si="360"/>
        <v>8199.9</v>
      </c>
      <c r="L1710" s="13">
        <f t="shared" si="371"/>
        <v>0</v>
      </c>
      <c r="M1710" s="84">
        <f t="shared" ref="M1710:M1752" si="372">K1710+L1710</f>
        <v>8199.9</v>
      </c>
      <c r="N1710" s="13">
        <f t="shared" si="371"/>
        <v>0</v>
      </c>
      <c r="O1710" s="84">
        <f t="shared" ref="O1710:O1751" si="373">M1710+N1710</f>
        <v>8199.9</v>
      </c>
      <c r="P1710" s="13">
        <f t="shared" si="371"/>
        <v>0</v>
      </c>
      <c r="Q1710" s="84">
        <f t="shared" si="361"/>
        <v>8199.9</v>
      </c>
      <c r="R1710" s="13">
        <f t="shared" si="371"/>
        <v>119.2</v>
      </c>
      <c r="S1710" s="84">
        <f t="shared" si="357"/>
        <v>8319.1</v>
      </c>
      <c r="T1710" s="13">
        <f t="shared" si="371"/>
        <v>0</v>
      </c>
      <c r="U1710" s="84">
        <f t="shared" si="362"/>
        <v>8319.1</v>
      </c>
    </row>
    <row r="1711" spans="1:21" ht="33">
      <c r="A1711" s="61" t="str">
        <f ca="1">IF(ISERROR(MATCH(E1711,Код_КЦСР,0)),"",INDIRECT(ADDRESS(MATCH(E1711,Код_КЦСР,0)+1,2,,,"КЦСР")))</f>
        <v>Непрограммные направления деятельности органов местного самоуправления</v>
      </c>
      <c r="B1711" s="126">
        <v>812</v>
      </c>
      <c r="C1711" s="8" t="s">
        <v>211</v>
      </c>
      <c r="D1711" s="8" t="s">
        <v>215</v>
      </c>
      <c r="E1711" s="126" t="s">
        <v>295</v>
      </c>
      <c r="F1711" s="126"/>
      <c r="G1711" s="69"/>
      <c r="H1711" s="69"/>
      <c r="I1711" s="69"/>
      <c r="J1711" s="69">
        <f t="shared" si="371"/>
        <v>8199.9</v>
      </c>
      <c r="K1711" s="84">
        <f t="shared" si="360"/>
        <v>8199.9</v>
      </c>
      <c r="L1711" s="13">
        <f t="shared" si="371"/>
        <v>0</v>
      </c>
      <c r="M1711" s="84">
        <f t="shared" si="372"/>
        <v>8199.9</v>
      </c>
      <c r="N1711" s="13">
        <f t="shared" si="371"/>
        <v>0</v>
      </c>
      <c r="O1711" s="84">
        <f t="shared" si="373"/>
        <v>8199.9</v>
      </c>
      <c r="P1711" s="13">
        <f t="shared" si="371"/>
        <v>0</v>
      </c>
      <c r="Q1711" s="84">
        <f t="shared" si="361"/>
        <v>8199.9</v>
      </c>
      <c r="R1711" s="13">
        <f t="shared" si="371"/>
        <v>119.2</v>
      </c>
      <c r="S1711" s="84">
        <f t="shared" si="357"/>
        <v>8319.1</v>
      </c>
      <c r="T1711" s="13">
        <f t="shared" si="371"/>
        <v>0</v>
      </c>
      <c r="U1711" s="84">
        <f t="shared" si="362"/>
        <v>8319.1</v>
      </c>
    </row>
    <row r="1712" spans="1:21">
      <c r="A1712" s="61" t="str">
        <f ca="1">IF(ISERROR(MATCH(E1712,Код_КЦСР,0)),"",INDIRECT(ADDRESS(MATCH(E1712,Код_КЦСР,0)+1,2,,,"КЦСР")))</f>
        <v>Расходы, не включенные в муниципальные программы города Череповца</v>
      </c>
      <c r="B1712" s="126">
        <v>812</v>
      </c>
      <c r="C1712" s="8" t="s">
        <v>211</v>
      </c>
      <c r="D1712" s="8" t="s">
        <v>215</v>
      </c>
      <c r="E1712" s="126" t="s">
        <v>297</v>
      </c>
      <c r="F1712" s="126"/>
      <c r="G1712" s="69"/>
      <c r="H1712" s="69"/>
      <c r="I1712" s="69"/>
      <c r="J1712" s="69">
        <f t="shared" si="371"/>
        <v>8199.9</v>
      </c>
      <c r="K1712" s="84">
        <f t="shared" si="360"/>
        <v>8199.9</v>
      </c>
      <c r="L1712" s="13">
        <f t="shared" si="371"/>
        <v>0</v>
      </c>
      <c r="M1712" s="84">
        <f t="shared" si="372"/>
        <v>8199.9</v>
      </c>
      <c r="N1712" s="13">
        <f t="shared" si="371"/>
        <v>0</v>
      </c>
      <c r="O1712" s="84">
        <f t="shared" si="373"/>
        <v>8199.9</v>
      </c>
      <c r="P1712" s="13">
        <f t="shared" si="371"/>
        <v>0</v>
      </c>
      <c r="Q1712" s="84">
        <f t="shared" si="361"/>
        <v>8199.9</v>
      </c>
      <c r="R1712" s="13">
        <f t="shared" si="371"/>
        <v>119.2</v>
      </c>
      <c r="S1712" s="84">
        <f t="shared" si="357"/>
        <v>8319.1</v>
      </c>
      <c r="T1712" s="13">
        <f t="shared" si="371"/>
        <v>0</v>
      </c>
      <c r="U1712" s="84">
        <f t="shared" si="362"/>
        <v>8319.1</v>
      </c>
    </row>
    <row r="1713" spans="1:21" ht="33">
      <c r="A1713" s="61" t="str">
        <f ca="1">IF(ISERROR(MATCH(E1713,Код_КЦСР,0)),"",INDIRECT(ADDRESS(MATCH(E1713,Код_КЦСР,0)+1,2,,,"КЦСР")))</f>
        <v>Руководство и управление в сфере установленных функций органов местного самоуправления</v>
      </c>
      <c r="B1713" s="126">
        <v>812</v>
      </c>
      <c r="C1713" s="8" t="s">
        <v>211</v>
      </c>
      <c r="D1713" s="8" t="s">
        <v>215</v>
      </c>
      <c r="E1713" s="126" t="s">
        <v>299</v>
      </c>
      <c r="F1713" s="126"/>
      <c r="G1713" s="69"/>
      <c r="H1713" s="69"/>
      <c r="I1713" s="69"/>
      <c r="J1713" s="69">
        <f t="shared" si="371"/>
        <v>8199.9</v>
      </c>
      <c r="K1713" s="84">
        <f t="shared" si="360"/>
        <v>8199.9</v>
      </c>
      <c r="L1713" s="13">
        <f t="shared" si="371"/>
        <v>0</v>
      </c>
      <c r="M1713" s="84">
        <f t="shared" si="372"/>
        <v>8199.9</v>
      </c>
      <c r="N1713" s="13">
        <f t="shared" si="371"/>
        <v>0</v>
      </c>
      <c r="O1713" s="84">
        <f t="shared" si="373"/>
        <v>8199.9</v>
      </c>
      <c r="P1713" s="13">
        <f t="shared" si="371"/>
        <v>0</v>
      </c>
      <c r="Q1713" s="84">
        <f t="shared" si="361"/>
        <v>8199.9</v>
      </c>
      <c r="R1713" s="13">
        <f t="shared" si="371"/>
        <v>119.2</v>
      </c>
      <c r="S1713" s="84">
        <f t="shared" si="357"/>
        <v>8319.1</v>
      </c>
      <c r="T1713" s="13">
        <f t="shared" si="371"/>
        <v>0</v>
      </c>
      <c r="U1713" s="84">
        <f t="shared" si="362"/>
        <v>8319.1</v>
      </c>
    </row>
    <row r="1714" spans="1:21">
      <c r="A1714" s="61" t="str">
        <f ca="1">IF(ISERROR(MATCH(E1714,Код_КЦСР,0)),"",INDIRECT(ADDRESS(MATCH(E1714,Код_КЦСР,0)+1,2,,,"КЦСР")))</f>
        <v>Центральный аппарат</v>
      </c>
      <c r="B1714" s="126">
        <v>812</v>
      </c>
      <c r="C1714" s="8" t="s">
        <v>211</v>
      </c>
      <c r="D1714" s="8" t="s">
        <v>215</v>
      </c>
      <c r="E1714" s="126" t="s">
        <v>302</v>
      </c>
      <c r="F1714" s="126"/>
      <c r="G1714" s="69"/>
      <c r="H1714" s="69"/>
      <c r="I1714" s="69"/>
      <c r="J1714" s="69">
        <f>J1715+J1718+J1720</f>
        <v>8199.9</v>
      </c>
      <c r="K1714" s="84">
        <f t="shared" si="360"/>
        <v>8199.9</v>
      </c>
      <c r="L1714" s="13">
        <f>L1715+L1718+L1720</f>
        <v>0</v>
      </c>
      <c r="M1714" s="84">
        <f t="shared" si="372"/>
        <v>8199.9</v>
      </c>
      <c r="N1714" s="13">
        <f>N1715+N1718+N1720</f>
        <v>0</v>
      </c>
      <c r="O1714" s="84">
        <f t="shared" si="373"/>
        <v>8199.9</v>
      </c>
      <c r="P1714" s="13">
        <f>P1715+P1718+P1720</f>
        <v>0</v>
      </c>
      <c r="Q1714" s="84">
        <f t="shared" si="361"/>
        <v>8199.9</v>
      </c>
      <c r="R1714" s="13">
        <f>R1715+R1718+R1720</f>
        <v>119.2</v>
      </c>
      <c r="S1714" s="84">
        <f t="shared" si="357"/>
        <v>8319.1</v>
      </c>
      <c r="T1714" s="13">
        <f>T1715+T1718+T1720</f>
        <v>0</v>
      </c>
      <c r="U1714" s="84">
        <f t="shared" si="362"/>
        <v>8319.1</v>
      </c>
    </row>
    <row r="1715" spans="1:21" ht="33">
      <c r="A1715" s="61" t="str">
        <f t="shared" ref="A1715:A1721" ca="1" si="374">IF(ISERROR(MATCH(F1715,Код_КВР,0)),"",INDIRECT(ADDRESS(MATCH(F1715,Код_КВР,0)+1,2,,,"КВР")))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15" s="126">
        <v>812</v>
      </c>
      <c r="C1715" s="8" t="s">
        <v>211</v>
      </c>
      <c r="D1715" s="8" t="s">
        <v>215</v>
      </c>
      <c r="E1715" s="126" t="s">
        <v>302</v>
      </c>
      <c r="F1715" s="126">
        <v>100</v>
      </c>
      <c r="G1715" s="69"/>
      <c r="H1715" s="69"/>
      <c r="I1715" s="69"/>
      <c r="J1715" s="69">
        <f>J1716</f>
        <v>8130.3</v>
      </c>
      <c r="K1715" s="84">
        <f t="shared" si="360"/>
        <v>8130.3</v>
      </c>
      <c r="L1715" s="13">
        <f>L1716</f>
        <v>0</v>
      </c>
      <c r="M1715" s="84">
        <f t="shared" si="372"/>
        <v>8130.3</v>
      </c>
      <c r="N1715" s="13">
        <f>N1716</f>
        <v>0</v>
      </c>
      <c r="O1715" s="84">
        <f t="shared" si="373"/>
        <v>8130.3</v>
      </c>
      <c r="P1715" s="13">
        <f>P1716</f>
        <v>0</v>
      </c>
      <c r="Q1715" s="84">
        <f t="shared" si="361"/>
        <v>8130.3</v>
      </c>
      <c r="R1715" s="13">
        <f>R1716</f>
        <v>119.2</v>
      </c>
      <c r="S1715" s="84">
        <f t="shared" si="357"/>
        <v>8249.5</v>
      </c>
      <c r="T1715" s="13">
        <f>T1716</f>
        <v>0</v>
      </c>
      <c r="U1715" s="84">
        <f t="shared" si="362"/>
        <v>8249.5</v>
      </c>
    </row>
    <row r="1716" spans="1:21">
      <c r="A1716" s="61" t="str">
        <f t="shared" ca="1" si="374"/>
        <v>Расходы на выплаты персоналу муниципальных органов</v>
      </c>
      <c r="B1716" s="126">
        <v>812</v>
      </c>
      <c r="C1716" s="8" t="s">
        <v>211</v>
      </c>
      <c r="D1716" s="8" t="s">
        <v>215</v>
      </c>
      <c r="E1716" s="126" t="s">
        <v>302</v>
      </c>
      <c r="F1716" s="126">
        <v>120</v>
      </c>
      <c r="G1716" s="69"/>
      <c r="H1716" s="69"/>
      <c r="I1716" s="69"/>
      <c r="J1716" s="69">
        <v>8130.3</v>
      </c>
      <c r="K1716" s="84">
        <f t="shared" si="360"/>
        <v>8130.3</v>
      </c>
      <c r="L1716" s="13"/>
      <c r="M1716" s="84">
        <f t="shared" si="372"/>
        <v>8130.3</v>
      </c>
      <c r="N1716" s="13"/>
      <c r="O1716" s="84">
        <f t="shared" si="373"/>
        <v>8130.3</v>
      </c>
      <c r="P1716" s="13"/>
      <c r="Q1716" s="84">
        <f t="shared" si="361"/>
        <v>8130.3</v>
      </c>
      <c r="R1716" s="13">
        <v>119.2</v>
      </c>
      <c r="S1716" s="84">
        <f t="shared" ref="S1716:S1752" si="375">Q1716+R1716</f>
        <v>8249.5</v>
      </c>
      <c r="T1716" s="13"/>
      <c r="U1716" s="84">
        <f t="shared" ref="U1716:U1751" si="376">S1716+T1716</f>
        <v>8249.5</v>
      </c>
    </row>
    <row r="1717" spans="1:21">
      <c r="A1717" s="61" t="str">
        <f t="shared" ca="1" si="374"/>
        <v>Закупка товаров, работ и услуг для муниципальных нужд</v>
      </c>
      <c r="B1717" s="126">
        <v>812</v>
      </c>
      <c r="C1717" s="8" t="s">
        <v>211</v>
      </c>
      <c r="D1717" s="8" t="s">
        <v>215</v>
      </c>
      <c r="E1717" s="126" t="s">
        <v>302</v>
      </c>
      <c r="F1717" s="126">
        <v>200</v>
      </c>
      <c r="G1717" s="69"/>
      <c r="H1717" s="69"/>
      <c r="I1717" s="69"/>
      <c r="J1717" s="69">
        <f>J1718</f>
        <v>66.599999999999994</v>
      </c>
      <c r="K1717" s="84">
        <f t="shared" si="360"/>
        <v>66.599999999999994</v>
      </c>
      <c r="L1717" s="13">
        <f>L1718</f>
        <v>0</v>
      </c>
      <c r="M1717" s="84">
        <f t="shared" si="372"/>
        <v>66.599999999999994</v>
      </c>
      <c r="N1717" s="13">
        <f>N1718</f>
        <v>0</v>
      </c>
      <c r="O1717" s="84">
        <f t="shared" si="373"/>
        <v>66.599999999999994</v>
      </c>
      <c r="P1717" s="13">
        <f>P1718</f>
        <v>0</v>
      </c>
      <c r="Q1717" s="84">
        <f t="shared" si="361"/>
        <v>66.599999999999994</v>
      </c>
      <c r="R1717" s="13">
        <f>R1718</f>
        <v>0</v>
      </c>
      <c r="S1717" s="84">
        <f t="shared" si="375"/>
        <v>66.599999999999994</v>
      </c>
      <c r="T1717" s="13">
        <f>T1718</f>
        <v>0</v>
      </c>
      <c r="U1717" s="84">
        <f t="shared" si="376"/>
        <v>66.599999999999994</v>
      </c>
    </row>
    <row r="1718" spans="1:21" ht="33">
      <c r="A1718" s="61" t="str">
        <f t="shared" ca="1" si="374"/>
        <v>Иные закупки товаров, работ и услуг для обеспечения муниципальных нужд</v>
      </c>
      <c r="B1718" s="126">
        <v>812</v>
      </c>
      <c r="C1718" s="8" t="s">
        <v>211</v>
      </c>
      <c r="D1718" s="8" t="s">
        <v>215</v>
      </c>
      <c r="E1718" s="126" t="s">
        <v>302</v>
      </c>
      <c r="F1718" s="126">
        <v>240</v>
      </c>
      <c r="G1718" s="69"/>
      <c r="H1718" s="69"/>
      <c r="I1718" s="69"/>
      <c r="J1718" s="69">
        <f>J1719</f>
        <v>66.599999999999994</v>
      </c>
      <c r="K1718" s="84">
        <f t="shared" si="360"/>
        <v>66.599999999999994</v>
      </c>
      <c r="L1718" s="13">
        <f>L1719</f>
        <v>0</v>
      </c>
      <c r="M1718" s="84">
        <f t="shared" si="372"/>
        <v>66.599999999999994</v>
      </c>
      <c r="N1718" s="13">
        <f>N1719</f>
        <v>0</v>
      </c>
      <c r="O1718" s="84">
        <f t="shared" si="373"/>
        <v>66.599999999999994</v>
      </c>
      <c r="P1718" s="13">
        <f>P1719</f>
        <v>0</v>
      </c>
      <c r="Q1718" s="84">
        <f t="shared" si="361"/>
        <v>66.599999999999994</v>
      </c>
      <c r="R1718" s="13">
        <f>R1719</f>
        <v>0</v>
      </c>
      <c r="S1718" s="84">
        <f t="shared" si="375"/>
        <v>66.599999999999994</v>
      </c>
      <c r="T1718" s="13">
        <f>T1719</f>
        <v>0</v>
      </c>
      <c r="U1718" s="84">
        <f t="shared" si="376"/>
        <v>66.599999999999994</v>
      </c>
    </row>
    <row r="1719" spans="1:21" ht="33">
      <c r="A1719" s="61" t="str">
        <f t="shared" ca="1" si="374"/>
        <v xml:space="preserve">Прочая закупка товаров, работ и услуг для обеспечения муниципальных нужд         </v>
      </c>
      <c r="B1719" s="126">
        <v>812</v>
      </c>
      <c r="C1719" s="8" t="s">
        <v>211</v>
      </c>
      <c r="D1719" s="8" t="s">
        <v>215</v>
      </c>
      <c r="E1719" s="126" t="s">
        <v>302</v>
      </c>
      <c r="F1719" s="126">
        <v>244</v>
      </c>
      <c r="G1719" s="69"/>
      <c r="H1719" s="69"/>
      <c r="I1719" s="69"/>
      <c r="J1719" s="69">
        <v>66.599999999999994</v>
      </c>
      <c r="K1719" s="84">
        <f t="shared" si="360"/>
        <v>66.599999999999994</v>
      </c>
      <c r="L1719" s="13"/>
      <c r="M1719" s="84">
        <f t="shared" si="372"/>
        <v>66.599999999999994</v>
      </c>
      <c r="N1719" s="13"/>
      <c r="O1719" s="84">
        <f t="shared" si="373"/>
        <v>66.599999999999994</v>
      </c>
      <c r="P1719" s="13"/>
      <c r="Q1719" s="84">
        <f t="shared" si="361"/>
        <v>66.599999999999994</v>
      </c>
      <c r="R1719" s="13"/>
      <c r="S1719" s="84">
        <f t="shared" si="375"/>
        <v>66.599999999999994</v>
      </c>
      <c r="T1719" s="13"/>
      <c r="U1719" s="84">
        <f t="shared" si="376"/>
        <v>66.599999999999994</v>
      </c>
    </row>
    <row r="1720" spans="1:21">
      <c r="A1720" s="61" t="str">
        <f t="shared" ca="1" si="374"/>
        <v>Иные бюджетные ассигнования</v>
      </c>
      <c r="B1720" s="126">
        <v>812</v>
      </c>
      <c r="C1720" s="8" t="s">
        <v>211</v>
      </c>
      <c r="D1720" s="8" t="s">
        <v>215</v>
      </c>
      <c r="E1720" s="126" t="s">
        <v>302</v>
      </c>
      <c r="F1720" s="126">
        <v>800</v>
      </c>
      <c r="G1720" s="69"/>
      <c r="H1720" s="69"/>
      <c r="I1720" s="69"/>
      <c r="J1720" s="69">
        <f>J1721</f>
        <v>3</v>
      </c>
      <c r="K1720" s="84">
        <f t="shared" si="360"/>
        <v>3</v>
      </c>
      <c r="L1720" s="13">
        <f>L1721</f>
        <v>0</v>
      </c>
      <c r="M1720" s="84">
        <f t="shared" si="372"/>
        <v>3</v>
      </c>
      <c r="N1720" s="13">
        <f>N1721</f>
        <v>0</v>
      </c>
      <c r="O1720" s="84">
        <f t="shared" si="373"/>
        <v>3</v>
      </c>
      <c r="P1720" s="13">
        <f>P1721</f>
        <v>0</v>
      </c>
      <c r="Q1720" s="84">
        <f t="shared" si="361"/>
        <v>3</v>
      </c>
      <c r="R1720" s="13">
        <f>R1721</f>
        <v>0</v>
      </c>
      <c r="S1720" s="84">
        <f t="shared" si="375"/>
        <v>3</v>
      </c>
      <c r="T1720" s="13">
        <f>T1721</f>
        <v>0</v>
      </c>
      <c r="U1720" s="84">
        <f t="shared" si="376"/>
        <v>3</v>
      </c>
    </row>
    <row r="1721" spans="1:21">
      <c r="A1721" s="61" t="str">
        <f t="shared" ca="1" si="374"/>
        <v>Уплата налогов, сборов и иных платежей</v>
      </c>
      <c r="B1721" s="126">
        <v>812</v>
      </c>
      <c r="C1721" s="8" t="s">
        <v>211</v>
      </c>
      <c r="D1721" s="8" t="s">
        <v>215</v>
      </c>
      <c r="E1721" s="126" t="s">
        <v>302</v>
      </c>
      <c r="F1721" s="126">
        <v>850</v>
      </c>
      <c r="G1721" s="69"/>
      <c r="H1721" s="69"/>
      <c r="I1721" s="69"/>
      <c r="J1721" s="69">
        <f>J1722</f>
        <v>3</v>
      </c>
      <c r="K1721" s="84">
        <f t="shared" si="360"/>
        <v>3</v>
      </c>
      <c r="L1721" s="13">
        <f>L1722</f>
        <v>0</v>
      </c>
      <c r="M1721" s="84">
        <f t="shared" si="372"/>
        <v>3</v>
      </c>
      <c r="N1721" s="13">
        <f>N1722</f>
        <v>0</v>
      </c>
      <c r="O1721" s="84">
        <f t="shared" si="373"/>
        <v>3</v>
      </c>
      <c r="P1721" s="13">
        <f>P1722</f>
        <v>0</v>
      </c>
      <c r="Q1721" s="84">
        <f t="shared" si="361"/>
        <v>3</v>
      </c>
      <c r="R1721" s="13">
        <f>R1722</f>
        <v>0</v>
      </c>
      <c r="S1721" s="84">
        <f t="shared" si="375"/>
        <v>3</v>
      </c>
      <c r="T1721" s="13">
        <f>T1722</f>
        <v>0</v>
      </c>
      <c r="U1721" s="84">
        <f t="shared" si="376"/>
        <v>3</v>
      </c>
    </row>
    <row r="1722" spans="1:21">
      <c r="A1722" s="61" t="str">
        <f ca="1">IF(ISERROR(MATCH(F1722,Код_КВР,0)),"",INDIRECT(ADDRESS(MATCH(F1722,Код_КВР,0)+1,2,,,"КВР")))</f>
        <v>Уплата прочих налогов, сборов и иных платежей</v>
      </c>
      <c r="B1722" s="126">
        <v>812</v>
      </c>
      <c r="C1722" s="8" t="s">
        <v>211</v>
      </c>
      <c r="D1722" s="8" t="s">
        <v>215</v>
      </c>
      <c r="E1722" s="126" t="s">
        <v>302</v>
      </c>
      <c r="F1722" s="126">
        <v>852</v>
      </c>
      <c r="G1722" s="69"/>
      <c r="H1722" s="69"/>
      <c r="I1722" s="69"/>
      <c r="J1722" s="69">
        <v>3</v>
      </c>
      <c r="K1722" s="84">
        <f t="shared" si="360"/>
        <v>3</v>
      </c>
      <c r="L1722" s="13"/>
      <c r="M1722" s="84">
        <f t="shared" si="372"/>
        <v>3</v>
      </c>
      <c r="N1722" s="13"/>
      <c r="O1722" s="84">
        <f t="shared" si="373"/>
        <v>3</v>
      </c>
      <c r="P1722" s="13"/>
      <c r="Q1722" s="84">
        <f t="shared" si="361"/>
        <v>3</v>
      </c>
      <c r="R1722" s="13"/>
      <c r="S1722" s="84">
        <f t="shared" si="375"/>
        <v>3</v>
      </c>
      <c r="T1722" s="13"/>
      <c r="U1722" s="84">
        <f t="shared" si="376"/>
        <v>3</v>
      </c>
    </row>
    <row r="1723" spans="1:21" ht="33">
      <c r="A1723" s="61" t="str">
        <f ca="1">IF(ISERROR(MATCH(B1723,Код_ППП,0)),"",INDIRECT(ADDRESS(MATCH(B1723,Код_ППП,0)+1,2,,,"ППП")))</f>
        <v>КОМИТЕТ ПО КОНТРОЛЮ В СФЕРЕ БЛАГОУСТРОЙСТВА И ОХРАНЫ ОКРУЖАЮЩЕЙ СРЕДЫ ГОРОДА</v>
      </c>
      <c r="B1723" s="126">
        <v>840</v>
      </c>
      <c r="C1723" s="8"/>
      <c r="D1723" s="8"/>
      <c r="E1723" s="126"/>
      <c r="F1723" s="126"/>
      <c r="G1723" s="69">
        <f>G1724</f>
        <v>17671.599999999999</v>
      </c>
      <c r="H1723" s="69">
        <f>H1724</f>
        <v>0</v>
      </c>
      <c r="I1723" s="69">
        <f t="shared" si="366"/>
        <v>17671.599999999999</v>
      </c>
      <c r="J1723" s="69">
        <f>J1724</f>
        <v>0</v>
      </c>
      <c r="K1723" s="84">
        <f t="shared" ref="K1723:K1752" si="377">I1723+J1723</f>
        <v>17671.599999999999</v>
      </c>
      <c r="L1723" s="13">
        <f>L1724</f>
        <v>-0.6</v>
      </c>
      <c r="M1723" s="84">
        <f t="shared" si="372"/>
        <v>17671</v>
      </c>
      <c r="N1723" s="13">
        <f>N1724</f>
        <v>0</v>
      </c>
      <c r="O1723" s="84">
        <f t="shared" si="373"/>
        <v>17671</v>
      </c>
      <c r="P1723" s="13">
        <f>P1724</f>
        <v>0</v>
      </c>
      <c r="Q1723" s="84">
        <f t="shared" si="361"/>
        <v>17671</v>
      </c>
      <c r="R1723" s="13">
        <f>R1724</f>
        <v>0</v>
      </c>
      <c r="S1723" s="84">
        <f t="shared" si="375"/>
        <v>17671</v>
      </c>
      <c r="T1723" s="13">
        <f>T1724</f>
        <v>0</v>
      </c>
      <c r="U1723" s="84">
        <f t="shared" si="376"/>
        <v>17671</v>
      </c>
    </row>
    <row r="1724" spans="1:21">
      <c r="A1724" s="61" t="str">
        <f ca="1">IF(ISERROR(MATCH(C1724,Код_Раздел,0)),"",INDIRECT(ADDRESS(MATCH(C1724,Код_Раздел,0)+1,2,,,"Раздел")))</f>
        <v>Охрана окружающей среды</v>
      </c>
      <c r="B1724" s="126">
        <v>840</v>
      </c>
      <c r="C1724" s="8" t="s">
        <v>215</v>
      </c>
      <c r="D1724" s="8"/>
      <c r="E1724" s="126"/>
      <c r="F1724" s="126"/>
      <c r="G1724" s="69">
        <f>G1725+G1734</f>
        <v>17671.599999999999</v>
      </c>
      <c r="H1724" s="69">
        <f>H1725+H1734</f>
        <v>0</v>
      </c>
      <c r="I1724" s="69">
        <f t="shared" si="366"/>
        <v>17671.599999999999</v>
      </c>
      <c r="J1724" s="69">
        <f>J1725+J1734</f>
        <v>0</v>
      </c>
      <c r="K1724" s="84">
        <f t="shared" si="377"/>
        <v>17671.599999999999</v>
      </c>
      <c r="L1724" s="13">
        <f>L1725+L1734</f>
        <v>-0.6</v>
      </c>
      <c r="M1724" s="84">
        <f t="shared" si="372"/>
        <v>17671</v>
      </c>
      <c r="N1724" s="13">
        <f>N1725+N1734</f>
        <v>0</v>
      </c>
      <c r="O1724" s="84">
        <f t="shared" si="373"/>
        <v>17671</v>
      </c>
      <c r="P1724" s="13">
        <f>P1725+P1734</f>
        <v>0</v>
      </c>
      <c r="Q1724" s="84">
        <f t="shared" si="361"/>
        <v>17671</v>
      </c>
      <c r="R1724" s="13">
        <f>R1725+R1734</f>
        <v>0</v>
      </c>
      <c r="S1724" s="84">
        <f t="shared" si="375"/>
        <v>17671</v>
      </c>
      <c r="T1724" s="13">
        <f>T1725+T1734</f>
        <v>0</v>
      </c>
      <c r="U1724" s="84">
        <f t="shared" si="376"/>
        <v>17671</v>
      </c>
    </row>
    <row r="1725" spans="1:21">
      <c r="A1725" s="77" t="s">
        <v>158</v>
      </c>
      <c r="B1725" s="126">
        <v>840</v>
      </c>
      <c r="C1725" s="8" t="s">
        <v>215</v>
      </c>
      <c r="D1725" s="8" t="s">
        <v>213</v>
      </c>
      <c r="E1725" s="126"/>
      <c r="F1725" s="126"/>
      <c r="G1725" s="69">
        <f t="shared" ref="G1725:T1727" si="378">G1726</f>
        <v>1703.5</v>
      </c>
      <c r="H1725" s="69">
        <f t="shared" si="378"/>
        <v>0</v>
      </c>
      <c r="I1725" s="69">
        <f t="shared" si="366"/>
        <v>1703.5</v>
      </c>
      <c r="J1725" s="69">
        <f t="shared" si="378"/>
        <v>0</v>
      </c>
      <c r="K1725" s="84">
        <f t="shared" si="377"/>
        <v>1703.5</v>
      </c>
      <c r="L1725" s="13">
        <f t="shared" si="378"/>
        <v>0</v>
      </c>
      <c r="M1725" s="84">
        <f t="shared" si="372"/>
        <v>1703.5</v>
      </c>
      <c r="N1725" s="13">
        <f t="shared" si="378"/>
        <v>0</v>
      </c>
      <c r="O1725" s="84">
        <f t="shared" si="373"/>
        <v>1703.5</v>
      </c>
      <c r="P1725" s="13">
        <f t="shared" si="378"/>
        <v>0</v>
      </c>
      <c r="Q1725" s="84">
        <f t="shared" ref="Q1725:Q1752" si="379">O1725+P1725</f>
        <v>1703.5</v>
      </c>
      <c r="R1725" s="13">
        <f t="shared" si="378"/>
        <v>0</v>
      </c>
      <c r="S1725" s="84">
        <f t="shared" si="375"/>
        <v>1703.5</v>
      </c>
      <c r="T1725" s="13">
        <f t="shared" si="378"/>
        <v>0</v>
      </c>
      <c r="U1725" s="84">
        <f t="shared" si="376"/>
        <v>1703.5</v>
      </c>
    </row>
    <row r="1726" spans="1:21" ht="33">
      <c r="A1726" s="61" t="str">
        <f ca="1">IF(ISERROR(MATCH(E1726,Код_КЦСР,0)),"",INDIRECT(ADDRESS(MATCH(E1726,Код_КЦСР,0)+1,2,,,"КЦСР")))</f>
        <v>Непрограммные направления деятельности органов местного самоуправления</v>
      </c>
      <c r="B1726" s="126">
        <v>840</v>
      </c>
      <c r="C1726" s="8" t="s">
        <v>215</v>
      </c>
      <c r="D1726" s="8" t="s">
        <v>213</v>
      </c>
      <c r="E1726" s="126" t="s">
        <v>295</v>
      </c>
      <c r="F1726" s="126"/>
      <c r="G1726" s="69">
        <f t="shared" si="378"/>
        <v>1703.5</v>
      </c>
      <c r="H1726" s="69">
        <f t="shared" si="378"/>
        <v>0</v>
      </c>
      <c r="I1726" s="69">
        <f t="shared" si="366"/>
        <v>1703.5</v>
      </c>
      <c r="J1726" s="69">
        <f t="shared" si="378"/>
        <v>0</v>
      </c>
      <c r="K1726" s="84">
        <f t="shared" si="377"/>
        <v>1703.5</v>
      </c>
      <c r="L1726" s="13">
        <f t="shared" si="378"/>
        <v>0</v>
      </c>
      <c r="M1726" s="84">
        <f t="shared" si="372"/>
        <v>1703.5</v>
      </c>
      <c r="N1726" s="13">
        <f t="shared" si="378"/>
        <v>0</v>
      </c>
      <c r="O1726" s="84">
        <f t="shared" si="373"/>
        <v>1703.5</v>
      </c>
      <c r="P1726" s="13">
        <f t="shared" si="378"/>
        <v>0</v>
      </c>
      <c r="Q1726" s="84">
        <f t="shared" si="379"/>
        <v>1703.5</v>
      </c>
      <c r="R1726" s="13">
        <f t="shared" si="378"/>
        <v>0</v>
      </c>
      <c r="S1726" s="84">
        <f t="shared" si="375"/>
        <v>1703.5</v>
      </c>
      <c r="T1726" s="13">
        <f t="shared" si="378"/>
        <v>0</v>
      </c>
      <c r="U1726" s="84">
        <f t="shared" si="376"/>
        <v>1703.5</v>
      </c>
    </row>
    <row r="1727" spans="1:21">
      <c r="A1727" s="61" t="str">
        <f ca="1">IF(ISERROR(MATCH(E1727,Код_КЦСР,0)),"",INDIRECT(ADDRESS(MATCH(E1727,Код_КЦСР,0)+1,2,,,"КЦСР")))</f>
        <v>Расходы, не включенные в муниципальные программы города Череповца</v>
      </c>
      <c r="B1727" s="126">
        <v>840</v>
      </c>
      <c r="C1727" s="8" t="s">
        <v>215</v>
      </c>
      <c r="D1727" s="8" t="s">
        <v>213</v>
      </c>
      <c r="E1727" s="126" t="s">
        <v>297</v>
      </c>
      <c r="F1727" s="126"/>
      <c r="G1727" s="69">
        <f t="shared" si="378"/>
        <v>1703.5</v>
      </c>
      <c r="H1727" s="69">
        <f t="shared" si="378"/>
        <v>0</v>
      </c>
      <c r="I1727" s="69">
        <f t="shared" si="366"/>
        <v>1703.5</v>
      </c>
      <c r="J1727" s="69">
        <f t="shared" si="378"/>
        <v>0</v>
      </c>
      <c r="K1727" s="84">
        <f t="shared" si="377"/>
        <v>1703.5</v>
      </c>
      <c r="L1727" s="13">
        <f t="shared" si="378"/>
        <v>0</v>
      </c>
      <c r="M1727" s="84">
        <f t="shared" si="372"/>
        <v>1703.5</v>
      </c>
      <c r="N1727" s="13">
        <f t="shared" si="378"/>
        <v>0</v>
      </c>
      <c r="O1727" s="84">
        <f t="shared" si="373"/>
        <v>1703.5</v>
      </c>
      <c r="P1727" s="13">
        <f t="shared" si="378"/>
        <v>0</v>
      </c>
      <c r="Q1727" s="84">
        <f t="shared" si="379"/>
        <v>1703.5</v>
      </c>
      <c r="R1727" s="13">
        <f t="shared" si="378"/>
        <v>0</v>
      </c>
      <c r="S1727" s="84">
        <f t="shared" si="375"/>
        <v>1703.5</v>
      </c>
      <c r="T1727" s="13">
        <f t="shared" si="378"/>
        <v>0</v>
      </c>
      <c r="U1727" s="84">
        <f t="shared" si="376"/>
        <v>1703.5</v>
      </c>
    </row>
    <row r="1728" spans="1:21" ht="82.5">
      <c r="A1728" s="61" t="str">
        <f ca="1">IF(ISERROR(MATCH(E1728,Код_КЦСР,0)),"",INDIRECT(ADDRESS(MATCH(E1728,Код_КЦСР,0)+1,2,,,"КЦСР")))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728" s="126">
        <v>840</v>
      </c>
      <c r="C1728" s="8" t="s">
        <v>215</v>
      </c>
      <c r="D1728" s="8" t="s">
        <v>213</v>
      </c>
      <c r="E1728" s="126" t="s">
        <v>403</v>
      </c>
      <c r="F1728" s="126"/>
      <c r="G1728" s="69">
        <f>G1729+G1731</f>
        <v>1703.5</v>
      </c>
      <c r="H1728" s="69">
        <f>H1729+H1731</f>
        <v>0</v>
      </c>
      <c r="I1728" s="69">
        <f t="shared" si="366"/>
        <v>1703.5</v>
      </c>
      <c r="J1728" s="69">
        <f>J1729+J1731</f>
        <v>0</v>
      </c>
      <c r="K1728" s="84">
        <f t="shared" si="377"/>
        <v>1703.5</v>
      </c>
      <c r="L1728" s="13">
        <f>L1729+L1731</f>
        <v>0</v>
      </c>
      <c r="M1728" s="84">
        <f t="shared" si="372"/>
        <v>1703.5</v>
      </c>
      <c r="N1728" s="13">
        <f>N1729+N1731</f>
        <v>0</v>
      </c>
      <c r="O1728" s="84">
        <f t="shared" si="373"/>
        <v>1703.5</v>
      </c>
      <c r="P1728" s="13">
        <f>P1729+P1731</f>
        <v>0</v>
      </c>
      <c r="Q1728" s="84">
        <f t="shared" si="379"/>
        <v>1703.5</v>
      </c>
      <c r="R1728" s="13">
        <f>R1729+R1731</f>
        <v>0</v>
      </c>
      <c r="S1728" s="84">
        <f t="shared" si="375"/>
        <v>1703.5</v>
      </c>
      <c r="T1728" s="13">
        <f>T1729+T1731</f>
        <v>0</v>
      </c>
      <c r="U1728" s="84">
        <f t="shared" si="376"/>
        <v>1703.5</v>
      </c>
    </row>
    <row r="1729" spans="1:22" ht="33">
      <c r="A1729" s="61" t="str">
        <f ca="1">IF(ISERROR(MATCH(F1729,Код_КВР,0)),"",INDIRECT(ADDRESS(MATCH(F1729,Код_КВР,0)+1,2,,,"КВР")))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29" s="126">
        <v>840</v>
      </c>
      <c r="C1729" s="8" t="s">
        <v>215</v>
      </c>
      <c r="D1729" s="8" t="s">
        <v>213</v>
      </c>
      <c r="E1729" s="126" t="s">
        <v>403</v>
      </c>
      <c r="F1729" s="126">
        <v>100</v>
      </c>
      <c r="G1729" s="69">
        <f>G1730</f>
        <v>1653.5</v>
      </c>
      <c r="H1729" s="69">
        <f>H1730</f>
        <v>0</v>
      </c>
      <c r="I1729" s="69">
        <f t="shared" si="366"/>
        <v>1653.5</v>
      </c>
      <c r="J1729" s="69">
        <f>J1730</f>
        <v>0</v>
      </c>
      <c r="K1729" s="84">
        <f t="shared" si="377"/>
        <v>1653.5</v>
      </c>
      <c r="L1729" s="13">
        <f>L1730</f>
        <v>0</v>
      </c>
      <c r="M1729" s="84">
        <f t="shared" si="372"/>
        <v>1653.5</v>
      </c>
      <c r="N1729" s="13">
        <f>N1730</f>
        <v>0</v>
      </c>
      <c r="O1729" s="84">
        <f t="shared" si="373"/>
        <v>1653.5</v>
      </c>
      <c r="P1729" s="13">
        <f>P1730</f>
        <v>0</v>
      </c>
      <c r="Q1729" s="84">
        <f t="shared" si="379"/>
        <v>1653.5</v>
      </c>
      <c r="R1729" s="13">
        <f>R1730</f>
        <v>0</v>
      </c>
      <c r="S1729" s="84">
        <f t="shared" si="375"/>
        <v>1653.5</v>
      </c>
      <c r="T1729" s="13">
        <f>T1730</f>
        <v>50</v>
      </c>
      <c r="U1729" s="84">
        <f t="shared" si="376"/>
        <v>1703.5</v>
      </c>
    </row>
    <row r="1730" spans="1:22">
      <c r="A1730" s="61" t="str">
        <f ca="1">IF(ISERROR(MATCH(F1730,Код_КВР,0)),"",INDIRECT(ADDRESS(MATCH(F1730,Код_КВР,0)+1,2,,,"КВР")))</f>
        <v>Расходы на выплаты персоналу муниципальных органов</v>
      </c>
      <c r="B1730" s="126">
        <v>840</v>
      </c>
      <c r="C1730" s="8" t="s">
        <v>215</v>
      </c>
      <c r="D1730" s="8" t="s">
        <v>213</v>
      </c>
      <c r="E1730" s="126" t="s">
        <v>403</v>
      </c>
      <c r="F1730" s="126">
        <v>120</v>
      </c>
      <c r="G1730" s="69">
        <v>1653.5</v>
      </c>
      <c r="H1730" s="69"/>
      <c r="I1730" s="69">
        <f t="shared" si="366"/>
        <v>1653.5</v>
      </c>
      <c r="J1730" s="69"/>
      <c r="K1730" s="84">
        <f t="shared" si="377"/>
        <v>1653.5</v>
      </c>
      <c r="L1730" s="13"/>
      <c r="M1730" s="84">
        <f t="shared" si="372"/>
        <v>1653.5</v>
      </c>
      <c r="N1730" s="13"/>
      <c r="O1730" s="84">
        <f t="shared" si="373"/>
        <v>1653.5</v>
      </c>
      <c r="P1730" s="13"/>
      <c r="Q1730" s="84">
        <f t="shared" si="379"/>
        <v>1653.5</v>
      </c>
      <c r="R1730" s="13"/>
      <c r="S1730" s="84">
        <f t="shared" si="375"/>
        <v>1653.5</v>
      </c>
      <c r="T1730" s="13">
        <v>50</v>
      </c>
      <c r="U1730" s="84">
        <f t="shared" si="376"/>
        <v>1703.5</v>
      </c>
    </row>
    <row r="1731" spans="1:22" hidden="1">
      <c r="A1731" s="61" t="str">
        <f ca="1">IF(ISERROR(MATCH(F1731,Код_КВР,0)),"",INDIRECT(ADDRESS(MATCH(F1731,Код_КВР,0)+1,2,,,"КВР")))</f>
        <v>Закупка товаров, работ и услуг для муниципальных нужд</v>
      </c>
      <c r="B1731" s="126">
        <v>840</v>
      </c>
      <c r="C1731" s="8" t="s">
        <v>215</v>
      </c>
      <c r="D1731" s="8" t="s">
        <v>213</v>
      </c>
      <c r="E1731" s="126" t="s">
        <v>403</v>
      </c>
      <c r="F1731" s="126">
        <v>200</v>
      </c>
      <c r="G1731" s="69">
        <f>G1732</f>
        <v>50</v>
      </c>
      <c r="H1731" s="69">
        <f>H1732</f>
        <v>0</v>
      </c>
      <c r="I1731" s="69">
        <f t="shared" si="366"/>
        <v>50</v>
      </c>
      <c r="J1731" s="69">
        <f>J1732</f>
        <v>0</v>
      </c>
      <c r="K1731" s="84">
        <f t="shared" si="377"/>
        <v>50</v>
      </c>
      <c r="L1731" s="13">
        <f>L1732</f>
        <v>0</v>
      </c>
      <c r="M1731" s="84">
        <f t="shared" si="372"/>
        <v>50</v>
      </c>
      <c r="N1731" s="13">
        <f>N1732</f>
        <v>0</v>
      </c>
      <c r="O1731" s="84">
        <f t="shared" si="373"/>
        <v>50</v>
      </c>
      <c r="P1731" s="13">
        <f>P1732</f>
        <v>0</v>
      </c>
      <c r="Q1731" s="84">
        <f t="shared" si="379"/>
        <v>50</v>
      </c>
      <c r="R1731" s="13">
        <f>R1732</f>
        <v>0</v>
      </c>
      <c r="S1731" s="84">
        <f t="shared" si="375"/>
        <v>50</v>
      </c>
      <c r="T1731" s="13">
        <f>T1732</f>
        <v>-50</v>
      </c>
      <c r="U1731" s="84">
        <f t="shared" si="376"/>
        <v>0</v>
      </c>
      <c r="V1731" s="142" t="s">
        <v>706</v>
      </c>
    </row>
    <row r="1732" spans="1:22" ht="33" hidden="1">
      <c r="A1732" s="61" t="str">
        <f ca="1">IF(ISERROR(MATCH(F1732,Код_КВР,0)),"",INDIRECT(ADDRESS(MATCH(F1732,Код_КВР,0)+1,2,,,"КВР")))</f>
        <v>Иные закупки товаров, работ и услуг для обеспечения муниципальных нужд</v>
      </c>
      <c r="B1732" s="126">
        <v>840</v>
      </c>
      <c r="C1732" s="8" t="s">
        <v>215</v>
      </c>
      <c r="D1732" s="8" t="s">
        <v>213</v>
      </c>
      <c r="E1732" s="126" t="s">
        <v>403</v>
      </c>
      <c r="F1732" s="126">
        <v>240</v>
      </c>
      <c r="G1732" s="69">
        <f>G1733</f>
        <v>50</v>
      </c>
      <c r="H1732" s="69">
        <f>H1733</f>
        <v>0</v>
      </c>
      <c r="I1732" s="69">
        <f t="shared" si="366"/>
        <v>50</v>
      </c>
      <c r="J1732" s="69">
        <f>J1733</f>
        <v>0</v>
      </c>
      <c r="K1732" s="84">
        <f t="shared" si="377"/>
        <v>50</v>
      </c>
      <c r="L1732" s="13">
        <f>L1733</f>
        <v>0</v>
      </c>
      <c r="M1732" s="84">
        <f t="shared" si="372"/>
        <v>50</v>
      </c>
      <c r="N1732" s="13">
        <f>N1733</f>
        <v>0</v>
      </c>
      <c r="O1732" s="84">
        <f t="shared" si="373"/>
        <v>50</v>
      </c>
      <c r="P1732" s="13">
        <f>P1733</f>
        <v>0</v>
      </c>
      <c r="Q1732" s="84">
        <f t="shared" si="379"/>
        <v>50</v>
      </c>
      <c r="R1732" s="13">
        <f>R1733</f>
        <v>0</v>
      </c>
      <c r="S1732" s="84">
        <f t="shared" si="375"/>
        <v>50</v>
      </c>
      <c r="T1732" s="13">
        <f>T1733</f>
        <v>-50</v>
      </c>
      <c r="U1732" s="84">
        <f t="shared" si="376"/>
        <v>0</v>
      </c>
      <c r="V1732" s="142" t="s">
        <v>706</v>
      </c>
    </row>
    <row r="1733" spans="1:22" ht="33" hidden="1">
      <c r="A1733" s="61" t="str">
        <f ca="1">IF(ISERROR(MATCH(F1733,Код_КВР,0)),"",INDIRECT(ADDRESS(MATCH(F1733,Код_КВР,0)+1,2,,,"КВР")))</f>
        <v xml:space="preserve">Прочая закупка товаров, работ и услуг для обеспечения муниципальных нужд         </v>
      </c>
      <c r="B1733" s="126">
        <v>840</v>
      </c>
      <c r="C1733" s="8" t="s">
        <v>215</v>
      </c>
      <c r="D1733" s="8" t="s">
        <v>213</v>
      </c>
      <c r="E1733" s="126" t="s">
        <v>403</v>
      </c>
      <c r="F1733" s="126">
        <v>244</v>
      </c>
      <c r="G1733" s="69">
        <v>50</v>
      </c>
      <c r="H1733" s="69"/>
      <c r="I1733" s="69">
        <f t="shared" si="366"/>
        <v>50</v>
      </c>
      <c r="J1733" s="69"/>
      <c r="K1733" s="84">
        <f t="shared" si="377"/>
        <v>50</v>
      </c>
      <c r="L1733" s="13"/>
      <c r="M1733" s="84">
        <f t="shared" si="372"/>
        <v>50</v>
      </c>
      <c r="N1733" s="13"/>
      <c r="O1733" s="84">
        <f t="shared" si="373"/>
        <v>50</v>
      </c>
      <c r="P1733" s="13"/>
      <c r="Q1733" s="84">
        <f t="shared" si="379"/>
        <v>50</v>
      </c>
      <c r="R1733" s="13"/>
      <c r="S1733" s="84">
        <f t="shared" si="375"/>
        <v>50</v>
      </c>
      <c r="T1733" s="13">
        <v>-50</v>
      </c>
      <c r="U1733" s="84">
        <f t="shared" si="376"/>
        <v>0</v>
      </c>
      <c r="V1733" s="142" t="s">
        <v>706</v>
      </c>
    </row>
    <row r="1734" spans="1:22">
      <c r="A1734" s="12" t="s">
        <v>253</v>
      </c>
      <c r="B1734" s="126">
        <v>840</v>
      </c>
      <c r="C1734" s="8" t="s">
        <v>215</v>
      </c>
      <c r="D1734" s="8" t="s">
        <v>219</v>
      </c>
      <c r="E1734" s="126"/>
      <c r="F1734" s="126"/>
      <c r="G1734" s="69">
        <f>G1735+G1740</f>
        <v>15968.1</v>
      </c>
      <c r="H1734" s="69">
        <f>H1735+H1740</f>
        <v>0</v>
      </c>
      <c r="I1734" s="69">
        <f t="shared" si="366"/>
        <v>15968.1</v>
      </c>
      <c r="J1734" s="69">
        <f>J1735+J1740</f>
        <v>0</v>
      </c>
      <c r="K1734" s="84">
        <f t="shared" si="377"/>
        <v>15968.1</v>
      </c>
      <c r="L1734" s="13">
        <f>L1735+L1740</f>
        <v>-0.6</v>
      </c>
      <c r="M1734" s="84">
        <f t="shared" si="372"/>
        <v>15967.5</v>
      </c>
      <c r="N1734" s="13">
        <f>N1735+N1740</f>
        <v>0</v>
      </c>
      <c r="O1734" s="84">
        <f t="shared" si="373"/>
        <v>15967.5</v>
      </c>
      <c r="P1734" s="13">
        <f>P1735+P1740</f>
        <v>0</v>
      </c>
      <c r="Q1734" s="84">
        <f t="shared" si="379"/>
        <v>15967.5</v>
      </c>
      <c r="R1734" s="13">
        <f>R1735+R1740</f>
        <v>0</v>
      </c>
      <c r="S1734" s="84">
        <f t="shared" si="375"/>
        <v>15967.5</v>
      </c>
      <c r="T1734" s="13">
        <f>T1735+T1740</f>
        <v>0</v>
      </c>
      <c r="U1734" s="84">
        <f t="shared" si="376"/>
        <v>15967.5</v>
      </c>
    </row>
    <row r="1735" spans="1:22" ht="33">
      <c r="A1735" s="61" t="str">
        <f ca="1">IF(ISERROR(MATCH(E1735,Код_КЦСР,0)),"",INDIRECT(ADDRESS(MATCH(E1735,Код_КЦСР,0)+1,2,,,"КЦСР")))</f>
        <v>Муниципальная программа «Охрана окружающей среды» на 2013-2022 годы</v>
      </c>
      <c r="B1735" s="126">
        <v>840</v>
      </c>
      <c r="C1735" s="8" t="s">
        <v>215</v>
      </c>
      <c r="D1735" s="8" t="s">
        <v>219</v>
      </c>
      <c r="E1735" s="126" t="s">
        <v>535</v>
      </c>
      <c r="F1735" s="126"/>
      <c r="G1735" s="69">
        <f t="shared" ref="G1735:T1738" si="380">G1736</f>
        <v>4795</v>
      </c>
      <c r="H1735" s="69">
        <f t="shared" si="380"/>
        <v>0</v>
      </c>
      <c r="I1735" s="69">
        <f t="shared" si="366"/>
        <v>4795</v>
      </c>
      <c r="J1735" s="69">
        <f t="shared" si="380"/>
        <v>0</v>
      </c>
      <c r="K1735" s="84">
        <f t="shared" si="377"/>
        <v>4795</v>
      </c>
      <c r="L1735" s="13">
        <f t="shared" si="380"/>
        <v>-0.6</v>
      </c>
      <c r="M1735" s="84">
        <f t="shared" si="372"/>
        <v>4794.3999999999996</v>
      </c>
      <c r="N1735" s="13">
        <f t="shared" si="380"/>
        <v>0</v>
      </c>
      <c r="O1735" s="84">
        <f t="shared" si="373"/>
        <v>4794.3999999999996</v>
      </c>
      <c r="P1735" s="13">
        <f t="shared" si="380"/>
        <v>0</v>
      </c>
      <c r="Q1735" s="84">
        <f t="shared" si="379"/>
        <v>4794.3999999999996</v>
      </c>
      <c r="R1735" s="13">
        <f t="shared" si="380"/>
        <v>0</v>
      </c>
      <c r="S1735" s="84">
        <f t="shared" si="375"/>
        <v>4794.3999999999996</v>
      </c>
      <c r="T1735" s="13">
        <f t="shared" si="380"/>
        <v>0</v>
      </c>
      <c r="U1735" s="84">
        <f t="shared" si="376"/>
        <v>4794.3999999999996</v>
      </c>
    </row>
    <row r="1736" spans="1:22" ht="33">
      <c r="A1736" s="61" t="str">
        <f ca="1">IF(ISERROR(MATCH(E1736,Код_КЦСР,0)),"",INDIRECT(ADDRESS(MATCH(E1736,Код_КЦСР,0)+1,2,,,"КЦСР")))</f>
        <v>Сбор и анализ информации о факторах окружающей среды и оценка их влияния на здоровье населения</v>
      </c>
      <c r="B1736" s="126">
        <v>840</v>
      </c>
      <c r="C1736" s="8" t="s">
        <v>215</v>
      </c>
      <c r="D1736" s="8" t="s">
        <v>219</v>
      </c>
      <c r="E1736" s="126" t="s">
        <v>537</v>
      </c>
      <c r="F1736" s="126"/>
      <c r="G1736" s="69">
        <f t="shared" si="380"/>
        <v>4795</v>
      </c>
      <c r="H1736" s="69">
        <f t="shared" si="380"/>
        <v>0</v>
      </c>
      <c r="I1736" s="69">
        <f t="shared" si="366"/>
        <v>4795</v>
      </c>
      <c r="J1736" s="69">
        <f t="shared" si="380"/>
        <v>0</v>
      </c>
      <c r="K1736" s="84">
        <f t="shared" si="377"/>
        <v>4795</v>
      </c>
      <c r="L1736" s="13">
        <f t="shared" si="380"/>
        <v>-0.6</v>
      </c>
      <c r="M1736" s="84">
        <f t="shared" si="372"/>
        <v>4794.3999999999996</v>
      </c>
      <c r="N1736" s="13">
        <f t="shared" si="380"/>
        <v>0</v>
      </c>
      <c r="O1736" s="84">
        <f t="shared" si="373"/>
        <v>4794.3999999999996</v>
      </c>
      <c r="P1736" s="13">
        <f t="shared" si="380"/>
        <v>0</v>
      </c>
      <c r="Q1736" s="84">
        <f t="shared" si="379"/>
        <v>4794.3999999999996</v>
      </c>
      <c r="R1736" s="13">
        <f t="shared" si="380"/>
        <v>0</v>
      </c>
      <c r="S1736" s="84">
        <f t="shared" si="375"/>
        <v>4794.3999999999996</v>
      </c>
      <c r="T1736" s="13">
        <f t="shared" si="380"/>
        <v>0</v>
      </c>
      <c r="U1736" s="84">
        <f t="shared" si="376"/>
        <v>4794.3999999999996</v>
      </c>
    </row>
    <row r="1737" spans="1:22">
      <c r="A1737" s="61" t="str">
        <f ca="1">IF(ISERROR(MATCH(F1737,Код_КВР,0)),"",INDIRECT(ADDRESS(MATCH(F1737,Код_КВР,0)+1,2,,,"КВР")))</f>
        <v>Закупка товаров, работ и услуг для муниципальных нужд</v>
      </c>
      <c r="B1737" s="126">
        <v>840</v>
      </c>
      <c r="C1737" s="8" t="s">
        <v>215</v>
      </c>
      <c r="D1737" s="8" t="s">
        <v>219</v>
      </c>
      <c r="E1737" s="126" t="s">
        <v>537</v>
      </c>
      <c r="F1737" s="126">
        <v>200</v>
      </c>
      <c r="G1737" s="69">
        <f t="shared" si="380"/>
        <v>4795</v>
      </c>
      <c r="H1737" s="69">
        <f t="shared" si="380"/>
        <v>0</v>
      </c>
      <c r="I1737" s="69">
        <f t="shared" si="366"/>
        <v>4795</v>
      </c>
      <c r="J1737" s="69">
        <f t="shared" si="380"/>
        <v>0</v>
      </c>
      <c r="K1737" s="84">
        <f t="shared" si="377"/>
        <v>4795</v>
      </c>
      <c r="L1737" s="13">
        <f t="shared" si="380"/>
        <v>-0.6</v>
      </c>
      <c r="M1737" s="84">
        <f t="shared" si="372"/>
        <v>4794.3999999999996</v>
      </c>
      <c r="N1737" s="13">
        <f t="shared" si="380"/>
        <v>0</v>
      </c>
      <c r="O1737" s="84">
        <f t="shared" si="373"/>
        <v>4794.3999999999996</v>
      </c>
      <c r="P1737" s="13">
        <f t="shared" si="380"/>
        <v>0</v>
      </c>
      <c r="Q1737" s="84">
        <f t="shared" si="379"/>
        <v>4794.3999999999996</v>
      </c>
      <c r="R1737" s="13">
        <f t="shared" si="380"/>
        <v>0</v>
      </c>
      <c r="S1737" s="84">
        <f t="shared" si="375"/>
        <v>4794.3999999999996</v>
      </c>
      <c r="T1737" s="13">
        <f t="shared" si="380"/>
        <v>0</v>
      </c>
      <c r="U1737" s="84">
        <f t="shared" si="376"/>
        <v>4794.3999999999996</v>
      </c>
    </row>
    <row r="1738" spans="1:22" ht="33">
      <c r="A1738" s="61" t="str">
        <f ca="1">IF(ISERROR(MATCH(F1738,Код_КВР,0)),"",INDIRECT(ADDRESS(MATCH(F1738,Код_КВР,0)+1,2,,,"КВР")))</f>
        <v>Иные закупки товаров, работ и услуг для обеспечения муниципальных нужд</v>
      </c>
      <c r="B1738" s="126">
        <v>840</v>
      </c>
      <c r="C1738" s="8" t="s">
        <v>215</v>
      </c>
      <c r="D1738" s="8" t="s">
        <v>219</v>
      </c>
      <c r="E1738" s="126" t="s">
        <v>537</v>
      </c>
      <c r="F1738" s="126">
        <v>240</v>
      </c>
      <c r="G1738" s="69">
        <f t="shared" si="380"/>
        <v>4795</v>
      </c>
      <c r="H1738" s="69">
        <f t="shared" si="380"/>
        <v>0</v>
      </c>
      <c r="I1738" s="69">
        <f t="shared" si="366"/>
        <v>4795</v>
      </c>
      <c r="J1738" s="69">
        <f t="shared" si="380"/>
        <v>0</v>
      </c>
      <c r="K1738" s="84">
        <f t="shared" si="377"/>
        <v>4795</v>
      </c>
      <c r="L1738" s="13">
        <f t="shared" si="380"/>
        <v>-0.6</v>
      </c>
      <c r="M1738" s="84">
        <f t="shared" si="372"/>
        <v>4794.3999999999996</v>
      </c>
      <c r="N1738" s="13">
        <f t="shared" si="380"/>
        <v>0</v>
      </c>
      <c r="O1738" s="84">
        <f t="shared" si="373"/>
        <v>4794.3999999999996</v>
      </c>
      <c r="P1738" s="13">
        <f t="shared" si="380"/>
        <v>0</v>
      </c>
      <c r="Q1738" s="84">
        <f t="shared" si="379"/>
        <v>4794.3999999999996</v>
      </c>
      <c r="R1738" s="13">
        <f t="shared" si="380"/>
        <v>0</v>
      </c>
      <c r="S1738" s="84">
        <f t="shared" si="375"/>
        <v>4794.3999999999996</v>
      </c>
      <c r="T1738" s="13">
        <f t="shared" si="380"/>
        <v>0</v>
      </c>
      <c r="U1738" s="84">
        <f t="shared" si="376"/>
        <v>4794.3999999999996</v>
      </c>
    </row>
    <row r="1739" spans="1:22" ht="33">
      <c r="A1739" s="61" t="str">
        <f ca="1">IF(ISERROR(MATCH(F1739,Код_КВР,0)),"",INDIRECT(ADDRESS(MATCH(F1739,Код_КВР,0)+1,2,,,"КВР")))</f>
        <v xml:space="preserve">Прочая закупка товаров, работ и услуг для обеспечения муниципальных нужд         </v>
      </c>
      <c r="B1739" s="126">
        <v>840</v>
      </c>
      <c r="C1739" s="8" t="s">
        <v>215</v>
      </c>
      <c r="D1739" s="8" t="s">
        <v>219</v>
      </c>
      <c r="E1739" s="126" t="s">
        <v>537</v>
      </c>
      <c r="F1739" s="126">
        <v>244</v>
      </c>
      <c r="G1739" s="69">
        <v>4795</v>
      </c>
      <c r="H1739" s="69"/>
      <c r="I1739" s="69">
        <f t="shared" si="366"/>
        <v>4795</v>
      </c>
      <c r="J1739" s="69"/>
      <c r="K1739" s="84">
        <f t="shared" si="377"/>
        <v>4795</v>
      </c>
      <c r="L1739" s="13">
        <v>-0.6</v>
      </c>
      <c r="M1739" s="84">
        <f t="shared" si="372"/>
        <v>4794.3999999999996</v>
      </c>
      <c r="N1739" s="13"/>
      <c r="O1739" s="84">
        <f t="shared" si="373"/>
        <v>4794.3999999999996</v>
      </c>
      <c r="P1739" s="13"/>
      <c r="Q1739" s="84">
        <f t="shared" si="379"/>
        <v>4794.3999999999996</v>
      </c>
      <c r="R1739" s="13"/>
      <c r="S1739" s="84">
        <f t="shared" si="375"/>
        <v>4794.3999999999996</v>
      </c>
      <c r="T1739" s="13"/>
      <c r="U1739" s="84">
        <f t="shared" si="376"/>
        <v>4794.3999999999996</v>
      </c>
    </row>
    <row r="1740" spans="1:22" ht="33">
      <c r="A1740" s="61" t="str">
        <f ca="1">IF(ISERROR(MATCH(E1740,Код_КЦСР,0)),"",INDIRECT(ADDRESS(MATCH(E1740,Код_КЦСР,0)+1,2,,,"КЦСР")))</f>
        <v>Непрограммные направления деятельности органов местного самоуправления</v>
      </c>
      <c r="B1740" s="126">
        <v>840</v>
      </c>
      <c r="C1740" s="8" t="s">
        <v>215</v>
      </c>
      <c r="D1740" s="8" t="s">
        <v>219</v>
      </c>
      <c r="E1740" s="126" t="s">
        <v>295</v>
      </c>
      <c r="F1740" s="126"/>
      <c r="G1740" s="69">
        <f t="shared" ref="G1740:T1742" si="381">G1741</f>
        <v>11173.1</v>
      </c>
      <c r="H1740" s="69">
        <f t="shared" si="381"/>
        <v>0</v>
      </c>
      <c r="I1740" s="69">
        <f t="shared" si="366"/>
        <v>11173.1</v>
      </c>
      <c r="J1740" s="69">
        <f t="shared" si="381"/>
        <v>0</v>
      </c>
      <c r="K1740" s="84">
        <f t="shared" si="377"/>
        <v>11173.1</v>
      </c>
      <c r="L1740" s="13">
        <f t="shared" si="381"/>
        <v>0</v>
      </c>
      <c r="M1740" s="84">
        <f t="shared" si="372"/>
        <v>11173.1</v>
      </c>
      <c r="N1740" s="13">
        <f t="shared" si="381"/>
        <v>0</v>
      </c>
      <c r="O1740" s="84">
        <f t="shared" si="373"/>
        <v>11173.1</v>
      </c>
      <c r="P1740" s="13">
        <f t="shared" si="381"/>
        <v>0</v>
      </c>
      <c r="Q1740" s="84">
        <f t="shared" si="379"/>
        <v>11173.1</v>
      </c>
      <c r="R1740" s="13">
        <f t="shared" si="381"/>
        <v>0</v>
      </c>
      <c r="S1740" s="84">
        <f t="shared" si="375"/>
        <v>11173.1</v>
      </c>
      <c r="T1740" s="13">
        <f>T1741</f>
        <v>0</v>
      </c>
      <c r="U1740" s="84">
        <f t="shared" si="376"/>
        <v>11173.1</v>
      </c>
    </row>
    <row r="1741" spans="1:22">
      <c r="A1741" s="61" t="str">
        <f ca="1">IF(ISERROR(MATCH(E1741,Код_КЦСР,0)),"",INDIRECT(ADDRESS(MATCH(E1741,Код_КЦСР,0)+1,2,,,"КЦСР")))</f>
        <v>Расходы, не включенные в муниципальные программы города Череповца</v>
      </c>
      <c r="B1741" s="126">
        <v>840</v>
      </c>
      <c r="C1741" s="8" t="s">
        <v>215</v>
      </c>
      <c r="D1741" s="8" t="s">
        <v>219</v>
      </c>
      <c r="E1741" s="126" t="s">
        <v>297</v>
      </c>
      <c r="F1741" s="126"/>
      <c r="G1741" s="69">
        <f t="shared" si="381"/>
        <v>11173.1</v>
      </c>
      <c r="H1741" s="69">
        <f t="shared" si="381"/>
        <v>0</v>
      </c>
      <c r="I1741" s="69">
        <f t="shared" si="366"/>
        <v>11173.1</v>
      </c>
      <c r="J1741" s="69">
        <f t="shared" si="381"/>
        <v>0</v>
      </c>
      <c r="K1741" s="84">
        <f t="shared" si="377"/>
        <v>11173.1</v>
      </c>
      <c r="L1741" s="13">
        <f t="shared" si="381"/>
        <v>0</v>
      </c>
      <c r="M1741" s="84">
        <f t="shared" si="372"/>
        <v>11173.1</v>
      </c>
      <c r="N1741" s="13">
        <f t="shared" si="381"/>
        <v>0</v>
      </c>
      <c r="O1741" s="84">
        <f t="shared" si="373"/>
        <v>11173.1</v>
      </c>
      <c r="P1741" s="13">
        <f t="shared" si="381"/>
        <v>0</v>
      </c>
      <c r="Q1741" s="84">
        <f t="shared" si="379"/>
        <v>11173.1</v>
      </c>
      <c r="R1741" s="13">
        <f t="shared" si="381"/>
        <v>0</v>
      </c>
      <c r="S1741" s="84">
        <f t="shared" si="375"/>
        <v>11173.1</v>
      </c>
      <c r="T1741" s="13">
        <f t="shared" si="381"/>
        <v>0</v>
      </c>
      <c r="U1741" s="84">
        <f t="shared" si="376"/>
        <v>11173.1</v>
      </c>
    </row>
    <row r="1742" spans="1:22" ht="33">
      <c r="A1742" s="61" t="str">
        <f ca="1">IF(ISERROR(MATCH(E1742,Код_КЦСР,0)),"",INDIRECT(ADDRESS(MATCH(E1742,Код_КЦСР,0)+1,2,,,"КЦСР")))</f>
        <v>Руководство и управление в сфере установленных функций органов местного самоуправления</v>
      </c>
      <c r="B1742" s="126">
        <v>840</v>
      </c>
      <c r="C1742" s="8" t="s">
        <v>215</v>
      </c>
      <c r="D1742" s="8" t="s">
        <v>219</v>
      </c>
      <c r="E1742" s="126" t="s">
        <v>299</v>
      </c>
      <c r="F1742" s="126"/>
      <c r="G1742" s="69">
        <f t="shared" si="381"/>
        <v>11173.1</v>
      </c>
      <c r="H1742" s="69">
        <f t="shared" si="381"/>
        <v>0</v>
      </c>
      <c r="I1742" s="69">
        <f t="shared" si="366"/>
        <v>11173.1</v>
      </c>
      <c r="J1742" s="69">
        <f t="shared" si="381"/>
        <v>0</v>
      </c>
      <c r="K1742" s="84">
        <f t="shared" si="377"/>
        <v>11173.1</v>
      </c>
      <c r="L1742" s="13">
        <f t="shared" si="381"/>
        <v>0</v>
      </c>
      <c r="M1742" s="84">
        <f t="shared" si="372"/>
        <v>11173.1</v>
      </c>
      <c r="N1742" s="13">
        <f t="shared" si="381"/>
        <v>0</v>
      </c>
      <c r="O1742" s="84">
        <f t="shared" si="373"/>
        <v>11173.1</v>
      </c>
      <c r="P1742" s="13">
        <f t="shared" si="381"/>
        <v>0</v>
      </c>
      <c r="Q1742" s="84">
        <f t="shared" si="379"/>
        <v>11173.1</v>
      </c>
      <c r="R1742" s="13">
        <f t="shared" si="381"/>
        <v>0</v>
      </c>
      <c r="S1742" s="84">
        <f t="shared" si="375"/>
        <v>11173.1</v>
      </c>
      <c r="T1742" s="13">
        <f t="shared" si="381"/>
        <v>0</v>
      </c>
      <c r="U1742" s="84">
        <f t="shared" si="376"/>
        <v>11173.1</v>
      </c>
    </row>
    <row r="1743" spans="1:22">
      <c r="A1743" s="61" t="str">
        <f ca="1">IF(ISERROR(MATCH(E1743,Код_КЦСР,0)),"",INDIRECT(ADDRESS(MATCH(E1743,Код_КЦСР,0)+1,2,,,"КЦСР")))</f>
        <v>Центральный аппарат</v>
      </c>
      <c r="B1743" s="126">
        <v>840</v>
      </c>
      <c r="C1743" s="8" t="s">
        <v>215</v>
      </c>
      <c r="D1743" s="8" t="s">
        <v>219</v>
      </c>
      <c r="E1743" s="126" t="s">
        <v>302</v>
      </c>
      <c r="F1743" s="126"/>
      <c r="G1743" s="69">
        <f>G1744+G1746+G1749</f>
        <v>11173.1</v>
      </c>
      <c r="H1743" s="69">
        <f>H1744+H1746+H1749</f>
        <v>0</v>
      </c>
      <c r="I1743" s="69">
        <f t="shared" si="366"/>
        <v>11173.1</v>
      </c>
      <c r="J1743" s="69">
        <f>J1744+J1746+J1749</f>
        <v>0</v>
      </c>
      <c r="K1743" s="84">
        <f t="shared" si="377"/>
        <v>11173.1</v>
      </c>
      <c r="L1743" s="13">
        <f>L1744+L1746+L1749</f>
        <v>0</v>
      </c>
      <c r="M1743" s="84">
        <f t="shared" si="372"/>
        <v>11173.1</v>
      </c>
      <c r="N1743" s="13">
        <f>N1744+N1746+N1749</f>
        <v>0</v>
      </c>
      <c r="O1743" s="84">
        <f t="shared" si="373"/>
        <v>11173.1</v>
      </c>
      <c r="P1743" s="13">
        <f>P1744+P1746+P1749</f>
        <v>0</v>
      </c>
      <c r="Q1743" s="84">
        <f t="shared" si="379"/>
        <v>11173.1</v>
      </c>
      <c r="R1743" s="13">
        <f>R1744+R1746+R1749</f>
        <v>0</v>
      </c>
      <c r="S1743" s="84">
        <f t="shared" si="375"/>
        <v>11173.1</v>
      </c>
      <c r="T1743" s="13">
        <f>T1744+T1746+T1749</f>
        <v>0</v>
      </c>
      <c r="U1743" s="84">
        <f t="shared" si="376"/>
        <v>11173.1</v>
      </c>
    </row>
    <row r="1744" spans="1:22" ht="33">
      <c r="A1744" s="61" t="str">
        <f t="shared" ref="A1744:A1750" ca="1" si="382">IF(ISERROR(MATCH(F1744,Код_КВР,0)),"",INDIRECT(ADDRESS(MATCH(F1744,Код_КВР,0)+1,2,,,"КВР")))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44" s="126">
        <v>840</v>
      </c>
      <c r="C1744" s="8" t="s">
        <v>215</v>
      </c>
      <c r="D1744" s="8" t="s">
        <v>219</v>
      </c>
      <c r="E1744" s="126" t="s">
        <v>302</v>
      </c>
      <c r="F1744" s="126">
        <v>100</v>
      </c>
      <c r="G1744" s="69">
        <f>G1745</f>
        <v>11155.7</v>
      </c>
      <c r="H1744" s="69">
        <f>H1745</f>
        <v>0</v>
      </c>
      <c r="I1744" s="69">
        <f t="shared" si="366"/>
        <v>11155.7</v>
      </c>
      <c r="J1744" s="69">
        <f>J1745</f>
        <v>0</v>
      </c>
      <c r="K1744" s="84">
        <f t="shared" si="377"/>
        <v>11155.7</v>
      </c>
      <c r="L1744" s="13">
        <f>L1745</f>
        <v>0</v>
      </c>
      <c r="M1744" s="84">
        <f t="shared" si="372"/>
        <v>11155.7</v>
      </c>
      <c r="N1744" s="13">
        <f>N1745</f>
        <v>0</v>
      </c>
      <c r="O1744" s="84">
        <f t="shared" si="373"/>
        <v>11155.7</v>
      </c>
      <c r="P1744" s="13">
        <f>P1745</f>
        <v>0</v>
      </c>
      <c r="Q1744" s="84">
        <f t="shared" si="379"/>
        <v>11155.7</v>
      </c>
      <c r="R1744" s="13">
        <f>R1745</f>
        <v>0</v>
      </c>
      <c r="S1744" s="84">
        <f t="shared" si="375"/>
        <v>11155.7</v>
      </c>
      <c r="T1744" s="13">
        <f>T1745</f>
        <v>0</v>
      </c>
      <c r="U1744" s="84">
        <f t="shared" si="376"/>
        <v>11155.7</v>
      </c>
    </row>
    <row r="1745" spans="1:22">
      <c r="A1745" s="61" t="str">
        <f t="shared" ca="1" si="382"/>
        <v>Расходы на выплаты персоналу муниципальных органов</v>
      </c>
      <c r="B1745" s="126">
        <v>840</v>
      </c>
      <c r="C1745" s="8" t="s">
        <v>215</v>
      </c>
      <c r="D1745" s="8" t="s">
        <v>219</v>
      </c>
      <c r="E1745" s="126" t="s">
        <v>302</v>
      </c>
      <c r="F1745" s="126">
        <v>120</v>
      </c>
      <c r="G1745" s="69">
        <v>11155.7</v>
      </c>
      <c r="H1745" s="69"/>
      <c r="I1745" s="69">
        <f t="shared" si="366"/>
        <v>11155.7</v>
      </c>
      <c r="J1745" s="69"/>
      <c r="K1745" s="84">
        <f t="shared" si="377"/>
        <v>11155.7</v>
      </c>
      <c r="L1745" s="13"/>
      <c r="M1745" s="84">
        <f t="shared" si="372"/>
        <v>11155.7</v>
      </c>
      <c r="N1745" s="13"/>
      <c r="O1745" s="84">
        <f t="shared" si="373"/>
        <v>11155.7</v>
      </c>
      <c r="P1745" s="13"/>
      <c r="Q1745" s="84">
        <f t="shared" si="379"/>
        <v>11155.7</v>
      </c>
      <c r="R1745" s="13"/>
      <c r="S1745" s="84">
        <f t="shared" si="375"/>
        <v>11155.7</v>
      </c>
      <c r="T1745" s="13"/>
      <c r="U1745" s="84">
        <f t="shared" si="376"/>
        <v>11155.7</v>
      </c>
    </row>
    <row r="1746" spans="1:22">
      <c r="A1746" s="61" t="str">
        <f t="shared" ca="1" si="382"/>
        <v>Закупка товаров, работ и услуг для муниципальных нужд</v>
      </c>
      <c r="B1746" s="126">
        <v>840</v>
      </c>
      <c r="C1746" s="8" t="s">
        <v>215</v>
      </c>
      <c r="D1746" s="8" t="s">
        <v>219</v>
      </c>
      <c r="E1746" s="126" t="s">
        <v>302</v>
      </c>
      <c r="F1746" s="126">
        <v>200</v>
      </c>
      <c r="G1746" s="69">
        <f>G1747</f>
        <v>15.4</v>
      </c>
      <c r="H1746" s="69">
        <f>H1747</f>
        <v>0</v>
      </c>
      <c r="I1746" s="69">
        <f t="shared" si="366"/>
        <v>15.4</v>
      </c>
      <c r="J1746" s="69">
        <f>J1747</f>
        <v>0</v>
      </c>
      <c r="K1746" s="84">
        <f t="shared" si="377"/>
        <v>15.4</v>
      </c>
      <c r="L1746" s="13">
        <f>L1747</f>
        <v>0</v>
      </c>
      <c r="M1746" s="84">
        <f t="shared" si="372"/>
        <v>15.4</v>
      </c>
      <c r="N1746" s="13">
        <f>N1747</f>
        <v>0</v>
      </c>
      <c r="O1746" s="84">
        <f t="shared" si="373"/>
        <v>15.4</v>
      </c>
      <c r="P1746" s="13">
        <f>P1747</f>
        <v>0</v>
      </c>
      <c r="Q1746" s="84">
        <f t="shared" si="379"/>
        <v>15.4</v>
      </c>
      <c r="R1746" s="13">
        <f>R1747</f>
        <v>0</v>
      </c>
      <c r="S1746" s="84">
        <f t="shared" si="375"/>
        <v>15.4</v>
      </c>
      <c r="T1746" s="13">
        <f>T1747</f>
        <v>0</v>
      </c>
      <c r="U1746" s="84">
        <f t="shared" si="376"/>
        <v>15.4</v>
      </c>
    </row>
    <row r="1747" spans="1:22" ht="33">
      <c r="A1747" s="61" t="str">
        <f t="shared" ca="1" si="382"/>
        <v>Иные закупки товаров, работ и услуг для обеспечения муниципальных нужд</v>
      </c>
      <c r="B1747" s="126">
        <v>840</v>
      </c>
      <c r="C1747" s="8" t="s">
        <v>215</v>
      </c>
      <c r="D1747" s="8" t="s">
        <v>219</v>
      </c>
      <c r="E1747" s="126" t="s">
        <v>302</v>
      </c>
      <c r="F1747" s="126">
        <v>240</v>
      </c>
      <c r="G1747" s="69">
        <f>G1748</f>
        <v>15.4</v>
      </c>
      <c r="H1747" s="69">
        <f>H1748</f>
        <v>0</v>
      </c>
      <c r="I1747" s="69">
        <f t="shared" si="366"/>
        <v>15.4</v>
      </c>
      <c r="J1747" s="69">
        <f>J1748</f>
        <v>0</v>
      </c>
      <c r="K1747" s="84">
        <f t="shared" si="377"/>
        <v>15.4</v>
      </c>
      <c r="L1747" s="13">
        <f>L1748</f>
        <v>0</v>
      </c>
      <c r="M1747" s="84">
        <f t="shared" si="372"/>
        <v>15.4</v>
      </c>
      <c r="N1747" s="13">
        <f>N1748</f>
        <v>0</v>
      </c>
      <c r="O1747" s="84">
        <f t="shared" si="373"/>
        <v>15.4</v>
      </c>
      <c r="P1747" s="13">
        <f>P1748</f>
        <v>0</v>
      </c>
      <c r="Q1747" s="84">
        <f t="shared" si="379"/>
        <v>15.4</v>
      </c>
      <c r="R1747" s="13">
        <f>R1748</f>
        <v>0</v>
      </c>
      <c r="S1747" s="84">
        <f t="shared" si="375"/>
        <v>15.4</v>
      </c>
      <c r="T1747" s="13">
        <f>T1748</f>
        <v>0</v>
      </c>
      <c r="U1747" s="84">
        <f t="shared" si="376"/>
        <v>15.4</v>
      </c>
    </row>
    <row r="1748" spans="1:22" ht="33">
      <c r="A1748" s="61" t="str">
        <f t="shared" ca="1" si="382"/>
        <v xml:space="preserve">Прочая закупка товаров, работ и услуг для обеспечения муниципальных нужд         </v>
      </c>
      <c r="B1748" s="126">
        <v>840</v>
      </c>
      <c r="C1748" s="8" t="s">
        <v>215</v>
      </c>
      <c r="D1748" s="8" t="s">
        <v>219</v>
      </c>
      <c r="E1748" s="126" t="s">
        <v>302</v>
      </c>
      <c r="F1748" s="126">
        <v>244</v>
      </c>
      <c r="G1748" s="69">
        <v>15.4</v>
      </c>
      <c r="H1748" s="69"/>
      <c r="I1748" s="69">
        <f t="shared" si="366"/>
        <v>15.4</v>
      </c>
      <c r="J1748" s="69"/>
      <c r="K1748" s="84">
        <f t="shared" si="377"/>
        <v>15.4</v>
      </c>
      <c r="L1748" s="13"/>
      <c r="M1748" s="84">
        <f t="shared" si="372"/>
        <v>15.4</v>
      </c>
      <c r="N1748" s="13"/>
      <c r="O1748" s="84">
        <f t="shared" si="373"/>
        <v>15.4</v>
      </c>
      <c r="P1748" s="13"/>
      <c r="Q1748" s="84">
        <f t="shared" si="379"/>
        <v>15.4</v>
      </c>
      <c r="R1748" s="13"/>
      <c r="S1748" s="84">
        <f t="shared" si="375"/>
        <v>15.4</v>
      </c>
      <c r="T1748" s="13"/>
      <c r="U1748" s="84">
        <f t="shared" si="376"/>
        <v>15.4</v>
      </c>
    </row>
    <row r="1749" spans="1:22">
      <c r="A1749" s="61" t="str">
        <f t="shared" ca="1" si="382"/>
        <v>Иные бюджетные ассигнования</v>
      </c>
      <c r="B1749" s="126">
        <v>840</v>
      </c>
      <c r="C1749" s="8" t="s">
        <v>215</v>
      </c>
      <c r="D1749" s="8" t="s">
        <v>219</v>
      </c>
      <c r="E1749" s="126" t="s">
        <v>302</v>
      </c>
      <c r="F1749" s="126">
        <v>800</v>
      </c>
      <c r="G1749" s="69">
        <f>G1750</f>
        <v>2</v>
      </c>
      <c r="H1749" s="69">
        <f>H1750</f>
        <v>0</v>
      </c>
      <c r="I1749" s="69">
        <f t="shared" si="366"/>
        <v>2</v>
      </c>
      <c r="J1749" s="69">
        <f>J1750</f>
        <v>0</v>
      </c>
      <c r="K1749" s="84">
        <f t="shared" si="377"/>
        <v>2</v>
      </c>
      <c r="L1749" s="13">
        <f>L1750</f>
        <v>0</v>
      </c>
      <c r="M1749" s="84">
        <f t="shared" si="372"/>
        <v>2</v>
      </c>
      <c r="N1749" s="13">
        <f>N1750</f>
        <v>0</v>
      </c>
      <c r="O1749" s="84">
        <f t="shared" si="373"/>
        <v>2</v>
      </c>
      <c r="P1749" s="13">
        <f>P1750</f>
        <v>0</v>
      </c>
      <c r="Q1749" s="84">
        <f t="shared" si="379"/>
        <v>2</v>
      </c>
      <c r="R1749" s="13">
        <f>R1750</f>
        <v>0</v>
      </c>
      <c r="S1749" s="84">
        <f t="shared" si="375"/>
        <v>2</v>
      </c>
      <c r="T1749" s="13">
        <f>T1750</f>
        <v>0</v>
      </c>
      <c r="U1749" s="84">
        <f t="shared" si="376"/>
        <v>2</v>
      </c>
    </row>
    <row r="1750" spans="1:22">
      <c r="A1750" s="61" t="str">
        <f t="shared" ca="1" si="382"/>
        <v>Уплата налогов, сборов и иных платежей</v>
      </c>
      <c r="B1750" s="126">
        <v>840</v>
      </c>
      <c r="C1750" s="8" t="s">
        <v>215</v>
      </c>
      <c r="D1750" s="8" t="s">
        <v>219</v>
      </c>
      <c r="E1750" s="126" t="s">
        <v>302</v>
      </c>
      <c r="F1750" s="126">
        <v>850</v>
      </c>
      <c r="G1750" s="69">
        <f>G1751</f>
        <v>2</v>
      </c>
      <c r="H1750" s="69">
        <f>H1751</f>
        <v>0</v>
      </c>
      <c r="I1750" s="69">
        <f t="shared" si="366"/>
        <v>2</v>
      </c>
      <c r="J1750" s="69">
        <f>J1751</f>
        <v>0</v>
      </c>
      <c r="K1750" s="84">
        <f t="shared" si="377"/>
        <v>2</v>
      </c>
      <c r="L1750" s="13">
        <f>L1751</f>
        <v>0</v>
      </c>
      <c r="M1750" s="84">
        <f t="shared" si="372"/>
        <v>2</v>
      </c>
      <c r="N1750" s="13">
        <f>N1751</f>
        <v>0</v>
      </c>
      <c r="O1750" s="84">
        <f t="shared" si="373"/>
        <v>2</v>
      </c>
      <c r="P1750" s="13">
        <f>P1751</f>
        <v>0</v>
      </c>
      <c r="Q1750" s="84">
        <f t="shared" si="379"/>
        <v>2</v>
      </c>
      <c r="R1750" s="13">
        <f>R1751</f>
        <v>0</v>
      </c>
      <c r="S1750" s="84">
        <f t="shared" si="375"/>
        <v>2</v>
      </c>
      <c r="T1750" s="13">
        <f>T1751</f>
        <v>0</v>
      </c>
      <c r="U1750" s="84">
        <f t="shared" si="376"/>
        <v>2</v>
      </c>
    </row>
    <row r="1751" spans="1:22">
      <c r="A1751" s="61" t="str">
        <f ca="1">IF(ISERROR(MATCH(F1751,Код_КВР,0)),"",INDIRECT(ADDRESS(MATCH(F1751,Код_КВР,0)+1,2,,,"КВР")))</f>
        <v>Уплата прочих налогов, сборов и иных платежей</v>
      </c>
      <c r="B1751" s="126">
        <v>840</v>
      </c>
      <c r="C1751" s="8" t="s">
        <v>215</v>
      </c>
      <c r="D1751" s="8" t="s">
        <v>219</v>
      </c>
      <c r="E1751" s="126" t="s">
        <v>302</v>
      </c>
      <c r="F1751" s="126">
        <v>852</v>
      </c>
      <c r="G1751" s="69">
        <v>2</v>
      </c>
      <c r="H1751" s="69"/>
      <c r="I1751" s="69">
        <f t="shared" si="366"/>
        <v>2</v>
      </c>
      <c r="J1751" s="69"/>
      <c r="K1751" s="84">
        <f t="shared" si="377"/>
        <v>2</v>
      </c>
      <c r="L1751" s="13"/>
      <c r="M1751" s="84">
        <f t="shared" si="372"/>
        <v>2</v>
      </c>
      <c r="N1751" s="13"/>
      <c r="O1751" s="84">
        <f t="shared" si="373"/>
        <v>2</v>
      </c>
      <c r="P1751" s="13"/>
      <c r="Q1751" s="84">
        <f t="shared" si="379"/>
        <v>2</v>
      </c>
      <c r="R1751" s="13"/>
      <c r="S1751" s="84">
        <f t="shared" si="375"/>
        <v>2</v>
      </c>
      <c r="T1751" s="13"/>
      <c r="U1751" s="84">
        <f t="shared" si="376"/>
        <v>2</v>
      </c>
    </row>
    <row r="1752" spans="1:22">
      <c r="A1752" s="61" t="s">
        <v>164</v>
      </c>
      <c r="B1752" s="124"/>
      <c r="C1752" s="124"/>
      <c r="D1752" s="124"/>
      <c r="E1752" s="126"/>
      <c r="F1752" s="126"/>
      <c r="G1752" s="64">
        <f>G21+G394+G416+G549+G574+G865+G914+G1200+G1296+G1491+G1723</f>
        <v>6670495.8999999994</v>
      </c>
      <c r="H1752" s="64">
        <f>H21+H394+H416+H549+H574+H865+H914+H1200+H1296+H1491+H1723</f>
        <v>-22308.3</v>
      </c>
      <c r="I1752" s="69">
        <f>G1752+H1752</f>
        <v>6648187.5999999996</v>
      </c>
      <c r="J1752" s="64">
        <f>J21+J394+J416+J549+J574+J865+J914+J1200+J1296+J1491+J1723+J1708</f>
        <v>0</v>
      </c>
      <c r="K1752" s="84">
        <f t="shared" si="377"/>
        <v>6648187.5999999996</v>
      </c>
      <c r="L1752" s="84">
        <f>L21+L394+L416+L549+L574+L865+L914+L1200+L1296+L1491+L1723+L1708</f>
        <v>-64999.999999999985</v>
      </c>
      <c r="M1752" s="84">
        <f t="shared" si="372"/>
        <v>6583187.5999999996</v>
      </c>
      <c r="N1752" s="84">
        <f>N21+N394+N416+N549+N574+N865+N914+N1200+N1296+N1491+N1723+N1708</f>
        <v>-939.59999999999991</v>
      </c>
      <c r="O1752" s="84">
        <f>M1752+N1752</f>
        <v>6582248</v>
      </c>
      <c r="P1752" s="84">
        <f>P21+P394+P416+P549+P574+P865+P914+P1200+P1296+P1491+P1723+P1708</f>
        <v>12800</v>
      </c>
      <c r="Q1752" s="84">
        <f t="shared" si="379"/>
        <v>6595048</v>
      </c>
      <c r="R1752" s="84">
        <f>R21+R394+R416+R549+R574+R865+R914+R1200+R1296+R1491+R1723+R1708</f>
        <v>393555.50000000006</v>
      </c>
      <c r="S1752" s="84">
        <f t="shared" si="375"/>
        <v>6988603.5</v>
      </c>
      <c r="T1752" s="84">
        <f>T21+T394+T416+T549+T574+T865+T914+T1200+T1296+T1491+T1723+T1708</f>
        <v>91441.600000000006</v>
      </c>
      <c r="U1752" s="84">
        <f>U21+U394+U416+U549+U574+U865+U914+U1200+U1296+U1491+U1723+U1708</f>
        <v>7080045.0999999987</v>
      </c>
    </row>
    <row r="1753" spans="1:22">
      <c r="E1753" s="85"/>
      <c r="F1753" s="57"/>
      <c r="G1753" s="70"/>
    </row>
    <row r="1754" spans="1:22">
      <c r="E1754" s="85"/>
      <c r="F1754" s="57"/>
      <c r="G1754" s="71"/>
      <c r="M1754" s="67"/>
      <c r="N1754" s="67"/>
      <c r="O1754" s="67"/>
      <c r="T1754" s="97"/>
      <c r="V1754" s="97"/>
    </row>
    <row r="1755" spans="1:22">
      <c r="E1755" s="85"/>
      <c r="F1755" s="57"/>
      <c r="G1755" s="71"/>
      <c r="M1755" s="67"/>
      <c r="N1755" s="67"/>
      <c r="O1755" s="67"/>
      <c r="T1755" s="97"/>
      <c r="U1755" s="117"/>
    </row>
    <row r="1756" spans="1:22">
      <c r="Q1756" s="20"/>
      <c r="R1756" s="20"/>
      <c r="S1756" s="93"/>
      <c r="T1756" s="97"/>
      <c r="V1756" s="97"/>
    </row>
    <row r="1757" spans="1:22">
      <c r="A1757" s="85"/>
      <c r="E1757" s="85"/>
      <c r="G1757" s="85"/>
      <c r="Q1757" s="20"/>
      <c r="R1757" s="20"/>
      <c r="S1757" s="93"/>
      <c r="U1757" s="117"/>
    </row>
    <row r="1758" spans="1:22">
      <c r="Q1758" s="20" t="s">
        <v>662</v>
      </c>
      <c r="R1758" s="20"/>
      <c r="S1758" s="93"/>
      <c r="T1758" s="97"/>
    </row>
    <row r="1759" spans="1:22">
      <c r="Q1759" s="19" t="s">
        <v>663</v>
      </c>
      <c r="V1759" s="97"/>
    </row>
    <row r="1760" spans="1:22">
      <c r="Q1760" s="19" t="s">
        <v>670</v>
      </c>
      <c r="R1760" s="67"/>
    </row>
    <row r="1761" spans="1:20">
      <c r="A1761" s="85"/>
      <c r="E1761" s="85"/>
      <c r="G1761" s="85"/>
      <c r="Q1761" s="85"/>
    </row>
    <row r="1762" spans="1:20">
      <c r="A1762" s="85"/>
      <c r="E1762" s="85"/>
      <c r="G1762" s="85"/>
      <c r="Q1762" s="85"/>
      <c r="R1762" s="67"/>
      <c r="S1762" s="96"/>
    </row>
    <row r="1770" spans="1:20">
      <c r="T1770" s="97"/>
    </row>
  </sheetData>
  <autoFilter ref="A20:AD1752">
    <filterColumn colId="21">
      <filters blank="1"/>
    </filterColumn>
  </autoFilter>
  <mergeCells count="2">
    <mergeCell ref="A17:G17"/>
    <mergeCell ref="A16:G16"/>
  </mergeCells>
  <phoneticPr fontId="0" type="noConversion"/>
  <dataValidations count="4">
    <dataValidation type="list" allowBlank="1" showInputMessage="1" showErrorMessage="1" sqref="F21:F241 F243:F1752">
      <formula1>Код_КВР</formula1>
    </dataValidation>
    <dataValidation type="list" allowBlank="1" showInputMessage="1" showErrorMessage="1" sqref="B21:B1751">
      <formula1>Код_ППП</formula1>
    </dataValidation>
    <dataValidation type="list" allowBlank="1" showInputMessage="1" showErrorMessage="1" sqref="C21:C1751">
      <formula1>Код_Раздел</formula1>
    </dataValidation>
    <dataValidation type="list" allowBlank="1" showInputMessage="1" showErrorMessage="1" sqref="E21:E1752">
      <formula1>Код_КЦСР</formula1>
    </dataValidation>
  </dataValidations>
  <pageMargins left="1.1811023622047245" right="0.39370078740157483" top="0.78740157480314965" bottom="0.78740157480314965" header="0.39370078740157483" footer="0.39370078740157483"/>
  <pageSetup paperSize="9" scale="52" fitToHeight="35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ППП</vt:lpstr>
      <vt:lpstr>Раздел</vt:lpstr>
      <vt:lpstr>КЦСР</vt:lpstr>
      <vt:lpstr>КВР</vt:lpstr>
      <vt:lpstr>прил.4</vt:lpstr>
      <vt:lpstr>прил. 5</vt:lpstr>
      <vt:lpstr>прил.6</vt:lpstr>
      <vt:lpstr>КВР!sub_3870</vt:lpstr>
      <vt:lpstr>'прил. 5'!Заголовки_для_печати</vt:lpstr>
      <vt:lpstr>прил.4!Заголовки_для_печати</vt:lpstr>
      <vt:lpstr>прил.6!Заголовки_для_печати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'прил. 5'!Область_печати</vt:lpstr>
      <vt:lpstr>прил.4!Область_печати</vt:lpstr>
      <vt:lpstr>прил.6!Область_печати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Admin</cp:lastModifiedBy>
  <cp:lastPrinted>2014-12-26T09:09:49Z</cp:lastPrinted>
  <dcterms:created xsi:type="dcterms:W3CDTF">2005-10-27T10:10:18Z</dcterms:created>
  <dcterms:modified xsi:type="dcterms:W3CDTF">2014-12-26T12:14:04Z</dcterms:modified>
</cp:coreProperties>
</file>