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2" sheetId="1" r:id="rId5"/>
    <sheet name="прил.14" sheetId="6" r:id="rId6"/>
    <sheet name="прил.16" sheetId="5" r:id="rId7"/>
  </sheets>
  <definedNames>
    <definedName name="sub_3870" localSheetId="3">'КВР'!$A$27</definedName>
    <definedName name="Код_КВР">'КВР'!$A$2:$A$27</definedName>
    <definedName name="Код_КЦСР">'КЦСР'!$A$2:$A$327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'КВР'!$A$1:$B$14</definedName>
    <definedName name="_xlnm.Print_Area" localSheetId="4">'прил.12'!$A$2:$E$65</definedName>
    <definedName name="_xlnm.Print_Area" localSheetId="5">'прил.14'!$A$1:$G$1221</definedName>
    <definedName name="_xlnm.Print_Titles" localSheetId="4">'прил.12'!$13:$14</definedName>
    <definedName name="_xlnm.Print_Titles" localSheetId="5">'прил.14'!$13:$15</definedName>
    <definedName name="_xlnm.Print_Titles" localSheetId="6">'прил.16'!$12:$13</definedName>
  </definedNames>
  <calcPr calcId="124519"/>
</workbook>
</file>

<file path=xl/sharedStrings.xml><?xml version="1.0" encoding="utf-8"?>
<sst xmlns="http://schemas.openxmlformats.org/spreadsheetml/2006/main" count="7306" uniqueCount="615">
  <si>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</si>
  <si>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</si>
  <si>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</si>
  <si>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12 0 0003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</si>
  <si>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</si>
  <si>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</si>
  <si>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</si>
  <si>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</si>
  <si>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</si>
  <si>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</si>
  <si>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</si>
  <si>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</si>
  <si>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</si>
  <si>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</si>
  <si>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</si>
  <si>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</si>
  <si>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</si>
  <si>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</si>
  <si>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</si>
  <si>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</si>
  <si>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</si>
  <si>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</si>
  <si>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</si>
  <si>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</si>
  <si>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</si>
  <si>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</si>
  <si>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</si>
  <si>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</si>
  <si>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</si>
  <si>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</si>
  <si>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</si>
  <si>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</si>
  <si>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</si>
  <si>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</si>
  <si>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</si>
  <si>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</si>
  <si>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</si>
  <si>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</si>
  <si>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</si>
  <si>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</si>
  <si>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</si>
  <si>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</si>
  <si>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</si>
  <si>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</si>
  <si>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</si>
  <si>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</si>
  <si>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</si>
  <si>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</si>
  <si>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</si>
  <si>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</si>
  <si>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</si>
  <si>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</si>
  <si>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</si>
  <si>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</si>
  <si>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</si>
  <si>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</si>
  <si>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</si>
  <si>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</si>
  <si>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</si>
  <si>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</si>
  <si>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</si>
  <si>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</si>
  <si>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</si>
  <si>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</si>
  <si>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</si>
  <si>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</si>
  <si>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</si>
  <si>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</si>
  <si>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20 0 1000</t>
  </si>
  <si>
    <t>20 0 1001</t>
  </si>
  <si>
    <t>Строительство полигона твердых бытовых отходов (ТБО) №2</t>
  </si>
  <si>
    <t>20 0 1003</t>
  </si>
  <si>
    <t>20 0 1004</t>
  </si>
  <si>
    <t>20 0 2000</t>
  </si>
  <si>
    <t>20 0 3000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</si>
  <si>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</si>
  <si>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</si>
  <si>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</si>
  <si>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</si>
  <si>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</si>
  <si>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</si>
  <si>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</si>
  <si>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</si>
  <si>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</si>
  <si>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</si>
  <si>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</si>
  <si>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</si>
  <si>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</si>
  <si>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</si>
  <si>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</si>
  <si>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</si>
  <si>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</si>
  <si>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</si>
  <si>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21 1 0010</t>
  </si>
  <si>
    <t>Обучение по программе пожарно-технического минимума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</si>
  <si>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</si>
  <si>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</si>
  <si>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</si>
  <si>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01 3 0003</t>
  </si>
  <si>
    <t>Оборудование основных помещений МБДОУ бактерицидными лампами</t>
  </si>
  <si>
    <t>Развитие библиотечного дела</t>
  </si>
  <si>
    <t>Развитие музейного дела</t>
  </si>
  <si>
    <t>21 2 0003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</si>
  <si>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</si>
  <si>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</si>
  <si>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</si>
  <si>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</si>
  <si>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</si>
  <si>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</si>
  <si>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</si>
  <si>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</si>
  <si>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</si>
  <si>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</si>
  <si>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</si>
  <si>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</si>
  <si>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</si>
  <si>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</si>
  <si>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</si>
  <si>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</si>
  <si>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</si>
  <si>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</si>
  <si>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23 0 0000</t>
  </si>
  <si>
    <t>23 0 0001</t>
  </si>
  <si>
    <t>23 0 0002</t>
  </si>
  <si>
    <t>23 0 0003</t>
  </si>
  <si>
    <t>23 0 0004</t>
  </si>
  <si>
    <t>23 0 0005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</si>
  <si>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</si>
  <si>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</si>
  <si>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</si>
  <si>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</si>
  <si>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</si>
  <si>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</si>
  <si>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</si>
  <si>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</si>
  <si>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</si>
  <si>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</si>
  <si>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</si>
  <si>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</si>
  <si>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</si>
  <si>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</si>
  <si>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</si>
  <si>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</si>
  <si>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</si>
  <si>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</si>
  <si>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</si>
  <si>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</si>
  <si>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</si>
  <si>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</si>
  <si>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</si>
  <si>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</si>
  <si>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</si>
  <si>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</si>
  <si>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</si>
  <si>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</si>
  <si>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</si>
  <si>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</si>
  <si>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</si>
  <si>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</si>
  <si>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</si>
  <si>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</si>
  <si>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</si>
  <si>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</si>
  <si>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</si>
  <si>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</si>
  <si>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</si>
  <si>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</si>
  <si>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</si>
  <si>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</si>
  <si>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</si>
  <si>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</si>
  <si>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</si>
  <si>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</si>
  <si>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</si>
  <si>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</si>
  <si>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</si>
  <si>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</si>
  <si>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</si>
  <si>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</si>
  <si>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</si>
  <si>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</si>
  <si>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</si>
  <si>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</si>
  <si>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</si>
  <si>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</si>
  <si>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</si>
  <si>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</si>
  <si>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</si>
  <si>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</si>
  <si>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</si>
  <si>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</si>
  <si>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</si>
  <si>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</si>
  <si>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</si>
  <si>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</si>
  <si>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</si>
  <si>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</si>
  <si>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</si>
  <si>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</si>
  <si>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</si>
  <si>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</si>
  <si>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</si>
  <si>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</si>
  <si>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</si>
  <si>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</si>
  <si>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</si>
  <si>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</si>
  <si>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</si>
  <si>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</si>
  <si>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</si>
  <si>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</si>
  <si>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</si>
  <si>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</si>
  <si>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</si>
  <si>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</si>
  <si>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</si>
  <si>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</si>
  <si>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</si>
  <si>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</si>
  <si>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</si>
  <si>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</si>
  <si>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</si>
  <si>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</si>
  <si>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</si>
  <si>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</si>
  <si>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</si>
  <si>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</si>
  <si>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</si>
  <si>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</si>
  <si>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</si>
  <si>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</si>
  <si>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</si>
  <si>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</si>
  <si>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</si>
  <si>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</si>
  <si>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</si>
  <si>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</si>
  <si>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01 0 0000</t>
  </si>
  <si>
    <t>Муниципальная программа «Развитие образования» на 2013-2022 годы</t>
  </si>
  <si>
    <t>01 0 0001</t>
  </si>
  <si>
    <t>01 0 0002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</si>
  <si>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</si>
  <si>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</si>
  <si>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</si>
  <si>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</si>
  <si>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</si>
  <si>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</si>
  <si>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</si>
  <si>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</si>
  <si>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</si>
  <si>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</si>
  <si>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</si>
  <si>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</si>
  <si>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</si>
  <si>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</si>
  <si>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</si>
  <si>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</si>
  <si>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</si>
  <si>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</si>
  <si>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</si>
  <si>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</si>
  <si>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</si>
  <si>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</si>
  <si>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</si>
  <si>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</si>
  <si>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</si>
  <si>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</si>
  <si>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</si>
  <si>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</si>
  <si>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</si>
  <si>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</si>
  <si>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</si>
  <si>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</si>
  <si>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</si>
  <si>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</si>
  <si>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</si>
  <si>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</si>
  <si>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</si>
  <si>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</si>
  <si>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</si>
  <si>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</si>
  <si>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</si>
  <si>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</si>
  <si>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</si>
  <si>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</si>
  <si>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</si>
  <si>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</si>
  <si>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</si>
  <si>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</si>
  <si>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</si>
  <si>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</si>
  <si>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</si>
  <si>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</si>
  <si>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</si>
  <si>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</si>
  <si>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</si>
  <si>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</si>
  <si>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</si>
  <si>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</si>
  <si>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</si>
  <si>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</si>
  <si>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</si>
  <si>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</si>
  <si>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</si>
  <si>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</si>
  <si>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</si>
  <si>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</si>
  <si>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</si>
  <si>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</si>
  <si>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</si>
  <si>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</si>
  <si>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</si>
  <si>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</si>
  <si>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</si>
  <si>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</si>
  <si>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</si>
  <si>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</si>
  <si>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</si>
  <si>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</si>
  <si>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</si>
  <si>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</si>
  <si>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</si>
  <si>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Судебная система</t>
  </si>
  <si>
    <t>99 4 7214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</si>
  <si>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</si>
  <si>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</si>
  <si>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</si>
  <si>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</si>
  <si>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</si>
  <si>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24 1 7106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</si>
  <si>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</si>
  <si>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</si>
  <si>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</si>
  <si>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</si>
  <si>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</si>
  <si>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</si>
  <si>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13 0 7212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</si>
  <si>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</si>
  <si>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</si>
  <si>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</si>
  <si>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</si>
  <si>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</si>
  <si>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</si>
  <si>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18 1 7223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</si>
  <si>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</si>
  <si>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</si>
  <si>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</si>
  <si>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</si>
  <si>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</si>
  <si>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</si>
  <si>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01 2 7202</t>
  </si>
  <si>
    <t>01 2 7201</t>
  </si>
  <si>
    <t>14 0 5135</t>
  </si>
  <si>
    <t>99 4 8000</t>
  </si>
  <si>
    <t>99 4 8001</t>
  </si>
  <si>
    <t>Предоставление платежей, взносов, безвозмездных перечислений субъектам международного права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</si>
  <si>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</si>
  <si>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</si>
  <si>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</si>
  <si>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</si>
  <si>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</si>
  <si>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</si>
  <si>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</si>
  <si>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</si>
  <si>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</si>
  <si>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</si>
  <si>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</si>
  <si>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</si>
  <si>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</si>
  <si>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</si>
  <si>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</si>
  <si>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</si>
  <si>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02 2 0000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</si>
  <si>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</si>
  <si>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</si>
  <si>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</si>
  <si>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</si>
  <si>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</si>
  <si>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</si>
  <si>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</si>
  <si>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</si>
  <si>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</si>
  <si>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</si>
  <si>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</si>
  <si>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</si>
  <si>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</si>
  <si>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</si>
  <si>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</si>
  <si>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</si>
  <si>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</si>
  <si>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</si>
  <si>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</si>
  <si>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</si>
  <si>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</si>
  <si>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</si>
  <si>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02 5 0003</t>
  </si>
  <si>
    <t>02 6 0000</t>
  </si>
  <si>
    <t>Формирование постиндустриального образа города Череповца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</si>
  <si>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</si>
  <si>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</si>
  <si>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</si>
  <si>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</si>
  <si>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</si>
  <si>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</si>
  <si>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</si>
  <si>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</si>
  <si>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</si>
  <si>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</si>
  <si>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</si>
  <si>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</si>
  <si>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</si>
  <si>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</si>
  <si>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</si>
  <si>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</si>
  <si>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</si>
  <si>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</si>
  <si>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</si>
  <si>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</si>
  <si>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</si>
  <si>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</si>
  <si>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</si>
  <si>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</si>
  <si>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</si>
  <si>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</si>
  <si>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</si>
  <si>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</si>
  <si>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</si>
  <si>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</si>
  <si>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</si>
  <si>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</si>
  <si>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</si>
  <si>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</si>
  <si>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</si>
  <si>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</si>
  <si>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</si>
  <si>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</si>
  <si>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</si>
  <si>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</si>
  <si>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</si>
  <si>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08 0 0000</t>
  </si>
  <si>
    <t>08 0 0001</t>
  </si>
  <si>
    <t>08 0 0002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</si>
  <si>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</si>
  <si>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</si>
  <si>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</si>
  <si>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</si>
  <si>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</si>
  <si>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</si>
  <si>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</si>
  <si>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</si>
  <si>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</si>
  <si>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</si>
  <si>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</si>
  <si>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</si>
  <si>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</si>
  <si>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</si>
  <si>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</si>
  <si>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</si>
  <si>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Здоровье на рабочем месте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</si>
  <si>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</si>
  <si>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</si>
  <si>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</si>
  <si>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</si>
  <si>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</si>
  <si>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</si>
  <si>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</si>
  <si>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</si>
  <si>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</si>
  <si>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</si>
  <si>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</si>
  <si>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</si>
  <si>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</si>
  <si>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</si>
  <si>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</si>
  <si>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</si>
  <si>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</si>
  <si>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</si>
  <si>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</si>
  <si>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</si>
  <si>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 xml:space="preserve">КОНТРОЛЬНО-СЧЕТНАЯ ПАЛАТА ГОРОДА ЧЕРЕПОВЦА </t>
  </si>
  <si>
    <t>16 0 0003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</si>
  <si>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</si>
  <si>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</si>
  <si>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</si>
  <si>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</si>
  <si>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</si>
  <si>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</si>
  <si>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18 2 0003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</si>
  <si>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</si>
  <si>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</si>
  <si>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02 2 7125</t>
  </si>
  <si>
    <t>Другие вопросы в области культуры, кинематографии</t>
  </si>
  <si>
    <t>Сумма (тыс.рублей)</t>
  </si>
  <si>
    <t>2016 год</t>
  </si>
  <si>
    <t>01 0 0005</t>
  </si>
  <si>
    <t>01 0 0006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</si>
  <si>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</si>
  <si>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Проведение городского патриотического фестиваля «Город Победы»</t>
  </si>
  <si>
    <t>Просвещение обучающихся, формирование культуры, здорового и безопасного образа жизни</t>
  </si>
  <si>
    <t>01 2 0006</t>
  </si>
  <si>
    <t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t>
  </si>
  <si>
    <r>
      <t xml:space="preserve"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</t>
    </r>
    <r>
      <rPr>
        <sz val="13"/>
        <rFont val="Times New Roman"/>
        <family val="1"/>
      </rPr>
      <t xml:space="preserve">Череповецкой городской Думы </t>
    </r>
    <r>
      <rPr>
        <sz val="13"/>
        <color rgb="FF000000"/>
        <rFont val="Times New Roman"/>
        <family val="1"/>
      </rPr>
      <t>от 29.05.2012 № 97</t>
    </r>
  </si>
  <si>
    <t>02 2 0007</t>
  </si>
  <si>
    <t>Проведение мероприятий, презентаций, создание выставок, связанных с историческими и памятными датами, событиями мировой и отечественной культуры</t>
  </si>
  <si>
    <t>02 2 0008</t>
  </si>
  <si>
    <t>Укрепление материально-технической базы муниципальных учреждений</t>
  </si>
  <si>
    <t>02 3 0008</t>
  </si>
  <si>
    <t>Предоставление пользователям информационных продуктов, подписка на печатные периодические издания</t>
  </si>
  <si>
    <t>02 4 0007</t>
  </si>
  <si>
    <t>02 4 0008</t>
  </si>
  <si>
    <t>Приобщение населения города к народным традициям, старинному быту и обычаям русского народа</t>
  </si>
  <si>
    <t>02 4 0009</t>
  </si>
  <si>
    <t>Работа над созданием новых спектаклей, концертов, концертных программ, цирковых номеров (программ) и иных зрелищных программ</t>
  </si>
  <si>
    <t>02 5 0004</t>
  </si>
  <si>
    <t>02 5 0005</t>
  </si>
  <si>
    <t>02 6 0004</t>
  </si>
  <si>
    <t>Проведение событийных мероприятий, презентаций, связанных с историческими и памятными датами, событиями мировой и отечественной культуры</t>
  </si>
  <si>
    <t>02 7 0000</t>
  </si>
  <si>
    <t>02 7 0002</t>
  </si>
  <si>
    <t>Развитие кадрового потенциала отрасли</t>
  </si>
  <si>
    <t>Сохранение и укрепление кадрового состава учреждений</t>
  </si>
  <si>
    <t>02 9 0004</t>
  </si>
  <si>
    <t>02 0 0011</t>
  </si>
  <si>
    <t>Организация работы по реализации целей, задач управления и выполнения его функциональных обязанностей</t>
  </si>
  <si>
    <t>03 0 0008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</si>
  <si>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</si>
  <si>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05 0 0018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</si>
  <si>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</si>
  <si>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</si>
  <si>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</si>
  <si>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</si>
  <si>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09 0 0004</t>
  </si>
  <si>
    <t>Проведение городского патриотического фестиваля «Город Победы» на Кубок мэра города</t>
  </si>
  <si>
    <t>12 0 0001</t>
  </si>
  <si>
    <t xml:space="preserve">Организационно-методическое и информационное обеспечение туристской деятельности </t>
  </si>
  <si>
    <t>Продвижение городского туристского продукта на российском рынке</t>
  </si>
  <si>
    <t>Развитие туристской инфраструктуры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</si>
  <si>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</si>
  <si>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</si>
  <si>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</si>
  <si>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13 0 0013</t>
  </si>
  <si>
    <t>Муниципальная программа «Развитие городского общественного транспорта» на 2014-2017 годы</t>
  </si>
  <si>
    <t>16 0 0004</t>
  </si>
  <si>
    <t>Обустройство автобусных остановок павильонами/навесами для ожидания автобуса</t>
  </si>
  <si>
    <t>17 0 0003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</si>
  <si>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</si>
  <si>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18 2 0004</t>
  </si>
  <si>
    <t>Капитальный ремонт придомовых территорий многоквартирных жилых домов в части приобретения и сооружения детских площадок</t>
  </si>
  <si>
    <t>18 0 0001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</si>
  <si>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</si>
  <si>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19 0 0004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</si>
  <si>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</si>
  <si>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t>
  </si>
  <si>
    <t>Осуществление бюджетных инвестиций в объекты муниципальной собственности</t>
  </si>
  <si>
    <t>20 0 1012</t>
  </si>
  <si>
    <t>20 0 1013</t>
  </si>
  <si>
    <t>Строительство кладбища № 5</t>
  </si>
  <si>
    <t>Капитальный ремонт объектов муниципальной собственности</t>
  </si>
  <si>
    <t xml:space="preserve">Обеспечение создания условий для реализации муниципальной программы 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</si>
  <si>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</si>
  <si>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</si>
  <si>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22 4 0004</t>
  </si>
  <si>
    <t>Реализация проекта «Электронный гражданин»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</si>
  <si>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</si>
  <si>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t>
  </si>
  <si>
    <t>99 4 3000</t>
  </si>
  <si>
    <t>99 4 3001</t>
  </si>
  <si>
    <t>99 4 3002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</si>
  <si>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</si>
  <si>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как социально сориентированного города посредством изготовления и размещения социальной рекламы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</si>
  <si>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</si>
  <si>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</si>
  <si>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</si>
  <si>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</si>
  <si>
    <t>2017 год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</si>
  <si>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</si>
  <si>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Обеспечение питанием обучающихся в МОУ </t>
  </si>
  <si>
    <t>01 0 7202</t>
  </si>
  <si>
    <t>01 1 7202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</si>
  <si>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t>
  </si>
  <si>
    <t>13 0 7206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</si>
  <si>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t>
  </si>
  <si>
    <t>13 1 7206</t>
  </si>
  <si>
    <t>Социальная поддержка детей-сирот и детей, оставшихся без попечения родителей</t>
  </si>
  <si>
    <t>14 0 5134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</si>
  <si>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</si>
  <si>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</si>
  <si>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22 4 7225</t>
  </si>
  <si>
    <t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</si>
  <si>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24 2 7106</t>
  </si>
  <si>
    <t>Внедрение и (или) эксплуатация аппаратно-программного комплекса «Безопасный город» за счет субсидий из областного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</si>
  <si>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</si>
  <si>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t>
  </si>
  <si>
    <t>13 1 0000</t>
  </si>
  <si>
    <t>05 0 7218</t>
  </si>
  <si>
    <t>Муниципальная программа «Повышение инвестиционной привлекательности города Череповца» на 2015-2018 годы</t>
  </si>
  <si>
    <t>Условно утверждаемые расходы</t>
  </si>
  <si>
    <t>ИТОГО РАСХОДОВ</t>
  </si>
  <si>
    <t>Приложение 16</t>
  </si>
  <si>
    <t>городского бюджета по разделам, подразделам, целевым статьям, группам и подгруппам видов расходов в ведомственной структуре расходов</t>
  </si>
  <si>
    <t xml:space="preserve">  городского бюджета по разделам, подразделам функциональной классификации</t>
  </si>
  <si>
    <t xml:space="preserve"> на плановый период 2016 и 2017 годов</t>
  </si>
  <si>
    <t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</t>
  </si>
  <si>
    <t>Приложение 12</t>
  </si>
  <si>
    <t>Приложение 14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</si>
  <si>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</si>
  <si>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Организационно-методическое обеспечение программы</t>
  </si>
  <si>
    <t>Строительство участков для многодетных семей. Внутриквартальные проезды.</t>
  </si>
  <si>
    <t>Осуществление полномочий собственника муниципального жилищного фонда в части внесения взносов в региональный фонд капитального ремонта</t>
  </si>
  <si>
    <t>Проведение мероприятий управлением образования мэрии (августовское совещание, День учителя, Учитель года, прием молодых специалистов)</t>
  </si>
  <si>
    <t>Обеспечение участия в физкультурных мероприятиях и спортивных мероприятиях различного уровня (регионального, всероссийского, международного)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</si>
  <si>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</si>
  <si>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</si>
  <si>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</si>
  <si>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от 15.12.2014 № 240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</si>
</sst>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%"/>
  </numFmts>
  <fonts count="12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9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3" borderId="0" xfId="0" applyNumberFormat="1" applyFont="1" applyFill="1" applyBorder="1" applyAlignment="1" applyProtection="1">
      <alignment horizontal="justify" vertical="center" wrapText="1"/>
      <protection/>
    </xf>
    <xf numFmtId="1" fontId="2" fillId="3" borderId="1" xfId="0" applyNumberFormat="1" applyFont="1" applyFill="1" applyBorder="1" applyAlignment="1">
      <alignment horizontal="justify" vertical="center" wrapText="1"/>
    </xf>
    <xf numFmtId="0" fontId="2" fillId="3" borderId="1" xfId="26" applyNumberFormat="1" applyFont="1" applyFill="1" applyBorder="1" applyAlignment="1" applyProtection="1">
      <alignment horizontal="justify" vertical="center" wrapText="1"/>
      <protection hidden="1"/>
    </xf>
    <xf numFmtId="165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6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/>
    </xf>
    <xf numFmtId="0" fontId="2" fillId="3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30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0" sqref="B20"/>
    </sheetView>
  </sheetViews>
  <sheetFormatPr defaultColWidth="9.125" defaultRowHeight="12.75"/>
  <cols>
    <col min="1" max="1" width="9.125" style="22" customWidth="1"/>
    <col min="2" max="2" width="50.75390625" style="22" customWidth="1"/>
    <col min="3" max="16384" width="9.125" style="22" customWidth="1"/>
  </cols>
  <sheetData>
    <row r="1" spans="1:2" ht="16.5">
      <c r="A1" s="18" t="s">
        <v>281</v>
      </c>
      <c r="B1" s="21" t="s">
        <v>183</v>
      </c>
    </row>
    <row r="2" spans="1:2" ht="16.5">
      <c r="A2" s="5">
        <v>801</v>
      </c>
      <c r="B2" s="13" t="s">
        <v>211</v>
      </c>
    </row>
    <row r="3" spans="1:2" ht="16.5">
      <c r="A3" s="5">
        <v>802</v>
      </c>
      <c r="B3" s="9" t="s">
        <v>212</v>
      </c>
    </row>
    <row r="4" spans="1:2" ht="49.5">
      <c r="A4" s="5">
        <v>803</v>
      </c>
      <c r="B4" s="14" t="s">
        <v>213</v>
      </c>
    </row>
    <row r="5" spans="1:2" ht="33">
      <c r="A5" s="5">
        <v>804</v>
      </c>
      <c r="B5" s="14" t="s">
        <v>214</v>
      </c>
    </row>
    <row r="6" spans="1:2" ht="33">
      <c r="A6" s="5">
        <v>805</v>
      </c>
      <c r="B6" s="14" t="s">
        <v>215</v>
      </c>
    </row>
    <row r="7" spans="1:2" ht="33">
      <c r="A7" s="5">
        <v>807</v>
      </c>
      <c r="B7" s="14" t="s">
        <v>216</v>
      </c>
    </row>
    <row r="8" spans="1:2" ht="33">
      <c r="A8" s="5">
        <v>808</v>
      </c>
      <c r="B8" s="14" t="s">
        <v>157</v>
      </c>
    </row>
    <row r="9" spans="1:2" ht="33">
      <c r="A9" s="5">
        <v>809</v>
      </c>
      <c r="B9" s="14" t="s">
        <v>217</v>
      </c>
    </row>
    <row r="10" spans="1:2" ht="33">
      <c r="A10" s="5">
        <v>810</v>
      </c>
      <c r="B10" s="14" t="s">
        <v>218</v>
      </c>
    </row>
    <row r="11" spans="1:2" ht="33">
      <c r="A11" s="5">
        <v>811</v>
      </c>
      <c r="B11" s="14" t="s">
        <v>219</v>
      </c>
    </row>
    <row r="12" spans="1:2" ht="33">
      <c r="A12" s="43">
        <v>812</v>
      </c>
      <c r="B12" s="14" t="s">
        <v>479</v>
      </c>
    </row>
    <row r="13" spans="1:2" ht="49.5">
      <c r="A13" s="5">
        <v>840</v>
      </c>
      <c r="B13" s="14" t="s">
        <v>180</v>
      </c>
    </row>
    <row r="14" spans="1:2" ht="33">
      <c r="A14" s="5">
        <v>842</v>
      </c>
      <c r="B14" s="8" t="s">
        <v>177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A13"/>
    </sheetView>
  </sheetViews>
  <sheetFormatPr defaultColWidth="9.125" defaultRowHeight="12.75"/>
  <cols>
    <col min="1" max="1" width="13.125" style="25" customWidth="1"/>
    <col min="2" max="2" width="55.625" style="22" customWidth="1"/>
    <col min="3" max="16384" width="9.125" style="22" customWidth="1"/>
  </cols>
  <sheetData>
    <row r="1" spans="1:2" ht="16.5">
      <c r="A1" s="28" t="s">
        <v>281</v>
      </c>
      <c r="B1" s="26" t="s">
        <v>183</v>
      </c>
    </row>
    <row r="2" spans="1:2" ht="16.5">
      <c r="A2" s="7" t="s">
        <v>187</v>
      </c>
      <c r="B2" s="27" t="s">
        <v>288</v>
      </c>
    </row>
    <row r="3" spans="1:2" ht="33">
      <c r="A3" s="7" t="s">
        <v>189</v>
      </c>
      <c r="B3" s="27" t="s">
        <v>289</v>
      </c>
    </row>
    <row r="4" spans="1:2" ht="16.5">
      <c r="A4" s="7" t="s">
        <v>190</v>
      </c>
      <c r="B4" s="27" t="s">
        <v>158</v>
      </c>
    </row>
    <row r="5" spans="1:2" ht="16.5">
      <c r="A5" s="7" t="s">
        <v>195</v>
      </c>
      <c r="B5" s="27" t="s">
        <v>151</v>
      </c>
    </row>
    <row r="6" spans="1:2" ht="16.5">
      <c r="A6" s="7" t="s">
        <v>191</v>
      </c>
      <c r="B6" s="27" t="s">
        <v>137</v>
      </c>
    </row>
    <row r="7" spans="1:2" ht="16.5">
      <c r="A7" s="7" t="s">
        <v>170</v>
      </c>
      <c r="B7" s="27" t="s">
        <v>152</v>
      </c>
    </row>
    <row r="8" spans="1:2" ht="16.5">
      <c r="A8" s="7" t="s">
        <v>196</v>
      </c>
      <c r="B8" s="27" t="s">
        <v>290</v>
      </c>
    </row>
    <row r="9" spans="1:2" ht="16.5">
      <c r="A9" s="7" t="s">
        <v>193</v>
      </c>
      <c r="B9" s="27" t="s">
        <v>232</v>
      </c>
    </row>
    <row r="10" spans="1:2" ht="16.5">
      <c r="A10" s="7" t="s">
        <v>163</v>
      </c>
      <c r="B10" s="27" t="s">
        <v>153</v>
      </c>
    </row>
    <row r="11" spans="1:2" ht="16.5">
      <c r="A11" s="7" t="s">
        <v>198</v>
      </c>
      <c r="B11" s="27" t="s">
        <v>150</v>
      </c>
    </row>
    <row r="12" spans="1:2" ht="16.5">
      <c r="A12" s="7" t="s">
        <v>171</v>
      </c>
      <c r="B12" s="27" t="s">
        <v>192</v>
      </c>
    </row>
    <row r="13" spans="1:2" ht="33">
      <c r="A13" s="7" t="s">
        <v>165</v>
      </c>
      <c r="B13" s="27" t="s">
        <v>156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4"/>
  <sheetViews>
    <sheetView zoomScale="80" zoomScaleNormal="80" workbookViewId="0" topLeftCell="A4">
      <selection activeCell="F12" sqref="F12"/>
    </sheetView>
  </sheetViews>
  <sheetFormatPr defaultColWidth="9.125" defaultRowHeight="12.75"/>
  <cols>
    <col min="1" max="1" width="13.75390625" style="134" customWidth="1"/>
    <col min="2" max="2" width="89.00390625" style="102" customWidth="1"/>
    <col min="3" max="16384" width="9.125" style="124" customWidth="1"/>
  </cols>
  <sheetData>
    <row r="1" spans="1:2" ht="12.75">
      <c r="A1" s="123" t="s">
        <v>281</v>
      </c>
      <c r="B1" s="102" t="s">
        <v>183</v>
      </c>
    </row>
    <row r="2" spans="1:2" ht="12.75">
      <c r="A2" s="125" t="s">
        <v>237</v>
      </c>
      <c r="B2" s="102" t="s">
        <v>238</v>
      </c>
    </row>
    <row r="3" spans="1:2" ht="39.95" customHeight="1">
      <c r="A3" s="125" t="s">
        <v>239</v>
      </c>
      <c r="B3" s="102" t="s">
        <v>609</v>
      </c>
    </row>
    <row r="4" spans="1:2" ht="12.75">
      <c r="A4" s="125" t="s">
        <v>240</v>
      </c>
      <c r="B4" s="102" t="s">
        <v>576</v>
      </c>
    </row>
    <row r="5" spans="1:2" ht="33">
      <c r="A5" s="125" t="s">
        <v>241</v>
      </c>
      <c r="B5" s="102" t="s">
        <v>242</v>
      </c>
    </row>
    <row r="6" spans="1:2" ht="49.5">
      <c r="A6" s="125" t="s">
        <v>494</v>
      </c>
      <c r="B6" s="102" t="s">
        <v>496</v>
      </c>
    </row>
    <row r="7" spans="1:2" ht="12.75">
      <c r="A7" s="125" t="s">
        <v>495</v>
      </c>
      <c r="B7" s="102" t="s">
        <v>497</v>
      </c>
    </row>
    <row r="8" spans="1:2" ht="37.5" customHeight="1">
      <c r="A8" s="125" t="s">
        <v>577</v>
      </c>
      <c r="B8" s="102" t="s">
        <v>344</v>
      </c>
    </row>
    <row r="9" spans="1:2" ht="20.25" customHeight="1">
      <c r="A9" s="125" t="s">
        <v>243</v>
      </c>
      <c r="B9" s="102" t="s">
        <v>228</v>
      </c>
    </row>
    <row r="10" spans="1:2" ht="87.75" customHeight="1">
      <c r="A10" s="125" t="s">
        <v>244</v>
      </c>
      <c r="B10" s="102" t="s">
        <v>611</v>
      </c>
    </row>
    <row r="11" spans="1:2" ht="64.5" customHeight="1">
      <c r="A11" s="125" t="s">
        <v>345</v>
      </c>
      <c r="B11" s="102" t="s">
        <v>346</v>
      </c>
    </row>
    <row r="12" spans="1:2" ht="81.2" customHeight="1">
      <c r="A12" s="126" t="s">
        <v>578</v>
      </c>
      <c r="B12" s="102" t="s">
        <v>347</v>
      </c>
    </row>
    <row r="13" spans="1:2" ht="12.75">
      <c r="A13" s="125" t="s">
        <v>245</v>
      </c>
      <c r="B13" s="102" t="s">
        <v>220</v>
      </c>
    </row>
    <row r="14" spans="1:2" ht="53.25" customHeight="1">
      <c r="A14" s="125" t="s">
        <v>246</v>
      </c>
      <c r="B14" s="102" t="s">
        <v>612</v>
      </c>
    </row>
    <row r="15" spans="1:2" ht="85.5" customHeight="1">
      <c r="A15" s="125" t="s">
        <v>247</v>
      </c>
      <c r="B15" s="102" t="s">
        <v>613</v>
      </c>
    </row>
    <row r="16" spans="1:2" ht="44.25" customHeight="1">
      <c r="A16" s="125" t="s">
        <v>248</v>
      </c>
      <c r="B16" s="102" t="s">
        <v>249</v>
      </c>
    </row>
    <row r="17" spans="1:2" ht="36.75" customHeight="1">
      <c r="A17" s="125" t="s">
        <v>499</v>
      </c>
      <c r="B17" s="102" t="s">
        <v>498</v>
      </c>
    </row>
    <row r="18" spans="1:2" ht="53.25" customHeight="1">
      <c r="A18" s="125" t="s">
        <v>351</v>
      </c>
      <c r="B18" s="102" t="s">
        <v>356</v>
      </c>
    </row>
    <row r="19" spans="1:2" ht="81.2" customHeight="1">
      <c r="A19" s="125" t="s">
        <v>350</v>
      </c>
      <c r="B19" s="102" t="s">
        <v>579</v>
      </c>
    </row>
    <row r="20" spans="1:2" ht="12.75">
      <c r="A20" s="125" t="s">
        <v>250</v>
      </c>
      <c r="B20" s="102" t="s">
        <v>251</v>
      </c>
    </row>
    <row r="21" spans="1:2" ht="12.75">
      <c r="A21" s="125" t="s">
        <v>252</v>
      </c>
      <c r="B21" s="102" t="s">
        <v>253</v>
      </c>
    </row>
    <row r="22" spans="1:2" ht="49.5">
      <c r="A22" s="125" t="s">
        <v>254</v>
      </c>
      <c r="B22" s="96" t="s">
        <v>255</v>
      </c>
    </row>
    <row r="23" spans="1:2" ht="66.75" customHeight="1">
      <c r="A23" s="125" t="s">
        <v>98</v>
      </c>
      <c r="B23" s="102" t="s">
        <v>500</v>
      </c>
    </row>
    <row r="24" spans="1:2" ht="12.75">
      <c r="A24" s="125" t="s">
        <v>256</v>
      </c>
      <c r="B24" s="102" t="s">
        <v>257</v>
      </c>
    </row>
    <row r="25" spans="1:2" ht="36.75" customHeight="1">
      <c r="A25" s="125" t="s">
        <v>258</v>
      </c>
      <c r="B25" s="102" t="s">
        <v>259</v>
      </c>
    </row>
    <row r="26" spans="1:2" ht="38.25" customHeight="1">
      <c r="A26" s="125" t="s">
        <v>260</v>
      </c>
      <c r="B26" s="102" t="s">
        <v>463</v>
      </c>
    </row>
    <row r="27" spans="1:2" ht="43.5" customHeight="1">
      <c r="A27" s="125" t="s">
        <v>261</v>
      </c>
      <c r="B27" s="102" t="s">
        <v>262</v>
      </c>
    </row>
    <row r="28" spans="1:2" ht="110.25" customHeight="1">
      <c r="A28" s="125" t="s">
        <v>263</v>
      </c>
      <c r="B28" s="127" t="s">
        <v>501</v>
      </c>
    </row>
    <row r="29" spans="1:2" ht="61.5" customHeight="1">
      <c r="A29" s="125" t="s">
        <v>357</v>
      </c>
      <c r="B29" s="96" t="s">
        <v>464</v>
      </c>
    </row>
    <row r="30" spans="1:2" ht="78" customHeight="1">
      <c r="A30" s="125" t="s">
        <v>358</v>
      </c>
      <c r="B30" s="102" t="s">
        <v>465</v>
      </c>
    </row>
    <row r="31" spans="1:2" ht="41.25" customHeight="1">
      <c r="A31" s="125" t="s">
        <v>359</v>
      </c>
      <c r="B31" s="102" t="s">
        <v>360</v>
      </c>
    </row>
    <row r="32" spans="1:2" ht="44.25" customHeight="1">
      <c r="A32" s="125" t="s">
        <v>361</v>
      </c>
      <c r="B32" s="102" t="s">
        <v>466</v>
      </c>
    </row>
    <row r="33" spans="1:2" ht="12.75">
      <c r="A33" s="125" t="s">
        <v>362</v>
      </c>
      <c r="B33" s="102" t="s">
        <v>363</v>
      </c>
    </row>
    <row r="34" spans="1:2" ht="33">
      <c r="A34" s="125" t="s">
        <v>364</v>
      </c>
      <c r="B34" s="102" t="s">
        <v>365</v>
      </c>
    </row>
    <row r="35" spans="1:2" ht="33">
      <c r="A35" s="125" t="s">
        <v>341</v>
      </c>
      <c r="B35" s="102" t="s">
        <v>342</v>
      </c>
    </row>
    <row r="36" spans="1:2" ht="33">
      <c r="A36" s="125" t="s">
        <v>366</v>
      </c>
      <c r="B36" s="102" t="s">
        <v>367</v>
      </c>
    </row>
    <row r="37" spans="1:2" ht="33">
      <c r="A37" s="125" t="s">
        <v>368</v>
      </c>
      <c r="B37" s="102" t="s">
        <v>369</v>
      </c>
    </row>
    <row r="38" spans="1:2" ht="12.75">
      <c r="A38" s="125" t="s">
        <v>370</v>
      </c>
      <c r="B38" s="102" t="s">
        <v>371</v>
      </c>
    </row>
    <row r="39" spans="1:2" ht="12.75">
      <c r="A39" s="125" t="s">
        <v>372</v>
      </c>
      <c r="B39" s="102" t="s">
        <v>101</v>
      </c>
    </row>
    <row r="40" spans="1:2" ht="12.75">
      <c r="A40" s="125" t="s">
        <v>373</v>
      </c>
      <c r="B40" s="102" t="s">
        <v>374</v>
      </c>
    </row>
    <row r="41" spans="1:2" ht="12.75">
      <c r="A41" s="125" t="s">
        <v>375</v>
      </c>
      <c r="B41" s="102" t="s">
        <v>376</v>
      </c>
    </row>
    <row r="42" spans="1:2" ht="12.75">
      <c r="A42" s="125" t="s">
        <v>377</v>
      </c>
      <c r="B42" s="102" t="s">
        <v>378</v>
      </c>
    </row>
    <row r="43" spans="1:2" ht="51.75" customHeight="1">
      <c r="A43" s="125" t="s">
        <v>502</v>
      </c>
      <c r="B43" s="102" t="s">
        <v>503</v>
      </c>
    </row>
    <row r="44" spans="1:2" ht="24.75" customHeight="1">
      <c r="A44" s="125" t="s">
        <v>504</v>
      </c>
      <c r="B44" s="102" t="s">
        <v>505</v>
      </c>
    </row>
    <row r="45" spans="1:2" ht="12.75">
      <c r="A45" s="125" t="s">
        <v>379</v>
      </c>
      <c r="B45" s="102" t="s">
        <v>100</v>
      </c>
    </row>
    <row r="46" spans="1:2" ht="12.75">
      <c r="A46" s="125" t="s">
        <v>380</v>
      </c>
      <c r="B46" s="102" t="s">
        <v>381</v>
      </c>
    </row>
    <row r="47" spans="1:2" ht="12.75">
      <c r="A47" s="125" t="s">
        <v>382</v>
      </c>
      <c r="B47" s="102" t="s">
        <v>383</v>
      </c>
    </row>
    <row r="48" spans="1:2" ht="12.75">
      <c r="A48" s="125" t="s">
        <v>384</v>
      </c>
      <c r="B48" s="102" t="s">
        <v>385</v>
      </c>
    </row>
    <row r="49" spans="1:2" ht="12.75">
      <c r="A49" s="125" t="s">
        <v>386</v>
      </c>
      <c r="B49" s="102" t="s">
        <v>387</v>
      </c>
    </row>
    <row r="50" spans="1:2" ht="33">
      <c r="A50" s="125" t="s">
        <v>506</v>
      </c>
      <c r="B50" s="102" t="s">
        <v>507</v>
      </c>
    </row>
    <row r="51" spans="1:2" ht="12.75">
      <c r="A51" s="125" t="s">
        <v>388</v>
      </c>
      <c r="B51" s="102" t="s">
        <v>389</v>
      </c>
    </row>
    <row r="52" spans="1:2" ht="12.75">
      <c r="A52" s="125" t="s">
        <v>390</v>
      </c>
      <c r="B52" s="102" t="s">
        <v>381</v>
      </c>
    </row>
    <row r="53" spans="1:2" ht="33">
      <c r="A53" s="125" t="s">
        <v>391</v>
      </c>
      <c r="B53" s="102" t="s">
        <v>392</v>
      </c>
    </row>
    <row r="54" spans="1:2" ht="21" customHeight="1">
      <c r="A54" s="125" t="s">
        <v>508</v>
      </c>
      <c r="B54" s="102" t="s">
        <v>505</v>
      </c>
    </row>
    <row r="55" spans="1:2" ht="37.5" customHeight="1">
      <c r="A55" s="125" t="s">
        <v>509</v>
      </c>
      <c r="B55" s="102" t="s">
        <v>510</v>
      </c>
    </row>
    <row r="56" spans="1:2" ht="37.5" customHeight="1">
      <c r="A56" s="125" t="s">
        <v>511</v>
      </c>
      <c r="B56" s="102" t="s">
        <v>512</v>
      </c>
    </row>
    <row r="57" spans="1:2" ht="12.75">
      <c r="A57" s="125" t="s">
        <v>393</v>
      </c>
      <c r="B57" s="102" t="s">
        <v>394</v>
      </c>
    </row>
    <row r="58" spans="1:2" ht="12.75">
      <c r="A58" s="125" t="s">
        <v>395</v>
      </c>
      <c r="B58" s="102" t="s">
        <v>381</v>
      </c>
    </row>
    <row r="59" spans="1:2" ht="33">
      <c r="A59" s="125" t="s">
        <v>513</v>
      </c>
      <c r="B59" s="102" t="s">
        <v>512</v>
      </c>
    </row>
    <row r="60" spans="1:2" ht="24" customHeight="1">
      <c r="A60" s="125" t="s">
        <v>514</v>
      </c>
      <c r="B60" s="102" t="s">
        <v>505</v>
      </c>
    </row>
    <row r="61" spans="1:2" ht="12.75">
      <c r="A61" s="125" t="s">
        <v>396</v>
      </c>
      <c r="B61" s="102" t="s">
        <v>397</v>
      </c>
    </row>
    <row r="62" spans="1:2" ht="12.75">
      <c r="A62" s="125" t="s">
        <v>398</v>
      </c>
      <c r="B62" s="102" t="s">
        <v>399</v>
      </c>
    </row>
    <row r="63" spans="1:2" ht="36" customHeight="1">
      <c r="A63" s="125" t="s">
        <v>515</v>
      </c>
      <c r="B63" s="102" t="s">
        <v>516</v>
      </c>
    </row>
    <row r="64" spans="1:2" ht="23.25" customHeight="1">
      <c r="A64" s="125" t="s">
        <v>517</v>
      </c>
      <c r="B64" s="102" t="s">
        <v>519</v>
      </c>
    </row>
    <row r="65" spans="1:2" ht="21.95" customHeight="1">
      <c r="A65" s="125" t="s">
        <v>518</v>
      </c>
      <c r="B65" s="102" t="s">
        <v>520</v>
      </c>
    </row>
    <row r="66" spans="1:2" ht="12.75">
      <c r="A66" s="125" t="s">
        <v>400</v>
      </c>
      <c r="B66" s="102" t="s">
        <v>401</v>
      </c>
    </row>
    <row r="67" spans="1:2" ht="12.75">
      <c r="A67" s="125" t="s">
        <v>402</v>
      </c>
      <c r="B67" s="102" t="s">
        <v>403</v>
      </c>
    </row>
    <row r="68" spans="1:2" ht="33">
      <c r="A68" s="125" t="s">
        <v>404</v>
      </c>
      <c r="B68" s="102" t="s">
        <v>405</v>
      </c>
    </row>
    <row r="69" spans="1:2" ht="23.25" customHeight="1">
      <c r="A69" s="125" t="s">
        <v>406</v>
      </c>
      <c r="B69" s="102" t="s">
        <v>381</v>
      </c>
    </row>
    <row r="70" spans="1:2" ht="23.25" customHeight="1">
      <c r="A70" s="125" t="s">
        <v>521</v>
      </c>
      <c r="B70" s="102" t="s">
        <v>505</v>
      </c>
    </row>
    <row r="71" spans="1:2" ht="33">
      <c r="A71" s="125" t="s">
        <v>407</v>
      </c>
      <c r="B71" s="102" t="s">
        <v>408</v>
      </c>
    </row>
    <row r="72" spans="1:2" ht="39" customHeight="1">
      <c r="A72" s="125" t="s">
        <v>522</v>
      </c>
      <c r="B72" s="102" t="s">
        <v>523</v>
      </c>
    </row>
    <row r="73" spans="1:2" ht="40.5" customHeight="1">
      <c r="A73" s="125" t="s">
        <v>409</v>
      </c>
      <c r="B73" s="102" t="s">
        <v>410</v>
      </c>
    </row>
    <row r="74" spans="1:2" ht="12.75">
      <c r="A74" s="125" t="s">
        <v>411</v>
      </c>
      <c r="B74" s="102" t="s">
        <v>412</v>
      </c>
    </row>
    <row r="75" spans="1:2" ht="39.95" customHeight="1">
      <c r="A75" s="125" t="s">
        <v>413</v>
      </c>
      <c r="B75" s="102" t="s">
        <v>610</v>
      </c>
    </row>
    <row r="76" spans="1:2" ht="12.75">
      <c r="A76" s="125" t="s">
        <v>414</v>
      </c>
      <c r="B76" s="102" t="s">
        <v>488</v>
      </c>
    </row>
    <row r="77" spans="1:2" ht="12.75">
      <c r="A77" s="125" t="s">
        <v>415</v>
      </c>
      <c r="B77" s="102" t="s">
        <v>489</v>
      </c>
    </row>
    <row r="78" spans="1:2" ht="12.75">
      <c r="A78" s="125" t="s">
        <v>416</v>
      </c>
      <c r="B78" s="102" t="s">
        <v>417</v>
      </c>
    </row>
    <row r="79" spans="1:2" ht="42.75" customHeight="1">
      <c r="A79" s="125" t="s">
        <v>524</v>
      </c>
      <c r="B79" s="102" t="s">
        <v>525</v>
      </c>
    </row>
    <row r="80" spans="1:2" ht="12.75">
      <c r="A80" s="125" t="s">
        <v>418</v>
      </c>
      <c r="B80" s="102" t="s">
        <v>419</v>
      </c>
    </row>
    <row r="81" spans="1:2" ht="12.75">
      <c r="A81" s="125" t="s">
        <v>420</v>
      </c>
      <c r="B81" s="102" t="s">
        <v>421</v>
      </c>
    </row>
    <row r="82" spans="1:2" ht="40.5" customHeight="1">
      <c r="A82" s="125" t="s">
        <v>422</v>
      </c>
      <c r="B82" s="102" t="s">
        <v>423</v>
      </c>
    </row>
    <row r="83" spans="1:2" ht="83.45" customHeight="1">
      <c r="A83" s="125" t="s">
        <v>327</v>
      </c>
      <c r="B83" s="102" t="s">
        <v>328</v>
      </c>
    </row>
    <row r="84" spans="1:2" ht="12.75">
      <c r="A84" s="97" t="s">
        <v>424</v>
      </c>
      <c r="B84" s="102" t="s">
        <v>425</v>
      </c>
    </row>
    <row r="85" spans="1:2" ht="33">
      <c r="A85" s="97" t="s">
        <v>426</v>
      </c>
      <c r="B85" s="96" t="s">
        <v>427</v>
      </c>
    </row>
    <row r="86" spans="1:2" ht="33">
      <c r="A86" s="97" t="s">
        <v>428</v>
      </c>
      <c r="B86" s="96" t="s">
        <v>429</v>
      </c>
    </row>
    <row r="87" spans="1:2" ht="22.5" customHeight="1">
      <c r="A87" s="97" t="s">
        <v>430</v>
      </c>
      <c r="B87" s="96" t="s">
        <v>99</v>
      </c>
    </row>
    <row r="88" spans="1:2" ht="106.7" customHeight="1">
      <c r="A88" s="97" t="s">
        <v>431</v>
      </c>
      <c r="B88" s="96" t="s">
        <v>568</v>
      </c>
    </row>
    <row r="89" spans="1:2" ht="58.5" customHeight="1">
      <c r="A89" s="97" t="s">
        <v>526</v>
      </c>
      <c r="B89" s="96" t="s">
        <v>527</v>
      </c>
    </row>
    <row r="90" spans="1:2" ht="80.25" customHeight="1">
      <c r="A90" s="97" t="s">
        <v>594</v>
      </c>
      <c r="B90" s="96" t="s">
        <v>337</v>
      </c>
    </row>
    <row r="91" spans="1:2" ht="33">
      <c r="A91" s="97" t="s">
        <v>432</v>
      </c>
      <c r="B91" s="102" t="s">
        <v>433</v>
      </c>
    </row>
    <row r="92" spans="1:2" ht="53.25" customHeight="1">
      <c r="A92" s="97" t="s">
        <v>434</v>
      </c>
      <c r="B92" s="102" t="s">
        <v>528</v>
      </c>
    </row>
    <row r="93" spans="1:2" ht="33">
      <c r="A93" s="97" t="s">
        <v>435</v>
      </c>
      <c r="B93" s="96" t="s">
        <v>436</v>
      </c>
    </row>
    <row r="94" spans="1:2" ht="33">
      <c r="A94" s="97" t="s">
        <v>437</v>
      </c>
      <c r="B94" s="96" t="s">
        <v>438</v>
      </c>
    </row>
    <row r="95" spans="1:2" ht="33">
      <c r="A95" s="97" t="s">
        <v>439</v>
      </c>
      <c r="B95" s="96" t="s">
        <v>595</v>
      </c>
    </row>
    <row r="96" spans="1:2" ht="37.5" customHeight="1">
      <c r="A96" s="97" t="s">
        <v>440</v>
      </c>
      <c r="B96" s="102" t="s">
        <v>529</v>
      </c>
    </row>
    <row r="97" spans="1:2" ht="23.25" customHeight="1">
      <c r="A97" s="97" t="s">
        <v>441</v>
      </c>
      <c r="B97" s="102" t="s">
        <v>443</v>
      </c>
    </row>
    <row r="98" spans="1:2" ht="39" customHeight="1">
      <c r="A98" s="97" t="s">
        <v>442</v>
      </c>
      <c r="B98" s="102" t="s">
        <v>530</v>
      </c>
    </row>
    <row r="99" spans="1:2" ht="12.75">
      <c r="A99" s="125" t="s">
        <v>444</v>
      </c>
      <c r="B99" s="102" t="s">
        <v>445</v>
      </c>
    </row>
    <row r="100" spans="1:2" ht="33">
      <c r="A100" s="125" t="s">
        <v>446</v>
      </c>
      <c r="B100" s="102" t="s">
        <v>447</v>
      </c>
    </row>
    <row r="101" spans="1:2" ht="49.5">
      <c r="A101" s="125" t="s">
        <v>448</v>
      </c>
      <c r="B101" s="102" t="s">
        <v>478</v>
      </c>
    </row>
    <row r="102" spans="1:2" ht="72" customHeight="1">
      <c r="A102" s="125" t="s">
        <v>449</v>
      </c>
      <c r="B102" s="102" t="s">
        <v>467</v>
      </c>
    </row>
    <row r="103" spans="1:2" ht="35.25" customHeight="1">
      <c r="A103" s="125" t="s">
        <v>531</v>
      </c>
      <c r="B103" s="102" t="s">
        <v>532</v>
      </c>
    </row>
    <row r="104" spans="1:2" ht="12.75">
      <c r="A104" s="125" t="s">
        <v>450</v>
      </c>
      <c r="B104" s="102" t="s">
        <v>451</v>
      </c>
    </row>
    <row r="105" spans="1:2" ht="12.75">
      <c r="A105" s="125" t="s">
        <v>452</v>
      </c>
      <c r="B105" s="96" t="s">
        <v>606</v>
      </c>
    </row>
    <row r="106" spans="1:2" ht="12.75">
      <c r="A106" s="125" t="s">
        <v>453</v>
      </c>
      <c r="B106" s="96" t="s">
        <v>454</v>
      </c>
    </row>
    <row r="107" spans="1:2" ht="12.75">
      <c r="A107" s="125" t="s">
        <v>455</v>
      </c>
      <c r="B107" s="96" t="s">
        <v>456</v>
      </c>
    </row>
    <row r="108" spans="1:2" ht="12.75">
      <c r="A108" s="125" t="s">
        <v>457</v>
      </c>
      <c r="B108" s="96" t="s">
        <v>458</v>
      </c>
    </row>
    <row r="109" spans="1:2" ht="33">
      <c r="A109" s="125" t="s">
        <v>459</v>
      </c>
      <c r="B109" s="102" t="s">
        <v>460</v>
      </c>
    </row>
    <row r="110" spans="1:2" ht="41.25" customHeight="1">
      <c r="A110" s="125" t="s">
        <v>461</v>
      </c>
      <c r="B110" s="102" t="s">
        <v>292</v>
      </c>
    </row>
    <row r="111" spans="1:2" ht="75.95" customHeight="1">
      <c r="A111" s="125" t="s">
        <v>462</v>
      </c>
      <c r="B111" s="102" t="s">
        <v>0</v>
      </c>
    </row>
    <row r="112" spans="1:2" ht="38.25" customHeight="1">
      <c r="A112" s="97" t="s">
        <v>1</v>
      </c>
      <c r="B112" s="102" t="s">
        <v>468</v>
      </c>
    </row>
    <row r="113" spans="1:2" ht="38.25" customHeight="1">
      <c r="A113" s="97" t="s">
        <v>533</v>
      </c>
      <c r="B113" s="102" t="s">
        <v>534</v>
      </c>
    </row>
    <row r="114" spans="1:2" ht="12.75">
      <c r="A114" s="97" t="s">
        <v>2</v>
      </c>
      <c r="B114" s="102" t="s">
        <v>535</v>
      </c>
    </row>
    <row r="115" spans="1:2" ht="12.75">
      <c r="A115" s="97" t="s">
        <v>3</v>
      </c>
      <c r="B115" s="102" t="s">
        <v>536</v>
      </c>
    </row>
    <row r="116" spans="1:2" ht="21.95" customHeight="1">
      <c r="A116" s="97" t="s">
        <v>4</v>
      </c>
      <c r="B116" s="102" t="s">
        <v>469</v>
      </c>
    </row>
    <row r="117" spans="1:2" ht="49.5">
      <c r="A117" s="128" t="s">
        <v>5</v>
      </c>
      <c r="B117" s="102" t="s">
        <v>6</v>
      </c>
    </row>
    <row r="118" spans="1:2" ht="56.25" customHeight="1">
      <c r="A118" s="128" t="s">
        <v>7</v>
      </c>
      <c r="B118" s="102" t="s">
        <v>537</v>
      </c>
    </row>
    <row r="119" spans="1:2" ht="40.5" customHeight="1">
      <c r="A119" s="129" t="s">
        <v>340</v>
      </c>
      <c r="B119" s="102" t="s">
        <v>334</v>
      </c>
    </row>
    <row r="120" spans="1:2" ht="66.75" customHeight="1">
      <c r="A120" s="129" t="s">
        <v>338</v>
      </c>
      <c r="B120" s="102" t="s">
        <v>339</v>
      </c>
    </row>
    <row r="121" spans="1:2" ht="135.75" customHeight="1">
      <c r="A121" s="129" t="s">
        <v>580</v>
      </c>
      <c r="B121" s="102" t="s">
        <v>581</v>
      </c>
    </row>
    <row r="122" spans="1:2" ht="94.35" customHeight="1">
      <c r="A122" s="130" t="s">
        <v>336</v>
      </c>
      <c r="B122" s="131" t="s">
        <v>333</v>
      </c>
    </row>
    <row r="123" spans="1:2" ht="33">
      <c r="A123" s="97" t="s">
        <v>8</v>
      </c>
      <c r="B123" s="102" t="s">
        <v>9</v>
      </c>
    </row>
    <row r="124" spans="1:2" ht="49.5">
      <c r="A124" s="97" t="s">
        <v>10</v>
      </c>
      <c r="B124" s="102" t="s">
        <v>470</v>
      </c>
    </row>
    <row r="125" spans="1:2" ht="33">
      <c r="A125" s="97" t="s">
        <v>11</v>
      </c>
      <c r="B125" s="102" t="s">
        <v>471</v>
      </c>
    </row>
    <row r="126" spans="1:2" ht="49.5">
      <c r="A126" s="97" t="s">
        <v>12</v>
      </c>
      <c r="B126" s="102" t="s">
        <v>472</v>
      </c>
    </row>
    <row r="127" spans="1:2" ht="33">
      <c r="A127" s="97" t="s">
        <v>13</v>
      </c>
      <c r="B127" s="102" t="s">
        <v>14</v>
      </c>
    </row>
    <row r="128" spans="1:2" ht="53.25" customHeight="1">
      <c r="A128" s="97" t="s">
        <v>15</v>
      </c>
      <c r="B128" s="102" t="s">
        <v>473</v>
      </c>
    </row>
    <row r="129" spans="1:2" ht="39" customHeight="1">
      <c r="A129" s="97" t="s">
        <v>16</v>
      </c>
      <c r="B129" s="102" t="s">
        <v>17</v>
      </c>
    </row>
    <row r="130" spans="1:2" ht="52.7" customHeight="1">
      <c r="A130" s="97" t="s">
        <v>18</v>
      </c>
      <c r="B130" s="102" t="s">
        <v>474</v>
      </c>
    </row>
    <row r="131" spans="1:2" ht="33">
      <c r="A131" s="97" t="s">
        <v>19</v>
      </c>
      <c r="B131" s="102" t="s">
        <v>291</v>
      </c>
    </row>
    <row r="132" spans="1:2" ht="12.75">
      <c r="A132" s="97" t="s">
        <v>20</v>
      </c>
      <c r="B132" s="102" t="s">
        <v>21</v>
      </c>
    </row>
    <row r="133" spans="1:2" ht="56.25" customHeight="1">
      <c r="A133" s="97" t="s">
        <v>316</v>
      </c>
      <c r="B133" s="102" t="s">
        <v>538</v>
      </c>
    </row>
    <row r="134" spans="1:2" ht="42.75" customHeight="1">
      <c r="A134" s="97" t="s">
        <v>540</v>
      </c>
      <c r="B134" s="102" t="s">
        <v>539</v>
      </c>
    </row>
    <row r="135" spans="1:2" ht="42.75" customHeight="1">
      <c r="A135" s="73" t="s">
        <v>593</v>
      </c>
      <c r="B135" s="102" t="s">
        <v>583</v>
      </c>
    </row>
    <row r="136" spans="1:2" ht="42.75" customHeight="1">
      <c r="A136" s="73" t="s">
        <v>582</v>
      </c>
      <c r="B136" s="102" t="s">
        <v>583</v>
      </c>
    </row>
    <row r="137" spans="1:2" ht="33">
      <c r="A137" s="97" t="s">
        <v>22</v>
      </c>
      <c r="B137" s="102" t="s">
        <v>23</v>
      </c>
    </row>
    <row r="138" spans="1:2" ht="100.5" customHeight="1">
      <c r="A138" s="97" t="s">
        <v>584</v>
      </c>
      <c r="B138" s="102" t="s">
        <v>585</v>
      </c>
    </row>
    <row r="139" spans="1:2" ht="80.25" customHeight="1">
      <c r="A139" s="97" t="s">
        <v>352</v>
      </c>
      <c r="B139" s="102" t="s">
        <v>586</v>
      </c>
    </row>
    <row r="140" spans="1:2" ht="12.75">
      <c r="A140" s="97" t="s">
        <v>24</v>
      </c>
      <c r="B140" s="102" t="s">
        <v>25</v>
      </c>
    </row>
    <row r="141" spans="1:2" ht="33">
      <c r="A141" s="97" t="s">
        <v>26</v>
      </c>
      <c r="B141" s="102" t="s">
        <v>27</v>
      </c>
    </row>
    <row r="142" spans="1:2" ht="33">
      <c r="A142" s="97" t="s">
        <v>28</v>
      </c>
      <c r="B142" s="102" t="s">
        <v>29</v>
      </c>
    </row>
    <row r="143" spans="1:2" ht="33">
      <c r="A143" s="97" t="s">
        <v>30</v>
      </c>
      <c r="B143" s="102" t="s">
        <v>31</v>
      </c>
    </row>
    <row r="144" spans="1:2" ht="49.5">
      <c r="A144" s="97" t="s">
        <v>32</v>
      </c>
      <c r="B144" s="102" t="s">
        <v>475</v>
      </c>
    </row>
    <row r="145" spans="1:2" ht="33">
      <c r="A145" s="97" t="s">
        <v>33</v>
      </c>
      <c r="B145" s="102" t="s">
        <v>34</v>
      </c>
    </row>
    <row r="146" spans="1:2" ht="33">
      <c r="A146" s="97" t="s">
        <v>35</v>
      </c>
      <c r="B146" s="102" t="s">
        <v>36</v>
      </c>
    </row>
    <row r="147" spans="1:2" ht="33">
      <c r="A147" s="97" t="s">
        <v>37</v>
      </c>
      <c r="B147" s="96" t="s">
        <v>541</v>
      </c>
    </row>
    <row r="148" spans="1:2" ht="12.75">
      <c r="A148" s="97" t="s">
        <v>38</v>
      </c>
      <c r="B148" s="96" t="s">
        <v>39</v>
      </c>
    </row>
    <row r="149" spans="1:2" ht="38.25" customHeight="1">
      <c r="A149" s="97" t="s">
        <v>542</v>
      </c>
      <c r="B149" s="127" t="s">
        <v>543</v>
      </c>
    </row>
    <row r="150" spans="1:2" ht="37.5" customHeight="1">
      <c r="A150" s="97" t="s">
        <v>40</v>
      </c>
      <c r="B150" s="96" t="s">
        <v>476</v>
      </c>
    </row>
    <row r="151" spans="1:2" ht="33">
      <c r="A151" s="97" t="s">
        <v>41</v>
      </c>
      <c r="B151" s="96" t="s">
        <v>42</v>
      </c>
    </row>
    <row r="152" spans="1:2" ht="12.75">
      <c r="A152" s="97" t="s">
        <v>43</v>
      </c>
      <c r="B152" s="96" t="s">
        <v>315</v>
      </c>
    </row>
    <row r="153" spans="1:2" ht="42.75" customHeight="1">
      <c r="A153" s="97" t="s">
        <v>544</v>
      </c>
      <c r="B153" s="96" t="s">
        <v>545</v>
      </c>
    </row>
    <row r="154" spans="1:2" ht="33">
      <c r="A154" s="97" t="s">
        <v>44</v>
      </c>
      <c r="B154" s="96" t="s">
        <v>293</v>
      </c>
    </row>
    <row r="155" spans="1:2" ht="12.75">
      <c r="A155" s="97" t="s">
        <v>45</v>
      </c>
      <c r="B155" s="96" t="s">
        <v>46</v>
      </c>
    </row>
    <row r="156" spans="1:2" ht="33">
      <c r="A156" s="97" t="s">
        <v>47</v>
      </c>
      <c r="B156" s="96" t="s">
        <v>48</v>
      </c>
    </row>
    <row r="157" spans="1:2" ht="12.75">
      <c r="A157" s="97" t="s">
        <v>49</v>
      </c>
      <c r="B157" s="96" t="s">
        <v>50</v>
      </c>
    </row>
    <row r="158" spans="1:2" ht="33">
      <c r="A158" s="97" t="s">
        <v>51</v>
      </c>
      <c r="B158" s="96" t="s">
        <v>52</v>
      </c>
    </row>
    <row r="159" spans="1:2" ht="42.75" customHeight="1">
      <c r="A159" s="97" t="s">
        <v>348</v>
      </c>
      <c r="B159" s="96" t="s">
        <v>349</v>
      </c>
    </row>
    <row r="160" spans="1:2" ht="87" customHeight="1">
      <c r="A160" s="97" t="s">
        <v>343</v>
      </c>
      <c r="B160" s="96" t="s">
        <v>605</v>
      </c>
    </row>
    <row r="161" spans="1:2" ht="12.75">
      <c r="A161" s="97" t="s">
        <v>53</v>
      </c>
      <c r="B161" s="96" t="s">
        <v>54</v>
      </c>
    </row>
    <row r="162" spans="1:2" ht="12.75">
      <c r="A162" s="97" t="s">
        <v>55</v>
      </c>
      <c r="B162" s="96" t="s">
        <v>56</v>
      </c>
    </row>
    <row r="163" spans="1:2" ht="33">
      <c r="A163" s="97" t="s">
        <v>57</v>
      </c>
      <c r="B163" s="96" t="s">
        <v>58</v>
      </c>
    </row>
    <row r="164" spans="1:2" ht="55.5" customHeight="1">
      <c r="A164" s="97" t="s">
        <v>487</v>
      </c>
      <c r="B164" s="96" t="s">
        <v>608</v>
      </c>
    </row>
    <row r="165" spans="1:2" ht="42" customHeight="1">
      <c r="A165" s="97" t="s">
        <v>546</v>
      </c>
      <c r="B165" s="96" t="s">
        <v>547</v>
      </c>
    </row>
    <row r="166" spans="1:2" ht="42" customHeight="1">
      <c r="A166" s="97" t="s">
        <v>548</v>
      </c>
      <c r="B166" s="96" t="s">
        <v>549</v>
      </c>
    </row>
    <row r="167" spans="1:2" ht="33">
      <c r="A167" s="97" t="s">
        <v>59</v>
      </c>
      <c r="B167" s="96" t="s">
        <v>60</v>
      </c>
    </row>
    <row r="168" spans="1:2" ht="33">
      <c r="A168" s="97" t="s">
        <v>61</v>
      </c>
      <c r="B168" s="96" t="s">
        <v>62</v>
      </c>
    </row>
    <row r="169" spans="1:2" ht="33">
      <c r="A169" s="97" t="s">
        <v>63</v>
      </c>
      <c r="B169" s="96" t="s">
        <v>64</v>
      </c>
    </row>
    <row r="170" spans="1:2" ht="42.75" customHeight="1">
      <c r="A170" s="97" t="s">
        <v>65</v>
      </c>
      <c r="B170" s="96" t="s">
        <v>66</v>
      </c>
    </row>
    <row r="171" spans="1:2" ht="34.7" customHeight="1">
      <c r="A171" s="97" t="s">
        <v>550</v>
      </c>
      <c r="B171" s="96" t="s">
        <v>551</v>
      </c>
    </row>
    <row r="172" spans="1:2" ht="63.2" customHeight="1">
      <c r="A172" s="132" t="s">
        <v>67</v>
      </c>
      <c r="B172" s="102" t="s">
        <v>552</v>
      </c>
    </row>
    <row r="173" spans="1:2" ht="20.25" customHeight="1">
      <c r="A173" s="132" t="s">
        <v>68</v>
      </c>
      <c r="B173" s="102" t="s">
        <v>553</v>
      </c>
    </row>
    <row r="174" spans="1:2" ht="12.75">
      <c r="A174" s="132" t="s">
        <v>69</v>
      </c>
      <c r="B174" s="102" t="s">
        <v>294</v>
      </c>
    </row>
    <row r="175" spans="1:2" ht="12.75">
      <c r="A175" s="132" t="s">
        <v>71</v>
      </c>
      <c r="B175" s="102" t="s">
        <v>295</v>
      </c>
    </row>
    <row r="176" spans="1:2" ht="12.75">
      <c r="A176" s="132" t="s">
        <v>72</v>
      </c>
      <c r="B176" s="102" t="s">
        <v>70</v>
      </c>
    </row>
    <row r="177" spans="1:2" ht="12.75">
      <c r="A177" s="132" t="s">
        <v>483</v>
      </c>
      <c r="B177" s="102" t="s">
        <v>484</v>
      </c>
    </row>
    <row r="178" spans="1:2" ht="33">
      <c r="A178" s="132" t="s">
        <v>485</v>
      </c>
      <c r="B178" s="102" t="s">
        <v>486</v>
      </c>
    </row>
    <row r="179" spans="1:2" ht="24.75" customHeight="1">
      <c r="A179" s="132" t="s">
        <v>554</v>
      </c>
      <c r="B179" s="102" t="s">
        <v>607</v>
      </c>
    </row>
    <row r="180" spans="1:2" ht="22.5" customHeight="1">
      <c r="A180" s="132" t="s">
        <v>555</v>
      </c>
      <c r="B180" s="102" t="s">
        <v>556</v>
      </c>
    </row>
    <row r="181" spans="1:2" ht="23.25" customHeight="1">
      <c r="A181" s="132" t="s">
        <v>73</v>
      </c>
      <c r="B181" s="102" t="s">
        <v>557</v>
      </c>
    </row>
    <row r="182" spans="1:2" ht="22.5" customHeight="1">
      <c r="A182" s="132" t="s">
        <v>74</v>
      </c>
      <c r="B182" s="102" t="s">
        <v>558</v>
      </c>
    </row>
    <row r="183" spans="1:2" ht="33">
      <c r="A183" s="97" t="s">
        <v>75</v>
      </c>
      <c r="B183" s="96" t="s">
        <v>76</v>
      </c>
    </row>
    <row r="184" spans="1:2" ht="12.75">
      <c r="A184" s="97" t="s">
        <v>77</v>
      </c>
      <c r="B184" s="96" t="s">
        <v>78</v>
      </c>
    </row>
    <row r="185" spans="1:2" ht="33">
      <c r="A185" s="97" t="s">
        <v>79</v>
      </c>
      <c r="B185" s="96" t="s">
        <v>80</v>
      </c>
    </row>
    <row r="186" spans="1:2" ht="12.75">
      <c r="A186" s="97" t="s">
        <v>81</v>
      </c>
      <c r="B186" s="96" t="s">
        <v>82</v>
      </c>
    </row>
    <row r="187" spans="1:2" ht="12.75">
      <c r="A187" s="97" t="s">
        <v>83</v>
      </c>
      <c r="B187" s="96" t="s">
        <v>84</v>
      </c>
    </row>
    <row r="188" spans="1:2" ht="12.75">
      <c r="A188" s="97" t="s">
        <v>85</v>
      </c>
      <c r="B188" s="96" t="s">
        <v>86</v>
      </c>
    </row>
    <row r="189" spans="1:2" ht="12.75">
      <c r="A189" s="97" t="s">
        <v>87</v>
      </c>
      <c r="B189" s="96" t="s">
        <v>88</v>
      </c>
    </row>
    <row r="190" spans="1:2" ht="33">
      <c r="A190" s="97" t="s">
        <v>89</v>
      </c>
      <c r="B190" s="96" t="s">
        <v>90</v>
      </c>
    </row>
    <row r="191" spans="1:2" ht="33">
      <c r="A191" s="97" t="s">
        <v>91</v>
      </c>
      <c r="B191" s="96" t="s">
        <v>92</v>
      </c>
    </row>
    <row r="192" spans="1:2" ht="12.75">
      <c r="A192" s="97" t="s">
        <v>93</v>
      </c>
      <c r="B192" s="96" t="s">
        <v>94</v>
      </c>
    </row>
    <row r="193" spans="1:2" ht="33">
      <c r="A193" s="97" t="s">
        <v>95</v>
      </c>
      <c r="B193" s="96" t="s">
        <v>96</v>
      </c>
    </row>
    <row r="194" spans="1:2" ht="39" customHeight="1">
      <c r="A194" s="97" t="s">
        <v>97</v>
      </c>
      <c r="B194" s="96" t="s">
        <v>481</v>
      </c>
    </row>
    <row r="195" spans="1:2" ht="12.75">
      <c r="A195" s="97" t="s">
        <v>102</v>
      </c>
      <c r="B195" s="96" t="s">
        <v>559</v>
      </c>
    </row>
    <row r="196" spans="1:2" ht="12.75">
      <c r="A196" s="97" t="s">
        <v>103</v>
      </c>
      <c r="B196" s="96" t="s">
        <v>482</v>
      </c>
    </row>
    <row r="197" spans="1:2" ht="33">
      <c r="A197" s="97" t="s">
        <v>104</v>
      </c>
      <c r="B197" s="96" t="s">
        <v>321</v>
      </c>
    </row>
    <row r="198" spans="1:2" ht="33">
      <c r="A198" s="97" t="s">
        <v>105</v>
      </c>
      <c r="B198" s="96" t="s">
        <v>106</v>
      </c>
    </row>
    <row r="199" spans="1:2" ht="12.75">
      <c r="A199" s="97" t="s">
        <v>107</v>
      </c>
      <c r="B199" s="96" t="s">
        <v>108</v>
      </c>
    </row>
    <row r="200" spans="1:2" ht="33">
      <c r="A200" s="97" t="s">
        <v>109</v>
      </c>
      <c r="B200" s="96" t="s">
        <v>110</v>
      </c>
    </row>
    <row r="201" spans="1:2" ht="12.75">
      <c r="A201" s="97" t="s">
        <v>111</v>
      </c>
      <c r="B201" s="96" t="s">
        <v>112</v>
      </c>
    </row>
    <row r="202" spans="1:2" ht="33">
      <c r="A202" s="97" t="s">
        <v>113</v>
      </c>
      <c r="B202" s="96" t="s">
        <v>477</v>
      </c>
    </row>
    <row r="203" spans="1:2" ht="12.75">
      <c r="A203" s="97" t="s">
        <v>114</v>
      </c>
      <c r="B203" s="96" t="s">
        <v>115</v>
      </c>
    </row>
    <row r="204" spans="1:2" ht="49.5">
      <c r="A204" s="97" t="s">
        <v>116</v>
      </c>
      <c r="B204" s="96" t="s">
        <v>117</v>
      </c>
    </row>
    <row r="205" spans="1:2" ht="12.75">
      <c r="A205" s="97" t="s">
        <v>118</v>
      </c>
      <c r="B205" s="96" t="s">
        <v>119</v>
      </c>
    </row>
    <row r="206" spans="1:2" ht="41.25" customHeight="1">
      <c r="A206" s="97" t="s">
        <v>120</v>
      </c>
      <c r="B206" s="96" t="s">
        <v>560</v>
      </c>
    </row>
    <row r="207" spans="1:2" ht="22.5" customHeight="1">
      <c r="A207" s="97" t="s">
        <v>561</v>
      </c>
      <c r="B207" s="96" t="s">
        <v>562</v>
      </c>
    </row>
    <row r="208" spans="1:2" ht="98.25" customHeight="1">
      <c r="A208" s="130" t="s">
        <v>587</v>
      </c>
      <c r="B208" s="127" t="s">
        <v>588</v>
      </c>
    </row>
    <row r="209" spans="1:2" ht="60" customHeight="1">
      <c r="A209" s="97" t="s">
        <v>121</v>
      </c>
      <c r="B209" s="96" t="s">
        <v>564</v>
      </c>
    </row>
    <row r="210" spans="1:2" ht="57" customHeight="1">
      <c r="A210" s="97" t="s">
        <v>122</v>
      </c>
      <c r="B210" s="96" t="s">
        <v>569</v>
      </c>
    </row>
    <row r="211" spans="1:2" ht="57" customHeight="1">
      <c r="A211" s="97" t="s">
        <v>123</v>
      </c>
      <c r="B211" s="96" t="s">
        <v>570</v>
      </c>
    </row>
    <row r="212" spans="1:2" ht="69.75" customHeight="1">
      <c r="A212" s="97" t="s">
        <v>124</v>
      </c>
      <c r="B212" s="96" t="s">
        <v>571</v>
      </c>
    </row>
    <row r="213" spans="1:2" ht="40.5" customHeight="1">
      <c r="A213" s="97" t="s">
        <v>125</v>
      </c>
      <c r="B213" s="96" t="s">
        <v>563</v>
      </c>
    </row>
    <row r="214" spans="1:2" ht="72" customHeight="1">
      <c r="A214" s="97" t="s">
        <v>126</v>
      </c>
      <c r="B214" s="96" t="s">
        <v>572</v>
      </c>
    </row>
    <row r="215" spans="1:2" ht="61.5" customHeight="1">
      <c r="A215" s="97" t="s">
        <v>127</v>
      </c>
      <c r="B215" s="96" t="s">
        <v>128</v>
      </c>
    </row>
    <row r="216" spans="1:2" ht="33">
      <c r="A216" s="97" t="s">
        <v>129</v>
      </c>
      <c r="B216" s="96" t="s">
        <v>130</v>
      </c>
    </row>
    <row r="217" spans="1:2" ht="12.75">
      <c r="A217" s="97" t="s">
        <v>131</v>
      </c>
      <c r="B217" s="102" t="s">
        <v>132</v>
      </c>
    </row>
    <row r="218" spans="1:2" ht="12.75">
      <c r="A218" s="97" t="s">
        <v>133</v>
      </c>
      <c r="B218" s="102" t="s">
        <v>134</v>
      </c>
    </row>
    <row r="219" spans="1:2" ht="33">
      <c r="A219" s="125" t="s">
        <v>329</v>
      </c>
      <c r="B219" s="102" t="s">
        <v>590</v>
      </c>
    </row>
    <row r="220" spans="1:2" ht="12.75">
      <c r="A220" s="125" t="s">
        <v>264</v>
      </c>
      <c r="B220" s="102" t="s">
        <v>265</v>
      </c>
    </row>
    <row r="221" spans="1:2" ht="12.75">
      <c r="A221" s="125" t="s">
        <v>266</v>
      </c>
      <c r="B221" s="102" t="s">
        <v>267</v>
      </c>
    </row>
    <row r="222" spans="1:2" ht="33">
      <c r="A222" s="125" t="s">
        <v>268</v>
      </c>
      <c r="B222" s="102" t="s">
        <v>269</v>
      </c>
    </row>
    <row r="223" spans="1:2" ht="12.75">
      <c r="A223" s="125" t="s">
        <v>270</v>
      </c>
      <c r="B223" s="102" t="s">
        <v>206</v>
      </c>
    </row>
    <row r="224" spans="1:2" ht="12.75">
      <c r="A224" s="125" t="s">
        <v>271</v>
      </c>
      <c r="B224" s="102" t="s">
        <v>208</v>
      </c>
    </row>
    <row r="225" spans="1:2" ht="12.75">
      <c r="A225" s="125" t="s">
        <v>272</v>
      </c>
      <c r="B225" s="102" t="s">
        <v>145</v>
      </c>
    </row>
    <row r="226" spans="1:2" ht="12.75">
      <c r="A226" s="125" t="s">
        <v>273</v>
      </c>
      <c r="B226" s="102" t="s">
        <v>146</v>
      </c>
    </row>
    <row r="227" spans="1:2" ht="33">
      <c r="A227" s="125" t="s">
        <v>274</v>
      </c>
      <c r="B227" s="102" t="s">
        <v>275</v>
      </c>
    </row>
    <row r="228" spans="1:2" ht="12.75">
      <c r="A228" s="125" t="s">
        <v>276</v>
      </c>
      <c r="B228" s="102" t="s">
        <v>277</v>
      </c>
    </row>
    <row r="229" spans="1:2" ht="12.75">
      <c r="A229" s="125" t="s">
        <v>278</v>
      </c>
      <c r="B229" s="102" t="s">
        <v>210</v>
      </c>
    </row>
    <row r="230" spans="1:2" ht="12.75">
      <c r="A230" s="125" t="s">
        <v>565</v>
      </c>
      <c r="B230" s="102" t="s">
        <v>317</v>
      </c>
    </row>
    <row r="231" spans="1:2" ht="12.75">
      <c r="A231" s="125" t="s">
        <v>566</v>
      </c>
      <c r="B231" s="102" t="s">
        <v>318</v>
      </c>
    </row>
    <row r="232" spans="1:2" ht="12.75">
      <c r="A232" s="125" t="s">
        <v>567</v>
      </c>
      <c r="B232" s="102" t="s">
        <v>319</v>
      </c>
    </row>
    <row r="233" spans="1:2" ht="12.75">
      <c r="A233" s="125" t="s">
        <v>279</v>
      </c>
      <c r="B233" s="102" t="s">
        <v>181</v>
      </c>
    </row>
    <row r="234" spans="1:2" ht="12.75">
      <c r="A234" s="125" t="s">
        <v>280</v>
      </c>
      <c r="B234" s="102" t="s">
        <v>182</v>
      </c>
    </row>
    <row r="235" spans="1:2" ht="12.75">
      <c r="A235" s="133" t="s">
        <v>279</v>
      </c>
      <c r="B235" s="102" t="s">
        <v>181</v>
      </c>
    </row>
    <row r="236" spans="1:2" ht="12.75">
      <c r="A236" s="133" t="s">
        <v>280</v>
      </c>
      <c r="B236" s="96" t="s">
        <v>182</v>
      </c>
    </row>
    <row r="237" spans="1:2" ht="49.5">
      <c r="A237" s="125" t="s">
        <v>320</v>
      </c>
      <c r="B237" s="102" t="s">
        <v>573</v>
      </c>
    </row>
    <row r="238" spans="1:2" ht="55.5" customHeight="1">
      <c r="A238" s="133" t="s">
        <v>326</v>
      </c>
      <c r="B238" s="127" t="s">
        <v>332</v>
      </c>
    </row>
    <row r="239" spans="1:2" ht="102.75" customHeight="1">
      <c r="A239" s="133" t="s">
        <v>323</v>
      </c>
      <c r="B239" s="102" t="s">
        <v>591</v>
      </c>
    </row>
    <row r="240" spans="1:2" ht="90" customHeight="1">
      <c r="A240" s="133" t="s">
        <v>335</v>
      </c>
      <c r="B240" s="102" t="s">
        <v>592</v>
      </c>
    </row>
    <row r="241" spans="1:2" ht="88.7" customHeight="1">
      <c r="A241" s="133" t="s">
        <v>324</v>
      </c>
      <c r="B241" s="102" t="s">
        <v>325</v>
      </c>
    </row>
    <row r="242" spans="1:2" ht="87" customHeight="1">
      <c r="A242" s="133" t="s">
        <v>330</v>
      </c>
      <c r="B242" s="102" t="s">
        <v>331</v>
      </c>
    </row>
    <row r="243" spans="1:2" ht="12.75">
      <c r="A243" s="133" t="s">
        <v>353</v>
      </c>
      <c r="B243" s="102" t="s">
        <v>175</v>
      </c>
    </row>
    <row r="244" spans="1:2" ht="12.75">
      <c r="A244" s="133" t="s">
        <v>354</v>
      </c>
      <c r="B244" s="102" t="s">
        <v>176</v>
      </c>
    </row>
  </sheetData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3">
      <selection activeCell="A2" sqref="A2:A27"/>
    </sheetView>
  </sheetViews>
  <sheetFormatPr defaultColWidth="9.125" defaultRowHeight="12.75"/>
  <cols>
    <col min="1" max="1" width="9.75390625" style="33" customWidth="1"/>
    <col min="2" max="2" width="101.125" style="33" customWidth="1"/>
    <col min="3" max="16384" width="9.125" style="33" customWidth="1"/>
  </cols>
  <sheetData>
    <row r="1" spans="1:2" ht="12.75">
      <c r="A1" s="18" t="s">
        <v>281</v>
      </c>
      <c r="B1" s="16" t="s">
        <v>183</v>
      </c>
    </row>
    <row r="2" spans="1:2" ht="33">
      <c r="A2" s="34">
        <v>100</v>
      </c>
      <c r="B2" s="30" t="s">
        <v>296</v>
      </c>
    </row>
    <row r="3" spans="1:2" ht="12.75">
      <c r="A3" s="34">
        <v>110</v>
      </c>
      <c r="B3" s="35" t="s">
        <v>287</v>
      </c>
    </row>
    <row r="4" spans="1:2" ht="12.75">
      <c r="A4" s="34">
        <v>120</v>
      </c>
      <c r="B4" s="30" t="s">
        <v>297</v>
      </c>
    </row>
    <row r="5" spans="1:2" ht="12.75">
      <c r="A5" s="34">
        <v>200</v>
      </c>
      <c r="B5" s="30" t="s">
        <v>298</v>
      </c>
    </row>
    <row r="6" spans="1:2" ht="12.75">
      <c r="A6" s="34">
        <v>240</v>
      </c>
      <c r="B6" s="30" t="s">
        <v>282</v>
      </c>
    </row>
    <row r="7" spans="1:2" ht="12.75">
      <c r="A7" s="34">
        <v>300</v>
      </c>
      <c r="B7" s="30" t="s">
        <v>299</v>
      </c>
    </row>
    <row r="8" spans="1:2" ht="12.75">
      <c r="A8" s="34">
        <v>310</v>
      </c>
      <c r="B8" s="30" t="s">
        <v>300</v>
      </c>
    </row>
    <row r="9" spans="1:2" ht="12.75">
      <c r="A9" s="34">
        <v>320</v>
      </c>
      <c r="B9" s="30" t="s">
        <v>301</v>
      </c>
    </row>
    <row r="10" spans="1:2" ht="12.75">
      <c r="A10" s="36">
        <v>340</v>
      </c>
      <c r="B10" s="37" t="s">
        <v>283</v>
      </c>
    </row>
    <row r="11" spans="1:2" ht="12.75">
      <c r="A11" s="36">
        <v>350</v>
      </c>
      <c r="B11" s="37" t="s">
        <v>284</v>
      </c>
    </row>
    <row r="12" spans="1:2" ht="12.75">
      <c r="A12" s="34">
        <v>360</v>
      </c>
      <c r="B12" s="30" t="s">
        <v>302</v>
      </c>
    </row>
    <row r="13" spans="1:2" ht="12.75">
      <c r="A13" s="34">
        <v>400</v>
      </c>
      <c r="B13" s="30" t="s">
        <v>303</v>
      </c>
    </row>
    <row r="14" spans="1:2" ht="12.75">
      <c r="A14" s="34">
        <v>410</v>
      </c>
      <c r="B14" s="30" t="s">
        <v>304</v>
      </c>
    </row>
    <row r="15" spans="1:2" ht="33">
      <c r="A15" s="38">
        <v>600</v>
      </c>
      <c r="B15" s="39" t="s">
        <v>305</v>
      </c>
    </row>
    <row r="16" spans="1:2" ht="12.75">
      <c r="A16" s="38">
        <v>610</v>
      </c>
      <c r="B16" s="21" t="s">
        <v>306</v>
      </c>
    </row>
    <row r="17" spans="1:2" ht="12.75">
      <c r="A17" s="34">
        <v>620</v>
      </c>
      <c r="B17" s="30" t="s">
        <v>307</v>
      </c>
    </row>
    <row r="18" spans="1:2" ht="33">
      <c r="A18" s="34">
        <v>630</v>
      </c>
      <c r="B18" s="30" t="s">
        <v>308</v>
      </c>
    </row>
    <row r="19" spans="1:2" ht="12.75">
      <c r="A19" s="34">
        <v>700</v>
      </c>
      <c r="B19" s="30" t="s">
        <v>314</v>
      </c>
    </row>
    <row r="20" spans="1:2" ht="12.75">
      <c r="A20" s="34">
        <v>730</v>
      </c>
      <c r="B20" s="30" t="s">
        <v>285</v>
      </c>
    </row>
    <row r="21" spans="1:2" ht="12.75">
      <c r="A21" s="34">
        <v>800</v>
      </c>
      <c r="B21" s="30" t="s">
        <v>309</v>
      </c>
    </row>
    <row r="22" spans="1:2" ht="33">
      <c r="A22" s="34">
        <v>810</v>
      </c>
      <c r="B22" s="30" t="s">
        <v>286</v>
      </c>
    </row>
    <row r="23" spans="1:2" ht="33">
      <c r="A23" s="34">
        <v>840</v>
      </c>
      <c r="B23" s="30" t="s">
        <v>575</v>
      </c>
    </row>
    <row r="24" spans="1:2" ht="12.75">
      <c r="A24" s="34">
        <v>830</v>
      </c>
      <c r="B24" s="30" t="s">
        <v>310</v>
      </c>
    </row>
    <row r="25" spans="1:2" ht="12.75">
      <c r="A25" s="34">
        <v>850</v>
      </c>
      <c r="B25" s="30" t="s">
        <v>311</v>
      </c>
    </row>
    <row r="26" spans="1:2" ht="33">
      <c r="A26" s="36">
        <v>860</v>
      </c>
      <c r="B26" s="27" t="s">
        <v>355</v>
      </c>
    </row>
    <row r="27" spans="1:2" ht="12.75">
      <c r="A27" s="16">
        <v>870</v>
      </c>
      <c r="B27" s="17" t="s">
        <v>313</v>
      </c>
    </row>
  </sheetData>
  <dataValidations count="1">
    <dataValidation type="list" allowBlank="1" showInputMessage="1" showErrorMessage="1" sqref="B28:B65521">
      <formula1>$A$2:$A$25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Zeros="0" view="pageBreakPreview" zoomScale="80" zoomScaleSheetLayoutView="80" workbookViewId="0" topLeftCell="A1">
      <selection activeCell="D5" sqref="D5"/>
    </sheetView>
  </sheetViews>
  <sheetFormatPr defaultColWidth="9.125" defaultRowHeight="12.75"/>
  <cols>
    <col min="1" max="1" width="81.875" style="50" customWidth="1"/>
    <col min="2" max="2" width="14.125" style="51" customWidth="1"/>
    <col min="3" max="3" width="13.625" style="51" customWidth="1"/>
    <col min="4" max="4" width="25.125" style="51" customWidth="1"/>
    <col min="5" max="5" width="26.375" style="51" customWidth="1"/>
    <col min="6" max="16384" width="9.125" style="51" customWidth="1"/>
  </cols>
  <sheetData>
    <row r="1" spans="2:5" ht="12.75">
      <c r="B1" s="15"/>
      <c r="C1" s="42"/>
      <c r="D1" s="42"/>
      <c r="E1" s="64"/>
    </row>
    <row r="2" spans="2:5" ht="12.75">
      <c r="B2" s="15"/>
      <c r="C2" s="45"/>
      <c r="D2" s="118" t="s">
        <v>603</v>
      </c>
      <c r="E2" s="64"/>
    </row>
    <row r="3" spans="2:5" ht="12.75">
      <c r="B3" s="15"/>
      <c r="D3" s="67" t="s">
        <v>236</v>
      </c>
      <c r="E3" s="64"/>
    </row>
    <row r="4" spans="2:5" ht="12.75">
      <c r="B4" s="15"/>
      <c r="D4" s="67" t="s">
        <v>227</v>
      </c>
      <c r="E4" s="64"/>
    </row>
    <row r="5" spans="2:5" ht="12.75">
      <c r="B5" s="15"/>
      <c r="D5" s="67" t="s">
        <v>614</v>
      </c>
      <c r="E5" s="64"/>
    </row>
    <row r="6" ht="12.75">
      <c r="C6" s="52"/>
    </row>
    <row r="7" ht="12.75">
      <c r="C7" s="12"/>
    </row>
    <row r="8" spans="1:5" ht="12.75">
      <c r="A8" s="145" t="s">
        <v>148</v>
      </c>
      <c r="B8" s="146"/>
      <c r="C8" s="146"/>
      <c r="D8" s="147"/>
      <c r="E8" s="147"/>
    </row>
    <row r="9" spans="1:8" ht="18">
      <c r="A9" s="151" t="s">
        <v>600</v>
      </c>
      <c r="B9" s="152"/>
      <c r="C9" s="152"/>
      <c r="D9" s="147"/>
      <c r="E9" s="147"/>
      <c r="F9" s="121"/>
      <c r="G9" s="122"/>
      <c r="H9" s="122"/>
    </row>
    <row r="10" spans="1:8" ht="18">
      <c r="A10" s="151" t="s">
        <v>601</v>
      </c>
      <c r="B10" s="153"/>
      <c r="C10" s="153"/>
      <c r="D10" s="153"/>
      <c r="E10" s="147"/>
      <c r="F10" s="122"/>
      <c r="G10" s="122"/>
      <c r="H10" s="122"/>
    </row>
    <row r="11" spans="1:8" s="111" customFormat="1" ht="18">
      <c r="A11" s="112"/>
      <c r="B11" s="3"/>
      <c r="C11" s="3"/>
      <c r="D11" s="3"/>
      <c r="E11" s="120"/>
      <c r="F11" s="122"/>
      <c r="G11" s="122"/>
      <c r="H11" s="122"/>
    </row>
    <row r="12" spans="1:5" ht="16.7" customHeight="1">
      <c r="A12" s="11"/>
      <c r="B12" s="4"/>
      <c r="C12" s="63"/>
      <c r="D12" s="63"/>
      <c r="E12" s="63"/>
    </row>
    <row r="13" spans="1:5" ht="21" customHeight="1">
      <c r="A13" s="149" t="s">
        <v>183</v>
      </c>
      <c r="B13" s="149" t="s">
        <v>184</v>
      </c>
      <c r="C13" s="149" t="s">
        <v>185</v>
      </c>
      <c r="D13" s="148" t="s">
        <v>492</v>
      </c>
      <c r="E13" s="148"/>
    </row>
    <row r="14" spans="1:5" ht="33" customHeight="1">
      <c r="A14" s="150"/>
      <c r="B14" s="150"/>
      <c r="C14" s="149"/>
      <c r="D14" s="115" t="s">
        <v>493</v>
      </c>
      <c r="E14" s="115" t="s">
        <v>574</v>
      </c>
    </row>
    <row r="15" spans="1:5" ht="12.75">
      <c r="A15" s="10" t="s">
        <v>186</v>
      </c>
      <c r="B15" s="1" t="s">
        <v>187</v>
      </c>
      <c r="C15" s="1"/>
      <c r="D15" s="2">
        <f aca="true" t="shared" si="0" ref="D15:E15">SUM(D16:D22)</f>
        <v>425494.3</v>
      </c>
      <c r="E15" s="2">
        <f t="shared" si="0"/>
        <v>425978.9</v>
      </c>
    </row>
    <row r="16" spans="1:5" ht="33">
      <c r="A16" s="46" t="s">
        <v>205</v>
      </c>
      <c r="B16" s="1" t="s">
        <v>187</v>
      </c>
      <c r="C16" s="1" t="s">
        <v>188</v>
      </c>
      <c r="D16" s="2">
        <f>'прил.16'!G16</f>
        <v>3042.9</v>
      </c>
      <c r="E16" s="2">
        <f>'прил.16'!H16</f>
        <v>3042.9</v>
      </c>
    </row>
    <row r="17" spans="1:5" ht="49.5">
      <c r="A17" s="10" t="s">
        <v>144</v>
      </c>
      <c r="B17" s="1" t="s">
        <v>187</v>
      </c>
      <c r="C17" s="1" t="s">
        <v>189</v>
      </c>
      <c r="D17" s="23">
        <f>'прил.16'!G327</f>
        <v>17770.5</v>
      </c>
      <c r="E17" s="23">
        <f>'прил.16'!H327</f>
        <v>17770.5</v>
      </c>
    </row>
    <row r="18" spans="1:5" ht="49.5">
      <c r="A18" s="47" t="s">
        <v>207</v>
      </c>
      <c r="B18" s="1" t="s">
        <v>187</v>
      </c>
      <c r="C18" s="1" t="s">
        <v>190</v>
      </c>
      <c r="D18" s="2">
        <f>'прил.16'!G23</f>
        <v>131321.6</v>
      </c>
      <c r="E18" s="2">
        <f>'прил.16'!H23</f>
        <v>131451.7</v>
      </c>
    </row>
    <row r="19" spans="1:5" ht="12.75">
      <c r="A19" s="47" t="s">
        <v>322</v>
      </c>
      <c r="B19" s="1" t="s">
        <v>187</v>
      </c>
      <c r="C19" s="1" t="s">
        <v>195</v>
      </c>
      <c r="D19" s="2">
        <f>'прил.16'!G47</f>
        <v>165.4</v>
      </c>
      <c r="E19" s="2">
        <f>'прил.16'!H47</f>
        <v>0</v>
      </c>
    </row>
    <row r="20" spans="1:5" ht="33">
      <c r="A20" s="10" t="s">
        <v>141</v>
      </c>
      <c r="B20" s="1" t="s">
        <v>187</v>
      </c>
      <c r="C20" s="1" t="s">
        <v>191</v>
      </c>
      <c r="D20" s="2">
        <f>'прил.16'!G643+'прил.16'!G1151</f>
        <v>46776.8</v>
      </c>
      <c r="E20" s="2">
        <f>'прил.16'!H643+'прил.16'!H1151</f>
        <v>46716.8</v>
      </c>
    </row>
    <row r="21" spans="1:5" ht="12.75">
      <c r="A21" s="10" t="s">
        <v>175</v>
      </c>
      <c r="B21" s="1" t="s">
        <v>187</v>
      </c>
      <c r="C21" s="1" t="s">
        <v>198</v>
      </c>
      <c r="D21" s="2">
        <f>'прил.16'!G657</f>
        <v>56845.3</v>
      </c>
      <c r="E21" s="2">
        <f>'прил.16'!H657</f>
        <v>56845.3</v>
      </c>
    </row>
    <row r="22" spans="1:5" ht="12.75">
      <c r="A22" s="10" t="s">
        <v>209</v>
      </c>
      <c r="B22" s="1" t="s">
        <v>187</v>
      </c>
      <c r="C22" s="1" t="s">
        <v>165</v>
      </c>
      <c r="D22" s="2">
        <f>'прил.16'!G53+'прил.16'!G346+'прил.16'!G664+'прил.16'!G1004</f>
        <v>169571.8</v>
      </c>
      <c r="E22" s="2">
        <f>'прил.16'!H53+'прил.16'!H346+'прил.16'!H664+'прил.16'!H1004</f>
        <v>170151.69999999998</v>
      </c>
    </row>
    <row r="23" spans="1:5" ht="33">
      <c r="A23" s="10" t="s">
        <v>138</v>
      </c>
      <c r="B23" s="1" t="s">
        <v>189</v>
      </c>
      <c r="C23" s="1"/>
      <c r="D23" s="2">
        <f aca="true" t="shared" si="1" ref="D23:E23">SUM(D24)</f>
        <v>55463.20000000001</v>
      </c>
      <c r="E23" s="2">
        <f t="shared" si="1"/>
        <v>55567.600000000006</v>
      </c>
    </row>
    <row r="24" spans="1:5" ht="33">
      <c r="A24" s="10" t="s">
        <v>231</v>
      </c>
      <c r="B24" s="1" t="s">
        <v>189</v>
      </c>
      <c r="C24" s="1" t="s">
        <v>193</v>
      </c>
      <c r="D24" s="2">
        <f>'прил.16'!G155</f>
        <v>55463.20000000001</v>
      </c>
      <c r="E24" s="2">
        <f>'прил.16'!H155</f>
        <v>55567.600000000006</v>
      </c>
    </row>
    <row r="25" spans="1:5" ht="12.75">
      <c r="A25" s="10" t="s">
        <v>194</v>
      </c>
      <c r="B25" s="1" t="s">
        <v>190</v>
      </c>
      <c r="C25" s="1"/>
      <c r="D25" s="2">
        <f aca="true" t="shared" si="2" ref="D25:E25">SUM(D26:D30)</f>
        <v>686320.9000000001</v>
      </c>
      <c r="E25" s="2">
        <f t="shared" si="2"/>
        <v>663408.3</v>
      </c>
    </row>
    <row r="26" spans="1:5" ht="12.75">
      <c r="A26" s="47" t="s">
        <v>178</v>
      </c>
      <c r="B26" s="1" t="s">
        <v>190</v>
      </c>
      <c r="C26" s="1" t="s">
        <v>187</v>
      </c>
      <c r="D26" s="2">
        <f>'прил.16'!G203</f>
        <v>1193.7</v>
      </c>
      <c r="E26" s="2">
        <f>'прил.16'!H203</f>
        <v>1193.7</v>
      </c>
    </row>
    <row r="27" spans="1:5" ht="12.75">
      <c r="A27" s="48" t="s">
        <v>312</v>
      </c>
      <c r="B27" s="1" t="s">
        <v>190</v>
      </c>
      <c r="C27" s="1" t="s">
        <v>196</v>
      </c>
      <c r="D27" s="2">
        <f>'прил.16'!G1017+'прил.16'!G353+'прил.16'!G208</f>
        <v>62821.200000000004</v>
      </c>
      <c r="E27" s="2">
        <f>'прил.16'!H1017+'прил.16'!H353+'прил.16'!H208</f>
        <v>53169.1</v>
      </c>
    </row>
    <row r="28" spans="1:5" ht="12.75">
      <c r="A28" s="48" t="s">
        <v>155</v>
      </c>
      <c r="B28" s="1" t="s">
        <v>190</v>
      </c>
      <c r="C28" s="1" t="s">
        <v>193</v>
      </c>
      <c r="D28" s="2">
        <f>'прил.16'!G358+'прил.16'!G1026</f>
        <v>442193.80000000005</v>
      </c>
      <c r="E28" s="2">
        <f>'прил.16'!H358+'прил.16'!H1026</f>
        <v>427664.10000000003</v>
      </c>
    </row>
    <row r="29" spans="1:5" ht="12.75">
      <c r="A29" s="10" t="s">
        <v>204</v>
      </c>
      <c r="B29" s="1" t="s">
        <v>190</v>
      </c>
      <c r="C29" s="1" t="s">
        <v>163</v>
      </c>
      <c r="D29" s="2">
        <f>'прил.16'!G212+'прил.16'!G1038</f>
        <v>45013.9</v>
      </c>
      <c r="E29" s="2">
        <f>'прил.16'!H212+'прил.16'!H1038</f>
        <v>45076.3</v>
      </c>
    </row>
    <row r="30" spans="1:5" ht="12.75">
      <c r="A30" s="10" t="s">
        <v>197</v>
      </c>
      <c r="B30" s="1" t="s">
        <v>190</v>
      </c>
      <c r="C30" s="1" t="s">
        <v>171</v>
      </c>
      <c r="D30" s="2">
        <f>'прил.16'!G241+'прил.16'!G379+'прил.16'!G455+'прил.16'!G1044</f>
        <v>135098.3</v>
      </c>
      <c r="E30" s="2">
        <f>'прил.16'!H241+'прил.16'!H379+'прил.16'!H455+'прил.16'!H1044</f>
        <v>136305.09999999998</v>
      </c>
    </row>
    <row r="31" spans="1:5" ht="12.75">
      <c r="A31" s="10" t="s">
        <v>199</v>
      </c>
      <c r="B31" s="1" t="s">
        <v>195</v>
      </c>
      <c r="C31" s="1"/>
      <c r="D31" s="2">
        <f aca="true" t="shared" si="3" ref="D31:E31">SUM(D32:D35)</f>
        <v>206426.00000000003</v>
      </c>
      <c r="E31" s="2">
        <f t="shared" si="3"/>
        <v>211812.2</v>
      </c>
    </row>
    <row r="32" spans="1:5" ht="12.75">
      <c r="A32" s="10" t="s">
        <v>200</v>
      </c>
      <c r="B32" s="1" t="s">
        <v>195</v>
      </c>
      <c r="C32" s="1" t="s">
        <v>187</v>
      </c>
      <c r="D32" s="2">
        <f>'прил.16'!G393+'прил.16'!G1075</f>
        <v>44147.2</v>
      </c>
      <c r="E32" s="2">
        <f>'прил.16'!H393+'прил.16'!H1075</f>
        <v>45545.1</v>
      </c>
    </row>
    <row r="33" spans="1:5" ht="12.75">
      <c r="A33" s="10" t="s">
        <v>223</v>
      </c>
      <c r="B33" s="1" t="s">
        <v>195</v>
      </c>
      <c r="C33" s="1" t="s">
        <v>188</v>
      </c>
      <c r="D33" s="2">
        <f>'прил.16'!G1080</f>
        <v>2500</v>
      </c>
      <c r="E33" s="2">
        <f>'прил.16'!H1080</f>
        <v>3040</v>
      </c>
    </row>
    <row r="34" spans="1:5" ht="12.75">
      <c r="A34" s="40" t="s">
        <v>222</v>
      </c>
      <c r="B34" s="1" t="s">
        <v>195</v>
      </c>
      <c r="C34" s="1" t="s">
        <v>189</v>
      </c>
      <c r="D34" s="2">
        <f>'прил.16'!G413+'прил.16'!G1092</f>
        <v>134617.40000000002</v>
      </c>
      <c r="E34" s="2">
        <f>'прил.16'!H413+'прил.16'!H1092</f>
        <v>138065.7</v>
      </c>
    </row>
    <row r="35" spans="1:5" ht="12.75">
      <c r="A35" s="10" t="s">
        <v>140</v>
      </c>
      <c r="B35" s="1" t="s">
        <v>195</v>
      </c>
      <c r="C35" s="1" t="s">
        <v>195</v>
      </c>
      <c r="D35" s="2">
        <f>'прил.16'!G425</f>
        <v>25161.4</v>
      </c>
      <c r="E35" s="2">
        <f>'прил.16'!H425</f>
        <v>25161.4</v>
      </c>
    </row>
    <row r="36" spans="1:5" ht="12.75">
      <c r="A36" s="10" t="s">
        <v>224</v>
      </c>
      <c r="B36" s="1" t="s">
        <v>191</v>
      </c>
      <c r="C36" s="1"/>
      <c r="D36" s="2">
        <f aca="true" t="shared" si="4" ref="D36:E36">SUM(D37:D38)</f>
        <v>18344.399999999998</v>
      </c>
      <c r="E36" s="2">
        <f t="shared" si="4"/>
        <v>18344.399999999998</v>
      </c>
    </row>
    <row r="37" spans="1:5" ht="12.75">
      <c r="A37" s="49" t="s">
        <v>136</v>
      </c>
      <c r="B37" s="1" t="s">
        <v>191</v>
      </c>
      <c r="C37" s="1" t="s">
        <v>189</v>
      </c>
      <c r="D37" s="2">
        <f>'прил.16'!G1164</f>
        <v>1703.5</v>
      </c>
      <c r="E37" s="2">
        <f>'прил.16'!H1164</f>
        <v>1703.5</v>
      </c>
    </row>
    <row r="38" spans="1:5" ht="12.75">
      <c r="A38" s="10" t="s">
        <v>225</v>
      </c>
      <c r="B38" s="1" t="s">
        <v>191</v>
      </c>
      <c r="C38" s="1" t="s">
        <v>195</v>
      </c>
      <c r="D38" s="2">
        <f>'прил.16'!G435+'прил.16'!G1171</f>
        <v>16640.899999999998</v>
      </c>
      <c r="E38" s="2">
        <f>'прил.16'!H435+'прил.16'!H1171</f>
        <v>16640.899999999998</v>
      </c>
    </row>
    <row r="39" spans="1:5" ht="12.75">
      <c r="A39" s="10" t="s">
        <v>226</v>
      </c>
      <c r="B39" s="1" t="s">
        <v>170</v>
      </c>
      <c r="C39" s="1"/>
      <c r="D39" s="2">
        <f aca="true" t="shared" si="5" ref="D39:E39">SUM(D40:D43)</f>
        <v>3057748</v>
      </c>
      <c r="E39" s="2">
        <f t="shared" si="5"/>
        <v>3384868.8000000003</v>
      </c>
    </row>
    <row r="40" spans="1:5" ht="12.75">
      <c r="A40" s="10" t="s">
        <v>228</v>
      </c>
      <c r="B40" s="1" t="s">
        <v>170</v>
      </c>
      <c r="C40" s="1" t="s">
        <v>187</v>
      </c>
      <c r="D40" s="2">
        <f>'прил.16'!G472</f>
        <v>1328288.7</v>
      </c>
      <c r="E40" s="2">
        <f>'прил.16'!H472</f>
        <v>1479285.5</v>
      </c>
    </row>
    <row r="41" spans="1:5" ht="12.75">
      <c r="A41" s="10" t="s">
        <v>220</v>
      </c>
      <c r="B41" s="1" t="s">
        <v>170</v>
      </c>
      <c r="C41" s="1" t="s">
        <v>188</v>
      </c>
      <c r="D41" s="2">
        <f>'прил.16'!G497+'прил.16'!G681+'прил.16'!G833+'прил.16'!G1104</f>
        <v>1590269.7</v>
      </c>
      <c r="E41" s="2">
        <f>'прил.16'!H497+'прил.16'!H681+'прил.16'!H833+'прил.16'!H1104</f>
        <v>1757140.9999999998</v>
      </c>
    </row>
    <row r="42" spans="1:5" ht="12.75">
      <c r="A42" s="10" t="s">
        <v>174</v>
      </c>
      <c r="B42" s="1" t="s">
        <v>170</v>
      </c>
      <c r="C42" s="1" t="s">
        <v>170</v>
      </c>
      <c r="D42" s="2">
        <f>'прил.16'!G261+'прил.16'!G904+'прил.16'!G1109</f>
        <v>52711.50000000001</v>
      </c>
      <c r="E42" s="2">
        <f>'прил.16'!H261+'прил.16'!H904+'прил.16'!H1109</f>
        <v>53557.100000000006</v>
      </c>
    </row>
    <row r="43" spans="1:5" ht="12.75">
      <c r="A43" s="10" t="s">
        <v>221</v>
      </c>
      <c r="B43" s="1" t="s">
        <v>170</v>
      </c>
      <c r="C43" s="1" t="s">
        <v>193</v>
      </c>
      <c r="D43" s="2">
        <f>'прил.16'!G541+'прил.16'!G839+'прил.16'!G1119+'прил.16'!G687</f>
        <v>86478.09999999999</v>
      </c>
      <c r="E43" s="2">
        <f>'прил.16'!H541+'прил.16'!H839+'прил.16'!H1119+'прил.16'!H687</f>
        <v>94885.19999999998</v>
      </c>
    </row>
    <row r="44" spans="1:5" ht="12.75">
      <c r="A44" s="10" t="s">
        <v>143</v>
      </c>
      <c r="B44" s="1" t="s">
        <v>196</v>
      </c>
      <c r="C44" s="1"/>
      <c r="D44" s="2">
        <f aca="true" t="shared" si="6" ref="D44:E44">SUM(D45:D46)</f>
        <v>264596.7</v>
      </c>
      <c r="E44" s="2">
        <f t="shared" si="6"/>
        <v>265580.3</v>
      </c>
    </row>
    <row r="45" spans="1:5" ht="12.75">
      <c r="A45" s="10" t="s">
        <v>159</v>
      </c>
      <c r="B45" s="1" t="s">
        <v>196</v>
      </c>
      <c r="C45" s="1" t="s">
        <v>187</v>
      </c>
      <c r="D45" s="2">
        <f>'прил.16'!G699+'прил.16'!G1132</f>
        <v>246801.6</v>
      </c>
      <c r="E45" s="2">
        <f>'прил.16'!H699+'прил.16'!H1132</f>
        <v>247767</v>
      </c>
    </row>
    <row r="46" spans="1:5" s="24" customFormat="1" ht="12.75">
      <c r="A46" s="10" t="s">
        <v>139</v>
      </c>
      <c r="B46" s="1" t="s">
        <v>196</v>
      </c>
      <c r="C46" s="1" t="s">
        <v>190</v>
      </c>
      <c r="D46" s="2">
        <f>'прил.16'!G757+'прил.16'!G1137</f>
        <v>17795.100000000002</v>
      </c>
      <c r="E46" s="2">
        <f>'прил.16'!H757+'прил.16'!H1137</f>
        <v>17813.300000000003</v>
      </c>
    </row>
    <row r="47" spans="1:5" s="15" customFormat="1" ht="12.75">
      <c r="A47" s="40" t="s">
        <v>234</v>
      </c>
      <c r="B47" s="1" t="s">
        <v>193</v>
      </c>
      <c r="C47" s="1"/>
      <c r="D47" s="2">
        <f aca="true" t="shared" si="7" ref="D47:E47">SUM(D48)</f>
        <v>1957.5</v>
      </c>
      <c r="E47" s="2">
        <f t="shared" si="7"/>
        <v>1957.5</v>
      </c>
    </row>
    <row r="48" spans="1:5" s="15" customFormat="1" ht="12.75">
      <c r="A48" s="48" t="s">
        <v>233</v>
      </c>
      <c r="B48" s="1" t="s">
        <v>193</v>
      </c>
      <c r="C48" s="1" t="s">
        <v>170</v>
      </c>
      <c r="D48" s="2">
        <f>'прил.16'!G441</f>
        <v>1957.5</v>
      </c>
      <c r="E48" s="2">
        <f>'прил.16'!H441</f>
        <v>1957.5</v>
      </c>
    </row>
    <row r="49" spans="1:5" ht="12.75">
      <c r="A49" s="10" t="s">
        <v>162</v>
      </c>
      <c r="B49" s="1" t="s">
        <v>163</v>
      </c>
      <c r="C49" s="1"/>
      <c r="D49" s="2">
        <f aca="true" t="shared" si="8" ref="D49:E49">SUM(D50:D54)</f>
        <v>863380.2999999999</v>
      </c>
      <c r="E49" s="2">
        <f t="shared" si="8"/>
        <v>1024253.2</v>
      </c>
    </row>
    <row r="50" spans="1:5" ht="12.75">
      <c r="A50" s="10" t="s">
        <v>160</v>
      </c>
      <c r="B50" s="1" t="s">
        <v>163</v>
      </c>
      <c r="C50" s="1" t="s">
        <v>187</v>
      </c>
      <c r="D50" s="2">
        <f>'прил.16'!G280</f>
        <v>16301.3</v>
      </c>
      <c r="E50" s="2">
        <f>'прил.16'!H280</f>
        <v>16301.3</v>
      </c>
    </row>
    <row r="51" spans="1:5" ht="12.75">
      <c r="A51" s="10" t="s">
        <v>229</v>
      </c>
      <c r="B51" s="1" t="s">
        <v>163</v>
      </c>
      <c r="C51" s="1" t="s">
        <v>188</v>
      </c>
      <c r="D51" s="2">
        <f>'прил.16'!G920</f>
        <v>190819.9</v>
      </c>
      <c r="E51" s="2">
        <f>'прил.16'!H920</f>
        <v>204999.09999999998</v>
      </c>
    </row>
    <row r="52" spans="1:5" ht="12.75">
      <c r="A52" s="10" t="s">
        <v>154</v>
      </c>
      <c r="B52" s="1" t="s">
        <v>163</v>
      </c>
      <c r="C52" s="1" t="s">
        <v>189</v>
      </c>
      <c r="D52" s="2">
        <f>'прил.16'!G286+'прил.16'!G448+'прил.16'!G615+'прил.16'!G929</f>
        <v>514408.6</v>
      </c>
      <c r="E52" s="2">
        <f>'прил.16'!H286+'прил.16'!H448+'прил.16'!H615+'прил.16'!H929</f>
        <v>606517.3</v>
      </c>
    </row>
    <row r="53" spans="1:5" ht="12.75">
      <c r="A53" s="47" t="s">
        <v>179</v>
      </c>
      <c r="B53" s="1" t="s">
        <v>163</v>
      </c>
      <c r="C53" s="1" t="s">
        <v>190</v>
      </c>
      <c r="D53" s="2">
        <f>'прил.16'!G626+'прил.16'!G970</f>
        <v>80076.6</v>
      </c>
      <c r="E53" s="2">
        <f>'прил.16'!H626+'прил.16'!H970</f>
        <v>134654.2</v>
      </c>
    </row>
    <row r="54" spans="1:5" ht="12.75">
      <c r="A54" s="10" t="s">
        <v>164</v>
      </c>
      <c r="B54" s="1" t="s">
        <v>163</v>
      </c>
      <c r="C54" s="1" t="s">
        <v>191</v>
      </c>
      <c r="D54" s="2">
        <f>'прил.16'!G976</f>
        <v>61773.90000000001</v>
      </c>
      <c r="E54" s="2">
        <f>'прил.16'!H976</f>
        <v>61781.3</v>
      </c>
    </row>
    <row r="55" spans="1:5" ht="12.75">
      <c r="A55" s="10" t="s">
        <v>166</v>
      </c>
      <c r="B55" s="1" t="s">
        <v>198</v>
      </c>
      <c r="C55" s="1"/>
      <c r="D55" s="2">
        <f aca="true" t="shared" si="9" ref="D55:E55">SUM(D56:D58)</f>
        <v>134855.2</v>
      </c>
      <c r="E55" s="2">
        <f t="shared" si="9"/>
        <v>103247.6</v>
      </c>
    </row>
    <row r="56" spans="1:5" ht="12.75">
      <c r="A56" s="10" t="s">
        <v>161</v>
      </c>
      <c r="B56" s="1" t="s">
        <v>198</v>
      </c>
      <c r="C56" s="1" t="s">
        <v>187</v>
      </c>
      <c r="D56" s="2">
        <f>'прил.16'!G864</f>
        <v>122625.5</v>
      </c>
      <c r="E56" s="2">
        <f>'прил.16'!H864</f>
        <v>91013.6</v>
      </c>
    </row>
    <row r="57" spans="1:5" ht="12.75">
      <c r="A57" s="10" t="s">
        <v>235</v>
      </c>
      <c r="B57" s="1" t="s">
        <v>198</v>
      </c>
      <c r="C57" s="1" t="s">
        <v>188</v>
      </c>
      <c r="D57" s="2">
        <f>'прил.16'!G887</f>
        <v>2359.1</v>
      </c>
      <c r="E57" s="2">
        <f>'прил.16'!H887</f>
        <v>2359.1</v>
      </c>
    </row>
    <row r="58" spans="1:5" ht="12.75">
      <c r="A58" s="10" t="s">
        <v>167</v>
      </c>
      <c r="B58" s="1" t="s">
        <v>198</v>
      </c>
      <c r="C58" s="1" t="s">
        <v>195</v>
      </c>
      <c r="D58" s="2">
        <f>'прил.16'!G892+'прил.16'!G1143</f>
        <v>9870.6</v>
      </c>
      <c r="E58" s="2">
        <f>'прил.16'!H892+'прил.16'!H1143</f>
        <v>9874.9</v>
      </c>
    </row>
    <row r="59" spans="1:5" ht="12.75">
      <c r="A59" s="10" t="s">
        <v>168</v>
      </c>
      <c r="B59" s="1" t="s">
        <v>171</v>
      </c>
      <c r="C59" s="1"/>
      <c r="D59" s="2">
        <f aca="true" t="shared" si="10" ref="D59:E59">SUM(D60)</f>
        <v>45073.6</v>
      </c>
      <c r="E59" s="2">
        <f t="shared" si="10"/>
        <v>45106.399999999994</v>
      </c>
    </row>
    <row r="60" spans="1:5" ht="12.75">
      <c r="A60" s="10" t="s">
        <v>173</v>
      </c>
      <c r="B60" s="1" t="s">
        <v>171</v>
      </c>
      <c r="C60" s="1" t="s">
        <v>188</v>
      </c>
      <c r="D60" s="2">
        <f>'прил.16'!G308</f>
        <v>45073.6</v>
      </c>
      <c r="E60" s="2">
        <f>'прил.16'!H308</f>
        <v>45106.399999999994</v>
      </c>
    </row>
    <row r="61" spans="1:5" ht="33">
      <c r="A61" s="10" t="s">
        <v>169</v>
      </c>
      <c r="B61" s="1" t="s">
        <v>165</v>
      </c>
      <c r="C61" s="1"/>
      <c r="D61" s="2">
        <f aca="true" t="shared" si="11" ref="D61:E61">SUM(D62)</f>
        <v>140156.5</v>
      </c>
      <c r="E61" s="2">
        <f t="shared" si="11"/>
        <v>170361.5</v>
      </c>
    </row>
    <row r="62" spans="1:5" ht="12.75">
      <c r="A62" s="10" t="s">
        <v>230</v>
      </c>
      <c r="B62" s="1" t="s">
        <v>165</v>
      </c>
      <c r="C62" s="1" t="s">
        <v>187</v>
      </c>
      <c r="D62" s="2">
        <f>'прил.16'!G672</f>
        <v>140156.5</v>
      </c>
      <c r="E62" s="2">
        <f>'прил.16'!H672</f>
        <v>170361.5</v>
      </c>
    </row>
    <row r="63" spans="1:5" ht="12.75">
      <c r="A63" s="55" t="s">
        <v>597</v>
      </c>
      <c r="B63" s="1"/>
      <c r="C63" s="1"/>
      <c r="D63" s="2">
        <f aca="true" t="shared" si="12" ref="D63:E63">D15+D23+D25+D31+D36+D39+D44+D47+D49+D55+D59+D61</f>
        <v>5899816.6</v>
      </c>
      <c r="E63" s="2">
        <f t="shared" si="12"/>
        <v>6370486.7</v>
      </c>
    </row>
    <row r="64" spans="1:5" ht="12.75">
      <c r="A64" s="55" t="s">
        <v>596</v>
      </c>
      <c r="B64" s="135"/>
      <c r="C64" s="135"/>
      <c r="D64" s="117">
        <v>302427.8</v>
      </c>
      <c r="E64" s="117">
        <v>309455.4</v>
      </c>
    </row>
    <row r="65" spans="1:5" ht="12.75">
      <c r="A65" s="102" t="s">
        <v>142</v>
      </c>
      <c r="B65" s="135"/>
      <c r="C65" s="135"/>
      <c r="D65" s="23">
        <f>D63+D64</f>
        <v>6202244.399999999</v>
      </c>
      <c r="E65" s="23">
        <f>E63+E64</f>
        <v>6679942.100000001</v>
      </c>
    </row>
  </sheetData>
  <mergeCells count="7">
    <mergeCell ref="A8:E8"/>
    <mergeCell ref="D13:E13"/>
    <mergeCell ref="B13:B14"/>
    <mergeCell ref="C13:C14"/>
    <mergeCell ref="A13:A14"/>
    <mergeCell ref="A9:E9"/>
    <mergeCell ref="A10:E10"/>
  </mergeCells>
  <printOptions/>
  <pageMargins left="1.1811023622047245" right="0.3937007874015748" top="0.7874015748031497" bottom="0.7874015748031497" header="0.3937007874015748" footer="0.15748031496062992"/>
  <pageSetup fitToHeight="2" fitToWidth="1" horizontalDpi="600" verticalDpi="600" orientation="portrait" paperSize="9" scale="54" r:id="rId1"/>
  <headerFooter alignWithMargins="0">
    <oddHeader>&amp;C&amp;P</oddHeader>
  </headerFooter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1"/>
  <sheetViews>
    <sheetView showZeros="0" zoomScale="80" zoomScaleNormal="80" workbookViewId="0" topLeftCell="A417">
      <selection activeCell="A416" sqref="A416"/>
    </sheetView>
  </sheetViews>
  <sheetFormatPr defaultColWidth="9.125" defaultRowHeight="12.75"/>
  <cols>
    <col min="1" max="1" width="72.25390625" style="106" customWidth="1"/>
    <col min="2" max="2" width="14.125" style="15" customWidth="1"/>
    <col min="3" max="3" width="9.75390625" style="15" customWidth="1"/>
    <col min="4" max="4" width="8.875" style="15" customWidth="1"/>
    <col min="5" max="5" width="9.875" style="15" customWidth="1"/>
    <col min="6" max="6" width="24.00390625" style="15" customWidth="1"/>
    <col min="7" max="7" width="26.875" style="15" customWidth="1"/>
    <col min="8" max="16384" width="9.125" style="15" customWidth="1"/>
  </cols>
  <sheetData>
    <row r="1" spans="5:7" ht="12.75">
      <c r="E1" s="44"/>
      <c r="F1" s="118" t="s">
        <v>604</v>
      </c>
      <c r="G1" s="65"/>
    </row>
    <row r="2" spans="5:7" ht="12.75">
      <c r="E2" s="68"/>
      <c r="F2" s="67" t="s">
        <v>236</v>
      </c>
      <c r="G2" s="66"/>
    </row>
    <row r="3" spans="5:7" ht="12.75">
      <c r="E3" s="67"/>
      <c r="F3" s="67" t="s">
        <v>227</v>
      </c>
      <c r="G3" s="65"/>
    </row>
    <row r="4" spans="5:7" ht="12.75">
      <c r="E4" s="67"/>
      <c r="F4" s="67" t="s">
        <v>614</v>
      </c>
      <c r="G4" s="65"/>
    </row>
    <row r="5" spans="5:7" ht="12.75">
      <c r="E5" s="67"/>
      <c r="F5" s="65"/>
      <c r="G5" s="65"/>
    </row>
    <row r="8" ht="12.75">
      <c r="E8" s="4"/>
    </row>
    <row r="9" spans="1:7" ht="12.75">
      <c r="A9" s="145" t="s">
        <v>147</v>
      </c>
      <c r="B9" s="145"/>
      <c r="C9" s="145"/>
      <c r="D9" s="145"/>
      <c r="E9" s="145"/>
      <c r="F9" s="147"/>
      <c r="G9" s="147"/>
    </row>
    <row r="10" spans="1:7" ht="12.75">
      <c r="A10" s="145" t="s">
        <v>602</v>
      </c>
      <c r="B10" s="145"/>
      <c r="C10" s="145"/>
      <c r="D10" s="145"/>
      <c r="E10" s="145"/>
      <c r="F10" s="154"/>
      <c r="G10" s="154"/>
    </row>
    <row r="11" spans="1:7" ht="12.75">
      <c r="A11" s="151" t="s">
        <v>601</v>
      </c>
      <c r="B11" s="152"/>
      <c r="C11" s="152"/>
      <c r="D11" s="152"/>
      <c r="E11" s="152"/>
      <c r="F11" s="152"/>
      <c r="G11" s="152"/>
    </row>
    <row r="12" spans="1:7" ht="12.75">
      <c r="A12" s="142"/>
      <c r="B12" s="143"/>
      <c r="C12" s="143"/>
      <c r="D12" s="143"/>
      <c r="E12" s="143"/>
      <c r="F12" s="143"/>
      <c r="G12" s="143"/>
    </row>
    <row r="13" spans="1:7" ht="17.25" customHeight="1">
      <c r="A13" s="155"/>
      <c r="B13" s="155"/>
      <c r="C13" s="155"/>
      <c r="D13" s="155"/>
      <c r="E13" s="155"/>
      <c r="F13" s="24"/>
      <c r="G13" s="24"/>
    </row>
    <row r="14" spans="1:7" ht="24" customHeight="1">
      <c r="A14" s="156" t="s">
        <v>183</v>
      </c>
      <c r="B14" s="149" t="s">
        <v>202</v>
      </c>
      <c r="C14" s="149" t="s">
        <v>184</v>
      </c>
      <c r="D14" s="149" t="s">
        <v>201</v>
      </c>
      <c r="E14" s="149" t="s">
        <v>203</v>
      </c>
      <c r="F14" s="148" t="s">
        <v>492</v>
      </c>
      <c r="G14" s="148"/>
    </row>
    <row r="15" spans="1:7" s="53" customFormat="1" ht="30" customHeight="1">
      <c r="A15" s="157"/>
      <c r="B15" s="158"/>
      <c r="C15" s="158"/>
      <c r="D15" s="158"/>
      <c r="E15" s="158"/>
      <c r="F15" s="144" t="s">
        <v>493</v>
      </c>
      <c r="G15" s="144" t="s">
        <v>574</v>
      </c>
    </row>
    <row r="16" spans="1:7" ht="33">
      <c r="A16" s="55" t="str">
        <f ca="1">IF(ISERROR(MATCH(B16,Код_КЦСР,0)),"",INDIRECT(ADDRESS(MATCH(B16,Код_КЦСР,0)+1,2,,,"КЦСР")))</f>
        <v>Муниципальная программа «Развитие образования» на 2013-2022 годы</v>
      </c>
      <c r="B16" s="29" t="s">
        <v>237</v>
      </c>
      <c r="C16" s="6"/>
      <c r="D16" s="6"/>
      <c r="E16" s="69"/>
      <c r="F16" s="58">
        <f>F17+F28+F50+F68+F115+F131+F163+F169+F33+F40+F45+F22</f>
        <v>2879353.4</v>
      </c>
      <c r="G16" s="58">
        <f>G17+G28+G50+G68+G115+G131+G163+G169+G33+G40+G45+G22</f>
        <v>3238915.4000000004</v>
      </c>
    </row>
    <row r="17" spans="1:7" ht="56.25" customHeight="1">
      <c r="A17" s="55" t="str">
        <f ca="1">IF(ISERROR(MATCH(B17,Код_КЦСР,0)),"",INDIRECT(ADDRESS(MATCH(B17,Код_КЦСР,0)+1,2,,,"КЦСР")))</f>
        <v>Проведение мероприятий управлением образования мэрии (августовское совещание, День учителя, Учитель года, прием молодых специалистов)</v>
      </c>
      <c r="B17" s="29" t="s">
        <v>239</v>
      </c>
      <c r="C17" s="6"/>
      <c r="D17" s="1"/>
      <c r="E17" s="69"/>
      <c r="F17" s="58">
        <f aca="true" t="shared" si="0" ref="F17:G20">F18</f>
        <v>92.7</v>
      </c>
      <c r="G17" s="58">
        <f t="shared" si="0"/>
        <v>92.7</v>
      </c>
    </row>
    <row r="18" spans="1:7" ht="21" customHeight="1">
      <c r="A18" s="55" t="str">
        <f ca="1">IF(ISERROR(MATCH(C18,Код_Раздел,0)),"",INDIRECT(ADDRESS(MATCH(C18,Код_Раздел,0)+1,2,,,"Раздел")))</f>
        <v>Образование</v>
      </c>
      <c r="B18" s="29" t="s">
        <v>239</v>
      </c>
      <c r="C18" s="6" t="s">
        <v>170</v>
      </c>
      <c r="D18" s="1"/>
      <c r="E18" s="69"/>
      <c r="F18" s="58">
        <f t="shared" si="0"/>
        <v>92.7</v>
      </c>
      <c r="G18" s="58">
        <f t="shared" si="0"/>
        <v>92.7</v>
      </c>
    </row>
    <row r="19" spans="1:7" ht="12.75">
      <c r="A19" s="59" t="s">
        <v>221</v>
      </c>
      <c r="B19" s="29" t="s">
        <v>239</v>
      </c>
      <c r="C19" s="6" t="s">
        <v>170</v>
      </c>
      <c r="D19" s="1" t="s">
        <v>193</v>
      </c>
      <c r="E19" s="69"/>
      <c r="F19" s="58">
        <f t="shared" si="0"/>
        <v>92.7</v>
      </c>
      <c r="G19" s="58">
        <f t="shared" si="0"/>
        <v>92.7</v>
      </c>
    </row>
    <row r="20" spans="1:7" ht="19.5" customHeight="1">
      <c r="A20" s="55" t="str">
        <f ca="1">IF(ISERROR(MATCH(E20,Код_КВР,0)),"",INDIRECT(ADDRESS(MATCH(E20,Код_КВР,0)+1,2,,,"КВР")))</f>
        <v>Закупка товаров, работ и услуг для муниципальных нужд</v>
      </c>
      <c r="B20" s="29" t="s">
        <v>239</v>
      </c>
      <c r="C20" s="6" t="s">
        <v>170</v>
      </c>
      <c r="D20" s="1" t="s">
        <v>193</v>
      </c>
      <c r="E20" s="69">
        <v>200</v>
      </c>
      <c r="F20" s="58">
        <f t="shared" si="0"/>
        <v>92.7</v>
      </c>
      <c r="G20" s="58">
        <f t="shared" si="0"/>
        <v>92.7</v>
      </c>
    </row>
    <row r="21" spans="1:7" ht="37.5" customHeight="1">
      <c r="A21" s="55" t="str">
        <f ca="1">IF(ISERROR(MATCH(E21,Код_КВР,0)),"",INDIRECT(ADDRESS(MATCH(E21,Код_КВР,0)+1,2,,,"КВР")))</f>
        <v>Иные закупки товаров, работ и услуг для обеспечения муниципальных нужд</v>
      </c>
      <c r="B21" s="29" t="s">
        <v>239</v>
      </c>
      <c r="C21" s="6" t="s">
        <v>170</v>
      </c>
      <c r="D21" s="1" t="s">
        <v>193</v>
      </c>
      <c r="E21" s="69">
        <v>240</v>
      </c>
      <c r="F21" s="58">
        <f>'прил.16'!G545</f>
        <v>92.7</v>
      </c>
      <c r="G21" s="58">
        <f>'прил.16'!H545</f>
        <v>92.7</v>
      </c>
    </row>
    <row r="22" spans="1:7" ht="21" customHeight="1">
      <c r="A22" s="55" t="str">
        <f ca="1">IF(ISERROR(MATCH(B22,Код_КЦСР,0)),"",INDIRECT(ADDRESS(MATCH(B22,Код_КЦСР,0)+1,2,,,"КЦСР")))</f>
        <v xml:space="preserve">Обеспечение питанием обучающихся в МОУ </v>
      </c>
      <c r="B22" s="29" t="s">
        <v>240</v>
      </c>
      <c r="C22" s="6"/>
      <c r="D22" s="1"/>
      <c r="E22" s="100"/>
      <c r="F22" s="58">
        <f aca="true" t="shared" si="1" ref="F22:G22">F23</f>
        <v>3722.9</v>
      </c>
      <c r="G22" s="58">
        <f t="shared" si="1"/>
        <v>3722.9</v>
      </c>
    </row>
    <row r="23" spans="1:7" ht="25.5" customHeight="1">
      <c r="A23" s="55" t="str">
        <f ca="1">IF(ISERROR(MATCH(C23,Код_Раздел,0)),"",INDIRECT(ADDRESS(MATCH(C23,Код_Раздел,0)+1,2,,,"Раздел")))</f>
        <v>Образование</v>
      </c>
      <c r="B23" s="29" t="s">
        <v>240</v>
      </c>
      <c r="C23" s="6" t="s">
        <v>170</v>
      </c>
      <c r="D23" s="1"/>
      <c r="E23" s="105"/>
      <c r="F23" s="58">
        <f aca="true" t="shared" si="2" ref="F23:G23">F24</f>
        <v>3722.9</v>
      </c>
      <c r="G23" s="58">
        <f t="shared" si="2"/>
        <v>3722.9</v>
      </c>
    </row>
    <row r="24" spans="1:7" ht="19.5" customHeight="1">
      <c r="A24" s="59" t="s">
        <v>221</v>
      </c>
      <c r="B24" s="29" t="s">
        <v>240</v>
      </c>
      <c r="C24" s="6" t="s">
        <v>170</v>
      </c>
      <c r="D24" s="1" t="s">
        <v>193</v>
      </c>
      <c r="E24" s="69"/>
      <c r="F24" s="58">
        <f>F25</f>
        <v>3722.9</v>
      </c>
      <c r="G24" s="58">
        <f>G25</f>
        <v>3722.9</v>
      </c>
    </row>
    <row r="25" spans="1:7" ht="41.25" customHeight="1">
      <c r="A25" s="55" t="str">
        <f aca="true" t="shared" si="3" ref="A25:A27">IF(ISERROR(MATCH(E25,Код_КВР,0)),"",INDIRECT(ADDRESS(MATCH(E25,Код_КВР,0)+1,2,,,"КВР")))</f>
        <v>Предоставление субсидий бюджетным, автономным учреждениям и иным некоммерческим организациям</v>
      </c>
      <c r="B25" s="29" t="s">
        <v>240</v>
      </c>
      <c r="C25" s="6" t="s">
        <v>170</v>
      </c>
      <c r="D25" s="1" t="s">
        <v>193</v>
      </c>
      <c r="E25" s="69">
        <v>600</v>
      </c>
      <c r="F25" s="58">
        <f>F26+F27</f>
        <v>3722.9</v>
      </c>
      <c r="G25" s="58">
        <f>G26+G27</f>
        <v>3722.9</v>
      </c>
    </row>
    <row r="26" spans="1:7" ht="20.25" customHeight="1">
      <c r="A26" s="55" t="str">
        <f ca="1" t="shared" si="3"/>
        <v>Субсидии бюджетным учреждениям</v>
      </c>
      <c r="B26" s="29" t="s">
        <v>240</v>
      </c>
      <c r="C26" s="6" t="s">
        <v>170</v>
      </c>
      <c r="D26" s="1" t="s">
        <v>193</v>
      </c>
      <c r="E26" s="69">
        <v>610</v>
      </c>
      <c r="F26" s="58">
        <f>'прил.16'!G548</f>
        <v>0</v>
      </c>
      <c r="G26" s="58">
        <f>'прил.16'!H548</f>
        <v>0</v>
      </c>
    </row>
    <row r="27" spans="1:7" ht="24" customHeight="1">
      <c r="A27" s="55" t="str">
        <f ca="1" t="shared" si="3"/>
        <v>Субсидии автономным учреждениям</v>
      </c>
      <c r="B27" s="29" t="s">
        <v>240</v>
      </c>
      <c r="C27" s="6" t="s">
        <v>170</v>
      </c>
      <c r="D27" s="1" t="s">
        <v>193</v>
      </c>
      <c r="E27" s="69">
        <v>620</v>
      </c>
      <c r="F27" s="58">
        <f>'прил.16'!G549</f>
        <v>3722.9</v>
      </c>
      <c r="G27" s="58">
        <f>'прил.16'!H549</f>
        <v>3722.9</v>
      </c>
    </row>
    <row r="28" spans="1:7" ht="36" customHeight="1">
      <c r="A28" s="55" t="str">
        <f ca="1">IF(ISERROR(MATCH(B28,Код_КЦСР,0)),"",INDIRECT(ADDRESS(MATCH(B28,Код_КЦСР,0)+1,2,,,"КЦСР")))</f>
        <v>Обеспечение работы по организации и ведению бухгалтерского (бюджетного) учета и отчетности</v>
      </c>
      <c r="B28" s="29" t="s">
        <v>241</v>
      </c>
      <c r="C28" s="6"/>
      <c r="D28" s="1"/>
      <c r="E28" s="69"/>
      <c r="F28" s="58">
        <f aca="true" t="shared" si="4" ref="F28:G31">F29</f>
        <v>13072.5</v>
      </c>
      <c r="G28" s="58">
        <f t="shared" si="4"/>
        <v>13183</v>
      </c>
    </row>
    <row r="29" spans="1:7" ht="12.75">
      <c r="A29" s="55" t="str">
        <f ca="1">IF(ISERROR(MATCH(C29,Код_Раздел,0)),"",INDIRECT(ADDRESS(MATCH(C29,Код_Раздел,0)+1,2,,,"Раздел")))</f>
        <v>Образование</v>
      </c>
      <c r="B29" s="29" t="s">
        <v>241</v>
      </c>
      <c r="C29" s="6" t="s">
        <v>170</v>
      </c>
      <c r="D29" s="1"/>
      <c r="E29" s="69"/>
      <c r="F29" s="58">
        <f t="shared" si="4"/>
        <v>13072.5</v>
      </c>
      <c r="G29" s="58">
        <f t="shared" si="4"/>
        <v>13183</v>
      </c>
    </row>
    <row r="30" spans="1:7" ht="12.75">
      <c r="A30" s="59" t="s">
        <v>221</v>
      </c>
      <c r="B30" s="29" t="s">
        <v>241</v>
      </c>
      <c r="C30" s="6" t="s">
        <v>170</v>
      </c>
      <c r="D30" s="1" t="s">
        <v>193</v>
      </c>
      <c r="E30" s="69"/>
      <c r="F30" s="58">
        <f t="shared" si="4"/>
        <v>13072.5</v>
      </c>
      <c r="G30" s="58">
        <f t="shared" si="4"/>
        <v>13183</v>
      </c>
    </row>
    <row r="31" spans="1:7" ht="39" customHeight="1">
      <c r="A31" s="55" t="str">
        <f ca="1">IF(ISERROR(MATCH(E31,Код_КВР,0)),"",INDIRECT(ADDRESS(MATCH(E31,Код_КВР,0)+1,2,,,"КВР")))</f>
        <v>Предоставление субсидий бюджетным, автономным учреждениям и иным некоммерческим организациям</v>
      </c>
      <c r="B31" s="29" t="s">
        <v>241</v>
      </c>
      <c r="C31" s="6" t="s">
        <v>170</v>
      </c>
      <c r="D31" s="1" t="s">
        <v>193</v>
      </c>
      <c r="E31" s="69">
        <v>600</v>
      </c>
      <c r="F31" s="58">
        <f t="shared" si="4"/>
        <v>13072.5</v>
      </c>
      <c r="G31" s="58">
        <f t="shared" si="4"/>
        <v>13183</v>
      </c>
    </row>
    <row r="32" spans="1:7" ht="21.95" customHeight="1">
      <c r="A32" s="55" t="str">
        <f ca="1">IF(ISERROR(MATCH(E32,Код_КВР,0)),"",INDIRECT(ADDRESS(MATCH(E32,Код_КВР,0)+1,2,,,"КВР")))</f>
        <v>Субсидии бюджетным учреждениям</v>
      </c>
      <c r="B32" s="29" t="s">
        <v>241</v>
      </c>
      <c r="C32" s="6" t="s">
        <v>170</v>
      </c>
      <c r="D32" s="1" t="s">
        <v>193</v>
      </c>
      <c r="E32" s="69">
        <v>610</v>
      </c>
      <c r="F32" s="58">
        <f>'прил.16'!G552</f>
        <v>13072.5</v>
      </c>
      <c r="G32" s="58">
        <f>'прил.16'!H552</f>
        <v>13183</v>
      </c>
    </row>
    <row r="33" spans="1:7" ht="63.75" customHeight="1">
      <c r="A33" s="55" t="str">
        <f ca="1">IF(ISERROR(MATCH(B33,Код_КЦСР,0)),"",INDIRECT(ADDRESS(MATCH(B33,Код_КЦСР,0)+1,2,,,"КЦСР")))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33" s="29" t="s">
        <v>494</v>
      </c>
      <c r="C33" s="6"/>
      <c r="D33" s="1"/>
      <c r="E33" s="77"/>
      <c r="F33" s="58">
        <f aca="true" t="shared" si="5" ref="F33:G38">F34</f>
        <v>21484.199999999997</v>
      </c>
      <c r="G33" s="58">
        <f t="shared" si="5"/>
        <v>21484.199999999997</v>
      </c>
    </row>
    <row r="34" spans="1:7" ht="21.95" customHeight="1">
      <c r="A34" s="55" t="str">
        <f ca="1">IF(ISERROR(MATCH(C34,Код_Раздел,0)),"",INDIRECT(ADDRESS(MATCH(C34,Код_Раздел,0)+1,2,,,"Раздел")))</f>
        <v>Образование</v>
      </c>
      <c r="B34" s="29" t="s">
        <v>494</v>
      </c>
      <c r="C34" s="6" t="s">
        <v>170</v>
      </c>
      <c r="D34" s="1"/>
      <c r="E34" s="77"/>
      <c r="F34" s="58">
        <f t="shared" si="5"/>
        <v>21484.199999999997</v>
      </c>
      <c r="G34" s="58">
        <f t="shared" si="5"/>
        <v>21484.199999999997</v>
      </c>
    </row>
    <row r="35" spans="1:7" ht="21.95" customHeight="1">
      <c r="A35" s="59" t="s">
        <v>221</v>
      </c>
      <c r="B35" s="29" t="s">
        <v>494</v>
      </c>
      <c r="C35" s="6" t="s">
        <v>170</v>
      </c>
      <c r="D35" s="1" t="s">
        <v>193</v>
      </c>
      <c r="E35" s="77"/>
      <c r="F35" s="58">
        <f aca="true" t="shared" si="6" ref="F35:G35">F36+F38</f>
        <v>21484.199999999997</v>
      </c>
      <c r="G35" s="58">
        <f t="shared" si="6"/>
        <v>21484.199999999997</v>
      </c>
    </row>
    <row r="36" spans="1:7" ht="44.25" customHeight="1">
      <c r="A36" s="55" t="str">
        <f ca="1">IF(ISERROR(MATCH(E36,Код_КВР,0)),"",INDIRECT(ADDRESS(MATCH(E36,Код_КВР,0)+1,2,,,"КВР")))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" s="29" t="s">
        <v>494</v>
      </c>
      <c r="C36" s="6" t="s">
        <v>170</v>
      </c>
      <c r="D36" s="1" t="s">
        <v>193</v>
      </c>
      <c r="E36" s="77">
        <v>100</v>
      </c>
      <c r="F36" s="58">
        <f t="shared" si="5"/>
        <v>21449.1</v>
      </c>
      <c r="G36" s="58">
        <f t="shared" si="5"/>
        <v>21449.1</v>
      </c>
    </row>
    <row r="37" spans="1:7" ht="21.95" customHeight="1">
      <c r="A37" s="55" t="str">
        <f ca="1">IF(ISERROR(MATCH(E37,Код_КВР,0)),"",INDIRECT(ADDRESS(MATCH(E37,Код_КВР,0)+1,2,,,"КВР")))</f>
        <v>Расходы на выплаты персоналу муниципальных органов</v>
      </c>
      <c r="B37" s="29" t="s">
        <v>494</v>
      </c>
      <c r="C37" s="6" t="s">
        <v>170</v>
      </c>
      <c r="D37" s="1" t="s">
        <v>193</v>
      </c>
      <c r="E37" s="77">
        <v>120</v>
      </c>
      <c r="F37" s="58">
        <f>'прил.16'!G555</f>
        <v>21449.1</v>
      </c>
      <c r="G37" s="58">
        <f>'прил.16'!H555</f>
        <v>21449.1</v>
      </c>
    </row>
    <row r="38" spans="1:7" ht="21.95" customHeight="1">
      <c r="A38" s="55" t="str">
        <f ca="1">IF(ISERROR(MATCH(E38,Код_КВР,0)),"",INDIRECT(ADDRESS(MATCH(E38,Код_КВР,0)+1,2,,,"КВР")))</f>
        <v>Закупка товаров, работ и услуг для муниципальных нужд</v>
      </c>
      <c r="B38" s="29" t="s">
        <v>494</v>
      </c>
      <c r="C38" s="6" t="s">
        <v>170</v>
      </c>
      <c r="D38" s="1" t="s">
        <v>193</v>
      </c>
      <c r="E38" s="77">
        <v>200</v>
      </c>
      <c r="F38" s="58">
        <f t="shared" si="5"/>
        <v>35.1</v>
      </c>
      <c r="G38" s="58">
        <f t="shared" si="5"/>
        <v>35.1</v>
      </c>
    </row>
    <row r="39" spans="1:7" ht="42.75" customHeight="1">
      <c r="A39" s="55" t="str">
        <f ca="1">IF(ISERROR(MATCH(E39,Код_КВР,0)),"",INDIRECT(ADDRESS(MATCH(E39,Код_КВР,0)+1,2,,,"КВР")))</f>
        <v>Иные закупки товаров, работ и услуг для обеспечения муниципальных нужд</v>
      </c>
      <c r="B39" s="29" t="s">
        <v>494</v>
      </c>
      <c r="C39" s="6" t="s">
        <v>170</v>
      </c>
      <c r="D39" s="1" t="s">
        <v>193</v>
      </c>
      <c r="E39" s="77">
        <v>240</v>
      </c>
      <c r="F39" s="58">
        <f>'прил.16'!G557</f>
        <v>35.1</v>
      </c>
      <c r="G39" s="58">
        <f>'прил.16'!H557</f>
        <v>35.1</v>
      </c>
    </row>
    <row r="40" spans="1:7" ht="21.95" customHeight="1" hidden="1">
      <c r="A40" s="55" t="str">
        <f ca="1">IF(ISERROR(MATCH(B40,Код_КЦСР,0)),"",INDIRECT(ADDRESS(MATCH(B40,Код_КЦСР,0)+1,2,,,"КЦСР")))</f>
        <v>Проведение городского патриотического фестиваля «Город Победы»</v>
      </c>
      <c r="B40" s="29" t="s">
        <v>495</v>
      </c>
      <c r="C40" s="6"/>
      <c r="D40" s="1"/>
      <c r="E40" s="79"/>
      <c r="F40" s="58">
        <f aca="true" t="shared" si="7" ref="F40:G43">F41</f>
        <v>0</v>
      </c>
      <c r="G40" s="58">
        <f t="shared" si="7"/>
        <v>0</v>
      </c>
    </row>
    <row r="41" spans="1:7" ht="21.95" customHeight="1" hidden="1">
      <c r="A41" s="55" t="str">
        <f ca="1">IF(ISERROR(MATCH(C41,Код_Раздел,0)),"",INDIRECT(ADDRESS(MATCH(C41,Код_Раздел,0)+1,2,,,"Раздел")))</f>
        <v>Образование</v>
      </c>
      <c r="B41" s="29" t="s">
        <v>495</v>
      </c>
      <c r="C41" s="6" t="s">
        <v>170</v>
      </c>
      <c r="D41" s="1"/>
      <c r="E41" s="79"/>
      <c r="F41" s="58">
        <f t="shared" si="7"/>
        <v>0</v>
      </c>
      <c r="G41" s="58">
        <f t="shared" si="7"/>
        <v>0</v>
      </c>
    </row>
    <row r="42" spans="1:7" ht="21.95" customHeight="1" hidden="1">
      <c r="A42" s="59" t="s">
        <v>221</v>
      </c>
      <c r="B42" s="29" t="s">
        <v>495</v>
      </c>
      <c r="C42" s="6" t="s">
        <v>170</v>
      </c>
      <c r="D42" s="1" t="s">
        <v>193</v>
      </c>
      <c r="E42" s="79"/>
      <c r="F42" s="58">
        <f t="shared" si="7"/>
        <v>0</v>
      </c>
      <c r="G42" s="58">
        <f t="shared" si="7"/>
        <v>0</v>
      </c>
    </row>
    <row r="43" spans="1:7" ht="21.95" customHeight="1" hidden="1">
      <c r="A43" s="55" t="str">
        <f ca="1">IF(ISERROR(MATCH(E43,Код_КВР,0)),"",INDIRECT(ADDRESS(MATCH(E43,Код_КВР,0)+1,2,,,"КВР")))</f>
        <v>Закупка товаров, работ и услуг для муниципальных нужд</v>
      </c>
      <c r="B43" s="29" t="s">
        <v>495</v>
      </c>
      <c r="C43" s="6" t="s">
        <v>170</v>
      </c>
      <c r="D43" s="1" t="s">
        <v>193</v>
      </c>
      <c r="E43" s="79">
        <v>200</v>
      </c>
      <c r="F43" s="58">
        <f t="shared" si="7"/>
        <v>0</v>
      </c>
      <c r="G43" s="58">
        <f t="shared" si="7"/>
        <v>0</v>
      </c>
    </row>
    <row r="44" spans="1:7" ht="35.25" customHeight="1" hidden="1">
      <c r="A44" s="55" t="str">
        <f ca="1">IF(ISERROR(MATCH(E44,Код_КВР,0)),"",INDIRECT(ADDRESS(MATCH(E44,Код_КВР,0)+1,2,,,"КВР")))</f>
        <v>Иные закупки товаров, работ и услуг для обеспечения муниципальных нужд</v>
      </c>
      <c r="B44" s="29" t="s">
        <v>495</v>
      </c>
      <c r="C44" s="6" t="s">
        <v>170</v>
      </c>
      <c r="D44" s="1" t="s">
        <v>193</v>
      </c>
      <c r="E44" s="79">
        <v>240</v>
      </c>
      <c r="F44" s="58">
        <f>'прил.16'!G560</f>
        <v>0</v>
      </c>
      <c r="G44" s="58">
        <f>'прил.16'!H560</f>
        <v>0</v>
      </c>
    </row>
    <row r="45" spans="1:7" ht="35.25" customHeight="1">
      <c r="A45" s="55" t="str">
        <f ca="1">IF(ISERROR(MATCH(B45,Код_КЦСР,0)),"",INDIRECT(ADDRESS(MATCH(B45,Код_КЦСР,0)+1,2,,,"КЦСР")))</f>
        <v>Обеспечение питанием обучающихся в МОУ за счет субвенций из областного бюджета</v>
      </c>
      <c r="B45" s="29" t="s">
        <v>577</v>
      </c>
      <c r="C45" s="6"/>
      <c r="D45" s="1"/>
      <c r="E45" s="94"/>
      <c r="F45" s="58">
        <f aca="true" t="shared" si="8" ref="F45:G45">F46</f>
        <v>8013.8</v>
      </c>
      <c r="G45" s="58">
        <f t="shared" si="8"/>
        <v>16611.3</v>
      </c>
    </row>
    <row r="46" spans="1:7" ht="19.5" customHeight="1">
      <c r="A46" s="55" t="str">
        <f ca="1">IF(ISERROR(MATCH(C46,Код_Раздел,0)),"",INDIRECT(ADDRESS(MATCH(C46,Код_Раздел,0)+1,2,,,"Раздел")))</f>
        <v>Образование</v>
      </c>
      <c r="B46" s="29" t="s">
        <v>577</v>
      </c>
      <c r="C46" s="6" t="s">
        <v>170</v>
      </c>
      <c r="D46" s="1"/>
      <c r="E46" s="69"/>
      <c r="F46" s="58">
        <f aca="true" t="shared" si="9" ref="F46:G48">F47</f>
        <v>8013.8</v>
      </c>
      <c r="G46" s="58">
        <f t="shared" si="9"/>
        <v>16611.3</v>
      </c>
    </row>
    <row r="47" spans="1:7" ht="19.5" customHeight="1">
      <c r="A47" s="59" t="s">
        <v>221</v>
      </c>
      <c r="B47" s="29" t="s">
        <v>577</v>
      </c>
      <c r="C47" s="6" t="s">
        <v>170</v>
      </c>
      <c r="D47" s="1" t="s">
        <v>193</v>
      </c>
      <c r="E47" s="69"/>
      <c r="F47" s="58">
        <f t="shared" si="9"/>
        <v>8013.8</v>
      </c>
      <c r="G47" s="58">
        <f t="shared" si="9"/>
        <v>16611.3</v>
      </c>
    </row>
    <row r="48" spans="1:7" ht="36" customHeight="1">
      <c r="A48" s="55" t="str">
        <f ca="1">IF(ISERROR(MATCH(E48,Код_КВР,0)),"",INDIRECT(ADDRESS(MATCH(E48,Код_КВР,0)+1,2,,,"КВР")))</f>
        <v>Предоставление субсидий бюджетным, автономным учреждениям и иным некоммерческим организациям</v>
      </c>
      <c r="B48" s="29" t="s">
        <v>577</v>
      </c>
      <c r="C48" s="6" t="s">
        <v>170</v>
      </c>
      <c r="D48" s="1" t="s">
        <v>193</v>
      </c>
      <c r="E48" s="69">
        <v>600</v>
      </c>
      <c r="F48" s="58">
        <f t="shared" si="9"/>
        <v>8013.8</v>
      </c>
      <c r="G48" s="58">
        <f t="shared" si="9"/>
        <v>16611.3</v>
      </c>
    </row>
    <row r="49" spans="1:7" ht="19.5" customHeight="1">
      <c r="A49" s="55" t="str">
        <f ca="1">IF(ISERROR(MATCH(E49,Код_КВР,0)),"",INDIRECT(ADDRESS(MATCH(E49,Код_КВР,0)+1,2,,,"КВР")))</f>
        <v>Субсидии автономным учреждениям</v>
      </c>
      <c r="B49" s="29" t="s">
        <v>577</v>
      </c>
      <c r="C49" s="6" t="s">
        <v>170</v>
      </c>
      <c r="D49" s="1" t="s">
        <v>193</v>
      </c>
      <c r="E49" s="69">
        <v>620</v>
      </c>
      <c r="F49" s="58">
        <f>'прил.16'!G563</f>
        <v>8013.8</v>
      </c>
      <c r="G49" s="58">
        <f>'прил.16'!H563</f>
        <v>16611.3</v>
      </c>
    </row>
    <row r="50" spans="1:7" ht="21" customHeight="1">
      <c r="A50" s="55" t="str">
        <f ca="1">IF(ISERROR(MATCH(B50,Код_КЦСР,0)),"",INDIRECT(ADDRESS(MATCH(B50,Код_КЦСР,0)+1,2,,,"КЦСР")))</f>
        <v>Дошкольное образование</v>
      </c>
      <c r="B50" s="29" t="s">
        <v>243</v>
      </c>
      <c r="C50" s="6"/>
      <c r="D50" s="1"/>
      <c r="E50" s="69"/>
      <c r="F50" s="58">
        <f>F51+F57+F63</f>
        <v>1346405.8</v>
      </c>
      <c r="G50" s="58">
        <f>G51+G57+G63</f>
        <v>1528388.2</v>
      </c>
    </row>
    <row r="51" spans="1:7" ht="94.5" customHeight="1">
      <c r="A51" s="55" t="str">
        <f ca="1">IF(ISERROR(MATCH(B51,Код_КЦСР,0)),"",INDIRECT(ADDRESS(MATCH(B51,Код_КЦСР,0)+1,2,,,"КЦСР")))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51" s="29" t="s">
        <v>244</v>
      </c>
      <c r="C51" s="6"/>
      <c r="D51" s="1"/>
      <c r="E51" s="69"/>
      <c r="F51" s="58">
        <f aca="true" t="shared" si="10" ref="F51:G53">F52</f>
        <v>386997.4</v>
      </c>
      <c r="G51" s="58">
        <f t="shared" si="10"/>
        <v>395921.49999999994</v>
      </c>
    </row>
    <row r="52" spans="1:7" ht="18.75" customHeight="1">
      <c r="A52" s="55" t="str">
        <f ca="1">IF(ISERROR(MATCH(C52,Код_Раздел,0)),"",INDIRECT(ADDRESS(MATCH(C52,Код_Раздел,0)+1,2,,,"Раздел")))</f>
        <v>Образование</v>
      </c>
      <c r="B52" s="29" t="s">
        <v>244</v>
      </c>
      <c r="C52" s="6" t="s">
        <v>170</v>
      </c>
      <c r="D52" s="1"/>
      <c r="E52" s="69"/>
      <c r="F52" s="58">
        <f t="shared" si="10"/>
        <v>386997.4</v>
      </c>
      <c r="G52" s="58">
        <f t="shared" si="10"/>
        <v>395921.49999999994</v>
      </c>
    </row>
    <row r="53" spans="1:7" ht="18.75" customHeight="1">
      <c r="A53" s="59" t="s">
        <v>228</v>
      </c>
      <c r="B53" s="29" t="s">
        <v>244</v>
      </c>
      <c r="C53" s="6" t="s">
        <v>170</v>
      </c>
      <c r="D53" s="1" t="s">
        <v>187</v>
      </c>
      <c r="E53" s="69"/>
      <c r="F53" s="58">
        <f t="shared" si="10"/>
        <v>386997.4</v>
      </c>
      <c r="G53" s="58">
        <f t="shared" si="10"/>
        <v>395921.49999999994</v>
      </c>
    </row>
    <row r="54" spans="1:7" ht="36" customHeight="1">
      <c r="A54" s="55" t="str">
        <f ca="1">IF(ISERROR(MATCH(E54,Код_КВР,0)),"",INDIRECT(ADDRESS(MATCH(E54,Код_КВР,0)+1,2,,,"КВР")))</f>
        <v>Предоставление субсидий бюджетным, автономным учреждениям и иным некоммерческим организациям</v>
      </c>
      <c r="B54" s="29" t="s">
        <v>244</v>
      </c>
      <c r="C54" s="6" t="s">
        <v>170</v>
      </c>
      <c r="D54" s="1" t="s">
        <v>187</v>
      </c>
      <c r="E54" s="69">
        <v>600</v>
      </c>
      <c r="F54" s="58">
        <f>F55+F56</f>
        <v>386997.4</v>
      </c>
      <c r="G54" s="58">
        <f>G55+G56</f>
        <v>395921.49999999994</v>
      </c>
    </row>
    <row r="55" spans="1:7" ht="18.75" customHeight="1">
      <c r="A55" s="55" t="str">
        <f ca="1">IF(ISERROR(MATCH(E55,Код_КВР,0)),"",INDIRECT(ADDRESS(MATCH(E55,Код_КВР,0)+1,2,,,"КВР")))</f>
        <v>Субсидии бюджетным учреждениям</v>
      </c>
      <c r="B55" s="29" t="s">
        <v>244</v>
      </c>
      <c r="C55" s="6" t="s">
        <v>170</v>
      </c>
      <c r="D55" s="1" t="s">
        <v>187</v>
      </c>
      <c r="E55" s="69">
        <v>610</v>
      </c>
      <c r="F55" s="58">
        <f>'прил.16'!G477</f>
        <v>343585</v>
      </c>
      <c r="G55" s="58">
        <f>'прил.16'!H477</f>
        <v>351981.89999999997</v>
      </c>
    </row>
    <row r="56" spans="1:7" ht="24" customHeight="1">
      <c r="A56" s="55" t="str">
        <f ca="1">IF(ISERROR(MATCH(E56,Код_КВР,0)),"",INDIRECT(ADDRESS(MATCH(E56,Код_КВР,0)+1,2,,,"КВР")))</f>
        <v>Субсидии автономным учреждениям</v>
      </c>
      <c r="B56" s="29" t="s">
        <v>244</v>
      </c>
      <c r="C56" s="6" t="s">
        <v>170</v>
      </c>
      <c r="D56" s="1" t="s">
        <v>187</v>
      </c>
      <c r="E56" s="69">
        <v>620</v>
      </c>
      <c r="F56" s="58">
        <f>'прил.16'!G478</f>
        <v>43412.4</v>
      </c>
      <c r="G56" s="58">
        <f>'прил.16'!H478</f>
        <v>43939.6</v>
      </c>
    </row>
    <row r="57" spans="1:7" ht="68.25" customHeight="1">
      <c r="A57" s="55" t="str">
        <f ca="1">IF(ISERROR(MATCH(B57,Код_КЦСР,0)),"",INDIRECT(ADDRESS(MATCH(B57,Код_КЦСР,0)+1,2,,,"КЦСР")))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7" s="29" t="s">
        <v>345</v>
      </c>
      <c r="C57" s="6"/>
      <c r="D57" s="1"/>
      <c r="E57" s="69"/>
      <c r="F57" s="58">
        <f aca="true" t="shared" si="11" ref="F57:G59">F58</f>
        <v>928414.6</v>
      </c>
      <c r="G57" s="58">
        <f t="shared" si="11"/>
        <v>1070487.3</v>
      </c>
    </row>
    <row r="58" spans="1:7" ht="18.75" customHeight="1">
      <c r="A58" s="55" t="str">
        <f ca="1">IF(ISERROR(MATCH(C58,Код_Раздел,0)),"",INDIRECT(ADDRESS(MATCH(C58,Код_Раздел,0)+1,2,,,"Раздел")))</f>
        <v>Образование</v>
      </c>
      <c r="B58" s="29" t="s">
        <v>345</v>
      </c>
      <c r="C58" s="6" t="s">
        <v>170</v>
      </c>
      <c r="D58" s="1"/>
      <c r="E58" s="69"/>
      <c r="F58" s="58">
        <f t="shared" si="11"/>
        <v>928414.6</v>
      </c>
      <c r="G58" s="58">
        <f t="shared" si="11"/>
        <v>1070487.3</v>
      </c>
    </row>
    <row r="59" spans="1:7" ht="19.5" customHeight="1">
      <c r="A59" s="59" t="s">
        <v>228</v>
      </c>
      <c r="B59" s="29" t="s">
        <v>345</v>
      </c>
      <c r="C59" s="6" t="s">
        <v>170</v>
      </c>
      <c r="D59" s="1" t="s">
        <v>187</v>
      </c>
      <c r="E59" s="69"/>
      <c r="F59" s="58">
        <f t="shared" si="11"/>
        <v>928414.6</v>
      </c>
      <c r="G59" s="58">
        <f t="shared" si="11"/>
        <v>1070487.3</v>
      </c>
    </row>
    <row r="60" spans="1:7" ht="37.5" customHeight="1">
      <c r="A60" s="55" t="str">
        <f ca="1">IF(ISERROR(MATCH(E60,Код_КВР,0)),"",INDIRECT(ADDRESS(MATCH(E60,Код_КВР,0)+1,2,,,"КВР")))</f>
        <v>Предоставление субсидий бюджетным, автономным учреждениям и иным некоммерческим организациям</v>
      </c>
      <c r="B60" s="29" t="s">
        <v>345</v>
      </c>
      <c r="C60" s="6" t="s">
        <v>170</v>
      </c>
      <c r="D60" s="1" t="s">
        <v>187</v>
      </c>
      <c r="E60" s="69">
        <v>600</v>
      </c>
      <c r="F60" s="58">
        <f>F61+F62</f>
        <v>928414.6</v>
      </c>
      <c r="G60" s="58">
        <f>G61+G62</f>
        <v>1070487.3</v>
      </c>
    </row>
    <row r="61" spans="1:7" ht="19.5" customHeight="1">
      <c r="A61" s="55" t="str">
        <f ca="1">IF(ISERROR(MATCH(E61,Код_КВР,0)),"",INDIRECT(ADDRESS(MATCH(E61,Код_КВР,0)+1,2,,,"КВР")))</f>
        <v>Субсидии бюджетным учреждениям</v>
      </c>
      <c r="B61" s="29" t="s">
        <v>345</v>
      </c>
      <c r="C61" s="6" t="s">
        <v>170</v>
      </c>
      <c r="D61" s="1" t="s">
        <v>187</v>
      </c>
      <c r="E61" s="69">
        <v>610</v>
      </c>
      <c r="F61" s="58">
        <f>'прил.16'!G481</f>
        <v>874858.7</v>
      </c>
      <c r="G61" s="58">
        <f>'прил.16'!H481</f>
        <v>1008735.9</v>
      </c>
    </row>
    <row r="62" spans="1:7" ht="22.5" customHeight="1">
      <c r="A62" s="55" t="str">
        <f ca="1">IF(ISERROR(MATCH(E62,Код_КВР,0)),"",INDIRECT(ADDRESS(MATCH(E62,Код_КВР,0)+1,2,,,"КВР")))</f>
        <v>Субсидии автономным учреждениям</v>
      </c>
      <c r="B62" s="29" t="s">
        <v>345</v>
      </c>
      <c r="C62" s="6" t="s">
        <v>170</v>
      </c>
      <c r="D62" s="1" t="s">
        <v>187</v>
      </c>
      <c r="E62" s="69">
        <v>620</v>
      </c>
      <c r="F62" s="58">
        <f>'прил.16'!G482</f>
        <v>53555.9</v>
      </c>
      <c r="G62" s="58">
        <f>'прил.16'!H482</f>
        <v>61751.4</v>
      </c>
    </row>
    <row r="63" spans="1:7" ht="69.75" customHeight="1">
      <c r="A63" s="55" t="str">
        <f ca="1">IF(ISERROR(MATCH(B63,Код_КЦСР,0)),"",INDIRECT(ADDRESS(MATCH(B63,Код_КЦСР,0)+1,2,,,"КЦСР")))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3" s="29" t="s">
        <v>578</v>
      </c>
      <c r="C63" s="6"/>
      <c r="D63" s="1"/>
      <c r="E63" s="69"/>
      <c r="F63" s="58">
        <f>F64</f>
        <v>30993.8</v>
      </c>
      <c r="G63" s="58">
        <f>G64</f>
        <v>61979.4</v>
      </c>
    </row>
    <row r="64" spans="1:7" ht="22.5" customHeight="1">
      <c r="A64" s="55" t="str">
        <f ca="1">IF(ISERROR(MATCH(C64,Код_Раздел,0)),"",INDIRECT(ADDRESS(MATCH(C64,Код_Раздел,0)+1,2,,,"Раздел")))</f>
        <v>Социальная политика</v>
      </c>
      <c r="B64" s="29" t="s">
        <v>578</v>
      </c>
      <c r="C64" s="6" t="s">
        <v>163</v>
      </c>
      <c r="D64" s="1"/>
      <c r="E64" s="69"/>
      <c r="F64" s="58">
        <f aca="true" t="shared" si="12" ref="F64:G66">F65</f>
        <v>30993.8</v>
      </c>
      <c r="G64" s="58">
        <f t="shared" si="12"/>
        <v>61979.4</v>
      </c>
    </row>
    <row r="65" spans="1:7" ht="18.75" customHeight="1">
      <c r="A65" s="60" t="s">
        <v>179</v>
      </c>
      <c r="B65" s="29" t="s">
        <v>578</v>
      </c>
      <c r="C65" s="6" t="s">
        <v>163</v>
      </c>
      <c r="D65" s="1" t="s">
        <v>190</v>
      </c>
      <c r="E65" s="69"/>
      <c r="F65" s="58">
        <f t="shared" si="12"/>
        <v>30993.8</v>
      </c>
      <c r="G65" s="58">
        <f t="shared" si="12"/>
        <v>61979.4</v>
      </c>
    </row>
    <row r="66" spans="1:7" ht="22.5" customHeight="1">
      <c r="A66" s="55" t="str">
        <f ca="1">IF(ISERROR(MATCH(E66,Код_КВР,0)),"",INDIRECT(ADDRESS(MATCH(E66,Код_КВР,0)+1,2,,,"КВР")))</f>
        <v>Социальное обеспечение и иные выплаты населению</v>
      </c>
      <c r="B66" s="29" t="s">
        <v>578</v>
      </c>
      <c r="C66" s="6" t="s">
        <v>163</v>
      </c>
      <c r="D66" s="1" t="s">
        <v>190</v>
      </c>
      <c r="E66" s="69">
        <v>300</v>
      </c>
      <c r="F66" s="58">
        <f t="shared" si="12"/>
        <v>30993.8</v>
      </c>
      <c r="G66" s="58">
        <f t="shared" si="12"/>
        <v>61979.4</v>
      </c>
    </row>
    <row r="67" spans="1:7" ht="36.75" customHeight="1">
      <c r="A67" s="55" t="str">
        <f ca="1">IF(ISERROR(MATCH(E67,Код_КВР,0)),"",INDIRECT(ADDRESS(MATCH(E67,Код_КВР,0)+1,2,,,"КВР")))</f>
        <v>Социальные выплаты гражданам, кроме публичных нормативных социальных выплат</v>
      </c>
      <c r="B67" s="29" t="s">
        <v>578</v>
      </c>
      <c r="C67" s="6" t="s">
        <v>163</v>
      </c>
      <c r="D67" s="1" t="s">
        <v>190</v>
      </c>
      <c r="E67" s="69">
        <v>320</v>
      </c>
      <c r="F67" s="58">
        <f>'прил.16'!G631</f>
        <v>30993.8</v>
      </c>
      <c r="G67" s="58">
        <f>'прил.16'!H631</f>
        <v>61979.4</v>
      </c>
    </row>
    <row r="68" spans="1:7" ht="20.25" customHeight="1">
      <c r="A68" s="55" t="str">
        <f ca="1">IF(ISERROR(MATCH(B68,Код_КЦСР,0)),"",INDIRECT(ADDRESS(MATCH(B68,Код_КЦСР,0)+1,2,,,"КЦСР")))</f>
        <v>Общее образование</v>
      </c>
      <c r="B68" s="29" t="s">
        <v>245</v>
      </c>
      <c r="C68" s="6"/>
      <c r="D68" s="1"/>
      <c r="E68" s="69"/>
      <c r="F68" s="58">
        <f aca="true" t="shared" si="13" ref="F68:G68">F69+F75+F80+F91+F97+F86</f>
        <v>1322676</v>
      </c>
      <c r="G68" s="58">
        <f t="shared" si="13"/>
        <v>1492911.8</v>
      </c>
    </row>
    <row r="69" spans="1:7" ht="65.25" customHeight="1">
      <c r="A69" s="55" t="str">
        <f ca="1">IF(ISERROR(MATCH(B69,Код_КЦСР,0)),"",INDIRECT(ADDRESS(MATCH(B69,Код_КЦСР,0)+1,2,,,"КЦСР")))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69" s="29" t="s">
        <v>246</v>
      </c>
      <c r="C69" s="6"/>
      <c r="D69" s="1"/>
      <c r="E69" s="69"/>
      <c r="F69" s="58">
        <f aca="true" t="shared" si="14" ref="F69:G71">F70</f>
        <v>207185.30000000002</v>
      </c>
      <c r="G69" s="58">
        <f t="shared" si="14"/>
        <v>211621.8</v>
      </c>
    </row>
    <row r="70" spans="1:7" ht="22.5" customHeight="1">
      <c r="A70" s="55" t="str">
        <f ca="1">IF(ISERROR(MATCH(C70,Код_Раздел,0)),"",INDIRECT(ADDRESS(MATCH(C70,Код_Раздел,0)+1,2,,,"Раздел")))</f>
        <v>Образование</v>
      </c>
      <c r="B70" s="29" t="s">
        <v>246</v>
      </c>
      <c r="C70" s="6" t="s">
        <v>170</v>
      </c>
      <c r="D70" s="1"/>
      <c r="E70" s="69"/>
      <c r="F70" s="58">
        <f t="shared" si="14"/>
        <v>207185.30000000002</v>
      </c>
      <c r="G70" s="58">
        <f t="shared" si="14"/>
        <v>211621.8</v>
      </c>
    </row>
    <row r="71" spans="1:7" ht="23.25" customHeight="1">
      <c r="A71" s="59" t="s">
        <v>220</v>
      </c>
      <c r="B71" s="29" t="s">
        <v>246</v>
      </c>
      <c r="C71" s="6" t="s">
        <v>170</v>
      </c>
      <c r="D71" s="1" t="s">
        <v>188</v>
      </c>
      <c r="E71" s="69"/>
      <c r="F71" s="58">
        <f t="shared" si="14"/>
        <v>207185.30000000002</v>
      </c>
      <c r="G71" s="58">
        <f t="shared" si="14"/>
        <v>211621.8</v>
      </c>
    </row>
    <row r="72" spans="1:7" ht="36.75" customHeight="1">
      <c r="A72" s="55" t="str">
        <f ca="1">IF(ISERROR(MATCH(E72,Код_КВР,0)),"",INDIRECT(ADDRESS(MATCH(E72,Код_КВР,0)+1,2,,,"КВР")))</f>
        <v>Предоставление субсидий бюджетным, автономным учреждениям и иным некоммерческим организациям</v>
      </c>
      <c r="B72" s="29" t="s">
        <v>246</v>
      </c>
      <c r="C72" s="6" t="s">
        <v>170</v>
      </c>
      <c r="D72" s="1" t="s">
        <v>188</v>
      </c>
      <c r="E72" s="69">
        <v>600</v>
      </c>
      <c r="F72" s="58">
        <f>F73+F74</f>
        <v>207185.30000000002</v>
      </c>
      <c r="G72" s="58">
        <f>G73+G74</f>
        <v>211621.8</v>
      </c>
    </row>
    <row r="73" spans="1:7" ht="23.25" customHeight="1">
      <c r="A73" s="55" t="str">
        <f ca="1">IF(ISERROR(MATCH(E73,Код_КВР,0)),"",INDIRECT(ADDRESS(MATCH(E73,Код_КВР,0)+1,2,,,"КВР")))</f>
        <v>Субсидии бюджетным учреждениям</v>
      </c>
      <c r="B73" s="29" t="s">
        <v>246</v>
      </c>
      <c r="C73" s="6" t="s">
        <v>170</v>
      </c>
      <c r="D73" s="1" t="s">
        <v>188</v>
      </c>
      <c r="E73" s="69">
        <v>610</v>
      </c>
      <c r="F73" s="58">
        <f>'прил.16'!G502</f>
        <v>203118.7</v>
      </c>
      <c r="G73" s="58">
        <f>'прил.16'!H502</f>
        <v>207453.5</v>
      </c>
    </row>
    <row r="74" spans="1:7" ht="18.75" customHeight="1">
      <c r="A74" s="55" t="str">
        <f ca="1">IF(ISERROR(MATCH(E74,Код_КВР,0)),"",INDIRECT(ADDRESS(MATCH(E74,Код_КВР,0)+1,2,,,"КВР")))</f>
        <v>Субсидии автономным учреждениям</v>
      </c>
      <c r="B74" s="29" t="s">
        <v>246</v>
      </c>
      <c r="C74" s="6" t="s">
        <v>170</v>
      </c>
      <c r="D74" s="1" t="s">
        <v>188</v>
      </c>
      <c r="E74" s="69">
        <v>620</v>
      </c>
      <c r="F74" s="58">
        <f>'прил.16'!G503</f>
        <v>4066.6000000000004</v>
      </c>
      <c r="G74" s="58">
        <f>'прил.16'!H503</f>
        <v>4168.3</v>
      </c>
    </row>
    <row r="75" spans="1:7" ht="87" customHeight="1">
      <c r="A75" s="55" t="str">
        <f ca="1">IF(ISERROR(MATCH(B75,Код_КЦСР,0)),"",INDIRECT(ADDRESS(MATCH(B75,Код_КЦСР,0)+1,2,,,"КЦСР")))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5" s="29" t="s">
        <v>247</v>
      </c>
      <c r="C75" s="6"/>
      <c r="D75" s="1"/>
      <c r="E75" s="69"/>
      <c r="F75" s="58">
        <f aca="true" t="shared" si="15" ref="F75:G78">F76</f>
        <v>12573.1</v>
      </c>
      <c r="G75" s="58">
        <f t="shared" si="15"/>
        <v>12867.2</v>
      </c>
    </row>
    <row r="76" spans="1:7" ht="21" customHeight="1">
      <c r="A76" s="55" t="str">
        <f ca="1">IF(ISERROR(MATCH(C76,Код_Раздел,0)),"",INDIRECT(ADDRESS(MATCH(C76,Код_Раздел,0)+1,2,,,"Раздел")))</f>
        <v>Образование</v>
      </c>
      <c r="B76" s="29" t="s">
        <v>247</v>
      </c>
      <c r="C76" s="6" t="s">
        <v>170</v>
      </c>
      <c r="D76" s="1"/>
      <c r="E76" s="69"/>
      <c r="F76" s="58">
        <f t="shared" si="15"/>
        <v>12573.1</v>
      </c>
      <c r="G76" s="58">
        <f t="shared" si="15"/>
        <v>12867.2</v>
      </c>
    </row>
    <row r="77" spans="1:7" ht="20.25" customHeight="1">
      <c r="A77" s="59" t="s">
        <v>220</v>
      </c>
      <c r="B77" s="29" t="s">
        <v>247</v>
      </c>
      <c r="C77" s="6" t="s">
        <v>170</v>
      </c>
      <c r="D77" s="1" t="s">
        <v>188</v>
      </c>
      <c r="E77" s="69"/>
      <c r="F77" s="58">
        <f t="shared" si="15"/>
        <v>12573.1</v>
      </c>
      <c r="G77" s="58">
        <f t="shared" si="15"/>
        <v>12867.2</v>
      </c>
    </row>
    <row r="78" spans="1:7" ht="36" customHeight="1">
      <c r="A78" s="55" t="str">
        <f ca="1">IF(ISERROR(MATCH(E78,Код_КВР,0)),"",INDIRECT(ADDRESS(MATCH(E78,Код_КВР,0)+1,2,,,"КВР")))</f>
        <v>Предоставление субсидий бюджетным, автономным учреждениям и иным некоммерческим организациям</v>
      </c>
      <c r="B78" s="29" t="s">
        <v>247</v>
      </c>
      <c r="C78" s="6" t="s">
        <v>170</v>
      </c>
      <c r="D78" s="1" t="s">
        <v>188</v>
      </c>
      <c r="E78" s="69">
        <v>600</v>
      </c>
      <c r="F78" s="58">
        <f t="shared" si="15"/>
        <v>12573.1</v>
      </c>
      <c r="G78" s="58">
        <f t="shared" si="15"/>
        <v>12867.2</v>
      </c>
    </row>
    <row r="79" spans="1:7" ht="19.5" customHeight="1">
      <c r="A79" s="55" t="str">
        <f ca="1">IF(ISERROR(MATCH(E79,Код_КВР,0)),"",INDIRECT(ADDRESS(MATCH(E79,Код_КВР,0)+1,2,,,"КВР")))</f>
        <v>Субсидии бюджетным учреждениям</v>
      </c>
      <c r="B79" s="29" t="s">
        <v>247</v>
      </c>
      <c r="C79" s="6" t="s">
        <v>170</v>
      </c>
      <c r="D79" s="1" t="s">
        <v>188</v>
      </c>
      <c r="E79" s="69">
        <v>610</v>
      </c>
      <c r="F79" s="58">
        <f>'прил.16'!G506</f>
        <v>12573.1</v>
      </c>
      <c r="G79" s="58">
        <f>'прил.16'!H506</f>
        <v>12867.2</v>
      </c>
    </row>
    <row r="80" spans="1:7" ht="35.25" customHeight="1">
      <c r="A80" s="55" t="str">
        <f ca="1">IF(ISERROR(MATCH(B80,Код_КЦСР,0)),"",INDIRECT(ADDRESS(MATCH(B80,Код_КЦСР,0)+1,2,,,"КЦСР")))</f>
        <v>Формирование комплексной системы выявления, развития и поддержки одаренных детей и молодых талантов</v>
      </c>
      <c r="B80" s="29" t="s">
        <v>248</v>
      </c>
      <c r="C80" s="6"/>
      <c r="D80" s="1"/>
      <c r="E80" s="69"/>
      <c r="F80" s="58">
        <f aca="true" t="shared" si="16" ref="F80:G82">F81</f>
        <v>458</v>
      </c>
      <c r="G80" s="58">
        <f t="shared" si="16"/>
        <v>458</v>
      </c>
    </row>
    <row r="81" spans="1:7" ht="18.75" customHeight="1">
      <c r="A81" s="55" t="str">
        <f ca="1">IF(ISERROR(MATCH(C81,Код_Раздел,0)),"",INDIRECT(ADDRESS(MATCH(C81,Код_Раздел,0)+1,2,,,"Раздел")))</f>
        <v>Образование</v>
      </c>
      <c r="B81" s="29" t="s">
        <v>248</v>
      </c>
      <c r="C81" s="6" t="s">
        <v>170</v>
      </c>
      <c r="D81" s="1"/>
      <c r="E81" s="69"/>
      <c r="F81" s="58">
        <f t="shared" si="16"/>
        <v>458</v>
      </c>
      <c r="G81" s="58">
        <f t="shared" si="16"/>
        <v>458</v>
      </c>
    </row>
    <row r="82" spans="1:7" ht="12.75">
      <c r="A82" s="59" t="s">
        <v>220</v>
      </c>
      <c r="B82" s="29" t="s">
        <v>248</v>
      </c>
      <c r="C82" s="6" t="s">
        <v>170</v>
      </c>
      <c r="D82" s="1" t="s">
        <v>188</v>
      </c>
      <c r="E82" s="69"/>
      <c r="F82" s="58">
        <f t="shared" si="16"/>
        <v>458</v>
      </c>
      <c r="G82" s="58">
        <f t="shared" si="16"/>
        <v>458</v>
      </c>
    </row>
    <row r="83" spans="1:7" ht="12.75">
      <c r="A83" s="55" t="str">
        <f ca="1">IF(ISERROR(MATCH(E83,Код_КВР,0)),"",INDIRECT(ADDRESS(MATCH(E83,Код_КВР,0)+1,2,,,"КВР")))</f>
        <v>Социальное обеспечение и иные выплаты населению</v>
      </c>
      <c r="B83" s="29" t="s">
        <v>248</v>
      </c>
      <c r="C83" s="6" t="s">
        <v>170</v>
      </c>
      <c r="D83" s="1" t="s">
        <v>188</v>
      </c>
      <c r="E83" s="69">
        <v>300</v>
      </c>
      <c r="F83" s="58">
        <f>SUM(F84:F85)</f>
        <v>458</v>
      </c>
      <c r="G83" s="58">
        <f>SUM(G84:G85)</f>
        <v>458</v>
      </c>
    </row>
    <row r="84" spans="1:7" ht="12.75">
      <c r="A84" s="55" t="str">
        <f ca="1">IF(ISERROR(MATCH(E84,Код_КВР,0)),"",INDIRECT(ADDRESS(MATCH(E84,Код_КВР,0)+1,2,,,"КВР")))</f>
        <v>Стипендии</v>
      </c>
      <c r="B84" s="29" t="s">
        <v>248</v>
      </c>
      <c r="C84" s="6" t="s">
        <v>170</v>
      </c>
      <c r="D84" s="1" t="s">
        <v>188</v>
      </c>
      <c r="E84" s="69">
        <v>340</v>
      </c>
      <c r="F84" s="58">
        <f>'прил.16'!G509</f>
        <v>200</v>
      </c>
      <c r="G84" s="58">
        <f>'прил.16'!H509</f>
        <v>200</v>
      </c>
    </row>
    <row r="85" spans="1:7" ht="12.75">
      <c r="A85" s="55" t="str">
        <f ca="1">IF(ISERROR(MATCH(E85,Код_КВР,0)),"",INDIRECT(ADDRESS(MATCH(E85,Код_КВР,0)+1,2,,,"КВР")))</f>
        <v>Премии и гранты</v>
      </c>
      <c r="B85" s="29" t="s">
        <v>248</v>
      </c>
      <c r="C85" s="6" t="s">
        <v>170</v>
      </c>
      <c r="D85" s="1" t="s">
        <v>188</v>
      </c>
      <c r="E85" s="69">
        <v>350</v>
      </c>
      <c r="F85" s="58">
        <f>'прил.16'!G510</f>
        <v>258</v>
      </c>
      <c r="G85" s="58">
        <f>'прил.16'!H510</f>
        <v>258</v>
      </c>
    </row>
    <row r="86" spans="1:7" ht="33" hidden="1">
      <c r="A86" s="55" t="str">
        <f ca="1">IF(ISERROR(MATCH(B86,Код_КЦСР,0)),"",INDIRECT(ADDRESS(MATCH(B86,Код_КЦСР,0)+1,2,,,"КЦСР")))</f>
        <v>Просвещение обучающихся, формирование культуры, здорового и безопасного образа жизни</v>
      </c>
      <c r="B86" s="29" t="s">
        <v>499</v>
      </c>
      <c r="C86" s="6"/>
      <c r="D86" s="1"/>
      <c r="E86" s="79"/>
      <c r="F86" s="58">
        <f aca="true" t="shared" si="17" ref="F86:G89">F87</f>
        <v>0</v>
      </c>
      <c r="G86" s="58">
        <f t="shared" si="17"/>
        <v>0</v>
      </c>
    </row>
    <row r="87" spans="1:7" ht="12.75" hidden="1">
      <c r="A87" s="55" t="str">
        <f ca="1">IF(ISERROR(MATCH(C87,Код_Раздел,0)),"",INDIRECT(ADDRESS(MATCH(C87,Код_Раздел,0)+1,2,,,"Раздел")))</f>
        <v>Образование</v>
      </c>
      <c r="B87" s="29" t="s">
        <v>499</v>
      </c>
      <c r="C87" s="6" t="s">
        <v>170</v>
      </c>
      <c r="D87" s="1"/>
      <c r="E87" s="79"/>
      <c r="F87" s="58">
        <f t="shared" si="17"/>
        <v>0</v>
      </c>
      <c r="G87" s="58">
        <f t="shared" si="17"/>
        <v>0</v>
      </c>
    </row>
    <row r="88" spans="1:7" ht="12.75" hidden="1">
      <c r="A88" s="59" t="s">
        <v>220</v>
      </c>
      <c r="B88" s="29" t="s">
        <v>499</v>
      </c>
      <c r="C88" s="6" t="s">
        <v>170</v>
      </c>
      <c r="D88" s="1" t="s">
        <v>188</v>
      </c>
      <c r="E88" s="79"/>
      <c r="F88" s="58">
        <f t="shared" si="17"/>
        <v>0</v>
      </c>
      <c r="G88" s="58">
        <f t="shared" si="17"/>
        <v>0</v>
      </c>
    </row>
    <row r="89" spans="1:7" ht="33" hidden="1">
      <c r="A89" s="55" t="str">
        <f ca="1">IF(ISERROR(MATCH(E89,Код_КВР,0)),"",INDIRECT(ADDRESS(MATCH(E89,Код_КВР,0)+1,2,,,"КВР")))</f>
        <v>Предоставление субсидий бюджетным, автономным учреждениям и иным некоммерческим организациям</v>
      </c>
      <c r="B89" s="29" t="s">
        <v>499</v>
      </c>
      <c r="C89" s="6" t="s">
        <v>170</v>
      </c>
      <c r="D89" s="1" t="s">
        <v>188</v>
      </c>
      <c r="E89" s="79">
        <v>600</v>
      </c>
      <c r="F89" s="58">
        <f t="shared" si="17"/>
        <v>0</v>
      </c>
      <c r="G89" s="58">
        <f t="shared" si="17"/>
        <v>0</v>
      </c>
    </row>
    <row r="90" spans="1:7" ht="12.75" hidden="1">
      <c r="A90" s="55" t="str">
        <f ca="1">IF(ISERROR(MATCH(E90,Код_КВР,0)),"",INDIRECT(ADDRESS(MATCH(E90,Код_КВР,0)+1,2,,,"КВР")))</f>
        <v>Субсидии бюджетным учреждениям</v>
      </c>
      <c r="B90" s="29" t="s">
        <v>499</v>
      </c>
      <c r="C90" s="6" t="s">
        <v>170</v>
      </c>
      <c r="D90" s="1" t="s">
        <v>188</v>
      </c>
      <c r="E90" s="79">
        <v>610</v>
      </c>
      <c r="F90" s="58">
        <f>'прил.16'!G513</f>
        <v>0</v>
      </c>
      <c r="G90" s="58">
        <f>'прил.16'!H513</f>
        <v>0</v>
      </c>
    </row>
    <row r="91" spans="1:7" ht="69" customHeight="1">
      <c r="A91" s="55" t="str">
        <f ca="1">IF(ISERROR(MATCH(B91,Код_КЦСР,0)),"",INDIRECT(ADDRESS(MATCH(B91,Код_КЦСР,0)+1,2,,,"КЦСР")))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1" s="29" t="s">
        <v>351</v>
      </c>
      <c r="C91" s="6"/>
      <c r="D91" s="1"/>
      <c r="E91" s="69"/>
      <c r="F91" s="58">
        <f aca="true" t="shared" si="18" ref="F91:G93">F92</f>
        <v>1090618.2000000002</v>
      </c>
      <c r="G91" s="58">
        <f t="shared" si="18"/>
        <v>1251974.5</v>
      </c>
    </row>
    <row r="92" spans="1:7" ht="12.75">
      <c r="A92" s="55" t="str">
        <f ca="1">IF(ISERROR(MATCH(C92,Код_Раздел,0)),"",INDIRECT(ADDRESS(MATCH(C92,Код_Раздел,0)+1,2,,,"Раздел")))</f>
        <v>Образование</v>
      </c>
      <c r="B92" s="29" t="s">
        <v>351</v>
      </c>
      <c r="C92" s="6" t="s">
        <v>170</v>
      </c>
      <c r="D92" s="1"/>
      <c r="E92" s="69"/>
      <c r="F92" s="58">
        <f t="shared" si="18"/>
        <v>1090618.2000000002</v>
      </c>
      <c r="G92" s="58">
        <f t="shared" si="18"/>
        <v>1251974.5</v>
      </c>
    </row>
    <row r="93" spans="1:7" ht="12.75">
      <c r="A93" s="59" t="s">
        <v>220</v>
      </c>
      <c r="B93" s="29" t="s">
        <v>351</v>
      </c>
      <c r="C93" s="6" t="s">
        <v>170</v>
      </c>
      <c r="D93" s="1" t="s">
        <v>188</v>
      </c>
      <c r="E93" s="69"/>
      <c r="F93" s="58">
        <f t="shared" si="18"/>
        <v>1090618.2000000002</v>
      </c>
      <c r="G93" s="58">
        <f t="shared" si="18"/>
        <v>1251974.5</v>
      </c>
    </row>
    <row r="94" spans="1:7" ht="33">
      <c r="A94" s="55" t="str">
        <f aca="true" t="shared" si="19" ref="A94:A96">IF(ISERROR(MATCH(E94,Код_КВР,0)),"",INDIRECT(ADDRESS(MATCH(E94,Код_КВР,0)+1,2,,,"КВР")))</f>
        <v>Предоставление субсидий бюджетным, автономным учреждениям и иным некоммерческим организациям</v>
      </c>
      <c r="B94" s="29" t="s">
        <v>351</v>
      </c>
      <c r="C94" s="6" t="s">
        <v>170</v>
      </c>
      <c r="D94" s="1" t="s">
        <v>188</v>
      </c>
      <c r="E94" s="69">
        <v>600</v>
      </c>
      <c r="F94" s="58">
        <f>F95+F96</f>
        <v>1090618.2000000002</v>
      </c>
      <c r="G94" s="58">
        <f>G95+G96</f>
        <v>1251974.5</v>
      </c>
    </row>
    <row r="95" spans="1:7" ht="12.75">
      <c r="A95" s="55" t="str">
        <f ca="1" t="shared" si="19"/>
        <v>Субсидии бюджетным учреждениям</v>
      </c>
      <c r="B95" s="29" t="s">
        <v>351</v>
      </c>
      <c r="C95" s="6" t="s">
        <v>170</v>
      </c>
      <c r="D95" s="1" t="s">
        <v>188</v>
      </c>
      <c r="E95" s="69">
        <v>610</v>
      </c>
      <c r="F95" s="58">
        <f>'прил.16'!G516</f>
        <v>1072955.4000000001</v>
      </c>
      <c r="G95" s="58">
        <f>'прил.16'!H516</f>
        <v>1231698.5</v>
      </c>
    </row>
    <row r="96" spans="1:7" ht="21" customHeight="1">
      <c r="A96" s="55" t="str">
        <f ca="1" t="shared" si="19"/>
        <v>Субсидии автономным учреждениям</v>
      </c>
      <c r="B96" s="29" t="s">
        <v>351</v>
      </c>
      <c r="C96" s="6" t="s">
        <v>170</v>
      </c>
      <c r="D96" s="1" t="s">
        <v>188</v>
      </c>
      <c r="E96" s="69">
        <v>620</v>
      </c>
      <c r="F96" s="58">
        <f>'прил.16'!G517</f>
        <v>17662.8</v>
      </c>
      <c r="G96" s="58">
        <f>'прил.16'!H517</f>
        <v>20276</v>
      </c>
    </row>
    <row r="97" spans="1:7" ht="87" customHeight="1">
      <c r="A97" s="55" t="str">
        <f ca="1">IF(ISERROR(MATCH(B97,Код_КЦСР,0)),"",INDIRECT(ADDRESS(MATCH(B97,Код_КЦСР,0)+1,2,,,"КЦСР")))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97" s="29" t="s">
        <v>350</v>
      </c>
      <c r="C97" s="6"/>
      <c r="D97" s="1"/>
      <c r="E97" s="69"/>
      <c r="F97" s="58">
        <f aca="true" t="shared" si="20" ref="F97:G97">F98+F111</f>
        <v>11841.4</v>
      </c>
      <c r="G97" s="58">
        <f t="shared" si="20"/>
        <v>15990.3</v>
      </c>
    </row>
    <row r="98" spans="1:7" ht="12.75">
      <c r="A98" s="55" t="str">
        <f ca="1">IF(ISERROR(MATCH(C98,Код_Раздел,0)),"",INDIRECT(ADDRESS(MATCH(C98,Код_Раздел,0)+1,2,,,"Раздел")))</f>
        <v>Образование</v>
      </c>
      <c r="B98" s="29" t="s">
        <v>350</v>
      </c>
      <c r="C98" s="6" t="s">
        <v>170</v>
      </c>
      <c r="D98" s="1"/>
      <c r="E98" s="69"/>
      <c r="F98" s="58">
        <f aca="true" t="shared" si="21" ref="F98:G98">F103+F107+F99</f>
        <v>9592.3</v>
      </c>
      <c r="G98" s="58">
        <f t="shared" si="21"/>
        <v>9592.3</v>
      </c>
    </row>
    <row r="99" spans="1:7" ht="12.75">
      <c r="A99" s="59" t="s">
        <v>228</v>
      </c>
      <c r="B99" s="29" t="s">
        <v>350</v>
      </c>
      <c r="C99" s="6" t="s">
        <v>170</v>
      </c>
      <c r="D99" s="6" t="s">
        <v>187</v>
      </c>
      <c r="E99" s="95"/>
      <c r="F99" s="58">
        <f aca="true" t="shared" si="22" ref="F99:G99">F100</f>
        <v>4322.5</v>
      </c>
      <c r="G99" s="58">
        <f t="shared" si="22"/>
        <v>4322.5</v>
      </c>
    </row>
    <row r="100" spans="1:7" ht="33.75" customHeight="1">
      <c r="A100" s="55" t="str">
        <f ca="1">IF(ISERROR(MATCH(E100,Код_КВР,0)),"",INDIRECT(ADDRESS(MATCH(E100,Код_КВР,0)+1,2,,,"КВР")))</f>
        <v>Предоставление субсидий бюджетным, автономным учреждениям и иным некоммерческим организациям</v>
      </c>
      <c r="B100" s="29" t="s">
        <v>350</v>
      </c>
      <c r="C100" s="6" t="s">
        <v>170</v>
      </c>
      <c r="D100" s="6" t="s">
        <v>187</v>
      </c>
      <c r="E100" s="95">
        <v>600</v>
      </c>
      <c r="F100" s="58">
        <f aca="true" t="shared" si="23" ref="F100:G100">F101+F102</f>
        <v>4322.5</v>
      </c>
      <c r="G100" s="58">
        <f t="shared" si="23"/>
        <v>4322.5</v>
      </c>
    </row>
    <row r="101" spans="1:7" ht="12.75">
      <c r="A101" s="55" t="str">
        <f ca="1">IF(ISERROR(MATCH(E101,Код_КВР,0)),"",INDIRECT(ADDRESS(MATCH(E101,Код_КВР,0)+1,2,,,"КВР")))</f>
        <v>Субсидии бюджетным учреждениям</v>
      </c>
      <c r="B101" s="29" t="s">
        <v>350</v>
      </c>
      <c r="C101" s="6" t="s">
        <v>170</v>
      </c>
      <c r="D101" s="6" t="s">
        <v>187</v>
      </c>
      <c r="E101" s="95">
        <v>610</v>
      </c>
      <c r="F101" s="58">
        <f>'прил.16'!G486</f>
        <v>4305.6</v>
      </c>
      <c r="G101" s="58">
        <f>'прил.16'!H486</f>
        <v>4305.6</v>
      </c>
    </row>
    <row r="102" spans="1:7" ht="12.75">
      <c r="A102" s="55" t="str">
        <f ca="1">IF(ISERROR(MATCH(E102,Код_КВР,0)),"",INDIRECT(ADDRESS(MATCH(E102,Код_КВР,0)+1,2,,,"КВР")))</f>
        <v>Субсидии автономным учреждениям</v>
      </c>
      <c r="B102" s="29" t="s">
        <v>350</v>
      </c>
      <c r="C102" s="6" t="s">
        <v>170</v>
      </c>
      <c r="D102" s="6" t="s">
        <v>187</v>
      </c>
      <c r="E102" s="95">
        <v>620</v>
      </c>
      <c r="F102" s="58">
        <f>'прил.16'!G487</f>
        <v>16.9</v>
      </c>
      <c r="G102" s="58">
        <f>'прил.16'!H487</f>
        <v>16.9</v>
      </c>
    </row>
    <row r="103" spans="1:7" ht="12.75">
      <c r="A103" s="59" t="s">
        <v>220</v>
      </c>
      <c r="B103" s="29" t="s">
        <v>350</v>
      </c>
      <c r="C103" s="6" t="s">
        <v>170</v>
      </c>
      <c r="D103" s="6" t="s">
        <v>188</v>
      </c>
      <c r="E103" s="69"/>
      <c r="F103" s="58">
        <f aca="true" t="shared" si="24" ref="F103:G103">F104</f>
        <v>775.4</v>
      </c>
      <c r="G103" s="58">
        <f t="shared" si="24"/>
        <v>775.4</v>
      </c>
    </row>
    <row r="104" spans="1:7" ht="39.75" customHeight="1">
      <c r="A104" s="55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29" t="s">
        <v>350</v>
      </c>
      <c r="C104" s="6" t="s">
        <v>170</v>
      </c>
      <c r="D104" s="6" t="s">
        <v>188</v>
      </c>
      <c r="E104" s="69">
        <v>600</v>
      </c>
      <c r="F104" s="58">
        <f aca="true" t="shared" si="25" ref="F104:G104">F105+F106</f>
        <v>775.4</v>
      </c>
      <c r="G104" s="58">
        <f t="shared" si="25"/>
        <v>775.4</v>
      </c>
    </row>
    <row r="105" spans="1:7" ht="17.85" customHeight="1">
      <c r="A105" s="55" t="str">
        <f ca="1">IF(ISERROR(MATCH(E105,Код_КВР,0)),"",INDIRECT(ADDRESS(MATCH(E105,Код_КВР,0)+1,2,,,"КВР")))</f>
        <v>Субсидии бюджетным учреждениям</v>
      </c>
      <c r="B105" s="29" t="s">
        <v>350</v>
      </c>
      <c r="C105" s="6" t="s">
        <v>170</v>
      </c>
      <c r="D105" s="6" t="s">
        <v>188</v>
      </c>
      <c r="E105" s="69">
        <v>610</v>
      </c>
      <c r="F105" s="58">
        <f>'прил.16'!G520</f>
        <v>775.4</v>
      </c>
      <c r="G105" s="58">
        <f>'прил.16'!H520</f>
        <v>775.4</v>
      </c>
    </row>
    <row r="106" spans="1:7" ht="17.85" customHeight="1">
      <c r="A106" s="55" t="str">
        <f ca="1">IF(ISERROR(MATCH(E106,Код_КВР,0)),"",INDIRECT(ADDRESS(MATCH(E106,Код_КВР,0)+1,2,,,"КВР")))</f>
        <v>Субсидии автономным учреждениям</v>
      </c>
      <c r="B106" s="29" t="s">
        <v>350</v>
      </c>
      <c r="C106" s="6" t="s">
        <v>170</v>
      </c>
      <c r="D106" s="6" t="s">
        <v>188</v>
      </c>
      <c r="E106" s="94">
        <v>620</v>
      </c>
      <c r="F106" s="58">
        <f>'прил.16'!G521</f>
        <v>0</v>
      </c>
      <c r="G106" s="58">
        <f>'прил.16'!H521</f>
        <v>0</v>
      </c>
    </row>
    <row r="107" spans="1:7" ht="17.85" customHeight="1">
      <c r="A107" s="59" t="s">
        <v>221</v>
      </c>
      <c r="B107" s="29" t="s">
        <v>350</v>
      </c>
      <c r="C107" s="6" t="s">
        <v>170</v>
      </c>
      <c r="D107" s="6" t="s">
        <v>193</v>
      </c>
      <c r="E107" s="94"/>
      <c r="F107" s="58">
        <f aca="true" t="shared" si="26" ref="F107:G107">F108</f>
        <v>4494.4</v>
      </c>
      <c r="G107" s="58">
        <f t="shared" si="26"/>
        <v>4494.4</v>
      </c>
    </row>
    <row r="108" spans="1:7" ht="33" customHeight="1">
      <c r="A108" s="55" t="str">
        <f ca="1">IF(ISERROR(MATCH(E108,Код_КВР,0)),"",INDIRECT(ADDRESS(MATCH(E108,Код_КВР,0)+1,2,,,"КВР")))</f>
        <v>Предоставление субсидий бюджетным, автономным учреждениям и иным некоммерческим организациям</v>
      </c>
      <c r="B108" s="29" t="s">
        <v>350</v>
      </c>
      <c r="C108" s="6" t="s">
        <v>170</v>
      </c>
      <c r="D108" s="6" t="s">
        <v>193</v>
      </c>
      <c r="E108" s="94">
        <v>600</v>
      </c>
      <c r="F108" s="58">
        <f aca="true" t="shared" si="27" ref="F108:G108">F109+F110</f>
        <v>4494.4</v>
      </c>
      <c r="G108" s="58">
        <f t="shared" si="27"/>
        <v>4494.4</v>
      </c>
    </row>
    <row r="109" spans="1:7" ht="17.85" customHeight="1" hidden="1">
      <c r="A109" s="55" t="str">
        <f ca="1">IF(ISERROR(MATCH(E109,Код_КВР,0)),"",INDIRECT(ADDRESS(MATCH(E109,Код_КВР,0)+1,2,,,"КВР")))</f>
        <v>Субсидии бюджетным учреждениям</v>
      </c>
      <c r="B109" s="29" t="s">
        <v>350</v>
      </c>
      <c r="C109" s="6" t="s">
        <v>170</v>
      </c>
      <c r="D109" s="6" t="s">
        <v>193</v>
      </c>
      <c r="E109" s="94">
        <v>610</v>
      </c>
      <c r="F109" s="58"/>
      <c r="G109" s="58"/>
    </row>
    <row r="110" spans="1:7" ht="17.85" customHeight="1">
      <c r="A110" s="55" t="str">
        <f ca="1">IF(ISERROR(MATCH(E110,Код_КВР,0)),"",INDIRECT(ADDRESS(MATCH(E110,Код_КВР,0)+1,2,,,"КВР")))</f>
        <v>Субсидии автономным учреждениям</v>
      </c>
      <c r="B110" s="29" t="s">
        <v>350</v>
      </c>
      <c r="C110" s="6" t="s">
        <v>170</v>
      </c>
      <c r="D110" s="6" t="s">
        <v>193</v>
      </c>
      <c r="E110" s="94">
        <v>620</v>
      </c>
      <c r="F110" s="58">
        <f>'прил.16'!G567</f>
        <v>4494.4</v>
      </c>
      <c r="G110" s="58">
        <f>'прил.16'!H567</f>
        <v>4494.4</v>
      </c>
    </row>
    <row r="111" spans="1:7" ht="17.85" customHeight="1">
      <c r="A111" s="55" t="str">
        <f ca="1">IF(ISERROR(MATCH(C111,Код_Раздел,0)),"",INDIRECT(ADDRESS(MATCH(C111,Код_Раздел,0)+1,2,,,"Раздел")))</f>
        <v>Социальная политика</v>
      </c>
      <c r="B111" s="29" t="s">
        <v>350</v>
      </c>
      <c r="C111" s="6" t="s">
        <v>163</v>
      </c>
      <c r="D111" s="6"/>
      <c r="E111" s="94"/>
      <c r="F111" s="58">
        <f aca="true" t="shared" si="28" ref="F111:G111">F112</f>
        <v>2249.1000000000004</v>
      </c>
      <c r="G111" s="58">
        <f t="shared" si="28"/>
        <v>6398</v>
      </c>
    </row>
    <row r="112" spans="1:7" ht="17.85" customHeight="1">
      <c r="A112" s="60" t="s">
        <v>179</v>
      </c>
      <c r="B112" s="29" t="s">
        <v>350</v>
      </c>
      <c r="C112" s="6" t="s">
        <v>163</v>
      </c>
      <c r="D112" s="6" t="s">
        <v>190</v>
      </c>
      <c r="E112" s="94"/>
      <c r="F112" s="58">
        <f aca="true" t="shared" si="29" ref="F112:G112">F113</f>
        <v>2249.1000000000004</v>
      </c>
      <c r="G112" s="58">
        <f t="shared" si="29"/>
        <v>6398</v>
      </c>
    </row>
    <row r="113" spans="1:7" ht="23.25" customHeight="1">
      <c r="A113" s="55" t="str">
        <f ca="1">IF(ISERROR(MATCH(E113,Код_КВР,0)),"",INDIRECT(ADDRESS(MATCH(E113,Код_КВР,0)+1,2,,,"КВР")))</f>
        <v>Социальное обеспечение и иные выплаты населению</v>
      </c>
      <c r="B113" s="29" t="s">
        <v>350</v>
      </c>
      <c r="C113" s="6" t="s">
        <v>163</v>
      </c>
      <c r="D113" s="6" t="s">
        <v>190</v>
      </c>
      <c r="E113" s="94">
        <v>300</v>
      </c>
      <c r="F113" s="58">
        <f aca="true" t="shared" si="30" ref="F113:G113">F114</f>
        <v>2249.1000000000004</v>
      </c>
      <c r="G113" s="58">
        <f t="shared" si="30"/>
        <v>6398</v>
      </c>
    </row>
    <row r="114" spans="1:7" ht="36" customHeight="1">
      <c r="A114" s="55" t="str">
        <f ca="1">IF(ISERROR(MATCH(E114,Код_КВР,0)),"",INDIRECT(ADDRESS(MATCH(E114,Код_КВР,0)+1,2,,,"КВР")))</f>
        <v>Социальные выплаты гражданам, кроме публичных нормативных социальных выплат</v>
      </c>
      <c r="B114" s="29" t="s">
        <v>350</v>
      </c>
      <c r="C114" s="6" t="s">
        <v>163</v>
      </c>
      <c r="D114" s="6" t="s">
        <v>190</v>
      </c>
      <c r="E114" s="94">
        <v>320</v>
      </c>
      <c r="F114" s="58">
        <f>'прил.16'!G635</f>
        <v>2249.1000000000004</v>
      </c>
      <c r="G114" s="58">
        <f>'прил.16'!H635</f>
        <v>6398</v>
      </c>
    </row>
    <row r="115" spans="1:7" ht="20.25" customHeight="1">
      <c r="A115" s="55" t="str">
        <f ca="1">IF(ISERROR(MATCH(B115,Код_КЦСР,0)),"",INDIRECT(ADDRESS(MATCH(B115,Код_КЦСР,0)+1,2,,,"КЦСР")))</f>
        <v>Дополнительное образование</v>
      </c>
      <c r="B115" s="29" t="s">
        <v>250</v>
      </c>
      <c r="C115" s="6"/>
      <c r="D115" s="1"/>
      <c r="E115" s="69"/>
      <c r="F115" s="58">
        <f>F116+F121+F126</f>
        <v>93864.8</v>
      </c>
      <c r="G115" s="58">
        <f>G116+G121+G126</f>
        <v>94033.2</v>
      </c>
    </row>
    <row r="116" spans="1:7" ht="25.5" customHeight="1">
      <c r="A116" s="55" t="str">
        <f ca="1">IF(ISERROR(MATCH(B116,Код_КЦСР,0)),"",INDIRECT(ADDRESS(MATCH(B116,Код_КЦСР,0)+1,2,,,"КЦСР")))</f>
        <v xml:space="preserve">Организация предоставления дополнительного образования детям </v>
      </c>
      <c r="B116" s="29" t="s">
        <v>252</v>
      </c>
      <c r="C116" s="6"/>
      <c r="D116" s="1"/>
      <c r="E116" s="69"/>
      <c r="F116" s="58">
        <f aca="true" t="shared" si="31" ref="F116:G119">F117</f>
        <v>91749.3</v>
      </c>
      <c r="G116" s="58">
        <f t="shared" si="31"/>
        <v>91917.7</v>
      </c>
    </row>
    <row r="117" spans="1:7" ht="21" customHeight="1">
      <c r="A117" s="55" t="str">
        <f ca="1">IF(ISERROR(MATCH(C117,Код_Раздел,0)),"",INDIRECT(ADDRESS(MATCH(C117,Код_Раздел,0)+1,2,,,"Раздел")))</f>
        <v>Образование</v>
      </c>
      <c r="B117" s="29" t="s">
        <v>252</v>
      </c>
      <c r="C117" s="6" t="s">
        <v>170</v>
      </c>
      <c r="D117" s="1"/>
      <c r="E117" s="69"/>
      <c r="F117" s="58">
        <f t="shared" si="31"/>
        <v>91749.3</v>
      </c>
      <c r="G117" s="58">
        <f t="shared" si="31"/>
        <v>91917.7</v>
      </c>
    </row>
    <row r="118" spans="1:7" ht="20.25" customHeight="1">
      <c r="A118" s="59" t="s">
        <v>220</v>
      </c>
      <c r="B118" s="29" t="s">
        <v>252</v>
      </c>
      <c r="C118" s="6" t="s">
        <v>170</v>
      </c>
      <c r="D118" s="1" t="s">
        <v>188</v>
      </c>
      <c r="E118" s="69"/>
      <c r="F118" s="58">
        <f t="shared" si="31"/>
        <v>91749.3</v>
      </c>
      <c r="G118" s="58">
        <f t="shared" si="31"/>
        <v>91917.7</v>
      </c>
    </row>
    <row r="119" spans="1:7" ht="36.75" customHeight="1">
      <c r="A119" s="55" t="str">
        <f ca="1">IF(ISERROR(MATCH(E119,Код_КВР,0)),"",INDIRECT(ADDRESS(MATCH(E119,Код_КВР,0)+1,2,,,"КВР")))</f>
        <v>Предоставление субсидий бюджетным, автономным учреждениям и иным некоммерческим организациям</v>
      </c>
      <c r="B119" s="29" t="s">
        <v>252</v>
      </c>
      <c r="C119" s="6" t="s">
        <v>170</v>
      </c>
      <c r="D119" s="1" t="s">
        <v>188</v>
      </c>
      <c r="E119" s="69">
        <v>600</v>
      </c>
      <c r="F119" s="58">
        <f t="shared" si="31"/>
        <v>91749.3</v>
      </c>
      <c r="G119" s="58">
        <f t="shared" si="31"/>
        <v>91917.7</v>
      </c>
    </row>
    <row r="120" spans="1:7" ht="19.5" customHeight="1">
      <c r="A120" s="55" t="str">
        <f ca="1">IF(ISERROR(MATCH(E120,Код_КВР,0)),"",INDIRECT(ADDRESS(MATCH(E120,Код_КВР,0)+1,2,,,"КВР")))</f>
        <v>Субсидии бюджетным учреждениям</v>
      </c>
      <c r="B120" s="29" t="s">
        <v>252</v>
      </c>
      <c r="C120" s="6" t="s">
        <v>170</v>
      </c>
      <c r="D120" s="1" t="s">
        <v>188</v>
      </c>
      <c r="E120" s="69">
        <v>610</v>
      </c>
      <c r="F120" s="58">
        <f>'прил.16'!G525</f>
        <v>91749.3</v>
      </c>
      <c r="G120" s="58">
        <f>'прил.16'!H525</f>
        <v>91917.7</v>
      </c>
    </row>
    <row r="121" spans="1:7" ht="53.25" customHeight="1">
      <c r="A121" s="55" t="str">
        <f ca="1">IF(ISERROR(MATCH(B121,Код_КЦСР,0)),"",INDIRECT(ADDRESS(MATCH(B121,Код_КЦСР,0)+1,2,,,"КЦСР")))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1" s="29" t="s">
        <v>254</v>
      </c>
      <c r="C121" s="6"/>
      <c r="D121" s="1"/>
      <c r="E121" s="69"/>
      <c r="F121" s="58">
        <f aca="true" t="shared" si="32" ref="F121:G124">F122</f>
        <v>258</v>
      </c>
      <c r="G121" s="58">
        <f t="shared" si="32"/>
        <v>258</v>
      </c>
    </row>
    <row r="122" spans="1:7" ht="12.75">
      <c r="A122" s="55" t="str">
        <f ca="1">IF(ISERROR(MATCH(C122,Код_Раздел,0)),"",INDIRECT(ADDRESS(MATCH(C122,Код_Раздел,0)+1,2,,,"Раздел")))</f>
        <v>Образование</v>
      </c>
      <c r="B122" s="29" t="s">
        <v>254</v>
      </c>
      <c r="C122" s="6" t="s">
        <v>170</v>
      </c>
      <c r="D122" s="1"/>
      <c r="E122" s="69"/>
      <c r="F122" s="58">
        <f t="shared" si="32"/>
        <v>258</v>
      </c>
      <c r="G122" s="58">
        <f t="shared" si="32"/>
        <v>258</v>
      </c>
    </row>
    <row r="123" spans="1:7" ht="12.75">
      <c r="A123" s="59" t="s">
        <v>220</v>
      </c>
      <c r="B123" s="29" t="s">
        <v>254</v>
      </c>
      <c r="C123" s="6" t="s">
        <v>170</v>
      </c>
      <c r="D123" s="1" t="s">
        <v>188</v>
      </c>
      <c r="E123" s="69"/>
      <c r="F123" s="58">
        <f t="shared" si="32"/>
        <v>258</v>
      </c>
      <c r="G123" s="58">
        <f t="shared" si="32"/>
        <v>258</v>
      </c>
    </row>
    <row r="124" spans="1:7" ht="37.5" customHeight="1">
      <c r="A124" s="55" t="str">
        <f ca="1">IF(ISERROR(MATCH(E124,Код_КВР,0)),"",INDIRECT(ADDRESS(MATCH(E124,Код_КВР,0)+1,2,,,"КВР")))</f>
        <v>Предоставление субсидий бюджетным, автономным учреждениям и иным некоммерческим организациям</v>
      </c>
      <c r="B124" s="29" t="s">
        <v>254</v>
      </c>
      <c r="C124" s="6" t="s">
        <v>170</v>
      </c>
      <c r="D124" s="1" t="s">
        <v>188</v>
      </c>
      <c r="E124" s="69">
        <v>600</v>
      </c>
      <c r="F124" s="58">
        <f t="shared" si="32"/>
        <v>258</v>
      </c>
      <c r="G124" s="58">
        <f t="shared" si="32"/>
        <v>258</v>
      </c>
    </row>
    <row r="125" spans="1:7" ht="21" customHeight="1">
      <c r="A125" s="55" t="str">
        <f ca="1">IF(ISERROR(MATCH(E125,Код_КВР,0)),"",INDIRECT(ADDRESS(MATCH(E125,Код_КВР,0)+1,2,,,"КВР")))</f>
        <v>Субсидии бюджетным учреждениям</v>
      </c>
      <c r="B125" s="29" t="s">
        <v>254</v>
      </c>
      <c r="C125" s="6" t="s">
        <v>170</v>
      </c>
      <c r="D125" s="1" t="s">
        <v>188</v>
      </c>
      <c r="E125" s="69">
        <v>610</v>
      </c>
      <c r="F125" s="58">
        <f>'прил.16'!G528</f>
        <v>258</v>
      </c>
      <c r="G125" s="58">
        <f>'прил.16'!H528</f>
        <v>258</v>
      </c>
    </row>
    <row r="126" spans="1:7" ht="90.75" customHeight="1">
      <c r="A126" s="55" t="str">
        <f ca="1">IF(ISERROR(MATCH(B126,Код_КЦСР,0)),"",INDIRECT(ADDRESS(MATCH(B126,Код_КЦСР,0)+1,2,,,"КЦСР")))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126" s="29" t="s">
        <v>98</v>
      </c>
      <c r="C126" s="6"/>
      <c r="D126" s="1"/>
      <c r="E126" s="69"/>
      <c r="F126" s="58">
        <f aca="true" t="shared" si="33" ref="F126:G129">F127</f>
        <v>1857.5</v>
      </c>
      <c r="G126" s="58">
        <f t="shared" si="33"/>
        <v>1857.5</v>
      </c>
    </row>
    <row r="127" spans="1:7" ht="18.75" customHeight="1">
      <c r="A127" s="55" t="str">
        <f ca="1">IF(ISERROR(MATCH(C127,Код_Раздел,0)),"",INDIRECT(ADDRESS(MATCH(C127,Код_Раздел,0)+1,2,,,"Раздел")))</f>
        <v>Образование</v>
      </c>
      <c r="B127" s="29" t="s">
        <v>98</v>
      </c>
      <c r="C127" s="6" t="s">
        <v>170</v>
      </c>
      <c r="D127" s="1"/>
      <c r="E127" s="69"/>
      <c r="F127" s="58">
        <f t="shared" si="33"/>
        <v>1857.5</v>
      </c>
      <c r="G127" s="58">
        <f t="shared" si="33"/>
        <v>1857.5</v>
      </c>
    </row>
    <row r="128" spans="1:7" ht="21" customHeight="1">
      <c r="A128" s="59" t="s">
        <v>220</v>
      </c>
      <c r="B128" s="29" t="s">
        <v>98</v>
      </c>
      <c r="C128" s="6" t="s">
        <v>170</v>
      </c>
      <c r="D128" s="1" t="s">
        <v>188</v>
      </c>
      <c r="E128" s="69"/>
      <c r="F128" s="58">
        <f t="shared" si="33"/>
        <v>1857.5</v>
      </c>
      <c r="G128" s="58">
        <f t="shared" si="33"/>
        <v>1857.5</v>
      </c>
    </row>
    <row r="129" spans="1:7" ht="39" customHeight="1">
      <c r="A129" s="55" t="str">
        <f ca="1">IF(ISERROR(MATCH(E129,Код_КВР,0)),"",INDIRECT(ADDRESS(MATCH(E129,Код_КВР,0)+1,2,,,"КВР")))</f>
        <v>Предоставление субсидий бюджетным, автономным учреждениям и иным некоммерческим организациям</v>
      </c>
      <c r="B129" s="29" t="s">
        <v>98</v>
      </c>
      <c r="C129" s="6" t="s">
        <v>170</v>
      </c>
      <c r="D129" s="1" t="s">
        <v>188</v>
      </c>
      <c r="E129" s="69">
        <v>600</v>
      </c>
      <c r="F129" s="58">
        <f t="shared" si="33"/>
        <v>1857.5</v>
      </c>
      <c r="G129" s="58">
        <f t="shared" si="33"/>
        <v>1857.5</v>
      </c>
    </row>
    <row r="130" spans="1:7" ht="22.5" customHeight="1">
      <c r="A130" s="55" t="str">
        <f ca="1">IF(ISERROR(MATCH(E130,Код_КВР,0)),"",INDIRECT(ADDRESS(MATCH(E130,Код_КВР,0)+1,2,,,"КВР")))</f>
        <v>Субсидии бюджетным учреждениям</v>
      </c>
      <c r="B130" s="29" t="s">
        <v>98</v>
      </c>
      <c r="C130" s="6" t="s">
        <v>170</v>
      </c>
      <c r="D130" s="1" t="s">
        <v>188</v>
      </c>
      <c r="E130" s="69">
        <v>610</v>
      </c>
      <c r="F130" s="58">
        <f>'прил.16'!G531</f>
        <v>1857.5</v>
      </c>
      <c r="G130" s="58">
        <f>'прил.16'!H531</f>
        <v>1857.5</v>
      </c>
    </row>
    <row r="131" spans="1:7" ht="22.5" customHeight="1">
      <c r="A131" s="55" t="str">
        <f ca="1">IF(ISERROR(MATCH(B131,Код_КЦСР,0)),"",INDIRECT(ADDRESS(MATCH(B131,Код_КЦСР,0)+1,2,,,"КЦСР")))</f>
        <v>Кадровое обеспечение муниципальной системы образования</v>
      </c>
      <c r="B131" s="29" t="s">
        <v>256</v>
      </c>
      <c r="C131" s="6"/>
      <c r="D131" s="1"/>
      <c r="E131" s="69"/>
      <c r="F131" s="58">
        <f>F132+F141+F157</f>
        <v>37920.700000000004</v>
      </c>
      <c r="G131" s="58">
        <f>G132+G141+G157</f>
        <v>37888.100000000006</v>
      </c>
    </row>
    <row r="132" spans="1:7" ht="42" customHeight="1">
      <c r="A132" s="55" t="str">
        <f ca="1">IF(ISERROR(MATCH(B132,Код_КЦСР,0)),"",INDIRECT(ADDRESS(MATCH(B132,Код_КЦСР,0)+1,2,,,"КЦСР")))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2" s="29" t="s">
        <v>258</v>
      </c>
      <c r="C132" s="6"/>
      <c r="D132" s="1"/>
      <c r="E132" s="69"/>
      <c r="F132" s="58">
        <f aca="true" t="shared" si="34" ref="F132:G133">F133</f>
        <v>325.5</v>
      </c>
      <c r="G132" s="58">
        <f t="shared" si="34"/>
        <v>325.5</v>
      </c>
    </row>
    <row r="133" spans="1:7" ht="56.25" customHeight="1">
      <c r="A133" s="55" t="str">
        <f ca="1">IF(ISERROR(MATCH(B133,Код_КЦСР,0)),"",INDIRECT(ADDRESS(MATCH(B133,Код_КЦСР,0)+1,2,,,"КЦСР")))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33" s="29" t="s">
        <v>260</v>
      </c>
      <c r="C133" s="6"/>
      <c r="D133" s="1"/>
      <c r="E133" s="69"/>
      <c r="F133" s="58">
        <f t="shared" si="34"/>
        <v>325.5</v>
      </c>
      <c r="G133" s="58">
        <f t="shared" si="34"/>
        <v>325.5</v>
      </c>
    </row>
    <row r="134" spans="1:7" ht="12.75">
      <c r="A134" s="55" t="str">
        <f ca="1">IF(ISERROR(MATCH(C134,Код_Раздел,0)),"",INDIRECT(ADDRESS(MATCH(C134,Код_Раздел,0)+1,2,,,"Раздел")))</f>
        <v>Образование</v>
      </c>
      <c r="B134" s="29" t="s">
        <v>260</v>
      </c>
      <c r="C134" s="6" t="s">
        <v>170</v>
      </c>
      <c r="D134" s="1"/>
      <c r="E134" s="69"/>
      <c r="F134" s="58">
        <f>F135+F138</f>
        <v>325.5</v>
      </c>
      <c r="G134" s="58">
        <f>G135+G138</f>
        <v>325.5</v>
      </c>
    </row>
    <row r="135" spans="1:7" ht="21" customHeight="1">
      <c r="A135" s="59" t="s">
        <v>228</v>
      </c>
      <c r="B135" s="29" t="s">
        <v>260</v>
      </c>
      <c r="C135" s="6" t="s">
        <v>170</v>
      </c>
      <c r="D135" s="1" t="s">
        <v>187</v>
      </c>
      <c r="E135" s="69"/>
      <c r="F135" s="58">
        <f aca="true" t="shared" si="35" ref="F135:G136">F136</f>
        <v>130.2</v>
      </c>
      <c r="G135" s="58">
        <f t="shared" si="35"/>
        <v>130.2</v>
      </c>
    </row>
    <row r="136" spans="1:7" ht="20.25" customHeight="1">
      <c r="A136" s="55" t="str">
        <f ca="1">IF(ISERROR(MATCH(E136,Код_КВР,0)),"",INDIRECT(ADDRESS(MATCH(E136,Код_КВР,0)+1,2,,,"КВР")))</f>
        <v>Социальное обеспечение и иные выплаты населению</v>
      </c>
      <c r="B136" s="29" t="s">
        <v>260</v>
      </c>
      <c r="C136" s="6" t="s">
        <v>170</v>
      </c>
      <c r="D136" s="1" t="s">
        <v>187</v>
      </c>
      <c r="E136" s="69">
        <v>300</v>
      </c>
      <c r="F136" s="58">
        <f t="shared" si="35"/>
        <v>130.2</v>
      </c>
      <c r="G136" s="58">
        <f t="shared" si="35"/>
        <v>130.2</v>
      </c>
    </row>
    <row r="137" spans="1:7" ht="19.5" customHeight="1">
      <c r="A137" s="55" t="str">
        <f ca="1">IF(ISERROR(MATCH(E137,Код_КВР,0)),"",INDIRECT(ADDRESS(MATCH(E137,Код_КВР,0)+1,2,,,"КВР")))</f>
        <v>Публичные нормативные социальные выплаты гражданам</v>
      </c>
      <c r="B137" s="29" t="s">
        <v>260</v>
      </c>
      <c r="C137" s="6" t="s">
        <v>170</v>
      </c>
      <c r="D137" s="1" t="s">
        <v>187</v>
      </c>
      <c r="E137" s="69">
        <v>310</v>
      </c>
      <c r="F137" s="58">
        <f>'прил.16'!G492</f>
        <v>130.2</v>
      </c>
      <c r="G137" s="58">
        <f>'прил.16'!H492</f>
        <v>130.2</v>
      </c>
    </row>
    <row r="138" spans="1:7" ht="20.25" customHeight="1">
      <c r="A138" s="59" t="s">
        <v>220</v>
      </c>
      <c r="B138" s="29" t="s">
        <v>260</v>
      </c>
      <c r="C138" s="6" t="s">
        <v>170</v>
      </c>
      <c r="D138" s="1" t="s">
        <v>188</v>
      </c>
      <c r="E138" s="69"/>
      <c r="F138" s="58">
        <f aca="true" t="shared" si="36" ref="F138:G139">F139</f>
        <v>195.3</v>
      </c>
      <c r="G138" s="58">
        <f t="shared" si="36"/>
        <v>195.3</v>
      </c>
    </row>
    <row r="139" spans="1:7" ht="19.5" customHeight="1">
      <c r="A139" s="55" t="str">
        <f ca="1">IF(ISERROR(MATCH(E139,Код_КВР,0)),"",INDIRECT(ADDRESS(MATCH(E139,Код_КВР,0)+1,2,,,"КВР")))</f>
        <v>Социальное обеспечение и иные выплаты населению</v>
      </c>
      <c r="B139" s="29" t="s">
        <v>260</v>
      </c>
      <c r="C139" s="6" t="s">
        <v>170</v>
      </c>
      <c r="D139" s="1" t="s">
        <v>188</v>
      </c>
      <c r="E139" s="69">
        <v>300</v>
      </c>
      <c r="F139" s="58">
        <f t="shared" si="36"/>
        <v>195.3</v>
      </c>
      <c r="G139" s="58">
        <f t="shared" si="36"/>
        <v>195.3</v>
      </c>
    </row>
    <row r="140" spans="1:7" ht="18.75" customHeight="1">
      <c r="A140" s="55" t="str">
        <f ca="1">IF(ISERROR(MATCH(E140,Код_КВР,0)),"",INDIRECT(ADDRESS(MATCH(E140,Код_КВР,0)+1,2,,,"КВР")))</f>
        <v>Публичные нормативные социальные выплаты гражданам</v>
      </c>
      <c r="B140" s="29" t="s">
        <v>260</v>
      </c>
      <c r="C140" s="6" t="s">
        <v>170</v>
      </c>
      <c r="D140" s="1" t="s">
        <v>188</v>
      </c>
      <c r="E140" s="69">
        <v>310</v>
      </c>
      <c r="F140" s="58">
        <f>'прил.16'!G536</f>
        <v>195.3</v>
      </c>
      <c r="G140" s="58">
        <f>'прил.16'!H536</f>
        <v>195.3</v>
      </c>
    </row>
    <row r="141" spans="1:7" ht="33">
      <c r="A141" s="55" t="str">
        <f ca="1">IF(ISERROR(MATCH(B141,Код_КЦСР,0)),"",INDIRECT(ADDRESS(MATCH(B141,Код_КЦСР,0)+1,2,,,"КЦСР")))</f>
        <v xml:space="preserve">Осуществление денежных выплат работникам муниципальных образовательных учреждений     </v>
      </c>
      <c r="B141" s="29" t="s">
        <v>261</v>
      </c>
      <c r="C141" s="6"/>
      <c r="D141" s="1"/>
      <c r="E141" s="69"/>
      <c r="F141" s="58">
        <f>F142+F147+F152</f>
        <v>37562.600000000006</v>
      </c>
      <c r="G141" s="58">
        <f>G142+G147+G152</f>
        <v>37562.600000000006</v>
      </c>
    </row>
    <row r="142" spans="1:7" ht="136.5" customHeight="1">
      <c r="A142" s="55" t="str">
        <f ca="1">IF(ISERROR(MATCH(B142,Код_КЦСР,0)),"",INDIRECT(ADDRESS(MATCH(B142,Код_КЦСР,0)+1,2,,,"КЦСР")))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142" s="29" t="s">
        <v>263</v>
      </c>
      <c r="C142" s="6"/>
      <c r="D142" s="1"/>
      <c r="E142" s="69"/>
      <c r="F142" s="58">
        <f aca="true" t="shared" si="37" ref="F142:G145">F143</f>
        <v>8424</v>
      </c>
      <c r="G142" s="58">
        <f t="shared" si="37"/>
        <v>8424</v>
      </c>
    </row>
    <row r="143" spans="1:7" ht="19.5" customHeight="1">
      <c r="A143" s="55" t="str">
        <f ca="1">IF(ISERROR(MATCH(C143,Код_Раздел,0)),"",INDIRECT(ADDRESS(MATCH(C143,Код_Раздел,0)+1,2,,,"Раздел")))</f>
        <v>Образование</v>
      </c>
      <c r="B143" s="29" t="s">
        <v>263</v>
      </c>
      <c r="C143" s="6" t="s">
        <v>170</v>
      </c>
      <c r="D143" s="1"/>
      <c r="E143" s="69"/>
      <c r="F143" s="58">
        <f t="shared" si="37"/>
        <v>8424</v>
      </c>
      <c r="G143" s="58">
        <f t="shared" si="37"/>
        <v>8424</v>
      </c>
    </row>
    <row r="144" spans="1:7" ht="21" customHeight="1">
      <c r="A144" s="59" t="s">
        <v>228</v>
      </c>
      <c r="B144" s="29" t="s">
        <v>263</v>
      </c>
      <c r="C144" s="6" t="s">
        <v>170</v>
      </c>
      <c r="D144" s="1" t="s">
        <v>187</v>
      </c>
      <c r="E144" s="69"/>
      <c r="F144" s="58">
        <f t="shared" si="37"/>
        <v>8424</v>
      </c>
      <c r="G144" s="58">
        <f t="shared" si="37"/>
        <v>8424</v>
      </c>
    </row>
    <row r="145" spans="1:7" ht="20.25" customHeight="1">
      <c r="A145" s="55" t="str">
        <f ca="1">IF(ISERROR(MATCH(E145,Код_КВР,0)),"",INDIRECT(ADDRESS(MATCH(E145,Код_КВР,0)+1,2,,,"КВР")))</f>
        <v>Социальное обеспечение и иные выплаты населению</v>
      </c>
      <c r="B145" s="29" t="s">
        <v>263</v>
      </c>
      <c r="C145" s="6" t="s">
        <v>170</v>
      </c>
      <c r="D145" s="1" t="s">
        <v>187</v>
      </c>
      <c r="E145" s="69">
        <v>300</v>
      </c>
      <c r="F145" s="58">
        <f t="shared" si="37"/>
        <v>8424</v>
      </c>
      <c r="G145" s="58">
        <f t="shared" si="37"/>
        <v>8424</v>
      </c>
    </row>
    <row r="146" spans="1:7" ht="23.25" customHeight="1">
      <c r="A146" s="55" t="str">
        <f ca="1">IF(ISERROR(MATCH(E146,Код_КВР,0)),"",INDIRECT(ADDRESS(MATCH(E146,Код_КВР,0)+1,2,,,"КВР")))</f>
        <v>Публичные нормативные социальные выплаты гражданам</v>
      </c>
      <c r="B146" s="29" t="s">
        <v>263</v>
      </c>
      <c r="C146" s="6" t="s">
        <v>170</v>
      </c>
      <c r="D146" s="1" t="s">
        <v>187</v>
      </c>
      <c r="E146" s="69">
        <v>310</v>
      </c>
      <c r="F146" s="58">
        <f>'прил.16'!G496</f>
        <v>8424</v>
      </c>
      <c r="G146" s="58">
        <f>'прил.16'!H496</f>
        <v>8424</v>
      </c>
    </row>
    <row r="147" spans="1:7" ht="70.7" customHeight="1">
      <c r="A147" s="55" t="str">
        <f ca="1">IF(ISERROR(MATCH(B147,Код_КЦСР,0)),"",INDIRECT(ADDRESS(MATCH(B147,Код_КЦСР,0)+1,2,,,"КЦСР")))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47" s="29" t="s">
        <v>357</v>
      </c>
      <c r="C147" s="6"/>
      <c r="D147" s="1"/>
      <c r="E147" s="69"/>
      <c r="F147" s="58">
        <f aca="true" t="shared" si="38" ref="F147:G150">F148</f>
        <v>11634.9</v>
      </c>
      <c r="G147" s="58">
        <f t="shared" si="38"/>
        <v>11634.9</v>
      </c>
    </row>
    <row r="148" spans="1:7" ht="12.75">
      <c r="A148" s="55" t="str">
        <f ca="1">IF(ISERROR(MATCH(C148,Код_Раздел,0)),"",INDIRECT(ADDRESS(MATCH(C148,Код_Раздел,0)+1,2,,,"Раздел")))</f>
        <v>Социальная политика</v>
      </c>
      <c r="B148" s="29" t="s">
        <v>357</v>
      </c>
      <c r="C148" s="6" t="s">
        <v>163</v>
      </c>
      <c r="D148" s="1"/>
      <c r="E148" s="69"/>
      <c r="F148" s="58">
        <f t="shared" si="38"/>
        <v>11634.9</v>
      </c>
      <c r="G148" s="58">
        <f t="shared" si="38"/>
        <v>11634.9</v>
      </c>
    </row>
    <row r="149" spans="1:7" ht="18.75" customHeight="1">
      <c r="A149" s="59" t="s">
        <v>154</v>
      </c>
      <c r="B149" s="29" t="s">
        <v>357</v>
      </c>
      <c r="C149" s="6" t="s">
        <v>163</v>
      </c>
      <c r="D149" s="6" t="s">
        <v>189</v>
      </c>
      <c r="E149" s="69"/>
      <c r="F149" s="58">
        <f t="shared" si="38"/>
        <v>11634.9</v>
      </c>
      <c r="G149" s="58">
        <f t="shared" si="38"/>
        <v>11634.9</v>
      </c>
    </row>
    <row r="150" spans="1:7" ht="18.75" customHeight="1">
      <c r="A150" s="55" t="str">
        <f ca="1">IF(ISERROR(MATCH(E150,Код_КВР,0)),"",INDIRECT(ADDRESS(MATCH(E150,Код_КВР,0)+1,2,,,"КВР")))</f>
        <v>Социальное обеспечение и иные выплаты населению</v>
      </c>
      <c r="B150" s="29" t="s">
        <v>357</v>
      </c>
      <c r="C150" s="6" t="s">
        <v>163</v>
      </c>
      <c r="D150" s="6" t="s">
        <v>189</v>
      </c>
      <c r="E150" s="69">
        <v>300</v>
      </c>
      <c r="F150" s="58">
        <f t="shared" si="38"/>
        <v>11634.9</v>
      </c>
      <c r="G150" s="58">
        <f t="shared" si="38"/>
        <v>11634.9</v>
      </c>
    </row>
    <row r="151" spans="1:7" ht="18.75" customHeight="1">
      <c r="A151" s="55" t="str">
        <f ca="1">IF(ISERROR(MATCH(E151,Код_КВР,0)),"",INDIRECT(ADDRESS(MATCH(E151,Код_КВР,0)+1,2,,,"КВР")))</f>
        <v>Публичные нормативные социальные выплаты гражданам</v>
      </c>
      <c r="B151" s="29" t="s">
        <v>357</v>
      </c>
      <c r="C151" s="6" t="s">
        <v>163</v>
      </c>
      <c r="D151" s="6" t="s">
        <v>189</v>
      </c>
      <c r="E151" s="69">
        <v>310</v>
      </c>
      <c r="F151" s="58">
        <f>'прил.16'!G625</f>
        <v>11634.9</v>
      </c>
      <c r="G151" s="58">
        <f>'прил.16'!H625</f>
        <v>11634.9</v>
      </c>
    </row>
    <row r="152" spans="1:7" ht="84.75" customHeight="1">
      <c r="A152" s="55" t="str">
        <f ca="1">IF(ISERROR(MATCH(B152,Код_КЦСР,0)),"",INDIRECT(ADDRESS(MATCH(B152,Код_КЦСР,0)+1,2,,,"КЦСР")))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52" s="29" t="s">
        <v>358</v>
      </c>
      <c r="C152" s="6"/>
      <c r="D152" s="1"/>
      <c r="E152" s="69"/>
      <c r="F152" s="58">
        <f aca="true" t="shared" si="39" ref="F152:G155">F153</f>
        <v>17503.7</v>
      </c>
      <c r="G152" s="58">
        <f t="shared" si="39"/>
        <v>17503.7</v>
      </c>
    </row>
    <row r="153" spans="1:7" ht="12.75">
      <c r="A153" s="55" t="str">
        <f ca="1">IF(ISERROR(MATCH(C153,Код_Раздел,0)),"",INDIRECT(ADDRESS(MATCH(C153,Код_Раздел,0)+1,2,,,"Раздел")))</f>
        <v>Социальная политика</v>
      </c>
      <c r="B153" s="29" t="s">
        <v>358</v>
      </c>
      <c r="C153" s="6" t="s">
        <v>163</v>
      </c>
      <c r="D153" s="1"/>
      <c r="E153" s="69"/>
      <c r="F153" s="58">
        <f t="shared" si="39"/>
        <v>17503.7</v>
      </c>
      <c r="G153" s="58">
        <f t="shared" si="39"/>
        <v>17503.7</v>
      </c>
    </row>
    <row r="154" spans="1:7" ht="12.75">
      <c r="A154" s="60" t="s">
        <v>179</v>
      </c>
      <c r="B154" s="29" t="s">
        <v>358</v>
      </c>
      <c r="C154" s="6" t="s">
        <v>163</v>
      </c>
      <c r="D154" s="6" t="s">
        <v>190</v>
      </c>
      <c r="E154" s="69"/>
      <c r="F154" s="58">
        <f t="shared" si="39"/>
        <v>17503.7</v>
      </c>
      <c r="G154" s="58">
        <f t="shared" si="39"/>
        <v>17503.7</v>
      </c>
    </row>
    <row r="155" spans="1:7" ht="12.75">
      <c r="A155" s="55" t="str">
        <f ca="1">IF(ISERROR(MATCH(E155,Код_КВР,0)),"",INDIRECT(ADDRESS(MATCH(E155,Код_КВР,0)+1,2,,,"КВР")))</f>
        <v>Социальное обеспечение и иные выплаты населению</v>
      </c>
      <c r="B155" s="29" t="s">
        <v>358</v>
      </c>
      <c r="C155" s="6" t="s">
        <v>163</v>
      </c>
      <c r="D155" s="6" t="s">
        <v>190</v>
      </c>
      <c r="E155" s="69">
        <v>300</v>
      </c>
      <c r="F155" s="58">
        <f t="shared" si="39"/>
        <v>17503.7</v>
      </c>
      <c r="G155" s="58">
        <f t="shared" si="39"/>
        <v>17503.7</v>
      </c>
    </row>
    <row r="156" spans="1:7" ht="12.75">
      <c r="A156" s="55" t="str">
        <f ca="1">IF(ISERROR(MATCH(E156,Код_КВР,0)),"",INDIRECT(ADDRESS(MATCH(E156,Код_КВР,0)+1,2,,,"КВР")))</f>
        <v>Публичные нормативные социальные выплаты гражданам</v>
      </c>
      <c r="B156" s="29" t="s">
        <v>358</v>
      </c>
      <c r="C156" s="6" t="s">
        <v>163</v>
      </c>
      <c r="D156" s="6" t="s">
        <v>190</v>
      </c>
      <c r="E156" s="69">
        <v>310</v>
      </c>
      <c r="F156" s="58">
        <f>'прил.16'!G640</f>
        <v>17503.7</v>
      </c>
      <c r="G156" s="58">
        <f>'прил.16'!H640</f>
        <v>17503.7</v>
      </c>
    </row>
    <row r="157" spans="1:7" ht="33">
      <c r="A157" s="55" t="str">
        <f ca="1">IF(ISERROR(MATCH(B157,Код_КЦСР,0)),"",INDIRECT(ADDRESS(MATCH(B157,Код_КЦСР,0)+1,2,,,"КЦСР")))</f>
        <v>Представление лучших педагогов сферы образования к поощрению  наградами всех уровней</v>
      </c>
      <c r="B157" s="29" t="s">
        <v>359</v>
      </c>
      <c r="C157" s="6"/>
      <c r="D157" s="1"/>
      <c r="E157" s="69"/>
      <c r="F157" s="58">
        <f aca="true" t="shared" si="40" ref="F157:G161">F158</f>
        <v>32.6</v>
      </c>
      <c r="G157" s="58">
        <f t="shared" si="40"/>
        <v>0</v>
      </c>
    </row>
    <row r="158" spans="1:7" ht="51.75" customHeight="1">
      <c r="A158" s="55" t="str">
        <f ca="1">IF(ISERROR(MATCH(B158,Код_КЦСР,0)),"",INDIRECT(ADDRESS(MATCH(B158,Код_КЦСР,0)+1,2,,,"КЦСР")))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58" s="29" t="s">
        <v>361</v>
      </c>
      <c r="C158" s="6"/>
      <c r="D158" s="1"/>
      <c r="E158" s="69"/>
      <c r="F158" s="58">
        <f t="shared" si="40"/>
        <v>32.6</v>
      </c>
      <c r="G158" s="58">
        <f t="shared" si="40"/>
        <v>0</v>
      </c>
    </row>
    <row r="159" spans="1:7" ht="20.25" customHeight="1">
      <c r="A159" s="55" t="str">
        <f ca="1">IF(ISERROR(MATCH(C159,Код_Раздел,0)),"",INDIRECT(ADDRESS(MATCH(C159,Код_Раздел,0)+1,2,,,"Раздел")))</f>
        <v>Образование</v>
      </c>
      <c r="B159" s="29" t="s">
        <v>361</v>
      </c>
      <c r="C159" s="6" t="s">
        <v>170</v>
      </c>
      <c r="D159" s="1"/>
      <c r="E159" s="69"/>
      <c r="F159" s="58">
        <f t="shared" si="40"/>
        <v>32.6</v>
      </c>
      <c r="G159" s="58">
        <f t="shared" si="40"/>
        <v>0</v>
      </c>
    </row>
    <row r="160" spans="1:7" ht="19.5" customHeight="1">
      <c r="A160" s="59" t="s">
        <v>220</v>
      </c>
      <c r="B160" s="29" t="s">
        <v>361</v>
      </c>
      <c r="C160" s="6" t="s">
        <v>170</v>
      </c>
      <c r="D160" s="1" t="s">
        <v>188</v>
      </c>
      <c r="E160" s="69"/>
      <c r="F160" s="58">
        <f t="shared" si="40"/>
        <v>32.6</v>
      </c>
      <c r="G160" s="58">
        <f t="shared" si="40"/>
        <v>0</v>
      </c>
    </row>
    <row r="161" spans="1:7" ht="19.5" customHeight="1">
      <c r="A161" s="55" t="str">
        <f ca="1">IF(ISERROR(MATCH(E161,Код_КВР,0)),"",INDIRECT(ADDRESS(MATCH(E161,Код_КВР,0)+1,2,,,"КВР")))</f>
        <v>Социальное обеспечение и иные выплаты населению</v>
      </c>
      <c r="B161" s="29" t="s">
        <v>361</v>
      </c>
      <c r="C161" s="6" t="s">
        <v>170</v>
      </c>
      <c r="D161" s="1" t="s">
        <v>188</v>
      </c>
      <c r="E161" s="69">
        <v>300</v>
      </c>
      <c r="F161" s="58">
        <f t="shared" si="40"/>
        <v>32.6</v>
      </c>
      <c r="G161" s="58">
        <f t="shared" si="40"/>
        <v>0</v>
      </c>
    </row>
    <row r="162" spans="1:7" ht="18.75" customHeight="1">
      <c r="A162" s="55" t="str">
        <f ca="1">IF(ISERROR(MATCH(E162,Код_КВР,0)),"",INDIRECT(ADDRESS(MATCH(E162,Код_КВР,0)+1,2,,,"КВР")))</f>
        <v>Публичные нормативные социальные выплаты гражданам</v>
      </c>
      <c r="B162" s="29" t="s">
        <v>361</v>
      </c>
      <c r="C162" s="6" t="s">
        <v>170</v>
      </c>
      <c r="D162" s="1" t="s">
        <v>188</v>
      </c>
      <c r="E162" s="69">
        <v>310</v>
      </c>
      <c r="F162" s="58">
        <f>'прил.16'!G540</f>
        <v>32.6</v>
      </c>
      <c r="G162" s="58">
        <f>'прил.16'!H540</f>
        <v>0</v>
      </c>
    </row>
    <row r="163" spans="1:7" ht="18.75" customHeight="1">
      <c r="A163" s="55" t="str">
        <f ca="1">IF(ISERROR(MATCH(B163,Код_КЦСР,0)),"",INDIRECT(ADDRESS(MATCH(B163,Код_КЦСР,0)+1,2,,,"КЦСР")))</f>
        <v>Одаренные дети</v>
      </c>
      <c r="B163" s="29" t="s">
        <v>362</v>
      </c>
      <c r="C163" s="6"/>
      <c r="D163" s="1"/>
      <c r="E163" s="69"/>
      <c r="F163" s="58">
        <f aca="true" t="shared" si="41" ref="F163:G165">F164</f>
        <v>1500</v>
      </c>
      <c r="G163" s="58">
        <f t="shared" si="41"/>
        <v>0</v>
      </c>
    </row>
    <row r="164" spans="1:7" ht="19.5" customHeight="1">
      <c r="A164" s="55" t="str">
        <f ca="1">IF(ISERROR(MATCH(C164,Код_Раздел,0)),"",INDIRECT(ADDRESS(MATCH(C164,Код_Раздел,0)+1,2,,,"Раздел")))</f>
        <v>Образование</v>
      </c>
      <c r="B164" s="29" t="s">
        <v>362</v>
      </c>
      <c r="C164" s="6" t="s">
        <v>170</v>
      </c>
      <c r="D164" s="1"/>
      <c r="E164" s="69"/>
      <c r="F164" s="58">
        <f t="shared" si="41"/>
        <v>1500</v>
      </c>
      <c r="G164" s="58">
        <f t="shared" si="41"/>
        <v>0</v>
      </c>
    </row>
    <row r="165" spans="1:7" ht="18.75" customHeight="1">
      <c r="A165" s="59" t="s">
        <v>221</v>
      </c>
      <c r="B165" s="29" t="s">
        <v>362</v>
      </c>
      <c r="C165" s="6" t="s">
        <v>170</v>
      </c>
      <c r="D165" s="1" t="s">
        <v>193</v>
      </c>
      <c r="E165" s="69"/>
      <c r="F165" s="58">
        <f t="shared" si="41"/>
        <v>1500</v>
      </c>
      <c r="G165" s="58">
        <f t="shared" si="41"/>
        <v>0</v>
      </c>
    </row>
    <row r="166" spans="1:7" ht="35.25" customHeight="1">
      <c r="A166" s="55" t="str">
        <f ca="1">IF(ISERROR(MATCH(E166,Код_КВР,0)),"",INDIRECT(ADDRESS(MATCH(E166,Код_КВР,0)+1,2,,,"КВР")))</f>
        <v>Предоставление субсидий бюджетным, автономным учреждениям и иным некоммерческим организациям</v>
      </c>
      <c r="B166" s="29" t="s">
        <v>362</v>
      </c>
      <c r="C166" s="6" t="s">
        <v>170</v>
      </c>
      <c r="D166" s="1" t="s">
        <v>193</v>
      </c>
      <c r="E166" s="69">
        <v>600</v>
      </c>
      <c r="F166" s="58">
        <f>F167+F168</f>
        <v>1500</v>
      </c>
      <c r="G166" s="58">
        <f>G167+G168</f>
        <v>0</v>
      </c>
    </row>
    <row r="167" spans="1:7" ht="24" customHeight="1">
      <c r="A167" s="55" t="str">
        <f ca="1">IF(ISERROR(MATCH(E167,Код_КВР,0)),"",INDIRECT(ADDRESS(MATCH(E167,Код_КВР,0)+1,2,,,"КВР")))</f>
        <v>Субсидии бюджетным учреждениям</v>
      </c>
      <c r="B167" s="29" t="s">
        <v>362</v>
      </c>
      <c r="C167" s="6" t="s">
        <v>170</v>
      </c>
      <c r="D167" s="1" t="s">
        <v>193</v>
      </c>
      <c r="E167" s="69">
        <v>610</v>
      </c>
      <c r="F167" s="58">
        <f>'прил.16'!G574</f>
        <v>1466</v>
      </c>
      <c r="G167" s="58">
        <f>'прил.16'!H574</f>
        <v>0</v>
      </c>
    </row>
    <row r="168" spans="1:7" ht="18.75" customHeight="1">
      <c r="A168" s="55" t="str">
        <f ca="1">IF(ISERROR(MATCH(E168,Код_КВР,0)),"",INDIRECT(ADDRESS(MATCH(E168,Код_КВР,0)+1,2,,,"КВР")))</f>
        <v>Субсидии автономным учреждениям</v>
      </c>
      <c r="B168" s="29" t="s">
        <v>362</v>
      </c>
      <c r="C168" s="6" t="s">
        <v>170</v>
      </c>
      <c r="D168" s="1" t="s">
        <v>193</v>
      </c>
      <c r="E168" s="69">
        <v>620</v>
      </c>
      <c r="F168" s="58">
        <f>'прил.16'!G575</f>
        <v>34</v>
      </c>
      <c r="G168" s="58">
        <f>'прил.16'!H575</f>
        <v>0</v>
      </c>
    </row>
    <row r="169" spans="1:7" ht="36.75" customHeight="1">
      <c r="A169" s="55" t="str">
        <f ca="1">IF(ISERROR(MATCH(B169,Код_КЦСР,0)),"",INDIRECT(ADDRESS(MATCH(B169,Код_КЦСР,0)+1,2,,,"КЦСР")))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69" s="29" t="s">
        <v>364</v>
      </c>
      <c r="C169" s="6"/>
      <c r="D169" s="1"/>
      <c r="E169" s="69"/>
      <c r="F169" s="58">
        <f aca="true" t="shared" si="42" ref="F169:G170">F170</f>
        <v>30600</v>
      </c>
      <c r="G169" s="58">
        <f t="shared" si="42"/>
        <v>30600</v>
      </c>
    </row>
    <row r="170" spans="1:7" ht="20.25" customHeight="1">
      <c r="A170" s="55" t="str">
        <f ca="1">IF(ISERROR(MATCH(C170,Код_Раздел,0)),"",INDIRECT(ADDRESS(MATCH(C170,Код_Раздел,0)+1,2,,,"Раздел")))</f>
        <v>Образование</v>
      </c>
      <c r="B170" s="29" t="s">
        <v>364</v>
      </c>
      <c r="C170" s="6" t="s">
        <v>170</v>
      </c>
      <c r="D170" s="1"/>
      <c r="E170" s="69"/>
      <c r="F170" s="58">
        <f t="shared" si="42"/>
        <v>30600</v>
      </c>
      <c r="G170" s="58">
        <f t="shared" si="42"/>
        <v>30600</v>
      </c>
    </row>
    <row r="171" spans="1:7" ht="19.5" customHeight="1">
      <c r="A171" s="59" t="s">
        <v>221</v>
      </c>
      <c r="B171" s="29" t="s">
        <v>364</v>
      </c>
      <c r="C171" s="6" t="s">
        <v>170</v>
      </c>
      <c r="D171" s="1" t="s">
        <v>193</v>
      </c>
      <c r="E171" s="69"/>
      <c r="F171" s="58">
        <f>F172+F174</f>
        <v>30600</v>
      </c>
      <c r="G171" s="58">
        <f>G172+G174</f>
        <v>30600</v>
      </c>
    </row>
    <row r="172" spans="1:7" ht="20.25" customHeight="1">
      <c r="A172" s="55" t="str">
        <f aca="true" t="shared" si="43" ref="A172:A176">IF(ISERROR(MATCH(E172,Код_КВР,0)),"",INDIRECT(ADDRESS(MATCH(E172,Код_КВР,0)+1,2,,,"КВР")))</f>
        <v>Закупка товаров, работ и услуг для муниципальных нужд</v>
      </c>
      <c r="B172" s="29" t="s">
        <v>364</v>
      </c>
      <c r="C172" s="6" t="s">
        <v>170</v>
      </c>
      <c r="D172" s="1" t="s">
        <v>193</v>
      </c>
      <c r="E172" s="69">
        <v>200</v>
      </c>
      <c r="F172" s="58">
        <f>F173</f>
        <v>5500</v>
      </c>
      <c r="G172" s="58">
        <f>G173</f>
        <v>9000</v>
      </c>
    </row>
    <row r="173" spans="1:7" ht="36.75" customHeight="1">
      <c r="A173" s="55" t="str">
        <f ca="1" t="shared" si="43"/>
        <v>Иные закупки товаров, работ и услуг для обеспечения муниципальных нужд</v>
      </c>
      <c r="B173" s="29" t="s">
        <v>364</v>
      </c>
      <c r="C173" s="6" t="s">
        <v>170</v>
      </c>
      <c r="D173" s="1" t="s">
        <v>193</v>
      </c>
      <c r="E173" s="69">
        <v>240</v>
      </c>
      <c r="F173" s="58">
        <f>'прил.16'!G578</f>
        <v>5500</v>
      </c>
      <c r="G173" s="58">
        <f>'прил.16'!H578</f>
        <v>9000</v>
      </c>
    </row>
    <row r="174" spans="1:7" ht="36.75" customHeight="1">
      <c r="A174" s="55" t="str">
        <f ca="1" t="shared" si="43"/>
        <v>Предоставление субсидий бюджетным, автономным учреждениям и иным некоммерческим организациям</v>
      </c>
      <c r="B174" s="29" t="s">
        <v>364</v>
      </c>
      <c r="C174" s="6" t="s">
        <v>170</v>
      </c>
      <c r="D174" s="1" t="s">
        <v>193</v>
      </c>
      <c r="E174" s="69">
        <v>600</v>
      </c>
      <c r="F174" s="58">
        <f>F175+F176</f>
        <v>25100</v>
      </c>
      <c r="G174" s="58">
        <f>G175+G176</f>
        <v>21600</v>
      </c>
    </row>
    <row r="175" spans="1:7" ht="18.75" customHeight="1">
      <c r="A175" s="55" t="str">
        <f ca="1" t="shared" si="43"/>
        <v>Субсидии бюджетным учреждениям</v>
      </c>
      <c r="B175" s="29" t="s">
        <v>364</v>
      </c>
      <c r="C175" s="6" t="s">
        <v>170</v>
      </c>
      <c r="D175" s="1" t="s">
        <v>193</v>
      </c>
      <c r="E175" s="69">
        <v>610</v>
      </c>
      <c r="F175" s="58">
        <f>'прил.16'!G580</f>
        <v>20600</v>
      </c>
      <c r="G175" s="58">
        <f>'прил.16'!H580</f>
        <v>21500</v>
      </c>
    </row>
    <row r="176" spans="1:7" ht="20.25" customHeight="1">
      <c r="A176" s="55" t="str">
        <f ca="1" t="shared" si="43"/>
        <v>Субсидии автономным учреждениям</v>
      </c>
      <c r="B176" s="29" t="s">
        <v>364</v>
      </c>
      <c r="C176" s="6" t="s">
        <v>170</v>
      </c>
      <c r="D176" s="1" t="s">
        <v>193</v>
      </c>
      <c r="E176" s="69">
        <v>620</v>
      </c>
      <c r="F176" s="58">
        <f>'прил.16'!G581</f>
        <v>4500</v>
      </c>
      <c r="G176" s="58">
        <f>'прил.16'!H581</f>
        <v>100</v>
      </c>
    </row>
    <row r="177" spans="1:7" ht="40.5" customHeight="1">
      <c r="A177" s="55" t="str">
        <f ca="1">IF(ISERROR(MATCH(B177,Код_КЦСР,0)),"",INDIRECT(ADDRESS(MATCH(B177,Код_КЦСР,0)+1,2,,,"КЦСР")))</f>
        <v>Муниципальная программа «Культура, традиции и народное творчество в городе Череповце» на 2013-2018 годы</v>
      </c>
      <c r="B177" s="29" t="s">
        <v>366</v>
      </c>
      <c r="C177" s="6"/>
      <c r="D177" s="1"/>
      <c r="E177" s="69"/>
      <c r="F177" s="58">
        <f>F190+F198+F219+F248+F269+F281+F296+F302+F183+F290+F178</f>
        <v>330888.2</v>
      </c>
      <c r="G177" s="58">
        <f>G190+G198+G219+G248+G269+G281+G296+G302+G183+G290+G178</f>
        <v>331966.2</v>
      </c>
    </row>
    <row r="178" spans="1:7" ht="37.5" customHeight="1">
      <c r="A178" s="55" t="str">
        <f ca="1">IF(ISERROR(MATCH(B178,Код_КЦСР,0)),"",INDIRECT(ADDRESS(MATCH(B178,Код_КЦСР,0)+1,2,,,"КЦСР")))</f>
        <v>Работа по организации и ведению бухгалтерского (бюджетного) учета и отчетности</v>
      </c>
      <c r="B178" s="29" t="s">
        <v>407</v>
      </c>
      <c r="C178" s="6"/>
      <c r="D178" s="1"/>
      <c r="E178" s="79"/>
      <c r="F178" s="58">
        <f aca="true" t="shared" si="44" ref="F178:G178">F179</f>
        <v>7764.3</v>
      </c>
      <c r="G178" s="58">
        <f t="shared" si="44"/>
        <v>7773.5</v>
      </c>
    </row>
    <row r="179" spans="1:7" ht="25.15" customHeight="1">
      <c r="A179" s="55" t="str">
        <f ca="1">IF(ISERROR(MATCH(C179,Код_Раздел,0)),"",INDIRECT(ADDRESS(MATCH(C179,Код_Раздел,0)+1,2,,,"Раздел")))</f>
        <v>Культура, кинематография</v>
      </c>
      <c r="B179" s="29" t="s">
        <v>407</v>
      </c>
      <c r="C179" s="6" t="s">
        <v>196</v>
      </c>
      <c r="D179" s="1"/>
      <c r="E179" s="79"/>
      <c r="F179" s="58">
        <f aca="true" t="shared" si="45" ref="F179:G179">F180</f>
        <v>7764.3</v>
      </c>
      <c r="G179" s="58">
        <f t="shared" si="45"/>
        <v>7773.5</v>
      </c>
    </row>
    <row r="180" spans="1:7" ht="27.2" customHeight="1">
      <c r="A180" s="59" t="s">
        <v>139</v>
      </c>
      <c r="B180" s="29" t="s">
        <v>407</v>
      </c>
      <c r="C180" s="6" t="s">
        <v>196</v>
      </c>
      <c r="D180" s="1" t="s">
        <v>190</v>
      </c>
      <c r="E180" s="79"/>
      <c r="F180" s="58">
        <f aca="true" t="shared" si="46" ref="F180:G180">F181</f>
        <v>7764.3</v>
      </c>
      <c r="G180" s="58">
        <f t="shared" si="46"/>
        <v>7773.5</v>
      </c>
    </row>
    <row r="181" spans="1:7" ht="36.6" customHeight="1">
      <c r="A181" s="55" t="str">
        <f aca="true" t="shared" si="47" ref="A181:A182">IF(ISERROR(MATCH(E181,Код_КВР,0)),"",INDIRECT(ADDRESS(MATCH(E181,Код_КВР,0)+1,2,,,"КВР")))</f>
        <v>Предоставление субсидий бюджетным, автономным учреждениям и иным некоммерческим организациям</v>
      </c>
      <c r="B181" s="29" t="s">
        <v>407</v>
      </c>
      <c r="C181" s="6" t="s">
        <v>196</v>
      </c>
      <c r="D181" s="1" t="s">
        <v>190</v>
      </c>
      <c r="E181" s="79">
        <v>600</v>
      </c>
      <c r="F181" s="58">
        <f aca="true" t="shared" si="48" ref="F181:G181">F182</f>
        <v>7764.3</v>
      </c>
      <c r="G181" s="58">
        <f t="shared" si="48"/>
        <v>7773.5</v>
      </c>
    </row>
    <row r="182" spans="1:7" ht="25.15" customHeight="1">
      <c r="A182" s="55" t="str">
        <f ca="1" t="shared" si="47"/>
        <v>Субсидии бюджетным учреждениям</v>
      </c>
      <c r="B182" s="29" t="s">
        <v>407</v>
      </c>
      <c r="C182" s="6" t="s">
        <v>196</v>
      </c>
      <c r="D182" s="1" t="s">
        <v>190</v>
      </c>
      <c r="E182" s="79">
        <v>610</v>
      </c>
      <c r="F182" s="58">
        <f>'прил.16'!G761</f>
        <v>7764.3</v>
      </c>
      <c r="G182" s="58">
        <f>'прил.16'!H761</f>
        <v>7773.5</v>
      </c>
    </row>
    <row r="183" spans="1:7" ht="37.5" customHeight="1">
      <c r="A183" s="55" t="str">
        <f ca="1">IF(ISERROR(MATCH(B183,Код_КЦСР,0)),"",INDIRECT(ADDRESS(MATCH(B183,Код_КЦСР,0)+1,2,,,"КЦСР")))</f>
        <v>Организация работы по реализации целей, задач управления и выполнения его функциональных обязанностей</v>
      </c>
      <c r="B183" s="29" t="s">
        <v>522</v>
      </c>
      <c r="C183" s="6"/>
      <c r="D183" s="1"/>
      <c r="E183" s="77"/>
      <c r="F183" s="58">
        <f aca="true" t="shared" si="49" ref="F183:G183">F184</f>
        <v>9152.499999999998</v>
      </c>
      <c r="G183" s="58">
        <f t="shared" si="49"/>
        <v>9152.499999999998</v>
      </c>
    </row>
    <row r="184" spans="1:7" ht="24" customHeight="1">
      <c r="A184" s="55" t="str">
        <f ca="1">IF(ISERROR(MATCH(C184,Код_Раздел,0)),"",INDIRECT(ADDRESS(MATCH(C184,Код_Раздел,0)+1,2,,,"Раздел")))</f>
        <v>Культура, кинематография</v>
      </c>
      <c r="B184" s="29" t="s">
        <v>522</v>
      </c>
      <c r="C184" s="6" t="s">
        <v>196</v>
      </c>
      <c r="D184" s="1"/>
      <c r="E184" s="77"/>
      <c r="F184" s="58">
        <f aca="true" t="shared" si="50" ref="F184:G184">F185</f>
        <v>9152.499999999998</v>
      </c>
      <c r="G184" s="58">
        <f t="shared" si="50"/>
        <v>9152.499999999998</v>
      </c>
    </row>
    <row r="185" spans="1:7" ht="22.5" customHeight="1">
      <c r="A185" s="59" t="s">
        <v>139</v>
      </c>
      <c r="B185" s="29" t="s">
        <v>522</v>
      </c>
      <c r="C185" s="6" t="s">
        <v>196</v>
      </c>
      <c r="D185" s="1" t="s">
        <v>190</v>
      </c>
      <c r="E185" s="77"/>
      <c r="F185" s="58">
        <f aca="true" t="shared" si="51" ref="F185:G185">F186+F188</f>
        <v>9152.499999999998</v>
      </c>
      <c r="G185" s="58">
        <f t="shared" si="51"/>
        <v>9152.499999999998</v>
      </c>
    </row>
    <row r="186" spans="1:7" ht="45.75" customHeight="1">
      <c r="A186" s="55" t="str">
        <f aca="true" t="shared" si="52" ref="A186:A187">IF(ISERROR(MATCH(E186,Код_КВР,0)),"",INDIRECT(ADDRESS(MATCH(E186,Код_КВР,0)+1,2,,,"КВР")))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29" t="s">
        <v>522</v>
      </c>
      <c r="C186" s="6" t="s">
        <v>196</v>
      </c>
      <c r="D186" s="1" t="s">
        <v>190</v>
      </c>
      <c r="E186" s="77">
        <v>100</v>
      </c>
      <c r="F186" s="58">
        <f aca="true" t="shared" si="53" ref="F186:G186">F187</f>
        <v>9138.199999999999</v>
      </c>
      <c r="G186" s="58">
        <f t="shared" si="53"/>
        <v>9138.199999999999</v>
      </c>
    </row>
    <row r="187" spans="1:7" ht="27" customHeight="1">
      <c r="A187" s="55" t="str">
        <f ca="1" t="shared" si="52"/>
        <v>Расходы на выплаты персоналу муниципальных органов</v>
      </c>
      <c r="B187" s="29" t="s">
        <v>522</v>
      </c>
      <c r="C187" s="6" t="s">
        <v>196</v>
      </c>
      <c r="D187" s="1" t="s">
        <v>190</v>
      </c>
      <c r="E187" s="77">
        <v>120</v>
      </c>
      <c r="F187" s="58">
        <f>'прил.16'!G764</f>
        <v>9138.199999999999</v>
      </c>
      <c r="G187" s="58">
        <f>'прил.16'!H764</f>
        <v>9138.199999999999</v>
      </c>
    </row>
    <row r="188" spans="1:7" ht="25.15" customHeight="1">
      <c r="A188" s="55" t="str">
        <f aca="true" t="shared" si="54" ref="A188:A189">IF(ISERROR(MATCH(E188,Код_КВР,0)),"",INDIRECT(ADDRESS(MATCH(E188,Код_КВР,0)+1,2,,,"КВР")))</f>
        <v>Закупка товаров, работ и услуг для муниципальных нужд</v>
      </c>
      <c r="B188" s="29" t="s">
        <v>522</v>
      </c>
      <c r="C188" s="6" t="s">
        <v>196</v>
      </c>
      <c r="D188" s="1" t="s">
        <v>190</v>
      </c>
      <c r="E188" s="77">
        <v>200</v>
      </c>
      <c r="F188" s="58">
        <f aca="true" t="shared" si="55" ref="F188:G188">F189</f>
        <v>14.3</v>
      </c>
      <c r="G188" s="58">
        <f t="shared" si="55"/>
        <v>14.3</v>
      </c>
    </row>
    <row r="189" spans="1:7" ht="44.25" customHeight="1">
      <c r="A189" s="55" t="str">
        <f ca="1" t="shared" si="54"/>
        <v>Иные закупки товаров, работ и услуг для обеспечения муниципальных нужд</v>
      </c>
      <c r="B189" s="29" t="s">
        <v>522</v>
      </c>
      <c r="C189" s="6" t="s">
        <v>196</v>
      </c>
      <c r="D189" s="1" t="s">
        <v>190</v>
      </c>
      <c r="E189" s="77">
        <v>240</v>
      </c>
      <c r="F189" s="58">
        <f>'прил.16'!G766</f>
        <v>14.3</v>
      </c>
      <c r="G189" s="58">
        <f>'прил.16'!H766</f>
        <v>14.3</v>
      </c>
    </row>
    <row r="190" spans="1:7" ht="35.25" customHeight="1">
      <c r="A190" s="55" t="str">
        <f ca="1">IF(ISERROR(MATCH(B190,Код_КЦСР,0)),"",INDIRECT(ADDRESS(MATCH(B190,Код_КЦСР,0)+1,2,,,"КЦСР")))</f>
        <v>Сохранение, эффективное использование  и популяризация объектов культурного наследия</v>
      </c>
      <c r="B190" s="29" t="s">
        <v>368</v>
      </c>
      <c r="C190" s="6"/>
      <c r="D190" s="1"/>
      <c r="E190" s="69"/>
      <c r="F190" s="58">
        <f aca="true" t="shared" si="56" ref="F190:G190">F191</f>
        <v>758.7</v>
      </c>
      <c r="G190" s="58">
        <f t="shared" si="56"/>
        <v>766.2</v>
      </c>
    </row>
    <row r="191" spans="1:7" ht="26.25" customHeight="1">
      <c r="A191" s="55" t="str">
        <f ca="1">IF(ISERROR(MATCH(B191,Код_КЦСР,0)),"",INDIRECT(ADDRESS(MATCH(B191,Код_КЦСР,0)+1,2,,,"КЦСР")))</f>
        <v>Сохранение, ремонт и  реставрация объектов культурного наследия</v>
      </c>
      <c r="B191" s="29" t="s">
        <v>370</v>
      </c>
      <c r="C191" s="6"/>
      <c r="D191" s="1"/>
      <c r="E191" s="69"/>
      <c r="F191" s="58">
        <f aca="true" t="shared" si="57" ref="F191:G196">F192</f>
        <v>758.7</v>
      </c>
      <c r="G191" s="58">
        <f t="shared" si="57"/>
        <v>766.2</v>
      </c>
    </row>
    <row r="192" spans="1:7" ht="26.25" customHeight="1">
      <c r="A192" s="55" t="str">
        <f ca="1">IF(ISERROR(MATCH(C192,Код_Раздел,0)),"",INDIRECT(ADDRESS(MATCH(C192,Код_Раздел,0)+1,2,,,"Раздел")))</f>
        <v>Культура, кинематография</v>
      </c>
      <c r="B192" s="29" t="s">
        <v>370</v>
      </c>
      <c r="C192" s="6" t="s">
        <v>196</v>
      </c>
      <c r="D192" s="1"/>
      <c r="E192" s="69"/>
      <c r="F192" s="58">
        <f t="shared" si="57"/>
        <v>758.7</v>
      </c>
      <c r="G192" s="58">
        <f t="shared" si="57"/>
        <v>766.2</v>
      </c>
    </row>
    <row r="193" spans="1:7" ht="21.75" customHeight="1">
      <c r="A193" s="59" t="s">
        <v>159</v>
      </c>
      <c r="B193" s="29" t="s">
        <v>370</v>
      </c>
      <c r="C193" s="6" t="s">
        <v>196</v>
      </c>
      <c r="D193" s="1" t="s">
        <v>187</v>
      </c>
      <c r="E193" s="69"/>
      <c r="F193" s="58">
        <f>F196+F194</f>
        <v>758.7</v>
      </c>
      <c r="G193" s="58">
        <f>G196+G194</f>
        <v>766.2</v>
      </c>
    </row>
    <row r="194" spans="1:7" ht="21" customHeight="1" hidden="1">
      <c r="A194" s="55" t="str">
        <f aca="true" t="shared" si="58" ref="A194:A197">IF(ISERROR(MATCH(E194,Код_КВР,0)),"",INDIRECT(ADDRESS(MATCH(E194,Код_КВР,0)+1,2,,,"КВР")))</f>
        <v>Закупка товаров, работ и услуг для муниципальных нужд</v>
      </c>
      <c r="B194" s="29" t="s">
        <v>370</v>
      </c>
      <c r="C194" s="6" t="s">
        <v>196</v>
      </c>
      <c r="D194" s="1" t="s">
        <v>187</v>
      </c>
      <c r="E194" s="69">
        <v>200</v>
      </c>
      <c r="F194" s="58">
        <f>F195</f>
        <v>0</v>
      </c>
      <c r="G194" s="58">
        <f>G195</f>
        <v>0</v>
      </c>
    </row>
    <row r="195" spans="1:7" ht="21" customHeight="1" hidden="1">
      <c r="A195" s="55" t="str">
        <f ca="1" t="shared" si="58"/>
        <v>Иные закупки товаров, работ и услуг для обеспечения муниципальных нужд</v>
      </c>
      <c r="B195" s="29" t="s">
        <v>370</v>
      </c>
      <c r="C195" s="6" t="s">
        <v>196</v>
      </c>
      <c r="D195" s="1" t="s">
        <v>187</v>
      </c>
      <c r="E195" s="69">
        <v>240</v>
      </c>
      <c r="F195" s="58">
        <f>'прил.16'!G704</f>
        <v>0</v>
      </c>
      <c r="G195" s="58">
        <f>'прил.16'!H704</f>
        <v>0</v>
      </c>
    </row>
    <row r="196" spans="1:7" ht="36.75" customHeight="1">
      <c r="A196" s="55" t="str">
        <f ca="1" t="shared" si="58"/>
        <v>Предоставление субсидий бюджетным, автономным учреждениям и иным некоммерческим организациям</v>
      </c>
      <c r="B196" s="29" t="s">
        <v>370</v>
      </c>
      <c r="C196" s="6" t="s">
        <v>196</v>
      </c>
      <c r="D196" s="1" t="s">
        <v>187</v>
      </c>
      <c r="E196" s="69">
        <v>600</v>
      </c>
      <c r="F196" s="58">
        <f t="shared" si="57"/>
        <v>758.7</v>
      </c>
      <c r="G196" s="58">
        <f t="shared" si="57"/>
        <v>766.2</v>
      </c>
    </row>
    <row r="197" spans="1:7" ht="24.75" customHeight="1">
      <c r="A197" s="55" t="str">
        <f ca="1" t="shared" si="58"/>
        <v>Субсидии бюджетным учреждениям</v>
      </c>
      <c r="B197" s="29" t="s">
        <v>370</v>
      </c>
      <c r="C197" s="6" t="s">
        <v>196</v>
      </c>
      <c r="D197" s="1" t="s">
        <v>187</v>
      </c>
      <c r="E197" s="69">
        <v>610</v>
      </c>
      <c r="F197" s="58">
        <f>'прил.16'!G706</f>
        <v>758.7</v>
      </c>
      <c r="G197" s="58">
        <f>'прил.16'!H706</f>
        <v>766.2</v>
      </c>
    </row>
    <row r="198" spans="1:7" ht="24" customHeight="1">
      <c r="A198" s="55" t="str">
        <f ca="1">IF(ISERROR(MATCH(B198,Код_КЦСР,0)),"",INDIRECT(ADDRESS(MATCH(B198,Код_КЦСР,0)+1,2,,,"КЦСР")))</f>
        <v>Развитие музейного дела</v>
      </c>
      <c r="B198" s="29" t="s">
        <v>372</v>
      </c>
      <c r="C198" s="6"/>
      <c r="D198" s="1"/>
      <c r="E198" s="69"/>
      <c r="F198" s="58">
        <f aca="true" t="shared" si="59" ref="F198:G198">F199+F204+F209+F214</f>
        <v>49403.2</v>
      </c>
      <c r="G198" s="58">
        <f t="shared" si="59"/>
        <v>49523.4</v>
      </c>
    </row>
    <row r="199" spans="1:7" ht="24" customHeight="1">
      <c r="A199" s="55" t="str">
        <f ca="1">IF(ISERROR(MATCH(B199,Код_КЦСР,0)),"",INDIRECT(ADDRESS(MATCH(B199,Код_КЦСР,0)+1,2,,,"КЦСР")))</f>
        <v xml:space="preserve">Оказание муниципальных услуг </v>
      </c>
      <c r="B199" s="29" t="s">
        <v>373</v>
      </c>
      <c r="C199" s="6"/>
      <c r="D199" s="1"/>
      <c r="E199" s="69"/>
      <c r="F199" s="58">
        <f aca="true" t="shared" si="60" ref="F199:G202">F200</f>
        <v>28766.6</v>
      </c>
      <c r="G199" s="58">
        <f t="shared" si="60"/>
        <v>28849.6</v>
      </c>
    </row>
    <row r="200" spans="1:7" ht="18.75" customHeight="1">
      <c r="A200" s="55" t="str">
        <f ca="1">IF(ISERROR(MATCH(C200,Код_Раздел,0)),"",INDIRECT(ADDRESS(MATCH(C200,Код_Раздел,0)+1,2,,,"Раздел")))</f>
        <v>Культура, кинематография</v>
      </c>
      <c r="B200" s="29" t="s">
        <v>373</v>
      </c>
      <c r="C200" s="6" t="s">
        <v>196</v>
      </c>
      <c r="D200" s="1"/>
      <c r="E200" s="69"/>
      <c r="F200" s="58">
        <f t="shared" si="60"/>
        <v>28766.6</v>
      </c>
      <c r="G200" s="58">
        <f t="shared" si="60"/>
        <v>28849.6</v>
      </c>
    </row>
    <row r="201" spans="1:7" ht="25.5" customHeight="1">
      <c r="A201" s="59" t="s">
        <v>159</v>
      </c>
      <c r="B201" s="29" t="s">
        <v>373</v>
      </c>
      <c r="C201" s="6" t="s">
        <v>196</v>
      </c>
      <c r="D201" s="1" t="s">
        <v>187</v>
      </c>
      <c r="E201" s="69"/>
      <c r="F201" s="58">
        <f t="shared" si="60"/>
        <v>28766.6</v>
      </c>
      <c r="G201" s="58">
        <f t="shared" si="60"/>
        <v>28849.6</v>
      </c>
    </row>
    <row r="202" spans="1:7" ht="39.75" customHeight="1">
      <c r="A202" s="55" t="str">
        <f ca="1">IF(ISERROR(MATCH(E202,Код_КВР,0)),"",INDIRECT(ADDRESS(MATCH(E202,Код_КВР,0)+1,2,,,"КВР")))</f>
        <v>Предоставление субсидий бюджетным, автономным учреждениям и иным некоммерческим организациям</v>
      </c>
      <c r="B202" s="29" t="s">
        <v>373</v>
      </c>
      <c r="C202" s="6" t="s">
        <v>196</v>
      </c>
      <c r="D202" s="1" t="s">
        <v>187</v>
      </c>
      <c r="E202" s="69">
        <v>600</v>
      </c>
      <c r="F202" s="58">
        <f t="shared" si="60"/>
        <v>28766.6</v>
      </c>
      <c r="G202" s="58">
        <f t="shared" si="60"/>
        <v>28849.6</v>
      </c>
    </row>
    <row r="203" spans="1:7" ht="25.5" customHeight="1">
      <c r="A203" s="55" t="str">
        <f ca="1">IF(ISERROR(MATCH(E203,Код_КВР,0)),"",INDIRECT(ADDRESS(MATCH(E203,Код_КВР,0)+1,2,,,"КВР")))</f>
        <v>Субсидии бюджетным учреждениям</v>
      </c>
      <c r="B203" s="29" t="s">
        <v>373</v>
      </c>
      <c r="C203" s="6" t="s">
        <v>196</v>
      </c>
      <c r="D203" s="1" t="s">
        <v>187</v>
      </c>
      <c r="E203" s="69">
        <v>610</v>
      </c>
      <c r="F203" s="58">
        <f>'прил.16'!G710</f>
        <v>28766.6</v>
      </c>
      <c r="G203" s="58">
        <f>'прил.16'!H710</f>
        <v>28849.6</v>
      </c>
    </row>
    <row r="204" spans="1:7" ht="41.25" customHeight="1">
      <c r="A204" s="55" t="str">
        <f ca="1">IF(ISERROR(MATCH(B204,Код_КЦСР,0)),"",INDIRECT(ADDRESS(MATCH(B204,Код_КЦСР,0)+1,2,,,"КЦСР")))</f>
        <v xml:space="preserve">Хранение, изучение и обеспечение сохранности музейных предметов </v>
      </c>
      <c r="B204" s="29" t="s">
        <v>375</v>
      </c>
      <c r="C204" s="6"/>
      <c r="D204" s="1"/>
      <c r="E204" s="69"/>
      <c r="F204" s="58">
        <f aca="true" t="shared" si="61" ref="F204:G207">F205</f>
        <v>15295.3</v>
      </c>
      <c r="G204" s="58">
        <f t="shared" si="61"/>
        <v>15321.2</v>
      </c>
    </row>
    <row r="205" spans="1:7" ht="18.6" customHeight="1">
      <c r="A205" s="55" t="str">
        <f ca="1">IF(ISERROR(MATCH(C205,Код_Раздел,0)),"",INDIRECT(ADDRESS(MATCH(C205,Код_Раздел,0)+1,2,,,"Раздел")))</f>
        <v>Культура, кинематография</v>
      </c>
      <c r="B205" s="29" t="s">
        <v>375</v>
      </c>
      <c r="C205" s="6" t="s">
        <v>196</v>
      </c>
      <c r="D205" s="1"/>
      <c r="E205" s="69"/>
      <c r="F205" s="58">
        <f t="shared" si="61"/>
        <v>15295.3</v>
      </c>
      <c r="G205" s="58">
        <f t="shared" si="61"/>
        <v>15321.2</v>
      </c>
    </row>
    <row r="206" spans="1:7" ht="20.25" customHeight="1">
      <c r="A206" s="59" t="s">
        <v>159</v>
      </c>
      <c r="B206" s="29" t="s">
        <v>375</v>
      </c>
      <c r="C206" s="6" t="s">
        <v>196</v>
      </c>
      <c r="D206" s="1" t="s">
        <v>187</v>
      </c>
      <c r="E206" s="69"/>
      <c r="F206" s="58">
        <f t="shared" si="61"/>
        <v>15295.3</v>
      </c>
      <c r="G206" s="58">
        <f t="shared" si="61"/>
        <v>15321.2</v>
      </c>
    </row>
    <row r="207" spans="1:7" ht="36" customHeight="1">
      <c r="A207" s="55" t="str">
        <f ca="1">IF(ISERROR(MATCH(E207,Код_КВР,0)),"",INDIRECT(ADDRESS(MATCH(E207,Код_КВР,0)+1,2,,,"КВР")))</f>
        <v>Предоставление субсидий бюджетным, автономным учреждениям и иным некоммерческим организациям</v>
      </c>
      <c r="B207" s="29" t="s">
        <v>375</v>
      </c>
      <c r="C207" s="6" t="s">
        <v>196</v>
      </c>
      <c r="D207" s="1" t="s">
        <v>187</v>
      </c>
      <c r="E207" s="69">
        <v>600</v>
      </c>
      <c r="F207" s="58">
        <f t="shared" si="61"/>
        <v>15295.3</v>
      </c>
      <c r="G207" s="58">
        <f t="shared" si="61"/>
        <v>15321.2</v>
      </c>
    </row>
    <row r="208" spans="1:7" ht="18.75" customHeight="1">
      <c r="A208" s="55" t="str">
        <f ca="1">IF(ISERROR(MATCH(E208,Код_КВР,0)),"",INDIRECT(ADDRESS(MATCH(E208,Код_КВР,0)+1,2,,,"КВР")))</f>
        <v>Субсидии бюджетным учреждениям</v>
      </c>
      <c r="B208" s="29" t="s">
        <v>375</v>
      </c>
      <c r="C208" s="6" t="s">
        <v>196</v>
      </c>
      <c r="D208" s="1" t="s">
        <v>187</v>
      </c>
      <c r="E208" s="69">
        <v>610</v>
      </c>
      <c r="F208" s="58">
        <f>'прил.16'!G713</f>
        <v>15295.3</v>
      </c>
      <c r="G208" s="58">
        <f>'прил.16'!H713</f>
        <v>15321.2</v>
      </c>
    </row>
    <row r="209" spans="1:7" ht="24.75" customHeight="1">
      <c r="A209" s="55" t="str">
        <f ca="1">IF(ISERROR(MATCH(B209,Код_КЦСР,0)),"",INDIRECT(ADDRESS(MATCH(B209,Код_КЦСР,0)+1,2,,,"КЦСР")))</f>
        <v>Формирование и учет музейного фонда</v>
      </c>
      <c r="B209" s="29" t="s">
        <v>377</v>
      </c>
      <c r="C209" s="6"/>
      <c r="D209" s="1"/>
      <c r="E209" s="69"/>
      <c r="F209" s="58">
        <f aca="true" t="shared" si="62" ref="F209:G212">F210</f>
        <v>5341.3</v>
      </c>
      <c r="G209" s="58">
        <f t="shared" si="62"/>
        <v>5352.6</v>
      </c>
    </row>
    <row r="210" spans="1:7" ht="26.25" customHeight="1">
      <c r="A210" s="55" t="str">
        <f ca="1">IF(ISERROR(MATCH(C210,Код_Раздел,0)),"",INDIRECT(ADDRESS(MATCH(C210,Код_Раздел,0)+1,2,,,"Раздел")))</f>
        <v>Культура, кинематография</v>
      </c>
      <c r="B210" s="29" t="s">
        <v>377</v>
      </c>
      <c r="C210" s="6" t="s">
        <v>196</v>
      </c>
      <c r="D210" s="1"/>
      <c r="E210" s="69"/>
      <c r="F210" s="58">
        <f t="shared" si="62"/>
        <v>5341.3</v>
      </c>
      <c r="G210" s="58">
        <f t="shared" si="62"/>
        <v>5352.6</v>
      </c>
    </row>
    <row r="211" spans="1:7" ht="23.25" customHeight="1">
      <c r="A211" s="59" t="s">
        <v>159</v>
      </c>
      <c r="B211" s="29" t="s">
        <v>377</v>
      </c>
      <c r="C211" s="6" t="s">
        <v>196</v>
      </c>
      <c r="D211" s="1" t="s">
        <v>187</v>
      </c>
      <c r="E211" s="69"/>
      <c r="F211" s="58">
        <f t="shared" si="62"/>
        <v>5341.3</v>
      </c>
      <c r="G211" s="58">
        <f t="shared" si="62"/>
        <v>5352.6</v>
      </c>
    </row>
    <row r="212" spans="1:7" ht="35.25" customHeight="1">
      <c r="A212" s="55" t="str">
        <f ca="1">IF(ISERROR(MATCH(E212,Код_КВР,0)),"",INDIRECT(ADDRESS(MATCH(E212,Код_КВР,0)+1,2,,,"КВР")))</f>
        <v>Предоставление субсидий бюджетным, автономным учреждениям и иным некоммерческим организациям</v>
      </c>
      <c r="B212" s="29" t="s">
        <v>377</v>
      </c>
      <c r="C212" s="6" t="s">
        <v>196</v>
      </c>
      <c r="D212" s="1" t="s">
        <v>187</v>
      </c>
      <c r="E212" s="69">
        <v>600</v>
      </c>
      <c r="F212" s="58">
        <f t="shared" si="62"/>
        <v>5341.3</v>
      </c>
      <c r="G212" s="58">
        <f t="shared" si="62"/>
        <v>5352.6</v>
      </c>
    </row>
    <row r="213" spans="1:7" ht="23.25" customHeight="1">
      <c r="A213" s="55" t="str">
        <f ca="1">IF(ISERROR(MATCH(E213,Код_КВР,0)),"",INDIRECT(ADDRESS(MATCH(E213,Код_КВР,0)+1,2,,,"КВР")))</f>
        <v>Субсидии бюджетным учреждениям</v>
      </c>
      <c r="B213" s="29" t="s">
        <v>377</v>
      </c>
      <c r="C213" s="6" t="s">
        <v>196</v>
      </c>
      <c r="D213" s="1" t="s">
        <v>187</v>
      </c>
      <c r="E213" s="69">
        <v>610</v>
      </c>
      <c r="F213" s="58">
        <f>'прил.16'!G716</f>
        <v>5341.3</v>
      </c>
      <c r="G213" s="58">
        <f>'прил.16'!H716</f>
        <v>5352.6</v>
      </c>
    </row>
    <row r="214" spans="1:7" ht="51.6" customHeight="1" hidden="1">
      <c r="A214" s="55" t="str">
        <f ca="1">IF(ISERROR(MATCH(B214,Код_КЦСР,0)),"",INDIRECT(ADDRESS(MATCH(B214,Код_КЦСР,0)+1,2,,,"КЦСР")))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214" s="29" t="s">
        <v>502</v>
      </c>
      <c r="C214" s="6"/>
      <c r="D214" s="1"/>
      <c r="E214" s="79"/>
      <c r="F214" s="58">
        <f aca="true" t="shared" si="63" ref="F214:G217">F215</f>
        <v>0</v>
      </c>
      <c r="G214" s="58">
        <f t="shared" si="63"/>
        <v>0</v>
      </c>
    </row>
    <row r="215" spans="1:7" ht="24" customHeight="1" hidden="1">
      <c r="A215" s="55" t="str">
        <f ca="1">IF(ISERROR(MATCH(C215,Код_Раздел,0)),"",INDIRECT(ADDRESS(MATCH(C215,Код_Раздел,0)+1,2,,,"Раздел")))</f>
        <v>Культура, кинематография</v>
      </c>
      <c r="B215" s="29" t="s">
        <v>502</v>
      </c>
      <c r="C215" s="6" t="s">
        <v>196</v>
      </c>
      <c r="D215" s="1"/>
      <c r="E215" s="79"/>
      <c r="F215" s="58">
        <f t="shared" si="63"/>
        <v>0</v>
      </c>
      <c r="G215" s="58">
        <f t="shared" si="63"/>
        <v>0</v>
      </c>
    </row>
    <row r="216" spans="1:7" ht="24" customHeight="1" hidden="1">
      <c r="A216" s="55" t="s">
        <v>491</v>
      </c>
      <c r="B216" s="29" t="s">
        <v>502</v>
      </c>
      <c r="C216" s="6" t="s">
        <v>196</v>
      </c>
      <c r="D216" s="1" t="s">
        <v>190</v>
      </c>
      <c r="E216" s="79"/>
      <c r="F216" s="58">
        <f t="shared" si="63"/>
        <v>0</v>
      </c>
      <c r="G216" s="58">
        <f t="shared" si="63"/>
        <v>0</v>
      </c>
    </row>
    <row r="217" spans="1:7" ht="41.45" customHeight="1" hidden="1">
      <c r="A217" s="55" t="str">
        <f ca="1">IF(ISERROR(MATCH(E217,Код_КВР,0)),"",INDIRECT(ADDRESS(MATCH(E217,Код_КВР,0)+1,2,,,"КВР")))</f>
        <v>Предоставление субсидий бюджетным, автономным учреждениям и иным некоммерческим организациям</v>
      </c>
      <c r="B217" s="29" t="s">
        <v>502</v>
      </c>
      <c r="C217" s="6" t="s">
        <v>196</v>
      </c>
      <c r="D217" s="1" t="s">
        <v>190</v>
      </c>
      <c r="E217" s="79">
        <v>600</v>
      </c>
      <c r="F217" s="58">
        <f t="shared" si="63"/>
        <v>0</v>
      </c>
      <c r="G217" s="58">
        <f t="shared" si="63"/>
        <v>0</v>
      </c>
    </row>
    <row r="218" spans="1:7" ht="24" customHeight="1" hidden="1">
      <c r="A218" s="55" t="str">
        <f ca="1">IF(ISERROR(MATCH(E218,Код_КВР,0)),"",INDIRECT(ADDRESS(MATCH(E218,Код_КВР,0)+1,2,,,"КВР")))</f>
        <v>Субсидии бюджетным учреждениям</v>
      </c>
      <c r="B218" s="29" t="s">
        <v>502</v>
      </c>
      <c r="C218" s="6" t="s">
        <v>196</v>
      </c>
      <c r="D218" s="1" t="s">
        <v>190</v>
      </c>
      <c r="E218" s="79">
        <v>610</v>
      </c>
      <c r="F218" s="58">
        <f>'прил.16'!G770</f>
        <v>0</v>
      </c>
      <c r="G218" s="58">
        <f>'прил.16'!H770</f>
        <v>0</v>
      </c>
    </row>
    <row r="219" spans="1:7" ht="12.75">
      <c r="A219" s="55" t="str">
        <f ca="1">IF(ISERROR(MATCH(B219,Код_КЦСР,0)),"",INDIRECT(ADDRESS(MATCH(B219,Код_КЦСР,0)+1,2,,,"КЦСР")))</f>
        <v>Развитие библиотечного дела</v>
      </c>
      <c r="B219" s="29" t="s">
        <v>379</v>
      </c>
      <c r="C219" s="6"/>
      <c r="D219" s="1"/>
      <c r="E219" s="69"/>
      <c r="F219" s="58">
        <f>F220+F225+F233+F238+F243</f>
        <v>47148.99999999999</v>
      </c>
      <c r="G219" s="58">
        <f>G220+G225+G233+G238+G243</f>
        <v>47345.3</v>
      </c>
    </row>
    <row r="220" spans="1:7" ht="21" customHeight="1">
      <c r="A220" s="55" t="str">
        <f ca="1">IF(ISERROR(MATCH(B220,Код_КЦСР,0)),"",INDIRECT(ADDRESS(MATCH(B220,Код_КЦСР,0)+1,2,,,"КЦСР")))</f>
        <v>Оказание муниципальных услуг</v>
      </c>
      <c r="B220" s="29" t="s">
        <v>380</v>
      </c>
      <c r="C220" s="6"/>
      <c r="D220" s="1"/>
      <c r="E220" s="69"/>
      <c r="F220" s="58">
        <f aca="true" t="shared" si="64" ref="F220:G223">F221</f>
        <v>35765.2</v>
      </c>
      <c r="G220" s="58">
        <f t="shared" si="64"/>
        <v>35922.1</v>
      </c>
    </row>
    <row r="221" spans="1:7" ht="20.25" customHeight="1">
      <c r="A221" s="55" t="str">
        <f ca="1">IF(ISERROR(MATCH(C221,Код_Раздел,0)),"",INDIRECT(ADDRESS(MATCH(C221,Код_Раздел,0)+1,2,,,"Раздел")))</f>
        <v>Культура, кинематография</v>
      </c>
      <c r="B221" s="29" t="s">
        <v>380</v>
      </c>
      <c r="C221" s="6" t="s">
        <v>196</v>
      </c>
      <c r="D221" s="1"/>
      <c r="E221" s="69"/>
      <c r="F221" s="58">
        <f t="shared" si="64"/>
        <v>35765.2</v>
      </c>
      <c r="G221" s="58">
        <f t="shared" si="64"/>
        <v>35922.1</v>
      </c>
    </row>
    <row r="222" spans="1:7" ht="20.25" customHeight="1">
      <c r="A222" s="59" t="s">
        <v>159</v>
      </c>
      <c r="B222" s="29" t="s">
        <v>380</v>
      </c>
      <c r="C222" s="6" t="s">
        <v>196</v>
      </c>
      <c r="D222" s="1" t="s">
        <v>187</v>
      </c>
      <c r="E222" s="69"/>
      <c r="F222" s="58">
        <f t="shared" si="64"/>
        <v>35765.2</v>
      </c>
      <c r="G222" s="58">
        <f t="shared" si="64"/>
        <v>35922.1</v>
      </c>
    </row>
    <row r="223" spans="1:7" ht="39" customHeight="1">
      <c r="A223" s="55" t="str">
        <f ca="1">IF(ISERROR(MATCH(E223,Код_КВР,0)),"",INDIRECT(ADDRESS(MATCH(E223,Код_КВР,0)+1,2,,,"КВР")))</f>
        <v>Предоставление субсидий бюджетным, автономным учреждениям и иным некоммерческим организациям</v>
      </c>
      <c r="B223" s="29" t="s">
        <v>380</v>
      </c>
      <c r="C223" s="6" t="s">
        <v>196</v>
      </c>
      <c r="D223" s="1" t="s">
        <v>187</v>
      </c>
      <c r="E223" s="69">
        <v>600</v>
      </c>
      <c r="F223" s="58">
        <f t="shared" si="64"/>
        <v>35765.2</v>
      </c>
      <c r="G223" s="58">
        <f t="shared" si="64"/>
        <v>35922.1</v>
      </c>
    </row>
    <row r="224" spans="1:7" ht="24.75" customHeight="1">
      <c r="A224" s="55" t="str">
        <f ca="1">IF(ISERROR(MATCH(E224,Код_КВР,0)),"",INDIRECT(ADDRESS(MATCH(E224,Код_КВР,0)+1,2,,,"КВР")))</f>
        <v>Субсидии бюджетным учреждениям</v>
      </c>
      <c r="B224" s="29" t="s">
        <v>380</v>
      </c>
      <c r="C224" s="6" t="s">
        <v>196</v>
      </c>
      <c r="D224" s="1" t="s">
        <v>187</v>
      </c>
      <c r="E224" s="69">
        <v>610</v>
      </c>
      <c r="F224" s="58">
        <f>'прил.16'!G723</f>
        <v>35765.2</v>
      </c>
      <c r="G224" s="58">
        <f>'прил.16'!H723</f>
        <v>35922.1</v>
      </c>
    </row>
    <row r="225" spans="1:7" ht="18.75" customHeight="1">
      <c r="A225" s="55" t="str">
        <f ca="1">IF(ISERROR(MATCH(B225,Код_КЦСР,0)),"",INDIRECT(ADDRESS(MATCH(B225,Код_КЦСР,0)+1,2,,,"КЦСР")))</f>
        <v>Формирование и учет фондов библиотеки</v>
      </c>
      <c r="B225" s="29" t="s">
        <v>382</v>
      </c>
      <c r="C225" s="6"/>
      <c r="D225" s="1"/>
      <c r="E225" s="69"/>
      <c r="F225" s="58">
        <f aca="true" t="shared" si="65" ref="F225:G228">F226</f>
        <v>3642.7</v>
      </c>
      <c r="G225" s="58">
        <f t="shared" si="65"/>
        <v>3655.3</v>
      </c>
    </row>
    <row r="226" spans="1:7" ht="24.75" customHeight="1">
      <c r="A226" s="55" t="str">
        <f ca="1">IF(ISERROR(MATCH(C226,Код_Раздел,0)),"",INDIRECT(ADDRESS(MATCH(C226,Код_Раздел,0)+1,2,,,"Раздел")))</f>
        <v>Культура, кинематография</v>
      </c>
      <c r="B226" s="29" t="s">
        <v>382</v>
      </c>
      <c r="C226" s="6" t="s">
        <v>196</v>
      </c>
      <c r="D226" s="1"/>
      <c r="E226" s="69"/>
      <c r="F226" s="58">
        <f aca="true" t="shared" si="66" ref="F226:G226">F227+F230</f>
        <v>3642.7</v>
      </c>
      <c r="G226" s="58">
        <f t="shared" si="66"/>
        <v>3655.3</v>
      </c>
    </row>
    <row r="227" spans="1:7" ht="24" customHeight="1">
      <c r="A227" s="59" t="s">
        <v>159</v>
      </c>
      <c r="B227" s="29" t="s">
        <v>382</v>
      </c>
      <c r="C227" s="6" t="s">
        <v>196</v>
      </c>
      <c r="D227" s="1" t="s">
        <v>187</v>
      </c>
      <c r="E227" s="69"/>
      <c r="F227" s="58">
        <f t="shared" si="65"/>
        <v>3642.7</v>
      </c>
      <c r="G227" s="58">
        <f t="shared" si="65"/>
        <v>3655.3</v>
      </c>
    </row>
    <row r="228" spans="1:7" ht="39" customHeight="1">
      <c r="A228" s="55" t="str">
        <f ca="1">IF(ISERROR(MATCH(E228,Код_КВР,0)),"",INDIRECT(ADDRESS(MATCH(E228,Код_КВР,0)+1,2,,,"КВР")))</f>
        <v>Предоставление субсидий бюджетным, автономным учреждениям и иным некоммерческим организациям</v>
      </c>
      <c r="B228" s="29" t="s">
        <v>382</v>
      </c>
      <c r="C228" s="6" t="s">
        <v>196</v>
      </c>
      <c r="D228" s="1" t="s">
        <v>187</v>
      </c>
      <c r="E228" s="69">
        <v>600</v>
      </c>
      <c r="F228" s="58">
        <f t="shared" si="65"/>
        <v>3642.7</v>
      </c>
      <c r="G228" s="58">
        <f t="shared" si="65"/>
        <v>3655.3</v>
      </c>
    </row>
    <row r="229" spans="1:7" ht="21.75" customHeight="1">
      <c r="A229" s="55" t="str">
        <f ca="1">IF(ISERROR(MATCH(E229,Код_КВР,0)),"",INDIRECT(ADDRESS(MATCH(E229,Код_КВР,0)+1,2,,,"КВР")))</f>
        <v>Субсидии бюджетным учреждениям</v>
      </c>
      <c r="B229" s="29" t="s">
        <v>382</v>
      </c>
      <c r="C229" s="6" t="s">
        <v>196</v>
      </c>
      <c r="D229" s="1" t="s">
        <v>187</v>
      </c>
      <c r="E229" s="69">
        <v>610</v>
      </c>
      <c r="F229" s="58">
        <f>'прил.16'!G726</f>
        <v>3642.7</v>
      </c>
      <c r="G229" s="58">
        <f>'прил.16'!H726</f>
        <v>3655.3</v>
      </c>
    </row>
    <row r="230" spans="1:7" ht="18.75" customHeight="1" hidden="1">
      <c r="A230" s="59" t="s">
        <v>139</v>
      </c>
      <c r="B230" s="29" t="s">
        <v>382</v>
      </c>
      <c r="C230" s="6" t="s">
        <v>196</v>
      </c>
      <c r="D230" s="1" t="s">
        <v>190</v>
      </c>
      <c r="E230" s="79"/>
      <c r="F230" s="58">
        <f aca="true" t="shared" si="67" ref="F230:G230">F231</f>
        <v>0</v>
      </c>
      <c r="G230" s="58">
        <f t="shared" si="67"/>
        <v>0</v>
      </c>
    </row>
    <row r="231" spans="1:7" ht="39.95" customHeight="1" hidden="1">
      <c r="A231" s="55" t="str">
        <f ca="1">IF(ISERROR(MATCH(E231,Код_КВР,0)),"",INDIRECT(ADDRESS(MATCH(E231,Код_КВР,0)+1,2,,,"КВР")))</f>
        <v>Предоставление субсидий бюджетным, автономным учреждениям и иным некоммерческим организациям</v>
      </c>
      <c r="B231" s="29" t="s">
        <v>382</v>
      </c>
      <c r="C231" s="6" t="s">
        <v>196</v>
      </c>
      <c r="D231" s="1" t="s">
        <v>190</v>
      </c>
      <c r="E231" s="79">
        <v>600</v>
      </c>
      <c r="F231" s="58">
        <f aca="true" t="shared" si="68" ref="F231:G231">F232</f>
        <v>0</v>
      </c>
      <c r="G231" s="58">
        <f t="shared" si="68"/>
        <v>0</v>
      </c>
    </row>
    <row r="232" spans="1:7" ht="18.75" customHeight="1" hidden="1">
      <c r="A232" s="55" t="str">
        <f ca="1">IF(ISERROR(MATCH(E232,Код_КВР,0)),"",INDIRECT(ADDRESS(MATCH(E232,Код_КВР,0)+1,2,,,"КВР")))</f>
        <v>Субсидии бюджетным учреждениям</v>
      </c>
      <c r="B232" s="29" t="s">
        <v>382</v>
      </c>
      <c r="C232" s="6" t="s">
        <v>196</v>
      </c>
      <c r="D232" s="1" t="s">
        <v>190</v>
      </c>
      <c r="E232" s="79">
        <v>610</v>
      </c>
      <c r="F232" s="58">
        <f>'прил.16'!G774</f>
        <v>0</v>
      </c>
      <c r="G232" s="58">
        <f>'прил.16'!H774</f>
        <v>0</v>
      </c>
    </row>
    <row r="233" spans="1:7" ht="36" customHeight="1">
      <c r="A233" s="55" t="str">
        <f ca="1">IF(ISERROR(MATCH(B233,Код_КЦСР,0)),"",INDIRECT(ADDRESS(MATCH(B233,Код_КЦСР,0)+1,2,,,"КЦСР")))</f>
        <v>Обеспечение физической сохранности  и безопасности фонда библиотеки</v>
      </c>
      <c r="B233" s="29" t="s">
        <v>384</v>
      </c>
      <c r="C233" s="6"/>
      <c r="D233" s="1"/>
      <c r="E233" s="69"/>
      <c r="F233" s="58">
        <f aca="true" t="shared" si="69" ref="F233:G236">F234</f>
        <v>5464.4</v>
      </c>
      <c r="G233" s="58">
        <f t="shared" si="69"/>
        <v>5483.3</v>
      </c>
    </row>
    <row r="234" spans="1:7" ht="18.75" customHeight="1">
      <c r="A234" s="55" t="str">
        <f ca="1">IF(ISERROR(MATCH(C234,Код_Раздел,0)),"",INDIRECT(ADDRESS(MATCH(C234,Код_Раздел,0)+1,2,,,"Раздел")))</f>
        <v>Культура, кинематография</v>
      </c>
      <c r="B234" s="29" t="s">
        <v>384</v>
      </c>
      <c r="C234" s="6" t="s">
        <v>196</v>
      </c>
      <c r="D234" s="1"/>
      <c r="E234" s="69"/>
      <c r="F234" s="58">
        <f t="shared" si="69"/>
        <v>5464.4</v>
      </c>
      <c r="G234" s="58">
        <f t="shared" si="69"/>
        <v>5483.3</v>
      </c>
    </row>
    <row r="235" spans="1:7" ht="18.75" customHeight="1">
      <c r="A235" s="59" t="s">
        <v>159</v>
      </c>
      <c r="B235" s="29" t="s">
        <v>384</v>
      </c>
      <c r="C235" s="6" t="s">
        <v>196</v>
      </c>
      <c r="D235" s="1" t="s">
        <v>187</v>
      </c>
      <c r="E235" s="69"/>
      <c r="F235" s="58">
        <f t="shared" si="69"/>
        <v>5464.4</v>
      </c>
      <c r="G235" s="58">
        <f t="shared" si="69"/>
        <v>5483.3</v>
      </c>
    </row>
    <row r="236" spans="1:7" ht="36.75" customHeight="1">
      <c r="A236" s="55" t="str">
        <f ca="1">IF(ISERROR(MATCH(E236,Код_КВР,0)),"",INDIRECT(ADDRESS(MATCH(E236,Код_КВР,0)+1,2,,,"КВР")))</f>
        <v>Предоставление субсидий бюджетным, автономным учреждениям и иным некоммерческим организациям</v>
      </c>
      <c r="B236" s="29" t="s">
        <v>384</v>
      </c>
      <c r="C236" s="6" t="s">
        <v>196</v>
      </c>
      <c r="D236" s="1" t="s">
        <v>187</v>
      </c>
      <c r="E236" s="69">
        <v>600</v>
      </c>
      <c r="F236" s="58">
        <f t="shared" si="69"/>
        <v>5464.4</v>
      </c>
      <c r="G236" s="58">
        <f t="shared" si="69"/>
        <v>5483.3</v>
      </c>
    </row>
    <row r="237" spans="1:7" ht="19.5" customHeight="1">
      <c r="A237" s="55" t="str">
        <f ca="1">IF(ISERROR(MATCH(E237,Код_КВР,0)),"",INDIRECT(ADDRESS(MATCH(E237,Код_КВР,0)+1,2,,,"КВР")))</f>
        <v>Субсидии бюджетным учреждениям</v>
      </c>
      <c r="B237" s="29" t="s">
        <v>384</v>
      </c>
      <c r="C237" s="6" t="s">
        <v>196</v>
      </c>
      <c r="D237" s="1" t="s">
        <v>187</v>
      </c>
      <c r="E237" s="69">
        <v>610</v>
      </c>
      <c r="F237" s="58">
        <f>'прил.16'!G729</f>
        <v>5464.4</v>
      </c>
      <c r="G237" s="58">
        <f>'прил.16'!H729</f>
        <v>5483.3</v>
      </c>
    </row>
    <row r="238" spans="1:7" ht="37.5" customHeight="1">
      <c r="A238" s="55" t="str">
        <f ca="1">IF(ISERROR(MATCH(B238,Код_КЦСР,0)),"",INDIRECT(ADDRESS(MATCH(B238,Код_КЦСР,0)+1,2,,,"КЦСР")))</f>
        <v>Библиографическая обработка документов и организация  каталогов</v>
      </c>
      <c r="B238" s="29" t="s">
        <v>386</v>
      </c>
      <c r="C238" s="6"/>
      <c r="D238" s="1"/>
      <c r="E238" s="69"/>
      <c r="F238" s="58">
        <f aca="true" t="shared" si="70" ref="F238:G241">F239</f>
        <v>2276.7</v>
      </c>
      <c r="G238" s="58">
        <f t="shared" si="70"/>
        <v>2284.6</v>
      </c>
    </row>
    <row r="239" spans="1:7" ht="19.5" customHeight="1">
      <c r="A239" s="55" t="str">
        <f ca="1">IF(ISERROR(MATCH(C239,Код_Раздел,0)),"",INDIRECT(ADDRESS(MATCH(C239,Код_Раздел,0)+1,2,,,"Раздел")))</f>
        <v>Культура, кинематография</v>
      </c>
      <c r="B239" s="29" t="s">
        <v>386</v>
      </c>
      <c r="C239" s="6" t="s">
        <v>196</v>
      </c>
      <c r="D239" s="1"/>
      <c r="E239" s="69"/>
      <c r="F239" s="58">
        <f t="shared" si="70"/>
        <v>2276.7</v>
      </c>
      <c r="G239" s="58">
        <f t="shared" si="70"/>
        <v>2284.6</v>
      </c>
    </row>
    <row r="240" spans="1:7" ht="19.5" customHeight="1">
      <c r="A240" s="59" t="s">
        <v>159</v>
      </c>
      <c r="B240" s="29" t="s">
        <v>386</v>
      </c>
      <c r="C240" s="6" t="s">
        <v>196</v>
      </c>
      <c r="D240" s="1" t="s">
        <v>187</v>
      </c>
      <c r="E240" s="69"/>
      <c r="F240" s="58">
        <f t="shared" si="70"/>
        <v>2276.7</v>
      </c>
      <c r="G240" s="58">
        <f t="shared" si="70"/>
        <v>2284.6</v>
      </c>
    </row>
    <row r="241" spans="1:7" ht="36.75" customHeight="1">
      <c r="A241" s="55" t="str">
        <f ca="1">IF(ISERROR(MATCH(E241,Код_КВР,0)),"",INDIRECT(ADDRESS(MATCH(E241,Код_КВР,0)+1,2,,,"КВР")))</f>
        <v>Предоставление субсидий бюджетным, автономным учреждениям и иным некоммерческим организациям</v>
      </c>
      <c r="B241" s="29" t="s">
        <v>386</v>
      </c>
      <c r="C241" s="6" t="s">
        <v>196</v>
      </c>
      <c r="D241" s="1" t="s">
        <v>187</v>
      </c>
      <c r="E241" s="69">
        <v>600</v>
      </c>
      <c r="F241" s="58">
        <f t="shared" si="70"/>
        <v>2276.7</v>
      </c>
      <c r="G241" s="58">
        <f t="shared" si="70"/>
        <v>2284.6</v>
      </c>
    </row>
    <row r="242" spans="1:7" ht="21" customHeight="1">
      <c r="A242" s="55" t="str">
        <f ca="1">IF(ISERROR(MATCH(E242,Код_КВР,0)),"",INDIRECT(ADDRESS(MATCH(E242,Код_КВР,0)+1,2,,,"КВР")))</f>
        <v>Субсидии бюджетным учреждениям</v>
      </c>
      <c r="B242" s="29" t="s">
        <v>386</v>
      </c>
      <c r="C242" s="6" t="s">
        <v>196</v>
      </c>
      <c r="D242" s="1" t="s">
        <v>187</v>
      </c>
      <c r="E242" s="69">
        <v>610</v>
      </c>
      <c r="F242" s="58">
        <f>'прил.16'!G732</f>
        <v>2276.7</v>
      </c>
      <c r="G242" s="58">
        <f>'прил.16'!H732</f>
        <v>2284.6</v>
      </c>
    </row>
    <row r="243" spans="1:7" ht="21" customHeight="1" hidden="1">
      <c r="A243" s="55" t="str">
        <f ca="1">IF(ISERROR(MATCH(B243,Код_КЦСР,0)),"",INDIRECT(ADDRESS(MATCH(B243,Код_КЦСР,0)+1,2,,,"КЦСР")))</f>
        <v>Предоставление пользователям информационных продуктов, подписка на печатные периодические издания</v>
      </c>
      <c r="B243" s="29" t="s">
        <v>506</v>
      </c>
      <c r="C243" s="6"/>
      <c r="D243" s="1"/>
      <c r="E243" s="79"/>
      <c r="F243" s="58">
        <f aca="true" t="shared" si="71" ref="F243:G246">F244</f>
        <v>0</v>
      </c>
      <c r="G243" s="58">
        <f t="shared" si="71"/>
        <v>0</v>
      </c>
    </row>
    <row r="244" spans="1:7" ht="21" customHeight="1" hidden="1">
      <c r="A244" s="55" t="str">
        <f ca="1">IF(ISERROR(MATCH(C244,Код_Раздел,0)),"",INDIRECT(ADDRESS(MATCH(C244,Код_Раздел,0)+1,2,,,"Раздел")))</f>
        <v>Культура, кинематография</v>
      </c>
      <c r="B244" s="29" t="s">
        <v>506</v>
      </c>
      <c r="C244" s="6" t="s">
        <v>196</v>
      </c>
      <c r="D244" s="1"/>
      <c r="E244" s="79"/>
      <c r="F244" s="58">
        <f t="shared" si="71"/>
        <v>0</v>
      </c>
      <c r="G244" s="58">
        <f t="shared" si="71"/>
        <v>0</v>
      </c>
    </row>
    <row r="245" spans="1:7" ht="21" customHeight="1" hidden="1">
      <c r="A245" s="59" t="s">
        <v>139</v>
      </c>
      <c r="B245" s="29" t="s">
        <v>506</v>
      </c>
      <c r="C245" s="6" t="s">
        <v>196</v>
      </c>
      <c r="D245" s="1" t="s">
        <v>190</v>
      </c>
      <c r="E245" s="79"/>
      <c r="F245" s="58">
        <f t="shared" si="71"/>
        <v>0</v>
      </c>
      <c r="G245" s="58">
        <f t="shared" si="71"/>
        <v>0</v>
      </c>
    </row>
    <row r="246" spans="1:7" ht="21" customHeight="1" hidden="1">
      <c r="A246" s="55" t="str">
        <f ca="1">IF(ISERROR(MATCH(E246,Код_КВР,0)),"",INDIRECT(ADDRESS(MATCH(E246,Код_КВР,0)+1,2,,,"КВР")))</f>
        <v>Предоставление субсидий бюджетным, автономным учреждениям и иным некоммерческим организациям</v>
      </c>
      <c r="B246" s="29" t="s">
        <v>506</v>
      </c>
      <c r="C246" s="6" t="s">
        <v>196</v>
      </c>
      <c r="D246" s="1" t="s">
        <v>190</v>
      </c>
      <c r="E246" s="79">
        <v>600</v>
      </c>
      <c r="F246" s="58">
        <f t="shared" si="71"/>
        <v>0</v>
      </c>
      <c r="G246" s="58">
        <f t="shared" si="71"/>
        <v>0</v>
      </c>
    </row>
    <row r="247" spans="1:7" ht="21" customHeight="1" hidden="1">
      <c r="A247" s="55" t="str">
        <f ca="1">IF(ISERROR(MATCH(E247,Код_КВР,0)),"",INDIRECT(ADDRESS(MATCH(E247,Код_КВР,0)+1,2,,,"КВР")))</f>
        <v>Субсидии бюджетным учреждениям</v>
      </c>
      <c r="B247" s="29" t="s">
        <v>506</v>
      </c>
      <c r="C247" s="6" t="s">
        <v>196</v>
      </c>
      <c r="D247" s="1" t="s">
        <v>190</v>
      </c>
      <c r="E247" s="79">
        <v>610</v>
      </c>
      <c r="F247" s="58">
        <f>'прил.16'!G777</f>
        <v>0</v>
      </c>
      <c r="G247" s="58">
        <f>'прил.16'!H777</f>
        <v>0</v>
      </c>
    </row>
    <row r="248" spans="1:7" ht="26.25" customHeight="1">
      <c r="A248" s="55" t="str">
        <f ca="1">IF(ISERROR(MATCH(B248,Код_КЦСР,0)),"",INDIRECT(ADDRESS(MATCH(B248,Код_КЦСР,0)+1,2,,,"КЦСР")))</f>
        <v>Совершенствование культурно-досуговой деятельности</v>
      </c>
      <c r="B248" s="29" t="s">
        <v>388</v>
      </c>
      <c r="C248" s="6"/>
      <c r="D248" s="1"/>
      <c r="E248" s="69"/>
      <c r="F248" s="58">
        <f aca="true" t="shared" si="72" ref="F248:G248">F249+F254+F259+F264</f>
        <v>40908.4</v>
      </c>
      <c r="G248" s="58">
        <f t="shared" si="72"/>
        <v>41136.3</v>
      </c>
    </row>
    <row r="249" spans="1:7" ht="26.25" customHeight="1">
      <c r="A249" s="55" t="str">
        <f ca="1">IF(ISERROR(MATCH(B249,Код_КЦСР,0)),"",INDIRECT(ADDRESS(MATCH(B249,Код_КЦСР,0)+1,2,,,"КЦСР")))</f>
        <v>Оказание муниципальных услуг</v>
      </c>
      <c r="B249" s="29" t="s">
        <v>390</v>
      </c>
      <c r="C249" s="6"/>
      <c r="D249" s="1"/>
      <c r="E249" s="69"/>
      <c r="F249" s="58">
        <f aca="true" t="shared" si="73" ref="F249:G252">F250</f>
        <v>38668.5</v>
      </c>
      <c r="G249" s="58">
        <f t="shared" si="73"/>
        <v>38886.5</v>
      </c>
    </row>
    <row r="250" spans="1:7" ht="21.75" customHeight="1">
      <c r="A250" s="55" t="str">
        <f ca="1">IF(ISERROR(MATCH(C250,Код_Раздел,0)),"",INDIRECT(ADDRESS(MATCH(C250,Код_Раздел,0)+1,2,,,"Раздел")))</f>
        <v>Культура, кинематография</v>
      </c>
      <c r="B250" s="29" t="s">
        <v>390</v>
      </c>
      <c r="C250" s="6" t="s">
        <v>196</v>
      </c>
      <c r="D250" s="1"/>
      <c r="E250" s="69"/>
      <c r="F250" s="58">
        <f t="shared" si="73"/>
        <v>38668.5</v>
      </c>
      <c r="G250" s="58">
        <f t="shared" si="73"/>
        <v>38886.5</v>
      </c>
    </row>
    <row r="251" spans="1:7" ht="18.75" customHeight="1">
      <c r="A251" s="59" t="s">
        <v>159</v>
      </c>
      <c r="B251" s="29" t="s">
        <v>390</v>
      </c>
      <c r="C251" s="6" t="s">
        <v>196</v>
      </c>
      <c r="D251" s="1" t="s">
        <v>187</v>
      </c>
      <c r="E251" s="69"/>
      <c r="F251" s="58">
        <f t="shared" si="73"/>
        <v>38668.5</v>
      </c>
      <c r="G251" s="58">
        <f t="shared" si="73"/>
        <v>38886.5</v>
      </c>
    </row>
    <row r="252" spans="1:7" ht="35.25" customHeight="1">
      <c r="A252" s="55" t="str">
        <f ca="1">IF(ISERROR(MATCH(E252,Код_КВР,0)),"",INDIRECT(ADDRESS(MATCH(E252,Код_КВР,0)+1,2,,,"КВР")))</f>
        <v>Предоставление субсидий бюджетным, автономным учреждениям и иным некоммерческим организациям</v>
      </c>
      <c r="B252" s="29" t="s">
        <v>390</v>
      </c>
      <c r="C252" s="6" t="s">
        <v>196</v>
      </c>
      <c r="D252" s="1" t="s">
        <v>187</v>
      </c>
      <c r="E252" s="69">
        <v>600</v>
      </c>
      <c r="F252" s="58">
        <f t="shared" si="73"/>
        <v>38668.5</v>
      </c>
      <c r="G252" s="58">
        <f t="shared" si="73"/>
        <v>38886.5</v>
      </c>
    </row>
    <row r="253" spans="1:7" ht="30" customHeight="1">
      <c r="A253" s="55" t="str">
        <f ca="1">IF(ISERROR(MATCH(E253,Код_КВР,0)),"",INDIRECT(ADDRESS(MATCH(E253,Код_КВР,0)+1,2,,,"КВР")))</f>
        <v>Субсидии бюджетным учреждениям</v>
      </c>
      <c r="B253" s="29" t="s">
        <v>390</v>
      </c>
      <c r="C253" s="6" t="s">
        <v>196</v>
      </c>
      <c r="D253" s="1" t="s">
        <v>187</v>
      </c>
      <c r="E253" s="69">
        <v>610</v>
      </c>
      <c r="F253" s="58">
        <f>'прил.16'!G736</f>
        <v>38668.5</v>
      </c>
      <c r="G253" s="58">
        <f>'прил.16'!H736</f>
        <v>38886.5</v>
      </c>
    </row>
    <row r="254" spans="1:7" ht="40.5" customHeight="1">
      <c r="A254" s="55" t="str">
        <f ca="1">IF(ISERROR(MATCH(B254,Код_КЦСР,0)),"",INDIRECT(ADDRESS(MATCH(B254,Код_КЦСР,0)+1,2,,,"КЦСР")))</f>
        <v>Сохранение нематериального культурного наследия народов традиционной народной культуры</v>
      </c>
      <c r="B254" s="29" t="s">
        <v>391</v>
      </c>
      <c r="C254" s="6"/>
      <c r="D254" s="1"/>
      <c r="E254" s="69"/>
      <c r="F254" s="58">
        <f aca="true" t="shared" si="74" ref="F254:G257">F255</f>
        <v>2239.9</v>
      </c>
      <c r="G254" s="58">
        <f t="shared" si="74"/>
        <v>2249.8</v>
      </c>
    </row>
    <row r="255" spans="1:7" ht="21.75" customHeight="1">
      <c r="A255" s="55" t="str">
        <f ca="1">IF(ISERROR(MATCH(C255,Код_Раздел,0)),"",INDIRECT(ADDRESS(MATCH(C255,Код_Раздел,0)+1,2,,,"Раздел")))</f>
        <v>Культура, кинематография</v>
      </c>
      <c r="B255" s="29" t="s">
        <v>391</v>
      </c>
      <c r="C255" s="6" t="s">
        <v>196</v>
      </c>
      <c r="D255" s="1"/>
      <c r="E255" s="69"/>
      <c r="F255" s="58">
        <f t="shared" si="74"/>
        <v>2239.9</v>
      </c>
      <c r="G255" s="58">
        <f t="shared" si="74"/>
        <v>2249.8</v>
      </c>
    </row>
    <row r="256" spans="1:7" ht="27" customHeight="1">
      <c r="A256" s="59" t="s">
        <v>159</v>
      </c>
      <c r="B256" s="29" t="s">
        <v>391</v>
      </c>
      <c r="C256" s="6" t="s">
        <v>196</v>
      </c>
      <c r="D256" s="1" t="s">
        <v>187</v>
      </c>
      <c r="E256" s="69"/>
      <c r="F256" s="58">
        <f t="shared" si="74"/>
        <v>2239.9</v>
      </c>
      <c r="G256" s="58">
        <f t="shared" si="74"/>
        <v>2249.8</v>
      </c>
    </row>
    <row r="257" spans="1:7" ht="43.5" customHeight="1">
      <c r="A257" s="55" t="str">
        <f ca="1">IF(ISERROR(MATCH(E257,Код_КВР,0)),"",INDIRECT(ADDRESS(MATCH(E257,Код_КВР,0)+1,2,,,"КВР")))</f>
        <v>Предоставление субсидий бюджетным, автономным учреждениям и иным некоммерческим организациям</v>
      </c>
      <c r="B257" s="29" t="s">
        <v>391</v>
      </c>
      <c r="C257" s="6" t="s">
        <v>196</v>
      </c>
      <c r="D257" s="1" t="s">
        <v>187</v>
      </c>
      <c r="E257" s="69">
        <v>600</v>
      </c>
      <c r="F257" s="58">
        <f t="shared" si="74"/>
        <v>2239.9</v>
      </c>
      <c r="G257" s="58">
        <f t="shared" si="74"/>
        <v>2249.8</v>
      </c>
    </row>
    <row r="258" spans="1:7" ht="22.5" customHeight="1">
      <c r="A258" s="55" t="str">
        <f ca="1">IF(ISERROR(MATCH(E258,Код_КВР,0)),"",INDIRECT(ADDRESS(MATCH(E258,Код_КВР,0)+1,2,,,"КВР")))</f>
        <v>Субсидии бюджетным учреждениям</v>
      </c>
      <c r="B258" s="29" t="s">
        <v>391</v>
      </c>
      <c r="C258" s="6" t="s">
        <v>196</v>
      </c>
      <c r="D258" s="1" t="s">
        <v>187</v>
      </c>
      <c r="E258" s="69">
        <v>610</v>
      </c>
      <c r="F258" s="58">
        <f>'прил.16'!G739</f>
        <v>2239.9</v>
      </c>
      <c r="G258" s="58">
        <f>'прил.16'!H739</f>
        <v>2249.8</v>
      </c>
    </row>
    <row r="259" spans="1:7" ht="22.5" customHeight="1" hidden="1">
      <c r="A259" s="55" t="str">
        <f ca="1">IF(ISERROR(MATCH(B259,Код_КЦСР,0)),"",INDIRECT(ADDRESS(MATCH(B259,Код_КЦСР,0)+1,2,,,"КЦСР")))</f>
        <v>Укрепление материально-технической базы муниципальных учреждений</v>
      </c>
      <c r="B259" s="29" t="s">
        <v>508</v>
      </c>
      <c r="C259" s="6"/>
      <c r="D259" s="1"/>
      <c r="E259" s="79"/>
      <c r="F259" s="58">
        <f aca="true" t="shared" si="75" ref="F259:G262">F260</f>
        <v>0</v>
      </c>
      <c r="G259" s="58">
        <f t="shared" si="75"/>
        <v>0</v>
      </c>
    </row>
    <row r="260" spans="1:7" ht="22.5" customHeight="1" hidden="1">
      <c r="A260" s="55" t="str">
        <f ca="1">IF(ISERROR(MATCH(C260,Код_Раздел,0)),"",INDIRECT(ADDRESS(MATCH(C260,Код_Раздел,0)+1,2,,,"Раздел")))</f>
        <v>Культура, кинематография</v>
      </c>
      <c r="B260" s="29" t="s">
        <v>508</v>
      </c>
      <c r="C260" s="6" t="s">
        <v>196</v>
      </c>
      <c r="D260" s="1"/>
      <c r="E260" s="79"/>
      <c r="F260" s="58">
        <f t="shared" si="75"/>
        <v>0</v>
      </c>
      <c r="G260" s="58">
        <f t="shared" si="75"/>
        <v>0</v>
      </c>
    </row>
    <row r="261" spans="1:7" ht="22.5" customHeight="1" hidden="1">
      <c r="A261" s="59" t="s">
        <v>139</v>
      </c>
      <c r="B261" s="29" t="s">
        <v>508</v>
      </c>
      <c r="C261" s="6" t="s">
        <v>196</v>
      </c>
      <c r="D261" s="1" t="s">
        <v>190</v>
      </c>
      <c r="E261" s="79"/>
      <c r="F261" s="58">
        <f t="shared" si="75"/>
        <v>0</v>
      </c>
      <c r="G261" s="58">
        <f t="shared" si="75"/>
        <v>0</v>
      </c>
    </row>
    <row r="262" spans="1:7" ht="22.5" customHeight="1" hidden="1">
      <c r="A262" s="55" t="str">
        <f ca="1">IF(ISERROR(MATCH(E262,Код_КВР,0)),"",INDIRECT(ADDRESS(MATCH(E262,Код_КВР,0)+1,2,,,"КВР")))</f>
        <v>Предоставление субсидий бюджетным, автономным учреждениям и иным некоммерческим организациям</v>
      </c>
      <c r="B262" s="29" t="s">
        <v>508</v>
      </c>
      <c r="C262" s="6" t="s">
        <v>196</v>
      </c>
      <c r="D262" s="1" t="s">
        <v>190</v>
      </c>
      <c r="E262" s="79">
        <v>600</v>
      </c>
      <c r="F262" s="58">
        <f t="shared" si="75"/>
        <v>0</v>
      </c>
      <c r="G262" s="58">
        <f t="shared" si="75"/>
        <v>0</v>
      </c>
    </row>
    <row r="263" spans="1:7" ht="22.5" customHeight="1" hidden="1">
      <c r="A263" s="55" t="str">
        <f ca="1">IF(ISERROR(MATCH(E263,Код_КВР,0)),"",INDIRECT(ADDRESS(MATCH(E263,Код_КВР,0)+1,2,,,"КВР")))</f>
        <v>Субсидии бюджетным учреждениям</v>
      </c>
      <c r="B263" s="29" t="s">
        <v>508</v>
      </c>
      <c r="C263" s="6" t="s">
        <v>196</v>
      </c>
      <c r="D263" s="1" t="s">
        <v>190</v>
      </c>
      <c r="E263" s="79">
        <v>610</v>
      </c>
      <c r="F263" s="58">
        <f>'прил.16'!G781</f>
        <v>0</v>
      </c>
      <c r="G263" s="58">
        <f>'прил.16'!H781</f>
        <v>0</v>
      </c>
    </row>
    <row r="264" spans="1:7" ht="36.95" customHeight="1" hidden="1">
      <c r="A264" s="55" t="str">
        <f ca="1">IF(ISERROR(MATCH(B264,Код_КЦСР,0)),"",INDIRECT(ADDRESS(MATCH(B264,Код_КЦСР,0)+1,2,,,"КЦСР")))</f>
        <v>Приобщение населения города к народным традициям, старинному быту и обычаям русского народа</v>
      </c>
      <c r="B264" s="29" t="s">
        <v>509</v>
      </c>
      <c r="C264" s="6"/>
      <c r="D264" s="1"/>
      <c r="E264" s="79"/>
      <c r="F264" s="58">
        <f aca="true" t="shared" si="76" ref="F264:G267">F265</f>
        <v>0</v>
      </c>
      <c r="G264" s="58">
        <f t="shared" si="76"/>
        <v>0</v>
      </c>
    </row>
    <row r="265" spans="1:7" ht="22.5" customHeight="1" hidden="1">
      <c r="A265" s="55" t="str">
        <f ca="1">IF(ISERROR(MATCH(C265,Код_Раздел,0)),"",INDIRECT(ADDRESS(MATCH(C265,Код_Раздел,0)+1,2,,,"Раздел")))</f>
        <v>Культура, кинематография</v>
      </c>
      <c r="B265" s="29" t="s">
        <v>509</v>
      </c>
      <c r="C265" s="6" t="s">
        <v>196</v>
      </c>
      <c r="D265" s="1"/>
      <c r="E265" s="79"/>
      <c r="F265" s="58">
        <f t="shared" si="76"/>
        <v>0</v>
      </c>
      <c r="G265" s="58">
        <f t="shared" si="76"/>
        <v>0</v>
      </c>
    </row>
    <row r="266" spans="1:7" ht="22.5" customHeight="1" hidden="1">
      <c r="A266" s="59" t="s">
        <v>139</v>
      </c>
      <c r="B266" s="29" t="s">
        <v>509</v>
      </c>
      <c r="C266" s="6" t="s">
        <v>196</v>
      </c>
      <c r="D266" s="1" t="s">
        <v>190</v>
      </c>
      <c r="E266" s="79"/>
      <c r="F266" s="58">
        <f t="shared" si="76"/>
        <v>0</v>
      </c>
      <c r="G266" s="58">
        <f t="shared" si="76"/>
        <v>0</v>
      </c>
    </row>
    <row r="267" spans="1:7" ht="22.5" customHeight="1" hidden="1">
      <c r="A267" s="55" t="str">
        <f ca="1">IF(ISERROR(MATCH(E267,Код_КВР,0)),"",INDIRECT(ADDRESS(MATCH(E267,Код_КВР,0)+1,2,,,"КВР")))</f>
        <v>Предоставление субсидий бюджетным, автономным учреждениям и иным некоммерческим организациям</v>
      </c>
      <c r="B267" s="29" t="s">
        <v>509</v>
      </c>
      <c r="C267" s="6" t="s">
        <v>196</v>
      </c>
      <c r="D267" s="1" t="s">
        <v>190</v>
      </c>
      <c r="E267" s="79">
        <v>600</v>
      </c>
      <c r="F267" s="58">
        <f t="shared" si="76"/>
        <v>0</v>
      </c>
      <c r="G267" s="58">
        <f t="shared" si="76"/>
        <v>0</v>
      </c>
    </row>
    <row r="268" spans="1:7" ht="22.5" customHeight="1" hidden="1">
      <c r="A268" s="55" t="str">
        <f ca="1">IF(ISERROR(MATCH(E268,Код_КВР,0)),"",INDIRECT(ADDRESS(MATCH(E268,Код_КВР,0)+1,2,,,"КВР")))</f>
        <v>Субсидии бюджетным учреждениям</v>
      </c>
      <c r="B268" s="29" t="s">
        <v>509</v>
      </c>
      <c r="C268" s="6" t="s">
        <v>196</v>
      </c>
      <c r="D268" s="1" t="s">
        <v>190</v>
      </c>
      <c r="E268" s="79">
        <v>610</v>
      </c>
      <c r="F268" s="58">
        <f>'прил.16'!G784</f>
        <v>0</v>
      </c>
      <c r="G268" s="58">
        <f>'прил.16'!H784</f>
        <v>0</v>
      </c>
    </row>
    <row r="269" spans="1:7" ht="21" customHeight="1">
      <c r="A269" s="55" t="str">
        <f ca="1">IF(ISERROR(MATCH(B269,Код_КЦСР,0)),"",INDIRECT(ADDRESS(MATCH(B269,Код_КЦСР,0)+1,2,,,"КЦСР")))</f>
        <v>Развитие исполнительских искусств</v>
      </c>
      <c r="B269" s="29" t="s">
        <v>393</v>
      </c>
      <c r="C269" s="6"/>
      <c r="D269" s="1"/>
      <c r="E269" s="69"/>
      <c r="F269" s="58">
        <f aca="true" t="shared" si="77" ref="F269:G269">F270+F276</f>
        <v>97701.1</v>
      </c>
      <c r="G269" s="58">
        <f t="shared" si="77"/>
        <v>98090.9</v>
      </c>
    </row>
    <row r="270" spans="1:7" ht="22.5" customHeight="1">
      <c r="A270" s="55" t="str">
        <f ca="1">IF(ISERROR(MATCH(B270,Код_КЦСР,0)),"",INDIRECT(ADDRESS(MATCH(B270,Код_КЦСР,0)+1,2,,,"КЦСР")))</f>
        <v>Оказание муниципальных услуг</v>
      </c>
      <c r="B270" s="29" t="s">
        <v>395</v>
      </c>
      <c r="C270" s="6"/>
      <c r="D270" s="1"/>
      <c r="E270" s="69"/>
      <c r="F270" s="58">
        <f aca="true" t="shared" si="78" ref="F270:G272">F271</f>
        <v>97701.1</v>
      </c>
      <c r="G270" s="58">
        <f t="shared" si="78"/>
        <v>98090.9</v>
      </c>
    </row>
    <row r="271" spans="1:7" ht="18.75" customHeight="1">
      <c r="A271" s="55" t="str">
        <f ca="1">IF(ISERROR(MATCH(C271,Код_Раздел,0)),"",INDIRECT(ADDRESS(MATCH(C271,Код_Раздел,0)+1,2,,,"Раздел")))</f>
        <v>Культура, кинематография</v>
      </c>
      <c r="B271" s="29" t="s">
        <v>395</v>
      </c>
      <c r="C271" s="6" t="s">
        <v>196</v>
      </c>
      <c r="D271" s="1"/>
      <c r="E271" s="69"/>
      <c r="F271" s="58">
        <f t="shared" si="78"/>
        <v>97701.1</v>
      </c>
      <c r="G271" s="58">
        <f t="shared" si="78"/>
        <v>98090.9</v>
      </c>
    </row>
    <row r="272" spans="1:7" ht="18.75" customHeight="1">
      <c r="A272" s="59" t="s">
        <v>159</v>
      </c>
      <c r="B272" s="29" t="s">
        <v>395</v>
      </c>
      <c r="C272" s="6" t="s">
        <v>196</v>
      </c>
      <c r="D272" s="1" t="s">
        <v>187</v>
      </c>
      <c r="E272" s="69"/>
      <c r="F272" s="58">
        <f t="shared" si="78"/>
        <v>97701.1</v>
      </c>
      <c r="G272" s="58">
        <f t="shared" si="78"/>
        <v>98090.9</v>
      </c>
    </row>
    <row r="273" spans="1:7" ht="35.25" customHeight="1">
      <c r="A273" s="55" t="str">
        <f ca="1">IF(ISERROR(MATCH(E273,Код_КВР,0)),"",INDIRECT(ADDRESS(MATCH(E273,Код_КВР,0)+1,2,,,"КВР")))</f>
        <v>Предоставление субсидий бюджетным, автономным учреждениям и иным некоммерческим организациям</v>
      </c>
      <c r="B273" s="29" t="s">
        <v>395</v>
      </c>
      <c r="C273" s="6" t="s">
        <v>196</v>
      </c>
      <c r="D273" s="1" t="s">
        <v>187</v>
      </c>
      <c r="E273" s="69">
        <v>600</v>
      </c>
      <c r="F273" s="58">
        <f>F274+F275</f>
        <v>97701.1</v>
      </c>
      <c r="G273" s="58">
        <f>G274+G275</f>
        <v>98090.9</v>
      </c>
    </row>
    <row r="274" spans="1:7" ht="21" customHeight="1">
      <c r="A274" s="55" t="str">
        <f ca="1">IF(ISERROR(MATCH(E274,Код_КВР,0)),"",INDIRECT(ADDRESS(MATCH(E274,Код_КВР,0)+1,2,,,"КВР")))</f>
        <v>Субсидии бюджетным учреждениям</v>
      </c>
      <c r="B274" s="29" t="s">
        <v>395</v>
      </c>
      <c r="C274" s="6" t="s">
        <v>196</v>
      </c>
      <c r="D274" s="1" t="s">
        <v>187</v>
      </c>
      <c r="E274" s="69">
        <v>610</v>
      </c>
      <c r="F274" s="58">
        <f>'прил.16'!G743</f>
        <v>85433.3</v>
      </c>
      <c r="G274" s="58">
        <f>'прил.16'!H743</f>
        <v>85712</v>
      </c>
    </row>
    <row r="275" spans="1:7" ht="21" customHeight="1">
      <c r="A275" s="55" t="str">
        <f ca="1">IF(ISERROR(MATCH(E275,Код_КВР,0)),"",INDIRECT(ADDRESS(MATCH(E275,Код_КВР,0)+1,2,,,"КВР")))</f>
        <v>Субсидии автономным учреждениям</v>
      </c>
      <c r="B275" s="29" t="s">
        <v>395</v>
      </c>
      <c r="C275" s="6" t="s">
        <v>196</v>
      </c>
      <c r="D275" s="1" t="s">
        <v>187</v>
      </c>
      <c r="E275" s="69">
        <v>620</v>
      </c>
      <c r="F275" s="58">
        <f>'прил.16'!G744</f>
        <v>12267.8</v>
      </c>
      <c r="G275" s="58">
        <f>'прил.16'!H744</f>
        <v>12378.9</v>
      </c>
    </row>
    <row r="276" spans="1:7" ht="35.65" customHeight="1" hidden="1">
      <c r="A276" s="55" t="str">
        <f ca="1">IF(ISERROR(MATCH(B276,Код_КЦСР,0)),"",INDIRECT(ADDRESS(MATCH(B276,Код_КЦСР,0)+1,2,,,"КЦСР")))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276" s="29" t="s">
        <v>513</v>
      </c>
      <c r="C276" s="6"/>
      <c r="D276" s="1"/>
      <c r="E276" s="79"/>
      <c r="F276" s="58">
        <f aca="true" t="shared" si="79" ref="F276:G279">F277</f>
        <v>0</v>
      </c>
      <c r="G276" s="58">
        <f t="shared" si="79"/>
        <v>0</v>
      </c>
    </row>
    <row r="277" spans="1:7" ht="21" customHeight="1" hidden="1">
      <c r="A277" s="55" t="str">
        <f ca="1">IF(ISERROR(MATCH(C277,Код_Раздел,0)),"",INDIRECT(ADDRESS(MATCH(C277,Код_Раздел,0)+1,2,,,"Раздел")))</f>
        <v>Культура, кинематография</v>
      </c>
      <c r="B277" s="29" t="s">
        <v>513</v>
      </c>
      <c r="C277" s="6" t="s">
        <v>196</v>
      </c>
      <c r="D277" s="1"/>
      <c r="E277" s="79"/>
      <c r="F277" s="58">
        <f t="shared" si="79"/>
        <v>0</v>
      </c>
      <c r="G277" s="58">
        <f t="shared" si="79"/>
        <v>0</v>
      </c>
    </row>
    <row r="278" spans="1:7" ht="21" customHeight="1" hidden="1">
      <c r="A278" s="59" t="s">
        <v>139</v>
      </c>
      <c r="B278" s="29" t="s">
        <v>513</v>
      </c>
      <c r="C278" s="6" t="s">
        <v>196</v>
      </c>
      <c r="D278" s="1" t="s">
        <v>190</v>
      </c>
      <c r="E278" s="79"/>
      <c r="F278" s="58">
        <f t="shared" si="79"/>
        <v>0</v>
      </c>
      <c r="G278" s="58">
        <f t="shared" si="79"/>
        <v>0</v>
      </c>
    </row>
    <row r="279" spans="1:7" ht="21" customHeight="1" hidden="1">
      <c r="A279" s="55" t="str">
        <f ca="1">IF(ISERROR(MATCH(E279,Код_КВР,0)),"",INDIRECT(ADDRESS(MATCH(E279,Код_КВР,0)+1,2,,,"КВР")))</f>
        <v>Предоставление субсидий бюджетным, автономным учреждениям и иным некоммерческим организациям</v>
      </c>
      <c r="B279" s="29" t="s">
        <v>513</v>
      </c>
      <c r="C279" s="6" t="s">
        <v>196</v>
      </c>
      <c r="D279" s="1" t="s">
        <v>190</v>
      </c>
      <c r="E279" s="79">
        <v>600</v>
      </c>
      <c r="F279" s="58">
        <f t="shared" si="79"/>
        <v>0</v>
      </c>
      <c r="G279" s="58">
        <f t="shared" si="79"/>
        <v>0</v>
      </c>
    </row>
    <row r="280" spans="1:7" ht="21" customHeight="1" hidden="1">
      <c r="A280" s="55" t="str">
        <f ca="1">IF(ISERROR(MATCH(E280,Код_КВР,0)),"",INDIRECT(ADDRESS(MATCH(E280,Код_КВР,0)+1,2,,,"КВР")))</f>
        <v>Субсидии автономным учреждениям</v>
      </c>
      <c r="B280" s="29" t="s">
        <v>513</v>
      </c>
      <c r="C280" s="6" t="s">
        <v>196</v>
      </c>
      <c r="D280" s="1" t="s">
        <v>190</v>
      </c>
      <c r="E280" s="79">
        <v>620</v>
      </c>
      <c r="F280" s="58">
        <f>'прил.16'!G788</f>
        <v>0</v>
      </c>
      <c r="G280" s="58">
        <f>'прил.16'!H788</f>
        <v>0</v>
      </c>
    </row>
    <row r="281" spans="1:7" ht="20.25" customHeight="1">
      <c r="A281" s="55" t="str">
        <f ca="1">IF(ISERROR(MATCH(B281,Код_КЦСР,0)),"",INDIRECT(ADDRESS(MATCH(B281,Код_КЦСР,0)+1,2,,,"КЦСР")))</f>
        <v>Формирование постиндустриального образа города Череповца</v>
      </c>
      <c r="B281" s="29" t="s">
        <v>396</v>
      </c>
      <c r="C281" s="6"/>
      <c r="D281" s="1"/>
      <c r="E281" s="69"/>
      <c r="F281" s="58">
        <f aca="true" t="shared" si="80" ref="F281:G281">F282</f>
        <v>6499</v>
      </c>
      <c r="G281" s="58">
        <f t="shared" si="80"/>
        <v>6499</v>
      </c>
    </row>
    <row r="282" spans="1:7" ht="39.75" customHeight="1">
      <c r="A282" s="55" t="str">
        <f ca="1">IF(ISERROR(MATCH(B282,Код_КЦСР,0)),"",INDIRECT(ADDRESS(MATCH(B282,Код_КЦСР,0)+1,2,,,"КЦСР")))</f>
        <v xml:space="preserve">Организация и проведение городских культурно- массовых мероприятий </v>
      </c>
      <c r="B282" s="29" t="s">
        <v>398</v>
      </c>
      <c r="C282" s="6"/>
      <c r="D282" s="1"/>
      <c r="E282" s="69"/>
      <c r="F282" s="58">
        <f aca="true" t="shared" si="81" ref="F282:G285">F283</f>
        <v>6499</v>
      </c>
      <c r="G282" s="58">
        <f t="shared" si="81"/>
        <v>6499</v>
      </c>
    </row>
    <row r="283" spans="1:7" ht="12.75">
      <c r="A283" s="55" t="str">
        <f ca="1">IF(ISERROR(MATCH(C283,Код_Раздел,0)),"",INDIRECT(ADDRESS(MATCH(C283,Код_Раздел,0)+1,2,,,"Раздел")))</f>
        <v>Культура, кинематография</v>
      </c>
      <c r="B283" s="29" t="s">
        <v>398</v>
      </c>
      <c r="C283" s="6" t="s">
        <v>196</v>
      </c>
      <c r="D283" s="1"/>
      <c r="E283" s="69"/>
      <c r="F283" s="58">
        <f aca="true" t="shared" si="82" ref="F283:G283">F284+F287</f>
        <v>6499</v>
      </c>
      <c r="G283" s="58">
        <f t="shared" si="82"/>
        <v>6499</v>
      </c>
    </row>
    <row r="284" spans="1:7" ht="12.75">
      <c r="A284" s="59" t="s">
        <v>159</v>
      </c>
      <c r="B284" s="29" t="s">
        <v>398</v>
      </c>
      <c r="C284" s="6" t="s">
        <v>196</v>
      </c>
      <c r="D284" s="1" t="s">
        <v>187</v>
      </c>
      <c r="E284" s="69"/>
      <c r="F284" s="58">
        <f t="shared" si="81"/>
        <v>6499</v>
      </c>
      <c r="G284" s="58">
        <f t="shared" si="81"/>
        <v>6499</v>
      </c>
    </row>
    <row r="285" spans="1:7" ht="39.75" customHeight="1">
      <c r="A285" s="55" t="str">
        <f ca="1">IF(ISERROR(MATCH(E285,Код_КВР,0)),"",INDIRECT(ADDRESS(MATCH(E285,Код_КВР,0)+1,2,,,"КВР")))</f>
        <v>Предоставление субсидий бюджетным, автономным учреждениям и иным некоммерческим организациям</v>
      </c>
      <c r="B285" s="29" t="s">
        <v>398</v>
      </c>
      <c r="C285" s="6" t="s">
        <v>196</v>
      </c>
      <c r="D285" s="1" t="s">
        <v>187</v>
      </c>
      <c r="E285" s="69">
        <v>600</v>
      </c>
      <c r="F285" s="58">
        <f t="shared" si="81"/>
        <v>6499</v>
      </c>
      <c r="G285" s="58">
        <f t="shared" si="81"/>
        <v>6499</v>
      </c>
    </row>
    <row r="286" spans="1:7" ht="21" customHeight="1">
      <c r="A286" s="55" t="str">
        <f ca="1">IF(ISERROR(MATCH(E286,Код_КВР,0)),"",INDIRECT(ADDRESS(MATCH(E286,Код_КВР,0)+1,2,,,"КВР")))</f>
        <v>Субсидии бюджетным учреждениям</v>
      </c>
      <c r="B286" s="29" t="s">
        <v>398</v>
      </c>
      <c r="C286" s="6" t="s">
        <v>196</v>
      </c>
      <c r="D286" s="1" t="s">
        <v>187</v>
      </c>
      <c r="E286" s="69">
        <v>610</v>
      </c>
      <c r="F286" s="58">
        <f>'прил.16'!G748</f>
        <v>6499</v>
      </c>
      <c r="G286" s="58">
        <f>'прил.16'!H748</f>
        <v>6499</v>
      </c>
    </row>
    <row r="287" spans="1:7" ht="12.75" hidden="1">
      <c r="A287" s="59" t="s">
        <v>139</v>
      </c>
      <c r="B287" s="29" t="s">
        <v>398</v>
      </c>
      <c r="C287" s="6" t="s">
        <v>196</v>
      </c>
      <c r="D287" s="1" t="s">
        <v>190</v>
      </c>
      <c r="E287" s="79"/>
      <c r="F287" s="58">
        <f aca="true" t="shared" si="83" ref="F287:G288">F288</f>
        <v>0</v>
      </c>
      <c r="G287" s="58">
        <f t="shared" si="83"/>
        <v>0</v>
      </c>
    </row>
    <row r="288" spans="1:7" ht="33" hidden="1">
      <c r="A288" s="55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29" t="s">
        <v>398</v>
      </c>
      <c r="C288" s="6" t="s">
        <v>196</v>
      </c>
      <c r="D288" s="1" t="s">
        <v>190</v>
      </c>
      <c r="E288" s="79">
        <v>600</v>
      </c>
      <c r="F288" s="58">
        <f t="shared" si="83"/>
        <v>0</v>
      </c>
      <c r="G288" s="58">
        <f t="shared" si="83"/>
        <v>0</v>
      </c>
    </row>
    <row r="289" spans="1:7" ht="12.75" hidden="1">
      <c r="A289" s="55" t="str">
        <f ca="1">IF(ISERROR(MATCH(E289,Код_КВР,0)),"",INDIRECT(ADDRESS(MATCH(E289,Код_КВР,0)+1,2,,,"КВР")))</f>
        <v>Субсидии бюджетным учреждениям</v>
      </c>
      <c r="B289" s="29" t="s">
        <v>398</v>
      </c>
      <c r="C289" s="6" t="s">
        <v>196</v>
      </c>
      <c r="D289" s="1" t="s">
        <v>190</v>
      </c>
      <c r="E289" s="79">
        <v>610</v>
      </c>
      <c r="F289" s="58">
        <f>'прил.16'!G792</f>
        <v>0</v>
      </c>
      <c r="G289" s="58">
        <f>'прил.16'!H792</f>
        <v>0</v>
      </c>
    </row>
    <row r="290" spans="1:7" ht="12.75" hidden="1">
      <c r="A290" s="55" t="str">
        <f ca="1">IF(ISERROR(MATCH(B290,Код_КЦСР,0)),"",INDIRECT(ADDRESS(MATCH(B290,Код_КЦСР,0)+1,2,,,"КЦСР")))</f>
        <v>Развитие кадрового потенциала отрасли</v>
      </c>
      <c r="B290" s="29" t="s">
        <v>517</v>
      </c>
      <c r="C290" s="6"/>
      <c r="D290" s="1"/>
      <c r="E290" s="79"/>
      <c r="F290" s="58">
        <f>F293</f>
        <v>0</v>
      </c>
      <c r="G290" s="58">
        <f>G293</f>
        <v>0</v>
      </c>
    </row>
    <row r="291" spans="1:7" ht="12.75" hidden="1">
      <c r="A291" s="55" t="str">
        <f ca="1">IF(ISERROR(MATCH(B291,Код_КЦСР,0)),"",INDIRECT(ADDRESS(MATCH(B291,Код_КЦСР,0)+1,2,,,"КЦСР")))</f>
        <v>Сохранение и укрепление кадрового состава учреждений</v>
      </c>
      <c r="B291" s="29" t="s">
        <v>518</v>
      </c>
      <c r="C291" s="6"/>
      <c r="D291" s="1"/>
      <c r="E291" s="104"/>
      <c r="F291" s="58">
        <f aca="true" t="shared" si="84" ref="F291:G291">F293</f>
        <v>0</v>
      </c>
      <c r="G291" s="58">
        <f t="shared" si="84"/>
        <v>0</v>
      </c>
    </row>
    <row r="292" spans="1:7" ht="12.75" hidden="1">
      <c r="A292" s="55" t="str">
        <f ca="1">IF(ISERROR(MATCH(C292,Код_Раздел,0)),"",INDIRECT(ADDRESS(MATCH(C292,Код_Раздел,0)+1,2,,,"Раздел")))</f>
        <v>Культура, кинематография</v>
      </c>
      <c r="B292" s="29" t="s">
        <v>518</v>
      </c>
      <c r="C292" s="6" t="s">
        <v>196</v>
      </c>
      <c r="D292" s="1"/>
      <c r="E292" s="105"/>
      <c r="F292" s="58"/>
      <c r="G292" s="58"/>
    </row>
    <row r="293" spans="1:7" ht="12.75" hidden="1">
      <c r="A293" s="59" t="s">
        <v>139</v>
      </c>
      <c r="B293" s="29" t="s">
        <v>518</v>
      </c>
      <c r="C293" s="6" t="s">
        <v>196</v>
      </c>
      <c r="D293" s="1" t="s">
        <v>190</v>
      </c>
      <c r="E293" s="79"/>
      <c r="F293" s="58">
        <f aca="true" t="shared" si="85" ref="F293:G294">F294</f>
        <v>0</v>
      </c>
      <c r="G293" s="58">
        <f t="shared" si="85"/>
        <v>0</v>
      </c>
    </row>
    <row r="294" spans="1:7" ht="33" hidden="1">
      <c r="A294" s="55" t="str">
        <f ca="1">IF(ISERROR(MATCH(E294,Код_КВР,0)),"",INDIRECT(ADDRESS(MATCH(E294,Код_КВР,0)+1,2,,,"КВР")))</f>
        <v>Предоставление субсидий бюджетным, автономным учреждениям и иным некоммерческим организациям</v>
      </c>
      <c r="B294" s="29" t="s">
        <v>518</v>
      </c>
      <c r="C294" s="6" t="s">
        <v>196</v>
      </c>
      <c r="D294" s="1" t="s">
        <v>190</v>
      </c>
      <c r="E294" s="79">
        <v>600</v>
      </c>
      <c r="F294" s="58">
        <f t="shared" si="85"/>
        <v>0</v>
      </c>
      <c r="G294" s="58">
        <f t="shared" si="85"/>
        <v>0</v>
      </c>
    </row>
    <row r="295" spans="1:7" ht="26.25" customHeight="1">
      <c r="A295" s="55" t="str">
        <f ca="1">IF(ISERROR(MATCH(E295,Код_КВР,0)),"",INDIRECT(ADDRESS(MATCH(E295,Код_КВР,0)+1,2,,,"КВР")))</f>
        <v>Субсидии бюджетным учреждениям</v>
      </c>
      <c r="B295" s="29" t="s">
        <v>518</v>
      </c>
      <c r="C295" s="6" t="s">
        <v>196</v>
      </c>
      <c r="D295" s="1" t="s">
        <v>190</v>
      </c>
      <c r="E295" s="79">
        <v>610</v>
      </c>
      <c r="F295" s="58"/>
      <c r="G295" s="58"/>
    </row>
    <row r="296" spans="1:7" ht="27.75" customHeight="1">
      <c r="A296" s="55" t="str">
        <f ca="1">IF(ISERROR(MATCH(B296,Код_КЦСР,0)),"",INDIRECT(ADDRESS(MATCH(B296,Код_КЦСР,0)+1,2,,,"КЦСР")))</f>
        <v xml:space="preserve">Индустрия отдыха на территориях парков культуры и отдыха </v>
      </c>
      <c r="B296" s="29" t="s">
        <v>400</v>
      </c>
      <c r="C296" s="6"/>
      <c r="D296" s="1"/>
      <c r="E296" s="69"/>
      <c r="F296" s="58">
        <f>F297</f>
        <v>4382.2</v>
      </c>
      <c r="G296" s="58">
        <f>G297</f>
        <v>4405.9</v>
      </c>
    </row>
    <row r="297" spans="1:7" ht="39.75" customHeight="1">
      <c r="A297" s="55" t="str">
        <f ca="1">IF(ISERROR(MATCH(B297,Код_КЦСР,0)),"",INDIRECT(ADDRESS(MATCH(B297,Код_КЦСР,0)+1,2,,,"КЦСР")))</f>
        <v>Работа по организации досуга населения на базе парков культуры и отдыха</v>
      </c>
      <c r="B297" s="29" t="s">
        <v>402</v>
      </c>
      <c r="C297" s="6"/>
      <c r="D297" s="1"/>
      <c r="E297" s="69"/>
      <c r="F297" s="58">
        <f aca="true" t="shared" si="86" ref="F297:G300">F298</f>
        <v>4382.2</v>
      </c>
      <c r="G297" s="58">
        <f t="shared" si="86"/>
        <v>4405.9</v>
      </c>
    </row>
    <row r="298" spans="1:7" ht="19.5" customHeight="1">
      <c r="A298" s="55" t="str">
        <f ca="1">IF(ISERROR(MATCH(C298,Код_Раздел,0)),"",INDIRECT(ADDRESS(MATCH(C298,Код_Раздел,0)+1,2,,,"Раздел")))</f>
        <v>Культура, кинематография</v>
      </c>
      <c r="B298" s="29" t="s">
        <v>402</v>
      </c>
      <c r="C298" s="6" t="s">
        <v>196</v>
      </c>
      <c r="D298" s="1"/>
      <c r="E298" s="69"/>
      <c r="F298" s="58">
        <f t="shared" si="86"/>
        <v>4382.2</v>
      </c>
      <c r="G298" s="58">
        <f t="shared" si="86"/>
        <v>4405.9</v>
      </c>
    </row>
    <row r="299" spans="1:7" ht="19.5" customHeight="1">
      <c r="A299" s="59" t="s">
        <v>159</v>
      </c>
      <c r="B299" s="29" t="s">
        <v>402</v>
      </c>
      <c r="C299" s="6" t="s">
        <v>196</v>
      </c>
      <c r="D299" s="1" t="s">
        <v>187</v>
      </c>
      <c r="E299" s="69"/>
      <c r="F299" s="58">
        <f t="shared" si="86"/>
        <v>4382.2</v>
      </c>
      <c r="G299" s="58">
        <f t="shared" si="86"/>
        <v>4405.9</v>
      </c>
    </row>
    <row r="300" spans="1:7" ht="35.25" customHeight="1">
      <c r="A300" s="55" t="str">
        <f ca="1">IF(ISERROR(MATCH(E300,Код_КВР,0)),"",INDIRECT(ADDRESS(MATCH(E300,Код_КВР,0)+1,2,,,"КВР")))</f>
        <v>Предоставление субсидий бюджетным, автономным учреждениям и иным некоммерческим организациям</v>
      </c>
      <c r="B300" s="29" t="s">
        <v>402</v>
      </c>
      <c r="C300" s="6" t="s">
        <v>196</v>
      </c>
      <c r="D300" s="1" t="s">
        <v>187</v>
      </c>
      <c r="E300" s="69">
        <v>600</v>
      </c>
      <c r="F300" s="58">
        <f t="shared" si="86"/>
        <v>4382.2</v>
      </c>
      <c r="G300" s="58">
        <f t="shared" si="86"/>
        <v>4405.9</v>
      </c>
    </row>
    <row r="301" spans="1:7" ht="19.5" customHeight="1">
      <c r="A301" s="55" t="str">
        <f ca="1">IF(ISERROR(MATCH(E301,Код_КВР,0)),"",INDIRECT(ADDRESS(MATCH(E301,Код_КВР,0)+1,2,,,"КВР")))</f>
        <v>Субсидии автономным учреждениям</v>
      </c>
      <c r="B301" s="29" t="s">
        <v>402</v>
      </c>
      <c r="C301" s="6" t="s">
        <v>196</v>
      </c>
      <c r="D301" s="1" t="s">
        <v>187</v>
      </c>
      <c r="E301" s="69">
        <v>620</v>
      </c>
      <c r="F301" s="58">
        <f>'прил.16'!G756</f>
        <v>4382.2</v>
      </c>
      <c r="G301" s="58">
        <f>'прил.16'!H756</f>
        <v>4405.9</v>
      </c>
    </row>
    <row r="302" spans="1:7" ht="42.75" customHeight="1">
      <c r="A302" s="55" t="str">
        <f ca="1">IF(ISERROR(MATCH(B302,Код_КЦСР,0)),"",INDIRECT(ADDRESS(MATCH(B302,Код_КЦСР,0)+1,2,,,"КЦСР")))</f>
        <v>Дополнительное образование в сфере культуры и искусства, поддержка юных дарований</v>
      </c>
      <c r="B302" s="29" t="s">
        <v>404</v>
      </c>
      <c r="C302" s="6"/>
      <c r="D302" s="1"/>
      <c r="E302" s="69"/>
      <c r="F302" s="58">
        <f aca="true" t="shared" si="87" ref="F302:G302">F303+F308</f>
        <v>67169.8</v>
      </c>
      <c r="G302" s="58">
        <f t="shared" si="87"/>
        <v>67273.2</v>
      </c>
    </row>
    <row r="303" spans="1:7" ht="19.5" customHeight="1">
      <c r="A303" s="55" t="str">
        <f ca="1">IF(ISERROR(MATCH(B303,Код_КЦСР,0)),"",INDIRECT(ADDRESS(MATCH(B303,Код_КЦСР,0)+1,2,,,"КЦСР")))</f>
        <v>Оказание муниципальных услуг</v>
      </c>
      <c r="B303" s="29" t="s">
        <v>406</v>
      </c>
      <c r="C303" s="6"/>
      <c r="D303" s="1"/>
      <c r="E303" s="69"/>
      <c r="F303" s="58">
        <f aca="true" t="shared" si="88" ref="F303:G306">F304</f>
        <v>67169.8</v>
      </c>
      <c r="G303" s="58">
        <f t="shared" si="88"/>
        <v>67273.2</v>
      </c>
    </row>
    <row r="304" spans="1:7" ht="17.25" customHeight="1">
      <c r="A304" s="55" t="str">
        <f ca="1">IF(ISERROR(MATCH(C304,Код_Раздел,0)),"",INDIRECT(ADDRESS(MATCH(C304,Код_Раздел,0)+1,2,,,"Раздел")))</f>
        <v>Образование</v>
      </c>
      <c r="B304" s="29" t="s">
        <v>406</v>
      </c>
      <c r="C304" s="6" t="s">
        <v>170</v>
      </c>
      <c r="D304" s="1"/>
      <c r="E304" s="69"/>
      <c r="F304" s="58">
        <f t="shared" si="88"/>
        <v>67169.8</v>
      </c>
      <c r="G304" s="58">
        <f t="shared" si="88"/>
        <v>67273.2</v>
      </c>
    </row>
    <row r="305" spans="1:7" ht="20.25" customHeight="1">
      <c r="A305" s="59" t="s">
        <v>220</v>
      </c>
      <c r="B305" s="29" t="s">
        <v>406</v>
      </c>
      <c r="C305" s="6" t="s">
        <v>170</v>
      </c>
      <c r="D305" s="1" t="s">
        <v>188</v>
      </c>
      <c r="E305" s="69"/>
      <c r="F305" s="58">
        <f t="shared" si="88"/>
        <v>67169.8</v>
      </c>
      <c r="G305" s="58">
        <f t="shared" si="88"/>
        <v>67273.2</v>
      </c>
    </row>
    <row r="306" spans="1:7" ht="38.25" customHeight="1">
      <c r="A306" s="55" t="str">
        <f ca="1">IF(ISERROR(MATCH(E306,Код_КВР,0)),"",INDIRECT(ADDRESS(MATCH(E306,Код_КВР,0)+1,2,,,"КВР")))</f>
        <v>Предоставление субсидий бюджетным, автономным учреждениям и иным некоммерческим организациям</v>
      </c>
      <c r="B306" s="29" t="s">
        <v>406</v>
      </c>
      <c r="C306" s="6" t="s">
        <v>170</v>
      </c>
      <c r="D306" s="1" t="s">
        <v>188</v>
      </c>
      <c r="E306" s="69">
        <v>600</v>
      </c>
      <c r="F306" s="58">
        <f t="shared" si="88"/>
        <v>67169.8</v>
      </c>
      <c r="G306" s="58">
        <f t="shared" si="88"/>
        <v>67273.2</v>
      </c>
    </row>
    <row r="307" spans="1:7" ht="20.25" customHeight="1">
      <c r="A307" s="55" t="str">
        <f ca="1">IF(ISERROR(MATCH(E307,Код_КВР,0)),"",INDIRECT(ADDRESS(MATCH(E307,Код_КВР,0)+1,2,,,"КВР")))</f>
        <v>Субсидии бюджетным учреждениям</v>
      </c>
      <c r="B307" s="29" t="s">
        <v>406</v>
      </c>
      <c r="C307" s="6" t="s">
        <v>170</v>
      </c>
      <c r="D307" s="1" t="s">
        <v>188</v>
      </c>
      <c r="E307" s="69">
        <v>610</v>
      </c>
      <c r="F307" s="58">
        <f>'прил.16'!G686</f>
        <v>67169.8</v>
      </c>
      <c r="G307" s="58">
        <f>'прил.16'!H686</f>
        <v>67273.2</v>
      </c>
    </row>
    <row r="308" spans="1:7" ht="34.5" customHeight="1" hidden="1">
      <c r="A308" s="55" t="str">
        <f ca="1">IF(ISERROR(MATCH(B308,Код_КЦСР,0)),"",INDIRECT(ADDRESS(MATCH(B308,Код_КЦСР,0)+1,2,,,"КЦСР")))</f>
        <v>Укрепление материально-технической базы муниципальных учреждений</v>
      </c>
      <c r="B308" s="29" t="s">
        <v>521</v>
      </c>
      <c r="C308" s="6"/>
      <c r="D308" s="1"/>
      <c r="E308" s="105"/>
      <c r="F308" s="58"/>
      <c r="G308" s="58"/>
    </row>
    <row r="309" spans="1:7" ht="20.25" customHeight="1" hidden="1">
      <c r="A309" s="55" t="str">
        <f ca="1">IF(ISERROR(MATCH(C309,Код_Раздел,0)),"",INDIRECT(ADDRESS(MATCH(C309,Код_Раздел,0)+1,2,,,"Раздел")))</f>
        <v>Образование</v>
      </c>
      <c r="B309" s="29" t="s">
        <v>521</v>
      </c>
      <c r="C309" s="6" t="s">
        <v>170</v>
      </c>
      <c r="D309" s="1"/>
      <c r="E309" s="105"/>
      <c r="F309" s="58"/>
      <c r="G309" s="58"/>
    </row>
    <row r="310" spans="1:7" ht="20.25" customHeight="1" hidden="1">
      <c r="A310" s="10" t="s">
        <v>221</v>
      </c>
      <c r="B310" s="29" t="s">
        <v>521</v>
      </c>
      <c r="C310" s="6" t="s">
        <v>170</v>
      </c>
      <c r="D310" s="1" t="s">
        <v>193</v>
      </c>
      <c r="E310" s="105"/>
      <c r="F310" s="58"/>
      <c r="G310" s="58"/>
    </row>
    <row r="311" spans="1:7" ht="20.25" customHeight="1" hidden="1">
      <c r="A311" s="55" t="str">
        <f ca="1">IF(ISERROR(MATCH(E311,Код_КВР,0)),"",INDIRECT(ADDRESS(MATCH(E311,Код_КВР,0)+1,2,,,"КВР")))</f>
        <v>Предоставление субсидий бюджетным, автономным учреждениям и иным некоммерческим организациям</v>
      </c>
      <c r="B311" s="29" t="s">
        <v>521</v>
      </c>
      <c r="C311" s="6" t="s">
        <v>170</v>
      </c>
      <c r="D311" s="1" t="s">
        <v>193</v>
      </c>
      <c r="E311" s="105">
        <v>600</v>
      </c>
      <c r="F311" s="58"/>
      <c r="G311" s="58"/>
    </row>
    <row r="312" spans="1:7" ht="20.25" customHeight="1" hidden="1">
      <c r="A312" s="55" t="str">
        <f ca="1">IF(ISERROR(MATCH(E312,Код_КВР,0)),"",INDIRECT(ADDRESS(MATCH(E312,Код_КВР,0)+1,2,,,"КВР")))</f>
        <v>Субсидии бюджетным учреждениям</v>
      </c>
      <c r="B312" s="29" t="s">
        <v>521</v>
      </c>
      <c r="C312" s="6" t="s">
        <v>170</v>
      </c>
      <c r="D312" s="1" t="s">
        <v>193</v>
      </c>
      <c r="E312" s="105">
        <v>610</v>
      </c>
      <c r="F312" s="58">
        <f>'прил.16'!G692</f>
        <v>0</v>
      </c>
      <c r="G312" s="58">
        <f>'прил.16'!H692</f>
        <v>0</v>
      </c>
    </row>
    <row r="313" spans="1:7" ht="49.5">
      <c r="A313" s="55" t="str">
        <f ca="1">IF(ISERROR(MATCH(B313,Код_КЦСР,0)),"",INDIRECT(ADDRESS(MATCH(B313,Код_КЦСР,0)+1,2,,,"КЦСР")))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13" s="29" t="s">
        <v>409</v>
      </c>
      <c r="C313" s="6"/>
      <c r="D313" s="1"/>
      <c r="E313" s="69"/>
      <c r="F313" s="58">
        <f>F314+F319+F325+F331+F336+F351+F344</f>
        <v>253355</v>
      </c>
      <c r="G313" s="58">
        <f>G314+G319+G325+G331+G336+G351+G344</f>
        <v>222292.6</v>
      </c>
    </row>
    <row r="314" spans="1:7" ht="24.75" customHeight="1">
      <c r="A314" s="55" t="str">
        <f ca="1">IF(ISERROR(MATCH(B314,Код_КЦСР,0)),"",INDIRECT(ADDRESS(MATCH(B314,Код_КЦСР,0)+1,2,,,"КЦСР")))</f>
        <v>Обеспечение доступа к спортивным объектам</v>
      </c>
      <c r="B314" s="29" t="s">
        <v>411</v>
      </c>
      <c r="C314" s="6"/>
      <c r="D314" s="1"/>
      <c r="E314" s="69"/>
      <c r="F314" s="58">
        <f aca="true" t="shared" si="89" ref="F314:G317">F315</f>
        <v>63479.8</v>
      </c>
      <c r="G314" s="58">
        <f t="shared" si="89"/>
        <v>31867.9</v>
      </c>
    </row>
    <row r="315" spans="1:7" ht="27" customHeight="1">
      <c r="A315" s="55" t="str">
        <f ca="1">IF(ISERROR(MATCH(C315,Код_Раздел,0)),"",INDIRECT(ADDRESS(MATCH(C315,Код_Раздел,0)+1,2,,,"Раздел")))</f>
        <v>Физическая культура и спорт</v>
      </c>
      <c r="B315" s="29" t="s">
        <v>411</v>
      </c>
      <c r="C315" s="6" t="s">
        <v>198</v>
      </c>
      <c r="D315" s="1"/>
      <c r="E315" s="69"/>
      <c r="F315" s="58">
        <f t="shared" si="89"/>
        <v>63479.8</v>
      </c>
      <c r="G315" s="58">
        <f t="shared" si="89"/>
        <v>31867.9</v>
      </c>
    </row>
    <row r="316" spans="1:7" ht="24.75" customHeight="1">
      <c r="A316" s="59" t="s">
        <v>161</v>
      </c>
      <c r="B316" s="29" t="s">
        <v>411</v>
      </c>
      <c r="C316" s="6" t="s">
        <v>198</v>
      </c>
      <c r="D316" s="1" t="s">
        <v>187</v>
      </c>
      <c r="E316" s="69"/>
      <c r="F316" s="58">
        <f t="shared" si="89"/>
        <v>63479.8</v>
      </c>
      <c r="G316" s="58">
        <f t="shared" si="89"/>
        <v>31867.9</v>
      </c>
    </row>
    <row r="317" spans="1:7" ht="41.25" customHeight="1">
      <c r="A317" s="55" t="str">
        <f ca="1">IF(ISERROR(MATCH(E317,Код_КВР,0)),"",INDIRECT(ADDRESS(MATCH(E317,Код_КВР,0)+1,2,,,"КВР")))</f>
        <v>Предоставление субсидий бюджетным, автономным учреждениям и иным некоммерческим организациям</v>
      </c>
      <c r="B317" s="29" t="s">
        <v>411</v>
      </c>
      <c r="C317" s="6" t="s">
        <v>198</v>
      </c>
      <c r="D317" s="1" t="s">
        <v>187</v>
      </c>
      <c r="E317" s="69">
        <v>600</v>
      </c>
      <c r="F317" s="58">
        <f t="shared" si="89"/>
        <v>63479.8</v>
      </c>
      <c r="G317" s="58">
        <f t="shared" si="89"/>
        <v>31867.9</v>
      </c>
    </row>
    <row r="318" spans="1:7" ht="24.75" customHeight="1">
      <c r="A318" s="55" t="str">
        <f ca="1">IF(ISERROR(MATCH(E318,Код_КВР,0)),"",INDIRECT(ADDRESS(MATCH(E318,Код_КВР,0)+1,2,,,"КВР")))</f>
        <v>Субсидии автономным учреждениям</v>
      </c>
      <c r="B318" s="29" t="s">
        <v>411</v>
      </c>
      <c r="C318" s="6" t="s">
        <v>198</v>
      </c>
      <c r="D318" s="1" t="s">
        <v>187</v>
      </c>
      <c r="E318" s="69">
        <v>620</v>
      </c>
      <c r="F318" s="58">
        <f>'прил.16'!G868</f>
        <v>63479.8</v>
      </c>
      <c r="G318" s="58">
        <f>'прил.16'!H868</f>
        <v>31867.9</v>
      </c>
    </row>
    <row r="319" spans="1:7" ht="57.75" customHeight="1">
      <c r="A319" s="55" t="str">
        <f ca="1">IF(ISERROR(MATCH(B319,Код_КЦСР,0)),"",INDIRECT(ADDRESS(MATCH(B319,Код_КЦСР,0)+1,2,,,"КЦСР")))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319" s="29" t="s">
        <v>413</v>
      </c>
      <c r="C319" s="6"/>
      <c r="D319" s="1"/>
      <c r="E319" s="69"/>
      <c r="F319" s="58">
        <f aca="true" t="shared" si="90" ref="F319:G321">F320</f>
        <v>19356.2</v>
      </c>
      <c r="G319" s="58">
        <f t="shared" si="90"/>
        <v>19356.2</v>
      </c>
    </row>
    <row r="320" spans="1:7" ht="12.75">
      <c r="A320" s="55" t="str">
        <f ca="1">IF(ISERROR(MATCH(C320,Код_Раздел,0)),"",INDIRECT(ADDRESS(MATCH(C320,Код_Раздел,0)+1,2,,,"Раздел")))</f>
        <v>Физическая культура и спорт</v>
      </c>
      <c r="B320" s="29" t="s">
        <v>413</v>
      </c>
      <c r="C320" s="6" t="s">
        <v>198</v>
      </c>
      <c r="D320" s="1"/>
      <c r="E320" s="69"/>
      <c r="F320" s="58">
        <f t="shared" si="90"/>
        <v>19356.2</v>
      </c>
      <c r="G320" s="58">
        <f t="shared" si="90"/>
        <v>19356.2</v>
      </c>
    </row>
    <row r="321" spans="1:7" ht="12.75">
      <c r="A321" s="59" t="s">
        <v>161</v>
      </c>
      <c r="B321" s="29" t="s">
        <v>413</v>
      </c>
      <c r="C321" s="6" t="s">
        <v>198</v>
      </c>
      <c r="D321" s="1" t="s">
        <v>187</v>
      </c>
      <c r="E321" s="69"/>
      <c r="F321" s="58">
        <f t="shared" si="90"/>
        <v>19356.2</v>
      </c>
      <c r="G321" s="58">
        <f t="shared" si="90"/>
        <v>19356.2</v>
      </c>
    </row>
    <row r="322" spans="1:7" ht="36.75" customHeight="1">
      <c r="A322" s="55" t="str">
        <f ca="1">IF(ISERROR(MATCH(E322,Код_КВР,0)),"",INDIRECT(ADDRESS(MATCH(E322,Код_КВР,0)+1,2,,,"КВР")))</f>
        <v>Предоставление субсидий бюджетным, автономным учреждениям и иным некоммерческим организациям</v>
      </c>
      <c r="B322" s="29" t="s">
        <v>413</v>
      </c>
      <c r="C322" s="6" t="s">
        <v>198</v>
      </c>
      <c r="D322" s="1" t="s">
        <v>187</v>
      </c>
      <c r="E322" s="69">
        <v>600</v>
      </c>
      <c r="F322" s="58">
        <f>F323+F324</f>
        <v>19356.2</v>
      </c>
      <c r="G322" s="58">
        <f>G323+G324</f>
        <v>19356.2</v>
      </c>
    </row>
    <row r="323" spans="1:7" ht="22.5" customHeight="1">
      <c r="A323" s="55" t="str">
        <f ca="1">IF(ISERROR(MATCH(E323,Код_КВР,0)),"",INDIRECT(ADDRESS(MATCH(E323,Код_КВР,0)+1,2,,,"КВР")))</f>
        <v>Субсидии бюджетным учреждениям</v>
      </c>
      <c r="B323" s="29" t="s">
        <v>413</v>
      </c>
      <c r="C323" s="6" t="s">
        <v>198</v>
      </c>
      <c r="D323" s="1" t="s">
        <v>187</v>
      </c>
      <c r="E323" s="69">
        <v>610</v>
      </c>
      <c r="F323" s="58">
        <f>'прил.16'!G871</f>
        <v>15394.7</v>
      </c>
      <c r="G323" s="58">
        <f>'прил.16'!H871</f>
        <v>15394.7</v>
      </c>
    </row>
    <row r="324" spans="1:7" ht="20.25" customHeight="1">
      <c r="A324" s="55" t="str">
        <f ca="1">IF(ISERROR(MATCH(E324,Код_КВР,0)),"",INDIRECT(ADDRESS(MATCH(E324,Код_КВР,0)+1,2,,,"КВР")))</f>
        <v>Субсидии автономным учреждениям</v>
      </c>
      <c r="B324" s="29" t="s">
        <v>413</v>
      </c>
      <c r="C324" s="6" t="s">
        <v>198</v>
      </c>
      <c r="D324" s="1" t="s">
        <v>187</v>
      </c>
      <c r="E324" s="69">
        <v>620</v>
      </c>
      <c r="F324" s="58">
        <f>'прил.16'!G872</f>
        <v>3961.5</v>
      </c>
      <c r="G324" s="58">
        <f>'прил.16'!H872</f>
        <v>3961.5</v>
      </c>
    </row>
    <row r="325" spans="1:7" ht="26.25" customHeight="1">
      <c r="A325" s="55" t="str">
        <f ca="1">IF(ISERROR(MATCH(B325,Код_КЦСР,0)),"",INDIRECT(ADDRESS(MATCH(B325,Код_КЦСР,0)+1,2,,,"КЦСР")))</f>
        <v>Реализация  дополнительных общеобразовательных программ</v>
      </c>
      <c r="B325" s="29" t="s">
        <v>414</v>
      </c>
      <c r="C325" s="6"/>
      <c r="D325" s="1"/>
      <c r="E325" s="69"/>
      <c r="F325" s="58">
        <f aca="true" t="shared" si="91" ref="F325:G327">F326</f>
        <v>117397.20000000001</v>
      </c>
      <c r="G325" s="58">
        <f t="shared" si="91"/>
        <v>117942.4</v>
      </c>
    </row>
    <row r="326" spans="1:7" ht="12.75">
      <c r="A326" s="55" t="str">
        <f ca="1">IF(ISERROR(MATCH(C326,Код_Раздел,0)),"",INDIRECT(ADDRESS(MATCH(C326,Код_Раздел,0)+1,2,,,"Раздел")))</f>
        <v>Образование</v>
      </c>
      <c r="B326" s="29" t="s">
        <v>414</v>
      </c>
      <c r="C326" s="6" t="s">
        <v>170</v>
      </c>
      <c r="D326" s="1"/>
      <c r="E326" s="69"/>
      <c r="F326" s="58">
        <f t="shared" si="91"/>
        <v>117397.20000000001</v>
      </c>
      <c r="G326" s="58">
        <f t="shared" si="91"/>
        <v>117942.4</v>
      </c>
    </row>
    <row r="327" spans="1:7" ht="22.5" customHeight="1">
      <c r="A327" s="59" t="s">
        <v>220</v>
      </c>
      <c r="B327" s="29" t="s">
        <v>414</v>
      </c>
      <c r="C327" s="6" t="s">
        <v>170</v>
      </c>
      <c r="D327" s="1" t="s">
        <v>188</v>
      </c>
      <c r="E327" s="69"/>
      <c r="F327" s="58">
        <f t="shared" si="91"/>
        <v>117397.20000000001</v>
      </c>
      <c r="G327" s="58">
        <f t="shared" si="91"/>
        <v>117942.4</v>
      </c>
    </row>
    <row r="328" spans="1:7" ht="36.75" customHeight="1">
      <c r="A328" s="55" t="str">
        <f ca="1">IF(ISERROR(MATCH(E328,Код_КВР,0)),"",INDIRECT(ADDRESS(MATCH(E328,Код_КВР,0)+1,2,,,"КВР")))</f>
        <v>Предоставление субсидий бюджетным, автономным учреждениям и иным некоммерческим организациям</v>
      </c>
      <c r="B328" s="29" t="s">
        <v>414</v>
      </c>
      <c r="C328" s="6" t="s">
        <v>170</v>
      </c>
      <c r="D328" s="1" t="s">
        <v>188</v>
      </c>
      <c r="E328" s="69">
        <v>600</v>
      </c>
      <c r="F328" s="58">
        <f>F329+F330</f>
        <v>117397.20000000001</v>
      </c>
      <c r="G328" s="58">
        <f>G329+G330</f>
        <v>117942.4</v>
      </c>
    </row>
    <row r="329" spans="1:7" ht="20.25" customHeight="1">
      <c r="A329" s="55" t="str">
        <f ca="1">IF(ISERROR(MATCH(E329,Код_КВР,0)),"",INDIRECT(ADDRESS(MATCH(E329,Код_КВР,0)+1,2,,,"КВР")))</f>
        <v>Субсидии бюджетным учреждениям</v>
      </c>
      <c r="B329" s="29" t="s">
        <v>414</v>
      </c>
      <c r="C329" s="6" t="s">
        <v>170</v>
      </c>
      <c r="D329" s="1" t="s">
        <v>188</v>
      </c>
      <c r="E329" s="69">
        <v>610</v>
      </c>
      <c r="F329" s="58">
        <f>'прил.16'!G837</f>
        <v>98441.3</v>
      </c>
      <c r="G329" s="58">
        <f>'прил.16'!H837</f>
        <v>98918.4</v>
      </c>
    </row>
    <row r="330" spans="1:7" ht="24" customHeight="1">
      <c r="A330" s="55" t="str">
        <f ca="1">IF(ISERROR(MATCH(E330,Код_КВР,0)),"",INDIRECT(ADDRESS(MATCH(E330,Код_КВР,0)+1,2,,,"КВР")))</f>
        <v>Субсидии автономным учреждениям</v>
      </c>
      <c r="B330" s="29" t="s">
        <v>414</v>
      </c>
      <c r="C330" s="6" t="s">
        <v>170</v>
      </c>
      <c r="D330" s="1" t="s">
        <v>188</v>
      </c>
      <c r="E330" s="69">
        <v>620</v>
      </c>
      <c r="F330" s="58">
        <f>'прил.16'!G838</f>
        <v>18955.9</v>
      </c>
      <c r="G330" s="58">
        <f>'прил.16'!H838</f>
        <v>19024</v>
      </c>
    </row>
    <row r="331" spans="1:7" ht="39.75" customHeight="1">
      <c r="A331" s="55" t="str">
        <f ca="1">IF(ISERROR(MATCH(B331,Код_КЦСР,0)),"",INDIRECT(ADDRESS(MATCH(B331,Код_КЦСР,0)+1,2,,,"КЦСР")))</f>
        <v>Организация и ведение бухгалтерского (бюджетного) учета и отчетности</v>
      </c>
      <c r="B331" s="29" t="s">
        <v>415</v>
      </c>
      <c r="C331" s="6"/>
      <c r="D331" s="1"/>
      <c r="E331" s="69"/>
      <c r="F331" s="58">
        <f aca="true" t="shared" si="92" ref="F331:G334">F332</f>
        <v>3832.3</v>
      </c>
      <c r="G331" s="58">
        <f t="shared" si="92"/>
        <v>3836.6</v>
      </c>
    </row>
    <row r="332" spans="1:7" ht="23.25" customHeight="1">
      <c r="A332" s="55" t="str">
        <f ca="1">IF(ISERROR(MATCH(C332,Код_Раздел,0)),"",INDIRECT(ADDRESS(MATCH(C332,Код_Раздел,0)+1,2,,,"Раздел")))</f>
        <v>Физическая культура и спорт</v>
      </c>
      <c r="B332" s="29" t="s">
        <v>415</v>
      </c>
      <c r="C332" s="6" t="s">
        <v>198</v>
      </c>
      <c r="D332" s="1"/>
      <c r="E332" s="69"/>
      <c r="F332" s="58">
        <f t="shared" si="92"/>
        <v>3832.3</v>
      </c>
      <c r="G332" s="58">
        <f t="shared" si="92"/>
        <v>3836.6</v>
      </c>
    </row>
    <row r="333" spans="1:7" ht="24" customHeight="1">
      <c r="A333" s="59" t="s">
        <v>167</v>
      </c>
      <c r="B333" s="29" t="s">
        <v>415</v>
      </c>
      <c r="C333" s="6" t="s">
        <v>198</v>
      </c>
      <c r="D333" s="1" t="s">
        <v>195</v>
      </c>
      <c r="E333" s="69"/>
      <c r="F333" s="58">
        <f t="shared" si="92"/>
        <v>3832.3</v>
      </c>
      <c r="G333" s="58">
        <f t="shared" si="92"/>
        <v>3836.6</v>
      </c>
    </row>
    <row r="334" spans="1:7" ht="41.25" customHeight="1">
      <c r="A334" s="55" t="str">
        <f ca="1">IF(ISERROR(MATCH(E334,Код_КВР,0)),"",INDIRECT(ADDRESS(MATCH(E334,Код_КВР,0)+1,2,,,"КВР")))</f>
        <v>Предоставление субсидий бюджетным, автономным учреждениям и иным некоммерческим организациям</v>
      </c>
      <c r="B334" s="29" t="s">
        <v>415</v>
      </c>
      <c r="C334" s="6" t="s">
        <v>198</v>
      </c>
      <c r="D334" s="1" t="s">
        <v>195</v>
      </c>
      <c r="E334" s="69">
        <v>600</v>
      </c>
      <c r="F334" s="58">
        <f t="shared" si="92"/>
        <v>3832.3</v>
      </c>
      <c r="G334" s="58">
        <f t="shared" si="92"/>
        <v>3836.6</v>
      </c>
    </row>
    <row r="335" spans="1:7" ht="24.75" customHeight="1">
      <c r="A335" s="55" t="str">
        <f ca="1">IF(ISERROR(MATCH(E335,Код_КВР,0)),"",INDIRECT(ADDRESS(MATCH(E335,Код_КВР,0)+1,2,,,"КВР")))</f>
        <v>Субсидии бюджетным учреждениям</v>
      </c>
      <c r="B335" s="29" t="s">
        <v>415</v>
      </c>
      <c r="C335" s="6" t="s">
        <v>198</v>
      </c>
      <c r="D335" s="1" t="s">
        <v>195</v>
      </c>
      <c r="E335" s="69">
        <v>610</v>
      </c>
      <c r="F335" s="58">
        <f>'прил.16'!G896</f>
        <v>3832.3</v>
      </c>
      <c r="G335" s="58">
        <f>'прил.16'!H896</f>
        <v>3836.6</v>
      </c>
    </row>
    <row r="336" spans="1:7" ht="28.5" customHeight="1">
      <c r="A336" s="55" t="str">
        <f ca="1">IF(ISERROR(MATCH(B336,Код_КЦСР,0)),"",INDIRECT(ADDRESS(MATCH(B336,Код_КЦСР,0)+1,2,,,"КЦСР")))</f>
        <v>Популяризация физической культуры и спорта</v>
      </c>
      <c r="B336" s="29" t="s">
        <v>416</v>
      </c>
      <c r="C336" s="6"/>
      <c r="D336" s="1"/>
      <c r="E336" s="69"/>
      <c r="F336" s="58">
        <f aca="true" t="shared" si="93" ref="F336:G337">F337</f>
        <v>3251.2</v>
      </c>
      <c r="G336" s="58">
        <f t="shared" si="93"/>
        <v>3251.2</v>
      </c>
    </row>
    <row r="337" spans="1:7" ht="23.25" customHeight="1">
      <c r="A337" s="55" t="str">
        <f ca="1">IF(ISERROR(MATCH(C337,Код_Раздел,0)),"",INDIRECT(ADDRESS(MATCH(C337,Код_Раздел,0)+1,2,,,"Раздел")))</f>
        <v>Физическая культура и спорт</v>
      </c>
      <c r="B337" s="29" t="s">
        <v>416</v>
      </c>
      <c r="C337" s="6" t="s">
        <v>198</v>
      </c>
      <c r="D337" s="1"/>
      <c r="E337" s="69"/>
      <c r="F337" s="58">
        <f t="shared" si="93"/>
        <v>3251.2</v>
      </c>
      <c r="G337" s="58">
        <f t="shared" si="93"/>
        <v>3251.2</v>
      </c>
    </row>
    <row r="338" spans="1:7" ht="23.25" customHeight="1">
      <c r="A338" s="59" t="s">
        <v>161</v>
      </c>
      <c r="B338" s="29" t="s">
        <v>416</v>
      </c>
      <c r="C338" s="6" t="s">
        <v>198</v>
      </c>
      <c r="D338" s="1" t="s">
        <v>187</v>
      </c>
      <c r="E338" s="69"/>
      <c r="F338" s="58">
        <f>F339+F341</f>
        <v>3251.2</v>
      </c>
      <c r="G338" s="58">
        <f>G339+G341</f>
        <v>3251.2</v>
      </c>
    </row>
    <row r="339" spans="1:7" ht="12.75" hidden="1">
      <c r="A339" s="55" t="str">
        <f aca="true" t="shared" si="94" ref="A339:A343">IF(ISERROR(MATCH(E339,Код_КВР,0)),"",INDIRECT(ADDRESS(MATCH(E339,Код_КВР,0)+1,2,,,"КВР")))</f>
        <v>Закупка товаров, работ и услуг для муниципальных нужд</v>
      </c>
      <c r="B339" s="29" t="s">
        <v>416</v>
      </c>
      <c r="C339" s="6" t="s">
        <v>198</v>
      </c>
      <c r="D339" s="1" t="s">
        <v>187</v>
      </c>
      <c r="E339" s="69">
        <v>200</v>
      </c>
      <c r="F339" s="58">
        <f>F340</f>
        <v>0</v>
      </c>
      <c r="G339" s="58">
        <f>G340</f>
        <v>0</v>
      </c>
    </row>
    <row r="340" spans="1:7" ht="35.25" customHeight="1" hidden="1">
      <c r="A340" s="55" t="str">
        <f ca="1" t="shared" si="94"/>
        <v>Иные закупки товаров, работ и услуг для обеспечения муниципальных нужд</v>
      </c>
      <c r="B340" s="29" t="s">
        <v>416</v>
      </c>
      <c r="C340" s="6" t="s">
        <v>198</v>
      </c>
      <c r="D340" s="1" t="s">
        <v>187</v>
      </c>
      <c r="E340" s="69">
        <v>240</v>
      </c>
      <c r="F340" s="58">
        <f>'прил.16'!G875</f>
        <v>0</v>
      </c>
      <c r="G340" s="58">
        <f>'прил.16'!H875</f>
        <v>0</v>
      </c>
    </row>
    <row r="341" spans="1:7" ht="39" customHeight="1">
      <c r="A341" s="55" t="str">
        <f ca="1" t="shared" si="94"/>
        <v>Предоставление субсидий бюджетным, автономным учреждениям и иным некоммерческим организациям</v>
      </c>
      <c r="B341" s="29" t="s">
        <v>416</v>
      </c>
      <c r="C341" s="6" t="s">
        <v>198</v>
      </c>
      <c r="D341" s="1" t="s">
        <v>187</v>
      </c>
      <c r="E341" s="69">
        <v>600</v>
      </c>
      <c r="F341" s="58">
        <f>F342+F343</f>
        <v>3251.2</v>
      </c>
      <c r="G341" s="58">
        <f>G342+G343</f>
        <v>3251.2</v>
      </c>
    </row>
    <row r="342" spans="1:7" ht="22.5" customHeight="1">
      <c r="A342" s="55" t="str">
        <f ca="1" t="shared" si="94"/>
        <v>Субсидии бюджетным учреждениям</v>
      </c>
      <c r="B342" s="29" t="s">
        <v>416</v>
      </c>
      <c r="C342" s="6" t="s">
        <v>198</v>
      </c>
      <c r="D342" s="1" t="s">
        <v>187</v>
      </c>
      <c r="E342" s="69">
        <v>610</v>
      </c>
      <c r="F342" s="58">
        <f>'прил.16'!G877</f>
        <v>2004.4</v>
      </c>
      <c r="G342" s="58">
        <f>'прил.16'!H877</f>
        <v>2004.4</v>
      </c>
    </row>
    <row r="343" spans="1:7" ht="25.5" customHeight="1">
      <c r="A343" s="55" t="str">
        <f ca="1" t="shared" si="94"/>
        <v>Субсидии автономным учреждениям</v>
      </c>
      <c r="B343" s="29" t="s">
        <v>416</v>
      </c>
      <c r="C343" s="6" t="s">
        <v>198</v>
      </c>
      <c r="D343" s="1" t="s">
        <v>187</v>
      </c>
      <c r="E343" s="69">
        <v>620</v>
      </c>
      <c r="F343" s="58">
        <f>'прил.16'!G878</f>
        <v>1246.8</v>
      </c>
      <c r="G343" s="58">
        <f>'прил.16'!H878</f>
        <v>1246.8</v>
      </c>
    </row>
    <row r="344" spans="1:7" ht="54.75" customHeight="1">
      <c r="A344" s="55" t="str">
        <f ca="1">IF(ISERROR(MATCH(B344,Код_КЦСР,0)),"",INDIRECT(ADDRESS(MATCH(B344,Код_КЦСР,0)+1,2,,,"КЦСР")))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344" s="29" t="s">
        <v>524</v>
      </c>
      <c r="C344" s="6"/>
      <c r="D344" s="1"/>
      <c r="E344" s="75"/>
      <c r="F344" s="58">
        <f aca="true" t="shared" si="95" ref="F344:G344">F345</f>
        <v>6038.3</v>
      </c>
      <c r="G344" s="58">
        <f t="shared" si="95"/>
        <v>6038.3</v>
      </c>
    </row>
    <row r="345" spans="1:7" ht="28.5" customHeight="1">
      <c r="A345" s="55" t="str">
        <f ca="1">IF(ISERROR(MATCH(C345,Код_Раздел,0)),"",INDIRECT(ADDRESS(MATCH(C345,Код_Раздел,0)+1,2,,,"Раздел")))</f>
        <v>Физическая культура и спорт</v>
      </c>
      <c r="B345" s="29" t="s">
        <v>524</v>
      </c>
      <c r="C345" s="6" t="s">
        <v>198</v>
      </c>
      <c r="D345" s="1"/>
      <c r="E345" s="75"/>
      <c r="F345" s="58">
        <f aca="true" t="shared" si="96" ref="F345:G345">F346</f>
        <v>6038.3</v>
      </c>
      <c r="G345" s="58">
        <f t="shared" si="96"/>
        <v>6038.3</v>
      </c>
    </row>
    <row r="346" spans="1:7" ht="24.75" customHeight="1">
      <c r="A346" s="59" t="s">
        <v>167</v>
      </c>
      <c r="B346" s="29" t="s">
        <v>524</v>
      </c>
      <c r="C346" s="6" t="s">
        <v>198</v>
      </c>
      <c r="D346" s="1" t="s">
        <v>195</v>
      </c>
      <c r="E346" s="75"/>
      <c r="F346" s="58">
        <f aca="true" t="shared" si="97" ref="F346:G346">F347+F349</f>
        <v>6038.3</v>
      </c>
      <c r="G346" s="58">
        <f t="shared" si="97"/>
        <v>6038.3</v>
      </c>
    </row>
    <row r="347" spans="1:7" ht="49.5" customHeight="1">
      <c r="A347" s="55" t="str">
        <f ca="1">IF(ISERROR(MATCH(E347,Код_КВР,0)),"",INDIRECT(ADDRESS(MATCH(E347,Код_КВР,0)+1,2,,,"КВР")))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7" s="29" t="s">
        <v>524</v>
      </c>
      <c r="C347" s="6" t="s">
        <v>198</v>
      </c>
      <c r="D347" s="1" t="s">
        <v>195</v>
      </c>
      <c r="E347" s="75">
        <v>100</v>
      </c>
      <c r="F347" s="58">
        <f aca="true" t="shared" si="98" ref="F347:G347">F348</f>
        <v>6026.5</v>
      </c>
      <c r="G347" s="58">
        <f t="shared" si="98"/>
        <v>6026.5</v>
      </c>
    </row>
    <row r="348" spans="1:7" ht="27" customHeight="1">
      <c r="A348" s="55" t="str">
        <f ca="1">IF(ISERROR(MATCH(E348,Код_КВР,0)),"",INDIRECT(ADDRESS(MATCH(E348,Код_КВР,0)+1,2,,,"КВР")))</f>
        <v>Расходы на выплаты персоналу муниципальных органов</v>
      </c>
      <c r="B348" s="29" t="s">
        <v>524</v>
      </c>
      <c r="C348" s="6" t="s">
        <v>198</v>
      </c>
      <c r="D348" s="1" t="s">
        <v>195</v>
      </c>
      <c r="E348" s="75">
        <v>120</v>
      </c>
      <c r="F348" s="58">
        <f>'прил.16'!G899</f>
        <v>6026.5</v>
      </c>
      <c r="G348" s="58">
        <f>'прил.16'!H899</f>
        <v>6026.5</v>
      </c>
    </row>
    <row r="349" spans="1:7" ht="24.75" customHeight="1">
      <c r="A349" s="55" t="str">
        <f ca="1">IF(ISERROR(MATCH(E349,Код_КВР,0)),"",INDIRECT(ADDRESS(MATCH(E349,Код_КВР,0)+1,2,,,"КВР")))</f>
        <v>Закупка товаров, работ и услуг для муниципальных нужд</v>
      </c>
      <c r="B349" s="29" t="s">
        <v>524</v>
      </c>
      <c r="C349" s="6" t="s">
        <v>198</v>
      </c>
      <c r="D349" s="1" t="s">
        <v>195</v>
      </c>
      <c r="E349" s="75">
        <v>200</v>
      </c>
      <c r="F349" s="58">
        <f aca="true" t="shared" si="99" ref="F349:G349">F350</f>
        <v>11.8</v>
      </c>
      <c r="G349" s="58">
        <f t="shared" si="99"/>
        <v>11.8</v>
      </c>
    </row>
    <row r="350" spans="1:7" ht="37.5" customHeight="1">
      <c r="A350" s="55" t="str">
        <f ca="1">IF(ISERROR(MATCH(E350,Код_КВР,0)),"",INDIRECT(ADDRESS(MATCH(E350,Код_КВР,0)+1,2,,,"КВР")))</f>
        <v>Иные закупки товаров, работ и услуг для обеспечения муниципальных нужд</v>
      </c>
      <c r="B350" s="29" t="s">
        <v>524</v>
      </c>
      <c r="C350" s="6" t="s">
        <v>198</v>
      </c>
      <c r="D350" s="1" t="s">
        <v>195</v>
      </c>
      <c r="E350" s="75">
        <v>240</v>
      </c>
      <c r="F350" s="58">
        <f>'прил.16'!G901</f>
        <v>11.8</v>
      </c>
      <c r="G350" s="58">
        <f>'прил.16'!H901</f>
        <v>11.8</v>
      </c>
    </row>
    <row r="351" spans="1:7" ht="23.25" customHeight="1">
      <c r="A351" s="55" t="str">
        <f ca="1">IF(ISERROR(MATCH(B351,Код_КЦСР,0)),"",INDIRECT(ADDRESS(MATCH(B351,Код_КЦСР,0)+1,2,,,"КЦСР")))</f>
        <v>Спортивный город</v>
      </c>
      <c r="B351" s="29" t="s">
        <v>418</v>
      </c>
      <c r="C351" s="6"/>
      <c r="D351" s="1"/>
      <c r="E351" s="69"/>
      <c r="F351" s="58">
        <f>F352+F357</f>
        <v>40000</v>
      </c>
      <c r="G351" s="58">
        <f>G352+G357</f>
        <v>40000</v>
      </c>
    </row>
    <row r="352" spans="1:7" ht="23.25" customHeight="1">
      <c r="A352" s="55" t="str">
        <f ca="1">IF(ISERROR(MATCH(C352,Код_Раздел,0)),"",INDIRECT(ADDRESS(MATCH(C352,Код_Раздел,0)+1,2,,,"Раздел")))</f>
        <v>Образование</v>
      </c>
      <c r="B352" s="29" t="s">
        <v>418</v>
      </c>
      <c r="C352" s="6" t="s">
        <v>170</v>
      </c>
      <c r="D352" s="1"/>
      <c r="E352" s="69"/>
      <c r="F352" s="58">
        <f aca="true" t="shared" si="100" ref="F352:G353">F353</f>
        <v>1102.6</v>
      </c>
      <c r="G352" s="58">
        <f t="shared" si="100"/>
        <v>1102.6</v>
      </c>
    </row>
    <row r="353" spans="1:7" ht="26.25" customHeight="1">
      <c r="A353" s="59" t="s">
        <v>221</v>
      </c>
      <c r="B353" s="29" t="s">
        <v>418</v>
      </c>
      <c r="C353" s="6" t="s">
        <v>170</v>
      </c>
      <c r="D353" s="1" t="s">
        <v>193</v>
      </c>
      <c r="E353" s="69"/>
      <c r="F353" s="58">
        <f t="shared" si="100"/>
        <v>1102.6</v>
      </c>
      <c r="G353" s="58">
        <f t="shared" si="100"/>
        <v>1102.6</v>
      </c>
    </row>
    <row r="354" spans="1:7" ht="41.25" customHeight="1">
      <c r="A354" s="55" t="str">
        <f ca="1">IF(ISERROR(MATCH(E354,Код_КВР,0)),"",INDIRECT(ADDRESS(MATCH(E354,Код_КВР,0)+1,2,,,"КВР")))</f>
        <v>Предоставление субсидий бюджетным, автономным учреждениям и иным некоммерческим организациям</v>
      </c>
      <c r="B354" s="29" t="s">
        <v>418</v>
      </c>
      <c r="C354" s="6" t="s">
        <v>170</v>
      </c>
      <c r="D354" s="1" t="s">
        <v>193</v>
      </c>
      <c r="E354" s="69">
        <v>600</v>
      </c>
      <c r="F354" s="58">
        <f>F355+F356</f>
        <v>1102.6</v>
      </c>
      <c r="G354" s="58">
        <f>G355+G356</f>
        <v>1102.6</v>
      </c>
    </row>
    <row r="355" spans="1:7" ht="20.25" customHeight="1">
      <c r="A355" s="55" t="str">
        <f ca="1">IF(ISERROR(MATCH(E355,Код_КВР,0)),"",INDIRECT(ADDRESS(MATCH(E355,Код_КВР,0)+1,2,,,"КВР")))</f>
        <v>Субсидии бюджетным учреждениям</v>
      </c>
      <c r="B355" s="29" t="s">
        <v>418</v>
      </c>
      <c r="C355" s="6" t="s">
        <v>170</v>
      </c>
      <c r="D355" s="1" t="s">
        <v>193</v>
      </c>
      <c r="E355" s="69">
        <v>610</v>
      </c>
      <c r="F355" s="58">
        <f>'прил.16'!G843</f>
        <v>1102.6</v>
      </c>
      <c r="G355" s="58">
        <f>'прил.16'!H843</f>
        <v>1102.6</v>
      </c>
    </row>
    <row r="356" spans="1:7" ht="23.25" customHeight="1">
      <c r="A356" s="55" t="str">
        <f ca="1">IF(ISERROR(MATCH(E356,Код_КВР,0)),"",INDIRECT(ADDRESS(MATCH(E356,Код_КВР,0)+1,2,,,"КВР")))</f>
        <v>Субсидии автономным учреждениям</v>
      </c>
      <c r="B356" s="29" t="s">
        <v>418</v>
      </c>
      <c r="C356" s="6" t="s">
        <v>170</v>
      </c>
      <c r="D356" s="1" t="s">
        <v>193</v>
      </c>
      <c r="E356" s="69">
        <v>620</v>
      </c>
      <c r="F356" s="58">
        <f>'прил.16'!G844</f>
        <v>0</v>
      </c>
      <c r="G356" s="58">
        <f>'прил.16'!H844</f>
        <v>0</v>
      </c>
    </row>
    <row r="357" spans="1:7" ht="19.5" customHeight="1">
      <c r="A357" s="55" t="str">
        <f ca="1">IF(ISERROR(MATCH(C357,Код_Раздел,0)),"",INDIRECT(ADDRESS(MATCH(C357,Код_Раздел,0)+1,2,,,"Раздел")))</f>
        <v>Физическая культура и спорт</v>
      </c>
      <c r="B357" s="29" t="s">
        <v>418</v>
      </c>
      <c r="C357" s="6" t="s">
        <v>198</v>
      </c>
      <c r="D357" s="1"/>
      <c r="E357" s="69"/>
      <c r="F357" s="58">
        <f>F358+F362</f>
        <v>38897.4</v>
      </c>
      <c r="G357" s="58">
        <f>G358+G362</f>
        <v>38897.4</v>
      </c>
    </row>
    <row r="358" spans="1:7" ht="23.25" customHeight="1">
      <c r="A358" s="59" t="s">
        <v>161</v>
      </c>
      <c r="B358" s="29" t="s">
        <v>418</v>
      </c>
      <c r="C358" s="6" t="s">
        <v>198</v>
      </c>
      <c r="D358" s="1" t="s">
        <v>187</v>
      </c>
      <c r="E358" s="69"/>
      <c r="F358" s="58">
        <f>F359</f>
        <v>36538.3</v>
      </c>
      <c r="G358" s="58">
        <f>G359</f>
        <v>36538.3</v>
      </c>
    </row>
    <row r="359" spans="1:7" ht="45.75" customHeight="1">
      <c r="A359" s="55" t="str">
        <f ca="1">IF(ISERROR(MATCH(E359,Код_КВР,0)),"",INDIRECT(ADDRESS(MATCH(E359,Код_КВР,0)+1,2,,,"КВР")))</f>
        <v>Предоставление субсидий бюджетным, автономным учреждениям и иным некоммерческим организациям</v>
      </c>
      <c r="B359" s="29" t="s">
        <v>418</v>
      </c>
      <c r="C359" s="6" t="s">
        <v>198</v>
      </c>
      <c r="D359" s="1" t="s">
        <v>187</v>
      </c>
      <c r="E359" s="69">
        <v>600</v>
      </c>
      <c r="F359" s="58">
        <f>F360+F361</f>
        <v>36538.3</v>
      </c>
      <c r="G359" s="58">
        <f>G360+G361</f>
        <v>36538.3</v>
      </c>
    </row>
    <row r="360" spans="1:7" ht="24" customHeight="1">
      <c r="A360" s="55" t="str">
        <f ca="1">IF(ISERROR(MATCH(E360,Код_КВР,0)),"",INDIRECT(ADDRESS(MATCH(E360,Код_КВР,0)+1,2,,,"КВР")))</f>
        <v>Субсидии автономным учреждениям</v>
      </c>
      <c r="B360" s="29" t="s">
        <v>418</v>
      </c>
      <c r="C360" s="6" t="s">
        <v>198</v>
      </c>
      <c r="D360" s="1" t="s">
        <v>187</v>
      </c>
      <c r="E360" s="69">
        <v>620</v>
      </c>
      <c r="F360" s="58">
        <f>'прил.16'!G881</f>
        <v>6538.3</v>
      </c>
      <c r="G360" s="58">
        <f>'прил.16'!H881</f>
        <v>6538.3</v>
      </c>
    </row>
    <row r="361" spans="1:7" ht="36.75" customHeight="1">
      <c r="A361" s="55" t="str">
        <f ca="1">IF(ISERROR(MATCH(E361,Код_КВР,0)),"",INDIRECT(ADDRESS(MATCH(E361,Код_КВР,0)+1,2,,,"КВР")))</f>
        <v>Субсидии некоммерческим организациям (за исключением государственных (муниципальных) учреждений)</v>
      </c>
      <c r="B361" s="29" t="s">
        <v>418</v>
      </c>
      <c r="C361" s="6" t="s">
        <v>198</v>
      </c>
      <c r="D361" s="1" t="s">
        <v>187</v>
      </c>
      <c r="E361" s="69">
        <v>630</v>
      </c>
      <c r="F361" s="58">
        <f>'прил.16'!G882</f>
        <v>30000</v>
      </c>
      <c r="G361" s="58">
        <f>'прил.16'!H882</f>
        <v>30000</v>
      </c>
    </row>
    <row r="362" spans="1:7" ht="19.5" customHeight="1">
      <c r="A362" s="59" t="s">
        <v>235</v>
      </c>
      <c r="B362" s="29" t="s">
        <v>418</v>
      </c>
      <c r="C362" s="6" t="s">
        <v>198</v>
      </c>
      <c r="D362" s="1" t="s">
        <v>188</v>
      </c>
      <c r="E362" s="69"/>
      <c r="F362" s="58">
        <f aca="true" t="shared" si="101" ref="F362:G363">F363</f>
        <v>2359.1</v>
      </c>
      <c r="G362" s="58">
        <f t="shared" si="101"/>
        <v>2359.1</v>
      </c>
    </row>
    <row r="363" spans="1:7" ht="41.25" customHeight="1">
      <c r="A363" s="55" t="str">
        <f ca="1">IF(ISERROR(MATCH(E363,Код_КВР,0)),"",INDIRECT(ADDRESS(MATCH(E363,Код_КВР,0)+1,2,,,"КВР")))</f>
        <v>Предоставление субсидий бюджетным, автономным учреждениям и иным некоммерческим организациям</v>
      </c>
      <c r="B363" s="29" t="s">
        <v>418</v>
      </c>
      <c r="C363" s="6" t="s">
        <v>198</v>
      </c>
      <c r="D363" s="1" t="s">
        <v>188</v>
      </c>
      <c r="E363" s="69">
        <v>600</v>
      </c>
      <c r="F363" s="58">
        <f t="shared" si="101"/>
        <v>2359.1</v>
      </c>
      <c r="G363" s="58">
        <f t="shared" si="101"/>
        <v>2359.1</v>
      </c>
    </row>
    <row r="364" spans="1:7" ht="24.75" customHeight="1">
      <c r="A364" s="55" t="str">
        <f ca="1">IF(ISERROR(MATCH(E364,Код_КВР,0)),"",INDIRECT(ADDRESS(MATCH(E364,Код_КВР,0)+1,2,,,"КВР")))</f>
        <v>Субсидии автономным учреждениям</v>
      </c>
      <c r="B364" s="29" t="s">
        <v>418</v>
      </c>
      <c r="C364" s="6" t="s">
        <v>198</v>
      </c>
      <c r="D364" s="1" t="s">
        <v>188</v>
      </c>
      <c r="E364" s="69">
        <v>620</v>
      </c>
      <c r="F364" s="58">
        <f>'прил.16'!G891</f>
        <v>2359.1</v>
      </c>
      <c r="G364" s="58">
        <f>'прил.16'!H891</f>
        <v>2359.1</v>
      </c>
    </row>
    <row r="365" spans="1:7" ht="36" customHeight="1">
      <c r="A365" s="55" t="str">
        <f ca="1">IF(ISERROR(MATCH(B365,Код_КЦСР,0)),"",INDIRECT(ADDRESS(MATCH(B365,Код_КЦСР,0)+1,2,,,"КЦСР")))</f>
        <v>Муниципальная программа «Развитие архивного дела» на 2013-2018 годы</v>
      </c>
      <c r="B365" s="29" t="s">
        <v>420</v>
      </c>
      <c r="C365" s="6"/>
      <c r="D365" s="1"/>
      <c r="E365" s="69"/>
      <c r="F365" s="58">
        <f>F366+F375</f>
        <v>13739.7</v>
      </c>
      <c r="G365" s="58">
        <f>G366+G375</f>
        <v>13812.800000000001</v>
      </c>
    </row>
    <row r="366" spans="1:7" ht="58.5" customHeight="1">
      <c r="A366" s="55" t="str">
        <f ca="1">IF(ISERROR(MATCH(B366,Код_КЦСР,0)),"",INDIRECT(ADDRESS(MATCH(B366,Код_КЦСР,0)+1,2,,,"КЦСР")))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366" s="29" t="s">
        <v>422</v>
      </c>
      <c r="C366" s="6"/>
      <c r="D366" s="1"/>
      <c r="E366" s="69"/>
      <c r="F366" s="58">
        <f aca="true" t="shared" si="102" ref="F366:G367">F367</f>
        <v>12786.800000000001</v>
      </c>
      <c r="G366" s="58">
        <f t="shared" si="102"/>
        <v>12859.900000000001</v>
      </c>
    </row>
    <row r="367" spans="1:7" ht="21" customHeight="1">
      <c r="A367" s="55" t="str">
        <f ca="1">IF(ISERROR(MATCH(C367,Код_Раздел,0)),"",INDIRECT(ADDRESS(MATCH(C367,Код_Раздел,0)+1,2,,,"Раздел")))</f>
        <v>Общегосударственные  вопросы</v>
      </c>
      <c r="B367" s="29" t="s">
        <v>422</v>
      </c>
      <c r="C367" s="6" t="s">
        <v>187</v>
      </c>
      <c r="D367" s="1"/>
      <c r="E367" s="69"/>
      <c r="F367" s="58">
        <f t="shared" si="102"/>
        <v>12786.800000000001</v>
      </c>
      <c r="G367" s="58">
        <f t="shared" si="102"/>
        <v>12859.900000000001</v>
      </c>
    </row>
    <row r="368" spans="1:7" ht="24" customHeight="1">
      <c r="A368" s="59" t="s">
        <v>209</v>
      </c>
      <c r="B368" s="29" t="s">
        <v>422</v>
      </c>
      <c r="C368" s="6" t="s">
        <v>187</v>
      </c>
      <c r="D368" s="1" t="s">
        <v>165</v>
      </c>
      <c r="E368" s="69"/>
      <c r="F368" s="58">
        <f>F369+F371+F373</f>
        <v>12786.800000000001</v>
      </c>
      <c r="G368" s="58">
        <f>G369+G371+G373</f>
        <v>12859.900000000001</v>
      </c>
    </row>
    <row r="369" spans="1:7" ht="47.25" customHeight="1">
      <c r="A369" s="55" t="str">
        <f aca="true" t="shared" si="103" ref="A369:A374">IF(ISERROR(MATCH(E369,Код_КВР,0)),"",INDIRECT(ADDRESS(MATCH(E369,Код_КВР,0)+1,2,,,"КВР")))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9" s="29" t="s">
        <v>422</v>
      </c>
      <c r="C369" s="6" t="s">
        <v>187</v>
      </c>
      <c r="D369" s="1" t="s">
        <v>165</v>
      </c>
      <c r="E369" s="69">
        <v>100</v>
      </c>
      <c r="F369" s="58">
        <f>F370</f>
        <v>6391.3</v>
      </c>
      <c r="G369" s="58">
        <f>G370</f>
        <v>6389.8</v>
      </c>
    </row>
    <row r="370" spans="1:7" ht="23.25" customHeight="1">
      <c r="A370" s="55" t="str">
        <f ca="1" t="shared" si="103"/>
        <v>Расходы на выплаты персоналу казенных учреждений</v>
      </c>
      <c r="B370" s="29" t="s">
        <v>422</v>
      </c>
      <c r="C370" s="6" t="s">
        <v>187</v>
      </c>
      <c r="D370" s="1" t="s">
        <v>165</v>
      </c>
      <c r="E370" s="69">
        <v>110</v>
      </c>
      <c r="F370" s="58">
        <f>'прил.16'!G57</f>
        <v>6391.3</v>
      </c>
      <c r="G370" s="58">
        <f>'прил.16'!H57</f>
        <v>6389.8</v>
      </c>
    </row>
    <row r="371" spans="1:7" ht="26.25" customHeight="1">
      <c r="A371" s="55" t="str">
        <f ca="1" t="shared" si="103"/>
        <v>Закупка товаров, работ и услуг для муниципальных нужд</v>
      </c>
      <c r="B371" s="29" t="s">
        <v>422</v>
      </c>
      <c r="C371" s="6" t="s">
        <v>187</v>
      </c>
      <c r="D371" s="1" t="s">
        <v>165</v>
      </c>
      <c r="E371" s="69">
        <v>200</v>
      </c>
      <c r="F371" s="58">
        <f>F372</f>
        <v>4093.8999999999996</v>
      </c>
      <c r="G371" s="58">
        <f>G372</f>
        <v>4197.8</v>
      </c>
    </row>
    <row r="372" spans="1:7" ht="39.75" customHeight="1">
      <c r="A372" s="55" t="str">
        <f ca="1" t="shared" si="103"/>
        <v>Иные закупки товаров, работ и услуг для обеспечения муниципальных нужд</v>
      </c>
      <c r="B372" s="29" t="s">
        <v>422</v>
      </c>
      <c r="C372" s="6" t="s">
        <v>187</v>
      </c>
      <c r="D372" s="1" t="s">
        <v>165</v>
      </c>
      <c r="E372" s="69">
        <v>240</v>
      </c>
      <c r="F372" s="58">
        <f>'прил.16'!G59</f>
        <v>4093.8999999999996</v>
      </c>
      <c r="G372" s="58">
        <f>'прил.16'!H59</f>
        <v>4197.8</v>
      </c>
    </row>
    <row r="373" spans="1:7" ht="24" customHeight="1">
      <c r="A373" s="55" t="str">
        <f ca="1" t="shared" si="103"/>
        <v>Иные бюджетные ассигнования</v>
      </c>
      <c r="B373" s="29" t="s">
        <v>422</v>
      </c>
      <c r="C373" s="6" t="s">
        <v>187</v>
      </c>
      <c r="D373" s="1" t="s">
        <v>165</v>
      </c>
      <c r="E373" s="69">
        <v>800</v>
      </c>
      <c r="F373" s="58">
        <f>F374</f>
        <v>2301.6</v>
      </c>
      <c r="G373" s="58">
        <f>G374</f>
        <v>2272.3</v>
      </c>
    </row>
    <row r="374" spans="1:7" ht="23.25" customHeight="1">
      <c r="A374" s="55" t="str">
        <f ca="1" t="shared" si="103"/>
        <v>Уплата налогов, сборов и иных платежей</v>
      </c>
      <c r="B374" s="29" t="s">
        <v>422</v>
      </c>
      <c r="C374" s="6" t="s">
        <v>187</v>
      </c>
      <c r="D374" s="1" t="s">
        <v>165</v>
      </c>
      <c r="E374" s="69">
        <v>850</v>
      </c>
      <c r="F374" s="58">
        <f>'прил.16'!G61</f>
        <v>2301.6</v>
      </c>
      <c r="G374" s="58">
        <f>'прил.16'!H61</f>
        <v>2272.3</v>
      </c>
    </row>
    <row r="375" spans="1:7" ht="114" customHeight="1">
      <c r="A375" s="55" t="str">
        <f ca="1">IF(ISERROR(MATCH(B375,Код_КЦСР,0)),"",INDIRECT(ADDRESS(MATCH(B375,Код_КЦСР,0)+1,2,,,"КЦСР")))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375" s="69" t="s">
        <v>327</v>
      </c>
      <c r="C375" s="6"/>
      <c r="D375" s="1"/>
      <c r="E375" s="69"/>
      <c r="F375" s="58">
        <f aca="true" t="shared" si="104" ref="F375:G376">F376</f>
        <v>952.9000000000001</v>
      </c>
      <c r="G375" s="58">
        <f t="shared" si="104"/>
        <v>952.9000000000001</v>
      </c>
    </row>
    <row r="376" spans="1:7" ht="23.25" customHeight="1">
      <c r="A376" s="55" t="str">
        <f ca="1">IF(ISERROR(MATCH(C376,Код_Раздел,0)),"",INDIRECT(ADDRESS(MATCH(C376,Код_Раздел,0)+1,2,,,"Раздел")))</f>
        <v>Общегосударственные  вопросы</v>
      </c>
      <c r="B376" s="69" t="s">
        <v>327</v>
      </c>
      <c r="C376" s="6" t="s">
        <v>187</v>
      </c>
      <c r="D376" s="1"/>
      <c r="E376" s="69"/>
      <c r="F376" s="58">
        <f t="shared" si="104"/>
        <v>952.9000000000001</v>
      </c>
      <c r="G376" s="58">
        <f t="shared" si="104"/>
        <v>952.9000000000001</v>
      </c>
    </row>
    <row r="377" spans="1:7" ht="25.5" customHeight="1">
      <c r="A377" s="59" t="s">
        <v>209</v>
      </c>
      <c r="B377" s="69" t="s">
        <v>327</v>
      </c>
      <c r="C377" s="6" t="s">
        <v>187</v>
      </c>
      <c r="D377" s="1" t="s">
        <v>165</v>
      </c>
      <c r="E377" s="69"/>
      <c r="F377" s="58">
        <f>F378+F380</f>
        <v>952.9000000000001</v>
      </c>
      <c r="G377" s="58">
        <f>G378+G380</f>
        <v>952.9000000000001</v>
      </c>
    </row>
    <row r="378" spans="1:7" ht="47.25" customHeight="1">
      <c r="A378" s="55" t="str">
        <f ca="1">IF(ISERROR(MATCH(E378,Код_КВР,0)),"",INDIRECT(ADDRESS(MATCH(E378,Код_КВР,0)+1,2,,,"КВР")))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8" s="69" t="s">
        <v>327</v>
      </c>
      <c r="C378" s="6" t="s">
        <v>187</v>
      </c>
      <c r="D378" s="1" t="s">
        <v>165</v>
      </c>
      <c r="E378" s="69">
        <v>100</v>
      </c>
      <c r="F378" s="58">
        <f>F379</f>
        <v>305.2</v>
      </c>
      <c r="G378" s="58">
        <f>G379</f>
        <v>305.2</v>
      </c>
    </row>
    <row r="379" spans="1:7" ht="20.25" customHeight="1">
      <c r="A379" s="55" t="str">
        <f ca="1">IF(ISERROR(MATCH(E379,Код_КВР,0)),"",INDIRECT(ADDRESS(MATCH(E379,Код_КВР,0)+1,2,,,"КВР")))</f>
        <v>Расходы на выплаты персоналу казенных учреждений</v>
      </c>
      <c r="B379" s="69" t="s">
        <v>327</v>
      </c>
      <c r="C379" s="6" t="s">
        <v>187</v>
      </c>
      <c r="D379" s="1" t="s">
        <v>165</v>
      </c>
      <c r="E379" s="69">
        <v>110</v>
      </c>
      <c r="F379" s="58">
        <f>'прил.16'!G64</f>
        <v>305.2</v>
      </c>
      <c r="G379" s="58">
        <f>'прил.16'!H64</f>
        <v>305.2</v>
      </c>
    </row>
    <row r="380" spans="1:7" ht="24" customHeight="1">
      <c r="A380" s="55" t="str">
        <f ca="1">IF(ISERROR(MATCH(E380,Код_КВР,0)),"",INDIRECT(ADDRESS(MATCH(E380,Код_КВР,0)+1,2,,,"КВР")))</f>
        <v>Закупка товаров, работ и услуг для муниципальных нужд</v>
      </c>
      <c r="B380" s="69" t="s">
        <v>327</v>
      </c>
      <c r="C380" s="6" t="s">
        <v>187</v>
      </c>
      <c r="D380" s="1" t="s">
        <v>165</v>
      </c>
      <c r="E380" s="69">
        <v>200</v>
      </c>
      <c r="F380" s="58">
        <f>F381</f>
        <v>647.7</v>
      </c>
      <c r="G380" s="58">
        <f>G381</f>
        <v>647.7</v>
      </c>
    </row>
    <row r="381" spans="1:7" ht="39" customHeight="1">
      <c r="A381" s="55" t="str">
        <f ca="1">IF(ISERROR(MATCH(E381,Код_КВР,0)),"",INDIRECT(ADDRESS(MATCH(E381,Код_КВР,0)+1,2,,,"КВР")))</f>
        <v>Иные закупки товаров, работ и услуг для обеспечения муниципальных нужд</v>
      </c>
      <c r="B381" s="69" t="s">
        <v>327</v>
      </c>
      <c r="C381" s="6" t="s">
        <v>187</v>
      </c>
      <c r="D381" s="1" t="s">
        <v>165</v>
      </c>
      <c r="E381" s="69">
        <v>240</v>
      </c>
      <c r="F381" s="58">
        <f>'прил.16'!G66</f>
        <v>647.7</v>
      </c>
      <c r="G381" s="58">
        <f>'прил.16'!H66</f>
        <v>647.7</v>
      </c>
    </row>
    <row r="382" spans="1:7" ht="39" customHeight="1">
      <c r="A382" s="55" t="str">
        <f ca="1">IF(ISERROR(MATCH(B382,Код_КЦСР,0)),"",INDIRECT(ADDRESS(MATCH(B382,Код_КЦСР,0)+1,2,,,"КЦСР")))</f>
        <v>Муниципальная программа «Охрана окружающей среды» на 2013-2022 годы</v>
      </c>
      <c r="B382" s="31" t="s">
        <v>424</v>
      </c>
      <c r="C382" s="6"/>
      <c r="D382" s="1"/>
      <c r="E382" s="69"/>
      <c r="F382" s="58">
        <f aca="true" t="shared" si="105" ref="F382:G382">F383+F388+F397+F402+F407+F416</f>
        <v>18849.399999999998</v>
      </c>
      <c r="G382" s="58">
        <f t="shared" si="105"/>
        <v>18849.399999999998</v>
      </c>
    </row>
    <row r="383" spans="1:7" ht="40.5" customHeight="1">
      <c r="A383" s="55" t="str">
        <f ca="1">IF(ISERROR(MATCH(B383,Код_КЦСР,0)),"",INDIRECT(ADDRESS(MATCH(B383,Код_КЦСР,0)+1,2,,,"КЦСР")))</f>
        <v>Сбор и анализ информации о факторах окружающей среды и оценка их влияния на здоровье населения</v>
      </c>
      <c r="B383" s="31" t="s">
        <v>426</v>
      </c>
      <c r="C383" s="6"/>
      <c r="D383" s="1"/>
      <c r="E383" s="69"/>
      <c r="F383" s="58">
        <f aca="true" t="shared" si="106" ref="F383:G386">F384</f>
        <v>4794.4</v>
      </c>
      <c r="G383" s="58">
        <f t="shared" si="106"/>
        <v>4794.4</v>
      </c>
    </row>
    <row r="384" spans="1:7" ht="24.75" customHeight="1">
      <c r="A384" s="55" t="str">
        <f ca="1">IF(ISERROR(MATCH(C384,Код_Раздел,0)),"",INDIRECT(ADDRESS(MATCH(C384,Код_Раздел,0)+1,2,,,"Раздел")))</f>
        <v>Охрана окружающей среды</v>
      </c>
      <c r="B384" s="31" t="s">
        <v>426</v>
      </c>
      <c r="C384" s="6" t="s">
        <v>191</v>
      </c>
      <c r="D384" s="1"/>
      <c r="E384" s="69"/>
      <c r="F384" s="58">
        <f t="shared" si="106"/>
        <v>4794.4</v>
      </c>
      <c r="G384" s="58">
        <f t="shared" si="106"/>
        <v>4794.4</v>
      </c>
    </row>
    <row r="385" spans="1:7" ht="23.25" customHeight="1">
      <c r="A385" s="59" t="s">
        <v>225</v>
      </c>
      <c r="B385" s="31" t="s">
        <v>426</v>
      </c>
      <c r="C385" s="6" t="s">
        <v>191</v>
      </c>
      <c r="D385" s="1" t="s">
        <v>195</v>
      </c>
      <c r="E385" s="69"/>
      <c r="F385" s="58">
        <f t="shared" si="106"/>
        <v>4794.4</v>
      </c>
      <c r="G385" s="58">
        <f t="shared" si="106"/>
        <v>4794.4</v>
      </c>
    </row>
    <row r="386" spans="1:7" ht="24" customHeight="1">
      <c r="A386" s="55" t="str">
        <f ca="1">IF(ISERROR(MATCH(E386,Код_КВР,0)),"",INDIRECT(ADDRESS(MATCH(E386,Код_КВР,0)+1,2,,,"КВР")))</f>
        <v>Закупка товаров, работ и услуг для муниципальных нужд</v>
      </c>
      <c r="B386" s="31" t="s">
        <v>426</v>
      </c>
      <c r="C386" s="6" t="s">
        <v>191</v>
      </c>
      <c r="D386" s="1" t="s">
        <v>195</v>
      </c>
      <c r="E386" s="69">
        <v>200</v>
      </c>
      <c r="F386" s="58">
        <f t="shared" si="106"/>
        <v>4794.4</v>
      </c>
      <c r="G386" s="58">
        <f t="shared" si="106"/>
        <v>4794.4</v>
      </c>
    </row>
    <row r="387" spans="1:7" ht="33.75" customHeight="1">
      <c r="A387" s="55" t="str">
        <f ca="1">IF(ISERROR(MATCH(E387,Код_КВР,0)),"",INDIRECT(ADDRESS(MATCH(E387,Код_КВР,0)+1,2,,,"КВР")))</f>
        <v>Иные закупки товаров, работ и услуг для обеспечения муниципальных нужд</v>
      </c>
      <c r="B387" s="31" t="s">
        <v>426</v>
      </c>
      <c r="C387" s="6" t="s">
        <v>191</v>
      </c>
      <c r="D387" s="1" t="s">
        <v>195</v>
      </c>
      <c r="E387" s="69">
        <v>240</v>
      </c>
      <c r="F387" s="58">
        <f>'прил.16'!G1175</f>
        <v>4794.4</v>
      </c>
      <c r="G387" s="58">
        <f>'прил.16'!H1175</f>
        <v>4794.4</v>
      </c>
    </row>
    <row r="388" spans="1:7" ht="40.5" customHeight="1">
      <c r="A388" s="55" t="str">
        <f ca="1">IF(ISERROR(MATCH(B388,Код_КЦСР,0)),"",INDIRECT(ADDRESS(MATCH(B388,Код_КЦСР,0)+1,2,,,"КЦСР")))</f>
        <v>Организация мероприятий по экологическому образованию и воспитанию населения</v>
      </c>
      <c r="B388" s="31" t="s">
        <v>428</v>
      </c>
      <c r="C388" s="6"/>
      <c r="D388" s="1"/>
      <c r="E388" s="69"/>
      <c r="F388" s="58">
        <f>F389+F393</f>
        <v>475</v>
      </c>
      <c r="G388" s="58">
        <f>G389+G393</f>
        <v>475</v>
      </c>
    </row>
    <row r="389" spans="1:7" ht="24.75" customHeight="1">
      <c r="A389" s="55" t="str">
        <f ca="1">IF(ISERROR(MATCH(C389,Код_Раздел,0)),"",INDIRECT(ADDRESS(MATCH(C389,Код_Раздел,0)+1,2,,,"Раздел")))</f>
        <v>Образование</v>
      </c>
      <c r="B389" s="31" t="s">
        <v>428</v>
      </c>
      <c r="C389" s="6" t="s">
        <v>170</v>
      </c>
      <c r="D389" s="1"/>
      <c r="E389" s="69"/>
      <c r="F389" s="58">
        <f aca="true" t="shared" si="107" ref="F389:G391">F390</f>
        <v>455</v>
      </c>
      <c r="G389" s="58">
        <f t="shared" si="107"/>
        <v>445</v>
      </c>
    </row>
    <row r="390" spans="1:7" ht="22.5" customHeight="1">
      <c r="A390" s="59" t="s">
        <v>221</v>
      </c>
      <c r="B390" s="31" t="s">
        <v>428</v>
      </c>
      <c r="C390" s="6" t="s">
        <v>170</v>
      </c>
      <c r="D390" s="1" t="s">
        <v>193</v>
      </c>
      <c r="E390" s="69"/>
      <c r="F390" s="58">
        <f t="shared" si="107"/>
        <v>455</v>
      </c>
      <c r="G390" s="58">
        <f t="shared" si="107"/>
        <v>445</v>
      </c>
    </row>
    <row r="391" spans="1:7" ht="43.5" customHeight="1">
      <c r="A391" s="55" t="str">
        <f ca="1">IF(ISERROR(MATCH(E391,Код_КВР,0)),"",INDIRECT(ADDRESS(MATCH(E391,Код_КВР,0)+1,2,,,"КВР")))</f>
        <v>Предоставление субсидий бюджетным, автономным учреждениям и иным некоммерческим организациям</v>
      </c>
      <c r="B391" s="31" t="s">
        <v>428</v>
      </c>
      <c r="C391" s="6" t="s">
        <v>170</v>
      </c>
      <c r="D391" s="1" t="s">
        <v>193</v>
      </c>
      <c r="E391" s="69">
        <v>600</v>
      </c>
      <c r="F391" s="58">
        <f t="shared" si="107"/>
        <v>455</v>
      </c>
      <c r="G391" s="58">
        <f t="shared" si="107"/>
        <v>445</v>
      </c>
    </row>
    <row r="392" spans="1:7" ht="20.25" customHeight="1">
      <c r="A392" s="55" t="str">
        <f ca="1">IF(ISERROR(MATCH(E392,Код_КВР,0)),"",INDIRECT(ADDRESS(MATCH(E392,Код_КВР,0)+1,2,,,"КВР")))</f>
        <v>Субсидии бюджетным учреждениям</v>
      </c>
      <c r="B392" s="31" t="s">
        <v>428</v>
      </c>
      <c r="C392" s="6" t="s">
        <v>170</v>
      </c>
      <c r="D392" s="1" t="s">
        <v>193</v>
      </c>
      <c r="E392" s="69">
        <v>610</v>
      </c>
      <c r="F392" s="58">
        <f>'прил.16'!G585</f>
        <v>455</v>
      </c>
      <c r="G392" s="58">
        <f>'прил.16'!H585</f>
        <v>445</v>
      </c>
    </row>
    <row r="393" spans="1:7" ht="24" customHeight="1">
      <c r="A393" s="55" t="str">
        <f ca="1">IF(ISERROR(MATCH(C393,Код_Раздел,0)),"",INDIRECT(ADDRESS(MATCH(C393,Код_Раздел,0)+1,2,,,"Раздел")))</f>
        <v>Культура, кинематография</v>
      </c>
      <c r="B393" s="31" t="s">
        <v>428</v>
      </c>
      <c r="C393" s="6" t="s">
        <v>196</v>
      </c>
      <c r="D393" s="1"/>
      <c r="E393" s="69"/>
      <c r="F393" s="58">
        <f aca="true" t="shared" si="108" ref="F393:G395">F394</f>
        <v>20</v>
      </c>
      <c r="G393" s="58">
        <f t="shared" si="108"/>
        <v>30</v>
      </c>
    </row>
    <row r="394" spans="1:7" ht="22.5" customHeight="1">
      <c r="A394" s="59" t="s">
        <v>139</v>
      </c>
      <c r="B394" s="31" t="s">
        <v>428</v>
      </c>
      <c r="C394" s="6" t="s">
        <v>196</v>
      </c>
      <c r="D394" s="1" t="s">
        <v>190</v>
      </c>
      <c r="E394" s="69"/>
      <c r="F394" s="58">
        <f t="shared" si="108"/>
        <v>20</v>
      </c>
      <c r="G394" s="58">
        <f t="shared" si="108"/>
        <v>30</v>
      </c>
    </row>
    <row r="395" spans="1:7" ht="33">
      <c r="A395" s="55" t="str">
        <f ca="1">IF(ISERROR(MATCH(E395,Код_КВР,0)),"",INDIRECT(ADDRESS(MATCH(E395,Код_КВР,0)+1,2,,,"КВР")))</f>
        <v>Предоставление субсидий бюджетным, автономным учреждениям и иным некоммерческим организациям</v>
      </c>
      <c r="B395" s="31" t="s">
        <v>428</v>
      </c>
      <c r="C395" s="6" t="s">
        <v>196</v>
      </c>
      <c r="D395" s="1" t="s">
        <v>190</v>
      </c>
      <c r="E395" s="69">
        <v>600</v>
      </c>
      <c r="F395" s="58">
        <f t="shared" si="108"/>
        <v>20</v>
      </c>
      <c r="G395" s="58">
        <f t="shared" si="108"/>
        <v>30</v>
      </c>
    </row>
    <row r="396" spans="1:7" ht="22.5" customHeight="1">
      <c r="A396" s="55" t="str">
        <f ca="1">IF(ISERROR(MATCH(E396,Код_КВР,0)),"",INDIRECT(ADDRESS(MATCH(E396,Код_КВР,0)+1,2,,,"КВР")))</f>
        <v>Субсидии бюджетным учреждениям</v>
      </c>
      <c r="B396" s="31" t="s">
        <v>428</v>
      </c>
      <c r="C396" s="6" t="s">
        <v>196</v>
      </c>
      <c r="D396" s="1" t="s">
        <v>190</v>
      </c>
      <c r="E396" s="69">
        <v>610</v>
      </c>
      <c r="F396" s="58">
        <f>'прил.16'!G800</f>
        <v>20</v>
      </c>
      <c r="G396" s="58">
        <f>'прил.16'!H800</f>
        <v>30</v>
      </c>
    </row>
    <row r="397" spans="1:7" ht="41.25" customHeight="1">
      <c r="A397" s="55" t="str">
        <f ca="1">IF(ISERROR(MATCH(B397,Код_КЦСР,0)),"",INDIRECT(ADDRESS(MATCH(B397,Код_КЦСР,0)+1,2,,,"КЦСР")))</f>
        <v>Оборудование основных помещений МБДОУ бактерицидными лампами</v>
      </c>
      <c r="B397" s="31" t="s">
        <v>430</v>
      </c>
      <c r="C397" s="6"/>
      <c r="D397" s="1"/>
      <c r="E397" s="69"/>
      <c r="F397" s="58">
        <f aca="true" t="shared" si="109" ref="F397:G400">F398</f>
        <v>30</v>
      </c>
      <c r="G397" s="58">
        <f t="shared" si="109"/>
        <v>30</v>
      </c>
    </row>
    <row r="398" spans="1:7" ht="23.25" customHeight="1">
      <c r="A398" s="55" t="str">
        <f ca="1">IF(ISERROR(MATCH(C398,Код_Раздел,0)),"",INDIRECT(ADDRESS(MATCH(C398,Код_Раздел,0)+1,2,,,"Раздел")))</f>
        <v>Образование</v>
      </c>
      <c r="B398" s="31" t="s">
        <v>430</v>
      </c>
      <c r="C398" s="6" t="s">
        <v>170</v>
      </c>
      <c r="D398" s="1"/>
      <c r="E398" s="69"/>
      <c r="F398" s="58">
        <f t="shared" si="109"/>
        <v>30</v>
      </c>
      <c r="G398" s="58">
        <f t="shared" si="109"/>
        <v>30</v>
      </c>
    </row>
    <row r="399" spans="1:7" ht="25.5" customHeight="1">
      <c r="A399" s="59" t="s">
        <v>221</v>
      </c>
      <c r="B399" s="31" t="s">
        <v>430</v>
      </c>
      <c r="C399" s="6" t="s">
        <v>170</v>
      </c>
      <c r="D399" s="1" t="s">
        <v>193</v>
      </c>
      <c r="E399" s="69"/>
      <c r="F399" s="58">
        <f t="shared" si="109"/>
        <v>30</v>
      </c>
      <c r="G399" s="58">
        <f t="shared" si="109"/>
        <v>30</v>
      </c>
    </row>
    <row r="400" spans="1:7" ht="38.25" customHeight="1">
      <c r="A400" s="55" t="str">
        <f ca="1">IF(ISERROR(MATCH(E400,Код_КВР,0)),"",INDIRECT(ADDRESS(MATCH(E400,Код_КВР,0)+1,2,,,"КВР")))</f>
        <v>Предоставление субсидий бюджетным, автономным учреждениям и иным некоммерческим организациям</v>
      </c>
      <c r="B400" s="31" t="s">
        <v>430</v>
      </c>
      <c r="C400" s="6" t="s">
        <v>170</v>
      </c>
      <c r="D400" s="1" t="s">
        <v>193</v>
      </c>
      <c r="E400" s="69">
        <v>600</v>
      </c>
      <c r="F400" s="58">
        <f t="shared" si="109"/>
        <v>30</v>
      </c>
      <c r="G400" s="58">
        <f t="shared" si="109"/>
        <v>30</v>
      </c>
    </row>
    <row r="401" spans="1:7" ht="28.5" customHeight="1">
      <c r="A401" s="55" t="str">
        <f ca="1">IF(ISERROR(MATCH(E401,Код_КВР,0)),"",INDIRECT(ADDRESS(MATCH(E401,Код_КВР,0)+1,2,,,"КВР")))</f>
        <v>Субсидии бюджетным учреждениям</v>
      </c>
      <c r="B401" s="31" t="s">
        <v>430</v>
      </c>
      <c r="C401" s="6" t="s">
        <v>170</v>
      </c>
      <c r="D401" s="1" t="s">
        <v>193</v>
      </c>
      <c r="E401" s="69">
        <v>610</v>
      </c>
      <c r="F401" s="58">
        <f>'прил.16'!G588</f>
        <v>30</v>
      </c>
      <c r="G401" s="58">
        <f>'прил.16'!H588</f>
        <v>30</v>
      </c>
    </row>
    <row r="402" spans="1:7" ht="142.5" customHeight="1">
      <c r="A402" s="55" t="str">
        <f ca="1">IF(ISERROR(MATCH(B402,Код_КЦСР,0)),"",INDIRECT(ADDRESS(MATCH(B402,Код_КЦСР,0)+1,2,,,"КЦСР")))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02" s="31" t="s">
        <v>431</v>
      </c>
      <c r="C402" s="6"/>
      <c r="D402" s="1"/>
      <c r="E402" s="69"/>
      <c r="F402" s="58">
        <f aca="true" t="shared" si="110" ref="F402:G405">F403</f>
        <v>35.7</v>
      </c>
      <c r="G402" s="58">
        <f t="shared" si="110"/>
        <v>35.7</v>
      </c>
    </row>
    <row r="403" spans="1:7" ht="20.25" customHeight="1">
      <c r="A403" s="55" t="str">
        <f ca="1">IF(ISERROR(MATCH(C403,Код_Раздел,0)),"",INDIRECT(ADDRESS(MATCH(C403,Код_Раздел,0)+1,2,,,"Раздел")))</f>
        <v>Охрана окружающей среды</v>
      </c>
      <c r="B403" s="31" t="s">
        <v>431</v>
      </c>
      <c r="C403" s="6" t="s">
        <v>191</v>
      </c>
      <c r="D403" s="1"/>
      <c r="E403" s="69"/>
      <c r="F403" s="58">
        <f t="shared" si="110"/>
        <v>35.7</v>
      </c>
      <c r="G403" s="58">
        <f t="shared" si="110"/>
        <v>35.7</v>
      </c>
    </row>
    <row r="404" spans="1:7" ht="20.25" customHeight="1">
      <c r="A404" s="59" t="s">
        <v>225</v>
      </c>
      <c r="B404" s="31" t="s">
        <v>431</v>
      </c>
      <c r="C404" s="6" t="s">
        <v>191</v>
      </c>
      <c r="D404" s="1" t="s">
        <v>195</v>
      </c>
      <c r="E404" s="69"/>
      <c r="F404" s="58">
        <f t="shared" si="110"/>
        <v>35.7</v>
      </c>
      <c r="G404" s="58">
        <f t="shared" si="110"/>
        <v>35.7</v>
      </c>
    </row>
    <row r="405" spans="1:7" ht="20.25" customHeight="1">
      <c r="A405" s="55" t="str">
        <f ca="1">IF(ISERROR(MATCH(E405,Код_КВР,0)),"",INDIRECT(ADDRESS(MATCH(E405,Код_КВР,0)+1,2,,,"КВР")))</f>
        <v>Иные бюджетные ассигнования</v>
      </c>
      <c r="B405" s="31" t="s">
        <v>431</v>
      </c>
      <c r="C405" s="6" t="s">
        <v>191</v>
      </c>
      <c r="D405" s="1" t="s">
        <v>195</v>
      </c>
      <c r="E405" s="69">
        <v>800</v>
      </c>
      <c r="F405" s="58">
        <f t="shared" si="110"/>
        <v>35.7</v>
      </c>
      <c r="G405" s="58">
        <f t="shared" si="110"/>
        <v>35.7</v>
      </c>
    </row>
    <row r="406" spans="1:7" ht="49.5" customHeight="1">
      <c r="A406" s="55" t="str">
        <f ca="1">IF(ISERROR(MATCH(E406,Код_КВР,0)),"",INDIRECT(ADDRESS(MATCH(E406,Код_КВР,0)+1,2,,,"КВР")))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6" s="31" t="s">
        <v>431</v>
      </c>
      <c r="C406" s="6" t="s">
        <v>191</v>
      </c>
      <c r="D406" s="1" t="s">
        <v>195</v>
      </c>
      <c r="E406" s="69">
        <v>810</v>
      </c>
      <c r="F406" s="58">
        <f>'прил.16'!G439</f>
        <v>35.7</v>
      </c>
      <c r="G406" s="58">
        <f>'прил.16'!H439</f>
        <v>35.7</v>
      </c>
    </row>
    <row r="407" spans="1:7" ht="74.25" customHeight="1">
      <c r="A407" s="55" t="str">
        <f ca="1">IF(ISERROR(MATCH(B407,Код_КЦСР,0)),"",INDIRECT(ADDRESS(MATCH(B407,Код_КЦСР,0)+1,2,,,"КЦСР")))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407" s="31" t="s">
        <v>526</v>
      </c>
      <c r="C407" s="6"/>
      <c r="D407" s="1"/>
      <c r="E407" s="79"/>
      <c r="F407" s="58">
        <f aca="true" t="shared" si="111" ref="F407:G407">F408</f>
        <v>11810.8</v>
      </c>
      <c r="G407" s="58">
        <f t="shared" si="111"/>
        <v>11810.8</v>
      </c>
    </row>
    <row r="408" spans="1:7" ht="22.5" customHeight="1">
      <c r="A408" s="55" t="str">
        <f ca="1">IF(ISERROR(MATCH(C408,Код_Раздел,0)),"",INDIRECT(ADDRESS(MATCH(C408,Код_Раздел,0)+1,2,,,"Раздел")))</f>
        <v>Охрана окружающей среды</v>
      </c>
      <c r="B408" s="31" t="s">
        <v>526</v>
      </c>
      <c r="C408" s="6" t="s">
        <v>191</v>
      </c>
      <c r="D408" s="1"/>
      <c r="E408" s="79"/>
      <c r="F408" s="58">
        <f aca="true" t="shared" si="112" ref="F408:G408">F409</f>
        <v>11810.8</v>
      </c>
      <c r="G408" s="58">
        <f t="shared" si="112"/>
        <v>11810.8</v>
      </c>
    </row>
    <row r="409" spans="1:7" ht="27.75" customHeight="1">
      <c r="A409" s="59" t="s">
        <v>225</v>
      </c>
      <c r="B409" s="31" t="s">
        <v>526</v>
      </c>
      <c r="C409" s="6" t="s">
        <v>191</v>
      </c>
      <c r="D409" s="1" t="s">
        <v>195</v>
      </c>
      <c r="E409" s="79"/>
      <c r="F409" s="58">
        <f aca="true" t="shared" si="113" ref="F409:G409">F410+F412+F414</f>
        <v>11810.8</v>
      </c>
      <c r="G409" s="58">
        <f t="shared" si="113"/>
        <v>11810.8</v>
      </c>
    </row>
    <row r="410" spans="1:7" ht="36" customHeight="1">
      <c r="A410" s="55" t="str">
        <f aca="true" t="shared" si="114" ref="A410:A415">IF(ISERROR(MATCH(E410,Код_КВР,0)),"",INDIRECT(ADDRESS(MATCH(E410,Код_КВР,0)+1,2,,,"КВР")))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0" s="31" t="s">
        <v>526</v>
      </c>
      <c r="C410" s="6" t="s">
        <v>191</v>
      </c>
      <c r="D410" s="1" t="s">
        <v>195</v>
      </c>
      <c r="E410" s="79">
        <v>100</v>
      </c>
      <c r="F410" s="58">
        <f aca="true" t="shared" si="115" ref="F410:G410">F411</f>
        <v>11793.4</v>
      </c>
      <c r="G410" s="58">
        <f t="shared" si="115"/>
        <v>11793.4</v>
      </c>
    </row>
    <row r="411" spans="1:7" ht="27.75" customHeight="1">
      <c r="A411" s="55" t="str">
        <f ca="1" t="shared" si="114"/>
        <v>Расходы на выплаты персоналу муниципальных органов</v>
      </c>
      <c r="B411" s="31" t="s">
        <v>526</v>
      </c>
      <c r="C411" s="6" t="s">
        <v>191</v>
      </c>
      <c r="D411" s="1" t="s">
        <v>195</v>
      </c>
      <c r="E411" s="79">
        <v>120</v>
      </c>
      <c r="F411" s="58">
        <f>'прил.16'!G1178</f>
        <v>11793.4</v>
      </c>
      <c r="G411" s="58">
        <f>'прил.16'!H1178</f>
        <v>11793.4</v>
      </c>
    </row>
    <row r="412" spans="1:7" ht="24" customHeight="1">
      <c r="A412" s="55" t="str">
        <f ca="1" t="shared" si="114"/>
        <v>Закупка товаров, работ и услуг для муниципальных нужд</v>
      </c>
      <c r="B412" s="31" t="s">
        <v>526</v>
      </c>
      <c r="C412" s="6" t="s">
        <v>191</v>
      </c>
      <c r="D412" s="1" t="s">
        <v>195</v>
      </c>
      <c r="E412" s="79">
        <v>200</v>
      </c>
      <c r="F412" s="58">
        <f aca="true" t="shared" si="116" ref="F412:G412">F413</f>
        <v>15.4</v>
      </c>
      <c r="G412" s="58">
        <f t="shared" si="116"/>
        <v>15.4</v>
      </c>
    </row>
    <row r="413" spans="1:7" ht="37.5" customHeight="1">
      <c r="A413" s="55" t="str">
        <f ca="1" t="shared" si="114"/>
        <v>Иные закупки товаров, работ и услуг для обеспечения муниципальных нужд</v>
      </c>
      <c r="B413" s="31" t="s">
        <v>526</v>
      </c>
      <c r="C413" s="6" t="s">
        <v>191</v>
      </c>
      <c r="D413" s="1" t="s">
        <v>195</v>
      </c>
      <c r="E413" s="79">
        <v>240</v>
      </c>
      <c r="F413" s="58">
        <f>'прил.16'!G1180</f>
        <v>15.4</v>
      </c>
      <c r="G413" s="58">
        <f>'прил.16'!H1180</f>
        <v>15.4</v>
      </c>
    </row>
    <row r="414" spans="1:7" ht="27.75" customHeight="1">
      <c r="A414" s="55" t="str">
        <f ca="1" t="shared" si="114"/>
        <v>Иные бюджетные ассигнования</v>
      </c>
      <c r="B414" s="31" t="s">
        <v>526</v>
      </c>
      <c r="C414" s="6" t="s">
        <v>191</v>
      </c>
      <c r="D414" s="1" t="s">
        <v>195</v>
      </c>
      <c r="E414" s="79">
        <v>800</v>
      </c>
      <c r="F414" s="58">
        <f aca="true" t="shared" si="117" ref="F414:G414">F415</f>
        <v>2</v>
      </c>
      <c r="G414" s="58">
        <f t="shared" si="117"/>
        <v>2</v>
      </c>
    </row>
    <row r="415" spans="1:7" ht="21.95" customHeight="1">
      <c r="A415" s="55" t="str">
        <f ca="1" t="shared" si="114"/>
        <v>Уплата налогов, сборов и иных платежей</v>
      </c>
      <c r="B415" s="31" t="s">
        <v>526</v>
      </c>
      <c r="C415" s="6" t="s">
        <v>191</v>
      </c>
      <c r="D415" s="1" t="s">
        <v>195</v>
      </c>
      <c r="E415" s="79">
        <v>850</v>
      </c>
      <c r="F415" s="58">
        <f>'прил.16'!G1182</f>
        <v>2</v>
      </c>
      <c r="G415" s="58">
        <f>'прил.16'!H1182</f>
        <v>2</v>
      </c>
    </row>
    <row r="416" spans="1:7" ht="91.5" customHeight="1">
      <c r="A416" s="55" t="str">
        <f ca="1">IF(ISERROR(MATCH(B416,Код_КЦСР,0)),"",INDIRECT(ADDRESS(MATCH(B416,Код_КЦСР,0)+1,2,,,"КЦСР")))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416" s="31" t="s">
        <v>594</v>
      </c>
      <c r="C416" s="6"/>
      <c r="D416" s="1"/>
      <c r="E416" s="99"/>
      <c r="F416" s="58">
        <f aca="true" t="shared" si="118" ref="F416:G416">F417</f>
        <v>1703.5</v>
      </c>
      <c r="G416" s="58">
        <f t="shared" si="118"/>
        <v>1703.5</v>
      </c>
    </row>
    <row r="417" spans="1:7" ht="25.5" customHeight="1">
      <c r="A417" s="55" t="str">
        <f ca="1">IF(ISERROR(MATCH(C417,Код_Раздел,0)),"",INDIRECT(ADDRESS(MATCH(C417,Код_Раздел,0)+1,2,,,"Раздел")))</f>
        <v>Охрана окружающей среды</v>
      </c>
      <c r="B417" s="31" t="s">
        <v>594</v>
      </c>
      <c r="C417" s="6" t="s">
        <v>191</v>
      </c>
      <c r="D417" s="1"/>
      <c r="E417" s="99"/>
      <c r="F417" s="58">
        <f aca="true" t="shared" si="119" ref="F417:G417">F418</f>
        <v>1703.5</v>
      </c>
      <c r="G417" s="58">
        <f t="shared" si="119"/>
        <v>1703.5</v>
      </c>
    </row>
    <row r="418" spans="1:7" ht="37.5" customHeight="1">
      <c r="A418" s="89" t="s">
        <v>136</v>
      </c>
      <c r="B418" s="31" t="s">
        <v>594</v>
      </c>
      <c r="C418" s="6" t="s">
        <v>191</v>
      </c>
      <c r="D418" s="1" t="s">
        <v>189</v>
      </c>
      <c r="E418" s="99"/>
      <c r="F418" s="58">
        <f aca="true" t="shared" si="120" ref="F418:G418">F419+F421</f>
        <v>1703.5</v>
      </c>
      <c r="G418" s="58">
        <f t="shared" si="120"/>
        <v>1703.5</v>
      </c>
    </row>
    <row r="419" spans="1:7" ht="38.25" customHeight="1">
      <c r="A419" s="55" t="str">
        <f aca="true" t="shared" si="121" ref="A419:A422">IF(ISERROR(MATCH(E419,Код_КВР,0)),"",INDIRECT(ADDRESS(MATCH(E419,Код_КВР,0)+1,2,,,"КВР")))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9" s="31" t="s">
        <v>594</v>
      </c>
      <c r="C419" s="6" t="s">
        <v>191</v>
      </c>
      <c r="D419" s="1" t="s">
        <v>189</v>
      </c>
      <c r="E419" s="99">
        <v>100</v>
      </c>
      <c r="F419" s="58">
        <f aca="true" t="shared" si="122" ref="F419:G419">F420</f>
        <v>1653.5</v>
      </c>
      <c r="G419" s="58">
        <f t="shared" si="122"/>
        <v>1653.5</v>
      </c>
    </row>
    <row r="420" spans="1:7" ht="27.75" customHeight="1">
      <c r="A420" s="55" t="str">
        <f ca="1" t="shared" si="121"/>
        <v>Расходы на выплаты персоналу муниципальных органов</v>
      </c>
      <c r="B420" s="31" t="s">
        <v>594</v>
      </c>
      <c r="C420" s="6" t="s">
        <v>191</v>
      </c>
      <c r="D420" s="1" t="s">
        <v>189</v>
      </c>
      <c r="E420" s="99">
        <v>120</v>
      </c>
      <c r="F420" s="58">
        <f>'прил.16'!G1168</f>
        <v>1653.5</v>
      </c>
      <c r="G420" s="58">
        <f>'прил.16'!H1168</f>
        <v>1653.5</v>
      </c>
    </row>
    <row r="421" spans="1:7" ht="24.75" customHeight="1">
      <c r="A421" s="55" t="str">
        <f ca="1" t="shared" si="121"/>
        <v>Закупка товаров, работ и услуг для муниципальных нужд</v>
      </c>
      <c r="B421" s="31" t="s">
        <v>594</v>
      </c>
      <c r="C421" s="6" t="s">
        <v>191</v>
      </c>
      <c r="D421" s="1" t="s">
        <v>189</v>
      </c>
      <c r="E421" s="99">
        <v>200</v>
      </c>
      <c r="F421" s="58">
        <f aca="true" t="shared" si="123" ref="F421:G421">F422</f>
        <v>50</v>
      </c>
      <c r="G421" s="58">
        <f t="shared" si="123"/>
        <v>50</v>
      </c>
    </row>
    <row r="422" spans="1:7" ht="42" customHeight="1">
      <c r="A422" s="55" t="str">
        <f ca="1" t="shared" si="121"/>
        <v>Иные закупки товаров, работ и услуг для обеспечения муниципальных нужд</v>
      </c>
      <c r="B422" s="31" t="s">
        <v>594</v>
      </c>
      <c r="C422" s="6" t="s">
        <v>191</v>
      </c>
      <c r="D422" s="1" t="s">
        <v>189</v>
      </c>
      <c r="E422" s="99">
        <v>240</v>
      </c>
      <c r="F422" s="58">
        <f>'прил.16'!G1170</f>
        <v>50</v>
      </c>
      <c r="G422" s="58">
        <f>'прил.16'!H1170</f>
        <v>50</v>
      </c>
    </row>
    <row r="423" spans="1:7" ht="44.25" customHeight="1">
      <c r="A423" s="55" t="str">
        <f ca="1">IF(ISERROR(MATCH(B423,Код_КЦСР,0)),"",INDIRECT(ADDRESS(MATCH(B423,Код_КЦСР,0)+1,2,,,"КЦСР")))</f>
        <v>Муниципальная программа «Содействие развитию потребительского рынка в городе Череповце на 2013-2017 годы»</v>
      </c>
      <c r="B423" s="31" t="s">
        <v>432</v>
      </c>
      <c r="C423" s="6"/>
      <c r="D423" s="1"/>
      <c r="E423" s="69"/>
      <c r="F423" s="58">
        <f>F424</f>
        <v>150</v>
      </c>
      <c r="G423" s="58">
        <f>G424</f>
        <v>150</v>
      </c>
    </row>
    <row r="424" spans="1:7" ht="52.7" customHeight="1">
      <c r="A424" s="55" t="str">
        <f ca="1">IF(ISERROR(MATCH(B424,Код_КЦСР,0)),"",INDIRECT(ADDRESS(MATCH(B424,Код_КЦСР,0)+1,2,,,"КЦСР")))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424" s="31" t="s">
        <v>434</v>
      </c>
      <c r="C424" s="6"/>
      <c r="D424" s="1"/>
      <c r="E424" s="69"/>
      <c r="F424" s="58">
        <f aca="true" t="shared" si="124" ref="F424:G427">F425</f>
        <v>150</v>
      </c>
      <c r="G424" s="58">
        <f t="shared" si="124"/>
        <v>150</v>
      </c>
    </row>
    <row r="425" spans="1:7" ht="31.5" customHeight="1">
      <c r="A425" s="55" t="str">
        <f ca="1">IF(ISERROR(MATCH(C425,Код_Раздел,0)),"",INDIRECT(ADDRESS(MATCH(C425,Код_Раздел,0)+1,2,,,"Раздел")))</f>
        <v>Общегосударственные  вопросы</v>
      </c>
      <c r="B425" s="69" t="s">
        <v>434</v>
      </c>
      <c r="C425" s="6" t="s">
        <v>187</v>
      </c>
      <c r="D425" s="1"/>
      <c r="E425" s="69"/>
      <c r="F425" s="58">
        <f t="shared" si="124"/>
        <v>150</v>
      </c>
      <c r="G425" s="58">
        <f t="shared" si="124"/>
        <v>150</v>
      </c>
    </row>
    <row r="426" spans="1:7" ht="27.75" customHeight="1">
      <c r="A426" s="59" t="s">
        <v>209</v>
      </c>
      <c r="B426" s="69" t="s">
        <v>434</v>
      </c>
      <c r="C426" s="6" t="s">
        <v>187</v>
      </c>
      <c r="D426" s="1" t="s">
        <v>165</v>
      </c>
      <c r="E426" s="69"/>
      <c r="F426" s="58">
        <f t="shared" si="124"/>
        <v>150</v>
      </c>
      <c r="G426" s="58">
        <f t="shared" si="124"/>
        <v>150</v>
      </c>
    </row>
    <row r="427" spans="1:7" ht="21" customHeight="1">
      <c r="A427" s="55" t="str">
        <f ca="1">IF(ISERROR(MATCH(E427,Код_КВР,0)),"",INDIRECT(ADDRESS(MATCH(E427,Код_КВР,0)+1,2,,,"КВР")))</f>
        <v>Закупка товаров, работ и услуг для муниципальных нужд</v>
      </c>
      <c r="B427" s="69" t="s">
        <v>434</v>
      </c>
      <c r="C427" s="6" t="s">
        <v>187</v>
      </c>
      <c r="D427" s="1" t="s">
        <v>165</v>
      </c>
      <c r="E427" s="69">
        <v>200</v>
      </c>
      <c r="F427" s="58">
        <f t="shared" si="124"/>
        <v>150</v>
      </c>
      <c r="G427" s="58">
        <f t="shared" si="124"/>
        <v>150</v>
      </c>
    </row>
    <row r="428" spans="1:7" ht="39" customHeight="1">
      <c r="A428" s="55" t="str">
        <f ca="1">IF(ISERROR(MATCH(E428,Код_КВР,0)),"",INDIRECT(ADDRESS(MATCH(E428,Код_КВР,0)+1,2,,,"КВР")))</f>
        <v>Иные закупки товаров, работ и услуг для обеспечения муниципальных нужд</v>
      </c>
      <c r="B428" s="69" t="s">
        <v>434</v>
      </c>
      <c r="C428" s="6" t="s">
        <v>187</v>
      </c>
      <c r="D428" s="1" t="s">
        <v>165</v>
      </c>
      <c r="E428" s="69">
        <v>240</v>
      </c>
      <c r="F428" s="58">
        <f>'прил.16'!G70</f>
        <v>150</v>
      </c>
      <c r="G428" s="58">
        <f>'прил.16'!H70</f>
        <v>150</v>
      </c>
    </row>
    <row r="429" spans="1:7" ht="53.25" customHeight="1">
      <c r="A429" s="55" t="str">
        <f ca="1">IF(ISERROR(MATCH(B429,Код_КЦСР,0)),"",INDIRECT(ADDRESS(MATCH(B429,Код_КЦСР,0)+1,2,,,"КЦСР")))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29" s="31" t="s">
        <v>435</v>
      </c>
      <c r="C429" s="6"/>
      <c r="D429" s="1"/>
      <c r="E429" s="69"/>
      <c r="F429" s="58">
        <f aca="true" t="shared" si="125" ref="F429:G429">F430</f>
        <v>3115</v>
      </c>
      <c r="G429" s="58">
        <f t="shared" si="125"/>
        <v>3115</v>
      </c>
    </row>
    <row r="430" spans="1:7" ht="42" customHeight="1">
      <c r="A430" s="55" t="str">
        <f ca="1">IF(ISERROR(MATCH(B430,Код_КЦСР,0)),"",INDIRECT(ADDRESS(MATCH(B430,Код_КЦСР,0)+1,2,,,"КЦСР")))</f>
        <v>Субсидии организациям, образующим инфраструктуру поддержки МСП: НП «Агентство Городского Развития»</v>
      </c>
      <c r="B430" s="31" t="s">
        <v>437</v>
      </c>
      <c r="C430" s="6"/>
      <c r="D430" s="1"/>
      <c r="E430" s="69"/>
      <c r="F430" s="58">
        <f aca="true" t="shared" si="126" ref="F430:G433">F431</f>
        <v>3115</v>
      </c>
      <c r="G430" s="58">
        <f t="shared" si="126"/>
        <v>3115</v>
      </c>
    </row>
    <row r="431" spans="1:7" ht="22.5" customHeight="1">
      <c r="A431" s="55" t="str">
        <f ca="1">IF(ISERROR(MATCH(C431,Код_Раздел,0)),"",INDIRECT(ADDRESS(MATCH(C431,Код_Раздел,0)+1,2,,,"Раздел")))</f>
        <v>Национальная экономика</v>
      </c>
      <c r="B431" s="31" t="s">
        <v>437</v>
      </c>
      <c r="C431" s="6" t="s">
        <v>190</v>
      </c>
      <c r="D431" s="1"/>
      <c r="E431" s="69"/>
      <c r="F431" s="58">
        <f t="shared" si="126"/>
        <v>3115</v>
      </c>
      <c r="G431" s="58">
        <f t="shared" si="126"/>
        <v>3115</v>
      </c>
    </row>
    <row r="432" spans="1:7" ht="26.25" customHeight="1">
      <c r="A432" s="59" t="s">
        <v>209</v>
      </c>
      <c r="B432" s="31" t="s">
        <v>437</v>
      </c>
      <c r="C432" s="6" t="s">
        <v>190</v>
      </c>
      <c r="D432" s="6" t="s">
        <v>171</v>
      </c>
      <c r="E432" s="69"/>
      <c r="F432" s="58">
        <f t="shared" si="126"/>
        <v>3115</v>
      </c>
      <c r="G432" s="58">
        <f t="shared" si="126"/>
        <v>3115</v>
      </c>
    </row>
    <row r="433" spans="1:7" ht="39" customHeight="1">
      <c r="A433" s="55" t="str">
        <f ca="1">IF(ISERROR(MATCH(E433,Код_КВР,0)),"",INDIRECT(ADDRESS(MATCH(E433,Код_КВР,0)+1,2,,,"КВР")))</f>
        <v>Предоставление субсидий бюджетным, автономным учреждениям и иным некоммерческим организациям</v>
      </c>
      <c r="B433" s="31" t="s">
        <v>437</v>
      </c>
      <c r="C433" s="6" t="s">
        <v>190</v>
      </c>
      <c r="D433" s="6" t="s">
        <v>171</v>
      </c>
      <c r="E433" s="69">
        <v>600</v>
      </c>
      <c r="F433" s="58">
        <f t="shared" si="126"/>
        <v>3115</v>
      </c>
      <c r="G433" s="58">
        <f t="shared" si="126"/>
        <v>3115</v>
      </c>
    </row>
    <row r="434" spans="1:7" ht="42" customHeight="1">
      <c r="A434" s="55" t="str">
        <f ca="1">IF(ISERROR(MATCH(E434,Код_КВР,0)),"",INDIRECT(ADDRESS(MATCH(E434,Код_КВР,0)+1,2,,,"КВР")))</f>
        <v>Субсидии некоммерческим организациям (за исключением государственных (муниципальных) учреждений)</v>
      </c>
      <c r="B434" s="31" t="s">
        <v>437</v>
      </c>
      <c r="C434" s="6" t="s">
        <v>190</v>
      </c>
      <c r="D434" s="6" t="s">
        <v>171</v>
      </c>
      <c r="E434" s="69">
        <v>630</v>
      </c>
      <c r="F434" s="58">
        <f>'прил.16'!G245</f>
        <v>3115</v>
      </c>
      <c r="G434" s="58">
        <f>'прил.16'!H245</f>
        <v>3115</v>
      </c>
    </row>
    <row r="435" spans="1:7" ht="39.75" customHeight="1">
      <c r="A435" s="55" t="str">
        <f ca="1">IF(ISERROR(MATCH(B435,Код_КЦСР,0)),"",INDIRECT(ADDRESS(MATCH(B435,Код_КЦСР,0)+1,2,,,"КЦСР")))</f>
        <v>Муниципальная программа «Повышение инвестиционной привлекательности города Череповца» на 2015-2018 годы</v>
      </c>
      <c r="B435" s="31" t="s">
        <v>439</v>
      </c>
      <c r="C435" s="6"/>
      <c r="D435" s="1"/>
      <c r="E435" s="69"/>
      <c r="F435" s="58">
        <f>F436+F441+F446</f>
        <v>9433</v>
      </c>
      <c r="G435" s="58">
        <f>G436+G441+G446</f>
        <v>8253.8</v>
      </c>
    </row>
    <row r="436" spans="1:7" ht="39.75" customHeight="1">
      <c r="A436" s="55" t="str">
        <f ca="1">IF(ISERROR(MATCH(B436,Код_КЦСР,0)),"",INDIRECT(ADDRESS(MATCH(B436,Код_КЦСР,0)+1,2,,,"КЦСР")))</f>
        <v>Формирование инвестиционной инфраструктуры в муниципальном образовании «Город Череповец»</v>
      </c>
      <c r="B436" s="31" t="s">
        <v>440</v>
      </c>
      <c r="C436" s="6"/>
      <c r="D436" s="1"/>
      <c r="E436" s="69"/>
      <c r="F436" s="58">
        <f>F437</f>
        <v>3939</v>
      </c>
      <c r="G436" s="58">
        <f aca="true" t="shared" si="127" ref="F436:G439">G437</f>
        <v>3446.6</v>
      </c>
    </row>
    <row r="437" spans="1:7" ht="24" customHeight="1">
      <c r="A437" s="55" t="str">
        <f ca="1">IF(ISERROR(MATCH(C437,Код_Раздел,0)),"",INDIRECT(ADDRESS(MATCH(C437,Код_Раздел,0)+1,2,,,"Раздел")))</f>
        <v>Национальная экономика</v>
      </c>
      <c r="B437" s="31" t="s">
        <v>440</v>
      </c>
      <c r="C437" s="6" t="s">
        <v>190</v>
      </c>
      <c r="D437" s="1"/>
      <c r="E437" s="69"/>
      <c r="F437" s="58">
        <f t="shared" si="127"/>
        <v>3939</v>
      </c>
      <c r="G437" s="58">
        <f t="shared" si="127"/>
        <v>3446.6</v>
      </c>
    </row>
    <row r="438" spans="1:7" ht="21" customHeight="1">
      <c r="A438" s="59" t="s">
        <v>209</v>
      </c>
      <c r="B438" s="31" t="s">
        <v>440</v>
      </c>
      <c r="C438" s="6" t="s">
        <v>190</v>
      </c>
      <c r="D438" s="6" t="s">
        <v>171</v>
      </c>
      <c r="E438" s="69"/>
      <c r="F438" s="58">
        <f t="shared" si="127"/>
        <v>3939</v>
      </c>
      <c r="G438" s="58">
        <f t="shared" si="127"/>
        <v>3446.6</v>
      </c>
    </row>
    <row r="439" spans="1:7" ht="42" customHeight="1">
      <c r="A439" s="55" t="str">
        <f ca="1">IF(ISERROR(MATCH(E439,Код_КВР,0)),"",INDIRECT(ADDRESS(MATCH(E439,Код_КВР,0)+1,2,,,"КВР")))</f>
        <v>Предоставление субсидий бюджетным, автономным учреждениям и иным некоммерческим организациям</v>
      </c>
      <c r="B439" s="31" t="s">
        <v>440</v>
      </c>
      <c r="C439" s="6" t="s">
        <v>190</v>
      </c>
      <c r="D439" s="6" t="s">
        <v>171</v>
      </c>
      <c r="E439" s="69">
        <v>600</v>
      </c>
      <c r="F439" s="58">
        <f t="shared" si="127"/>
        <v>3939</v>
      </c>
      <c r="G439" s="58">
        <f t="shared" si="127"/>
        <v>3446.6</v>
      </c>
    </row>
    <row r="440" spans="1:7" ht="41.25" customHeight="1">
      <c r="A440" s="55" t="str">
        <f ca="1">IF(ISERROR(MATCH(E440,Код_КВР,0)),"",INDIRECT(ADDRESS(MATCH(E440,Код_КВР,0)+1,2,,,"КВР")))</f>
        <v>Субсидии некоммерческим организациям (за исключением государственных (муниципальных) учреждений)</v>
      </c>
      <c r="B440" s="31" t="s">
        <v>440</v>
      </c>
      <c r="C440" s="6" t="s">
        <v>190</v>
      </c>
      <c r="D440" s="6" t="s">
        <v>171</v>
      </c>
      <c r="E440" s="69">
        <v>630</v>
      </c>
      <c r="F440" s="58">
        <f>'прил.16'!G249</f>
        <v>3939</v>
      </c>
      <c r="G440" s="58">
        <f>'прил.16'!H249</f>
        <v>3446.6</v>
      </c>
    </row>
    <row r="441" spans="1:7" ht="21" customHeight="1">
      <c r="A441" s="55" t="str">
        <f ca="1">IF(ISERROR(MATCH(B441,Код_КЦСР,0)),"",INDIRECT(ADDRESS(MATCH(B441,Код_КЦСР,0)+1,2,,,"КЦСР")))</f>
        <v>Комплексное сопровождение инвестиционных проектов</v>
      </c>
      <c r="B441" s="31" t="s">
        <v>441</v>
      </c>
      <c r="C441" s="6"/>
      <c r="D441" s="1"/>
      <c r="E441" s="69"/>
      <c r="F441" s="58">
        <f aca="true" t="shared" si="128" ref="F441:G444">F442</f>
        <v>2036.7</v>
      </c>
      <c r="G441" s="58">
        <f t="shared" si="128"/>
        <v>1782</v>
      </c>
    </row>
    <row r="442" spans="1:7" ht="24.75" customHeight="1">
      <c r="A442" s="55" t="str">
        <f ca="1">IF(ISERROR(MATCH(C442,Код_Раздел,0)),"",INDIRECT(ADDRESS(MATCH(C442,Код_Раздел,0)+1,2,,,"Раздел")))</f>
        <v>Национальная экономика</v>
      </c>
      <c r="B442" s="31" t="s">
        <v>441</v>
      </c>
      <c r="C442" s="6" t="s">
        <v>190</v>
      </c>
      <c r="D442" s="1"/>
      <c r="E442" s="69"/>
      <c r="F442" s="58">
        <f t="shared" si="128"/>
        <v>2036.7</v>
      </c>
      <c r="G442" s="58">
        <f t="shared" si="128"/>
        <v>1782</v>
      </c>
    </row>
    <row r="443" spans="1:7" ht="26.25" customHeight="1">
      <c r="A443" s="59" t="s">
        <v>209</v>
      </c>
      <c r="B443" s="31" t="s">
        <v>441</v>
      </c>
      <c r="C443" s="6" t="s">
        <v>190</v>
      </c>
      <c r="D443" s="6" t="s">
        <v>171</v>
      </c>
      <c r="E443" s="69"/>
      <c r="F443" s="58">
        <f t="shared" si="128"/>
        <v>2036.7</v>
      </c>
      <c r="G443" s="58">
        <f t="shared" si="128"/>
        <v>1782</v>
      </c>
    </row>
    <row r="444" spans="1:7" ht="37.5" customHeight="1">
      <c r="A444" s="55" t="str">
        <f ca="1">IF(ISERROR(MATCH(E444,Код_КВР,0)),"",INDIRECT(ADDRESS(MATCH(E444,Код_КВР,0)+1,2,,,"КВР")))</f>
        <v>Предоставление субсидий бюджетным, автономным учреждениям и иным некоммерческим организациям</v>
      </c>
      <c r="B444" s="31" t="s">
        <v>441</v>
      </c>
      <c r="C444" s="6" t="s">
        <v>190</v>
      </c>
      <c r="D444" s="6" t="s">
        <v>171</v>
      </c>
      <c r="E444" s="69">
        <v>600</v>
      </c>
      <c r="F444" s="58">
        <f t="shared" si="128"/>
        <v>2036.7</v>
      </c>
      <c r="G444" s="58">
        <f t="shared" si="128"/>
        <v>1782</v>
      </c>
    </row>
    <row r="445" spans="1:7" ht="42.75" customHeight="1">
      <c r="A445" s="55" t="str">
        <f ca="1">IF(ISERROR(MATCH(E445,Код_КВР,0)),"",INDIRECT(ADDRESS(MATCH(E445,Код_КВР,0)+1,2,,,"КВР")))</f>
        <v>Субсидии некоммерческим организациям (за исключением государственных (муниципальных) учреждений)</v>
      </c>
      <c r="B445" s="31" t="s">
        <v>441</v>
      </c>
      <c r="C445" s="6" t="s">
        <v>190</v>
      </c>
      <c r="D445" s="6" t="s">
        <v>171</v>
      </c>
      <c r="E445" s="69">
        <v>630</v>
      </c>
      <c r="F445" s="58">
        <f>'прил.16'!G252</f>
        <v>2036.7</v>
      </c>
      <c r="G445" s="58">
        <f>'прил.16'!H252</f>
        <v>1782</v>
      </c>
    </row>
    <row r="446" spans="1:7" ht="37.5" customHeight="1">
      <c r="A446" s="55" t="str">
        <f ca="1">IF(ISERROR(MATCH(B446,Код_КЦСР,0)),"",INDIRECT(ADDRESS(MATCH(B446,Код_КЦСР,0)+1,2,,,"КЦСР")))</f>
        <v>Продвижение инвестиционных возможностей муниципального образования «Город Череповец»</v>
      </c>
      <c r="B446" s="31" t="s">
        <v>442</v>
      </c>
      <c r="C446" s="6"/>
      <c r="D446" s="1"/>
      <c r="E446" s="69"/>
      <c r="F446" s="58">
        <f aca="true" t="shared" si="129" ref="F446:G449">F447</f>
        <v>3457.3</v>
      </c>
      <c r="G446" s="58">
        <f t="shared" si="129"/>
        <v>3025.2</v>
      </c>
    </row>
    <row r="447" spans="1:7" ht="25.5" customHeight="1">
      <c r="A447" s="55" t="str">
        <f ca="1">IF(ISERROR(MATCH(C447,Код_Раздел,0)),"",INDIRECT(ADDRESS(MATCH(C447,Код_Раздел,0)+1,2,,,"Раздел")))</f>
        <v>Национальная экономика</v>
      </c>
      <c r="B447" s="31" t="s">
        <v>442</v>
      </c>
      <c r="C447" s="6" t="s">
        <v>190</v>
      </c>
      <c r="D447" s="1"/>
      <c r="E447" s="69"/>
      <c r="F447" s="58">
        <f t="shared" si="129"/>
        <v>3457.3</v>
      </c>
      <c r="G447" s="58">
        <f t="shared" si="129"/>
        <v>3025.2</v>
      </c>
    </row>
    <row r="448" spans="1:7" ht="24" customHeight="1">
      <c r="A448" s="59" t="s">
        <v>209</v>
      </c>
      <c r="B448" s="31" t="s">
        <v>442</v>
      </c>
      <c r="C448" s="6" t="s">
        <v>190</v>
      </c>
      <c r="D448" s="6" t="s">
        <v>171</v>
      </c>
      <c r="E448" s="69"/>
      <c r="F448" s="58">
        <f t="shared" si="129"/>
        <v>3457.3</v>
      </c>
      <c r="G448" s="58">
        <f t="shared" si="129"/>
        <v>3025.2</v>
      </c>
    </row>
    <row r="449" spans="1:7" ht="46.5" customHeight="1">
      <c r="A449" s="55" t="str">
        <f ca="1">IF(ISERROR(MATCH(E449,Код_КВР,0)),"",INDIRECT(ADDRESS(MATCH(E449,Код_КВР,0)+1,2,,,"КВР")))</f>
        <v>Предоставление субсидий бюджетным, автономным учреждениям и иным некоммерческим организациям</v>
      </c>
      <c r="B449" s="31" t="s">
        <v>442</v>
      </c>
      <c r="C449" s="6" t="s">
        <v>190</v>
      </c>
      <c r="D449" s="6" t="s">
        <v>171</v>
      </c>
      <c r="E449" s="69">
        <v>600</v>
      </c>
      <c r="F449" s="58">
        <f t="shared" si="129"/>
        <v>3457.3</v>
      </c>
      <c r="G449" s="58">
        <f t="shared" si="129"/>
        <v>3025.2</v>
      </c>
    </row>
    <row r="450" spans="1:7" ht="39.75" customHeight="1">
      <c r="A450" s="55" t="str">
        <f ca="1">IF(ISERROR(MATCH(E450,Код_КВР,0)),"",INDIRECT(ADDRESS(MATCH(E450,Код_КВР,0)+1,2,,,"КВР")))</f>
        <v>Субсидии некоммерческим организациям (за исключением государственных (муниципальных) учреждений)</v>
      </c>
      <c r="B450" s="31" t="s">
        <v>442</v>
      </c>
      <c r="C450" s="6" t="s">
        <v>190</v>
      </c>
      <c r="D450" s="6" t="s">
        <v>171</v>
      </c>
      <c r="E450" s="69">
        <v>630</v>
      </c>
      <c r="F450" s="58">
        <f>'прил.16'!G255</f>
        <v>3457.3</v>
      </c>
      <c r="G450" s="58">
        <f>'прил.16'!H255</f>
        <v>3025.2</v>
      </c>
    </row>
    <row r="451" spans="1:7" ht="35.25" customHeight="1">
      <c r="A451" s="55" t="str">
        <f ca="1">IF(ISERROR(MATCH(B451,Код_КЦСР,0)),"",INDIRECT(ADDRESS(MATCH(B451,Код_КЦСР,0)+1,2,,,"КЦСР")))</f>
        <v>Муниципальная программа «Развитие молодежной политики» на 2013-2018 годы</v>
      </c>
      <c r="B451" s="29" t="s">
        <v>444</v>
      </c>
      <c r="C451" s="6"/>
      <c r="D451" s="1"/>
      <c r="E451" s="69"/>
      <c r="F451" s="58">
        <f aca="true" t="shared" si="130" ref="F451:G451">F452+F457+F462+F467</f>
        <v>8734.1</v>
      </c>
      <c r="G451" s="58">
        <f t="shared" si="130"/>
        <v>8756.9</v>
      </c>
    </row>
    <row r="452" spans="1:7" ht="36" customHeight="1">
      <c r="A452" s="55" t="str">
        <f ca="1">IF(ISERROR(MATCH(B452,Код_КЦСР,0)),"",INDIRECT(ADDRESS(MATCH(B452,Код_КЦСР,0)+1,2,,,"КЦСР")))</f>
        <v>Организация временного трудоустройства несовершеннолетних в возрасте от 14 до 18 лет</v>
      </c>
      <c r="B452" s="29" t="s">
        <v>446</v>
      </c>
      <c r="C452" s="6"/>
      <c r="D452" s="1"/>
      <c r="E452" s="69"/>
      <c r="F452" s="58">
        <f aca="true" t="shared" si="131" ref="F452:G455">F453</f>
        <v>1193.7</v>
      </c>
      <c r="G452" s="58">
        <f t="shared" si="131"/>
        <v>1193.7</v>
      </c>
    </row>
    <row r="453" spans="1:7" ht="20.25" customHeight="1">
      <c r="A453" s="55" t="str">
        <f ca="1">IF(ISERROR(MATCH(C453,Код_Раздел,0)),"",INDIRECT(ADDRESS(MATCH(C453,Код_Раздел,0)+1,2,,,"Раздел")))</f>
        <v>Национальная экономика</v>
      </c>
      <c r="B453" s="29" t="s">
        <v>446</v>
      </c>
      <c r="C453" s="6" t="s">
        <v>190</v>
      </c>
      <c r="D453" s="1"/>
      <c r="E453" s="69"/>
      <c r="F453" s="58">
        <f t="shared" si="131"/>
        <v>1193.7</v>
      </c>
      <c r="G453" s="58">
        <f t="shared" si="131"/>
        <v>1193.7</v>
      </c>
    </row>
    <row r="454" spans="1:7" ht="18.75" customHeight="1">
      <c r="A454" s="60" t="s">
        <v>178</v>
      </c>
      <c r="B454" s="29" t="s">
        <v>446</v>
      </c>
      <c r="C454" s="6" t="s">
        <v>190</v>
      </c>
      <c r="D454" s="1" t="s">
        <v>187</v>
      </c>
      <c r="E454" s="69"/>
      <c r="F454" s="58">
        <f t="shared" si="131"/>
        <v>1193.7</v>
      </c>
      <c r="G454" s="58">
        <f t="shared" si="131"/>
        <v>1193.7</v>
      </c>
    </row>
    <row r="455" spans="1:7" ht="40.5" customHeight="1">
      <c r="A455" s="55" t="str">
        <f ca="1">IF(ISERROR(MATCH(E455,Код_КВР,0)),"",INDIRECT(ADDRESS(MATCH(E455,Код_КВР,0)+1,2,,,"КВР")))</f>
        <v>Предоставление субсидий бюджетным, автономным учреждениям и иным некоммерческим организациям</v>
      </c>
      <c r="B455" s="29" t="s">
        <v>446</v>
      </c>
      <c r="C455" s="6" t="s">
        <v>190</v>
      </c>
      <c r="D455" s="1" t="s">
        <v>187</v>
      </c>
      <c r="E455" s="69">
        <v>600</v>
      </c>
      <c r="F455" s="58">
        <f t="shared" si="131"/>
        <v>1193.7</v>
      </c>
      <c r="G455" s="58">
        <f t="shared" si="131"/>
        <v>1193.7</v>
      </c>
    </row>
    <row r="456" spans="1:7" ht="27.75" customHeight="1">
      <c r="A456" s="55" t="str">
        <f ca="1">IF(ISERROR(MATCH(E456,Код_КВР,0)),"",INDIRECT(ADDRESS(MATCH(E456,Код_КВР,0)+1,2,,,"КВР")))</f>
        <v>Субсидии бюджетным учреждениям</v>
      </c>
      <c r="B456" s="29" t="s">
        <v>446</v>
      </c>
      <c r="C456" s="6" t="s">
        <v>190</v>
      </c>
      <c r="D456" s="1" t="s">
        <v>187</v>
      </c>
      <c r="E456" s="69">
        <v>610</v>
      </c>
      <c r="F456" s="58">
        <f>'прил.16'!G207</f>
        <v>1193.7</v>
      </c>
      <c r="G456" s="58">
        <f>'прил.16'!H207</f>
        <v>1193.7</v>
      </c>
    </row>
    <row r="457" spans="1:7" ht="72" customHeight="1">
      <c r="A457" s="55" t="str">
        <f ca="1">IF(ISERROR(MATCH(B457,Код_КЦСР,0)),"",INDIRECT(ADDRESS(MATCH(B457,Код_КЦСР,0)+1,2,,,"КЦСР")))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457" s="29" t="s">
        <v>448</v>
      </c>
      <c r="C457" s="6"/>
      <c r="D457" s="1"/>
      <c r="E457" s="69"/>
      <c r="F457" s="58">
        <f aca="true" t="shared" si="132" ref="F457:G460">F458</f>
        <v>844.8</v>
      </c>
      <c r="G457" s="58">
        <f t="shared" si="132"/>
        <v>844.8</v>
      </c>
    </row>
    <row r="458" spans="1:7" ht="23.25" customHeight="1">
      <c r="A458" s="55" t="str">
        <f ca="1">IF(ISERROR(MATCH(C458,Код_Раздел,0)),"",INDIRECT(ADDRESS(MATCH(C458,Код_Раздел,0)+1,2,,,"Раздел")))</f>
        <v>Образование</v>
      </c>
      <c r="B458" s="29" t="s">
        <v>448</v>
      </c>
      <c r="C458" s="6" t="s">
        <v>170</v>
      </c>
      <c r="D458" s="1"/>
      <c r="E458" s="69"/>
      <c r="F458" s="58">
        <f t="shared" si="132"/>
        <v>844.8</v>
      </c>
      <c r="G458" s="58">
        <f t="shared" si="132"/>
        <v>844.8</v>
      </c>
    </row>
    <row r="459" spans="1:7" ht="24" customHeight="1">
      <c r="A459" s="59" t="s">
        <v>174</v>
      </c>
      <c r="B459" s="29" t="s">
        <v>448</v>
      </c>
      <c r="C459" s="6" t="s">
        <v>170</v>
      </c>
      <c r="D459" s="1" t="s">
        <v>170</v>
      </c>
      <c r="E459" s="69"/>
      <c r="F459" s="58">
        <f t="shared" si="132"/>
        <v>844.8</v>
      </c>
      <c r="G459" s="58">
        <f t="shared" si="132"/>
        <v>844.8</v>
      </c>
    </row>
    <row r="460" spans="1:7" ht="41.25" customHeight="1">
      <c r="A460" s="55" t="str">
        <f ca="1">IF(ISERROR(MATCH(E460,Код_КВР,0)),"",INDIRECT(ADDRESS(MATCH(E460,Код_КВР,0)+1,2,,,"КВР")))</f>
        <v>Предоставление субсидий бюджетным, автономным учреждениям и иным некоммерческим организациям</v>
      </c>
      <c r="B460" s="29" t="s">
        <v>448</v>
      </c>
      <c r="C460" s="6" t="s">
        <v>170</v>
      </c>
      <c r="D460" s="1" t="s">
        <v>170</v>
      </c>
      <c r="E460" s="69">
        <v>600</v>
      </c>
      <c r="F460" s="58">
        <f t="shared" si="132"/>
        <v>844.8</v>
      </c>
      <c r="G460" s="58">
        <f t="shared" si="132"/>
        <v>844.8</v>
      </c>
    </row>
    <row r="461" spans="1:7" ht="27" customHeight="1">
      <c r="A461" s="55" t="str">
        <f ca="1">IF(ISERROR(MATCH(E461,Код_КВР,0)),"",INDIRECT(ADDRESS(MATCH(E461,Код_КВР,0)+1,2,,,"КВР")))</f>
        <v>Субсидии бюджетным учреждениям</v>
      </c>
      <c r="B461" s="29" t="s">
        <v>448</v>
      </c>
      <c r="C461" s="6" t="s">
        <v>170</v>
      </c>
      <c r="D461" s="1" t="s">
        <v>170</v>
      </c>
      <c r="E461" s="69">
        <v>610</v>
      </c>
      <c r="F461" s="58">
        <f>'прил.16'!G265</f>
        <v>844.8</v>
      </c>
      <c r="G461" s="58">
        <f>'прил.16'!H265</f>
        <v>844.8</v>
      </c>
    </row>
    <row r="462" spans="1:7" ht="78" customHeight="1">
      <c r="A462" s="55" t="str">
        <f ca="1">IF(ISERROR(MATCH(B462,Код_КЦСР,0)),"",INDIRECT(ADDRESS(MATCH(B462,Код_КЦСР,0)+1,2,,,"КЦСР")))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462" s="29" t="s">
        <v>449</v>
      </c>
      <c r="C462" s="6"/>
      <c r="D462" s="1"/>
      <c r="E462" s="69"/>
      <c r="F462" s="58">
        <f aca="true" t="shared" si="133" ref="F462:G465">F463</f>
        <v>6695.6</v>
      </c>
      <c r="G462" s="58">
        <f t="shared" si="133"/>
        <v>6718.4</v>
      </c>
    </row>
    <row r="463" spans="1:7" ht="20.25" customHeight="1">
      <c r="A463" s="55" t="str">
        <f ca="1">IF(ISERROR(MATCH(C463,Код_Раздел,0)),"",INDIRECT(ADDRESS(MATCH(C463,Код_Раздел,0)+1,2,,,"Раздел")))</f>
        <v>Образование</v>
      </c>
      <c r="B463" s="29" t="s">
        <v>449</v>
      </c>
      <c r="C463" s="6" t="s">
        <v>170</v>
      </c>
      <c r="D463" s="1"/>
      <c r="E463" s="69"/>
      <c r="F463" s="58">
        <f t="shared" si="133"/>
        <v>6695.6</v>
      </c>
      <c r="G463" s="58">
        <f t="shared" si="133"/>
        <v>6718.4</v>
      </c>
    </row>
    <row r="464" spans="1:7" ht="26.25" customHeight="1">
      <c r="A464" s="59" t="s">
        <v>174</v>
      </c>
      <c r="B464" s="29" t="s">
        <v>449</v>
      </c>
      <c r="C464" s="6" t="s">
        <v>170</v>
      </c>
      <c r="D464" s="1" t="s">
        <v>170</v>
      </c>
      <c r="E464" s="69"/>
      <c r="F464" s="58">
        <f t="shared" si="133"/>
        <v>6695.6</v>
      </c>
      <c r="G464" s="58">
        <f t="shared" si="133"/>
        <v>6718.4</v>
      </c>
    </row>
    <row r="465" spans="1:7" ht="38.25" customHeight="1">
      <c r="A465" s="55" t="str">
        <f ca="1">IF(ISERROR(MATCH(E465,Код_КВР,0)),"",INDIRECT(ADDRESS(MATCH(E465,Код_КВР,0)+1,2,,,"КВР")))</f>
        <v>Предоставление субсидий бюджетным, автономным учреждениям и иным некоммерческим организациям</v>
      </c>
      <c r="B465" s="29" t="s">
        <v>449</v>
      </c>
      <c r="C465" s="6" t="s">
        <v>170</v>
      </c>
      <c r="D465" s="1" t="s">
        <v>170</v>
      </c>
      <c r="E465" s="69">
        <v>600</v>
      </c>
      <c r="F465" s="58">
        <f t="shared" si="133"/>
        <v>6695.6</v>
      </c>
      <c r="G465" s="58">
        <f t="shared" si="133"/>
        <v>6718.4</v>
      </c>
    </row>
    <row r="466" spans="1:7" ht="23.25" customHeight="1">
      <c r="A466" s="55" t="str">
        <f ca="1">IF(ISERROR(MATCH(E466,Код_КВР,0)),"",INDIRECT(ADDRESS(MATCH(E466,Код_КВР,0)+1,2,,,"КВР")))</f>
        <v>Субсидии бюджетным учреждениям</v>
      </c>
      <c r="B466" s="29" t="s">
        <v>449</v>
      </c>
      <c r="C466" s="6" t="s">
        <v>170</v>
      </c>
      <c r="D466" s="1" t="s">
        <v>170</v>
      </c>
      <c r="E466" s="69">
        <v>610</v>
      </c>
      <c r="F466" s="58">
        <f>'прил.16'!G268</f>
        <v>6695.6</v>
      </c>
      <c r="G466" s="58">
        <f>'прил.16'!H268</f>
        <v>6718.4</v>
      </c>
    </row>
    <row r="467" spans="1:7" ht="39.95" customHeight="1" hidden="1">
      <c r="A467" s="55" t="str">
        <f ca="1">IF(ISERROR(MATCH(B467,Код_КЦСР,0)),"",INDIRECT(ADDRESS(MATCH(B467,Код_КЦСР,0)+1,2,,,"КЦСР")))</f>
        <v>Проведение городского патриотического фестиваля «Город Победы» на Кубок мэра города</v>
      </c>
      <c r="B467" s="29" t="s">
        <v>531</v>
      </c>
      <c r="C467" s="6"/>
      <c r="D467" s="1"/>
      <c r="E467" s="80"/>
      <c r="F467" s="58"/>
      <c r="G467" s="58"/>
    </row>
    <row r="468" spans="1:7" ht="18.75" customHeight="1" hidden="1">
      <c r="A468" s="55" t="str">
        <f ca="1">IF(ISERROR(MATCH(C468,Код_Раздел,0)),"",INDIRECT(ADDRESS(MATCH(C468,Код_Раздел,0)+1,2,,,"Раздел")))</f>
        <v>Образование</v>
      </c>
      <c r="B468" s="29" t="s">
        <v>531</v>
      </c>
      <c r="C468" s="6" t="s">
        <v>170</v>
      </c>
      <c r="D468" s="1"/>
      <c r="E468" s="80"/>
      <c r="F468" s="58"/>
      <c r="G468" s="58"/>
    </row>
    <row r="469" spans="1:7" ht="18.75" customHeight="1" hidden="1">
      <c r="A469" s="59" t="s">
        <v>174</v>
      </c>
      <c r="B469" s="29" t="s">
        <v>531</v>
      </c>
      <c r="C469" s="6" t="s">
        <v>170</v>
      </c>
      <c r="D469" s="1" t="s">
        <v>170</v>
      </c>
      <c r="E469" s="80"/>
      <c r="F469" s="58"/>
      <c r="G469" s="58"/>
    </row>
    <row r="470" spans="1:7" ht="18.75" customHeight="1" hidden="1">
      <c r="A470" s="55" t="str">
        <f ca="1">IF(ISERROR(MATCH(E470,Код_КВР,0)),"",INDIRECT(ADDRESS(MATCH(E470,Код_КВР,0)+1,2,,,"КВР")))</f>
        <v>Предоставление субсидий бюджетным, автономным учреждениям и иным некоммерческим организациям</v>
      </c>
      <c r="B470" s="29" t="s">
        <v>531</v>
      </c>
      <c r="C470" s="6" t="s">
        <v>170</v>
      </c>
      <c r="D470" s="1" t="s">
        <v>170</v>
      </c>
      <c r="E470" s="80">
        <v>600</v>
      </c>
      <c r="F470" s="58"/>
      <c r="G470" s="58"/>
    </row>
    <row r="471" spans="1:7" ht="18.75" customHeight="1" hidden="1">
      <c r="A471" s="55" t="str">
        <f ca="1">IF(ISERROR(MATCH(E471,Код_КВР,0)),"",INDIRECT(ADDRESS(MATCH(E471,Код_КВР,0)+1,2,,,"КВР")))</f>
        <v>Субсидии бюджетным учреждениям</v>
      </c>
      <c r="B471" s="29" t="s">
        <v>531</v>
      </c>
      <c r="C471" s="6" t="s">
        <v>170</v>
      </c>
      <c r="D471" s="1" t="s">
        <v>170</v>
      </c>
      <c r="E471" s="80">
        <v>610</v>
      </c>
      <c r="F471" s="58">
        <f>'прил.16'!G271</f>
        <v>0</v>
      </c>
      <c r="G471" s="58">
        <f>'прил.16'!H271</f>
        <v>0</v>
      </c>
    </row>
    <row r="472" spans="1:7" ht="24" customHeight="1">
      <c r="A472" s="55" t="str">
        <f ca="1">IF(ISERROR(MATCH(B472,Код_КЦСР,0)),"",INDIRECT(ADDRESS(MATCH(B472,Код_КЦСР,0)+1,2,,,"КЦСР")))</f>
        <v>Муниципальная программа «Здоровый город» на 2014-2022 годы</v>
      </c>
      <c r="B472" s="29" t="s">
        <v>450</v>
      </c>
      <c r="C472" s="6"/>
      <c r="D472" s="1"/>
      <c r="E472" s="69"/>
      <c r="F472" s="58">
        <f>F473+F480+F489+F505</f>
        <v>1185.4</v>
      </c>
      <c r="G472" s="58">
        <f>G473+G480+G489+G505</f>
        <v>1185.4</v>
      </c>
    </row>
    <row r="473" spans="1:7" ht="29.25" customHeight="1">
      <c r="A473" s="55" t="str">
        <f ca="1">IF(ISERROR(MATCH(B473,Код_КЦСР,0)),"",INDIRECT(ADDRESS(MATCH(B473,Код_КЦСР,0)+1,2,,,"КЦСР")))</f>
        <v>Организационно-методическое обеспечение программы</v>
      </c>
      <c r="B473" s="29" t="s">
        <v>452</v>
      </c>
      <c r="C473" s="6"/>
      <c r="D473" s="1"/>
      <c r="E473" s="69"/>
      <c r="F473" s="58">
        <f aca="true" t="shared" si="134" ref="F473:G473">F474</f>
        <v>276.9</v>
      </c>
      <c r="G473" s="58">
        <f t="shared" si="134"/>
        <v>276.9</v>
      </c>
    </row>
    <row r="474" spans="1:7" ht="21" customHeight="1">
      <c r="A474" s="55" t="str">
        <f ca="1">IF(ISERROR(MATCH(C474,Код_Раздел,0)),"",INDIRECT(ADDRESS(MATCH(C474,Код_Раздел,0)+1,2,,,"Раздел")))</f>
        <v>Общегосударственные  вопросы</v>
      </c>
      <c r="B474" s="29" t="s">
        <v>452</v>
      </c>
      <c r="C474" s="6" t="s">
        <v>187</v>
      </c>
      <c r="D474" s="1"/>
      <c r="E474" s="69"/>
      <c r="F474" s="58">
        <f>F475</f>
        <v>276.9</v>
      </c>
      <c r="G474" s="58">
        <f>G475</f>
        <v>276.9</v>
      </c>
    </row>
    <row r="475" spans="1:7" ht="23.25" customHeight="1">
      <c r="A475" s="59" t="s">
        <v>209</v>
      </c>
      <c r="B475" s="29" t="s">
        <v>452</v>
      </c>
      <c r="C475" s="6" t="s">
        <v>187</v>
      </c>
      <c r="D475" s="1" t="s">
        <v>165</v>
      </c>
      <c r="E475" s="69"/>
      <c r="F475" s="58">
        <f>F476+F478</f>
        <v>276.9</v>
      </c>
      <c r="G475" s="58">
        <f>G476+G478</f>
        <v>276.9</v>
      </c>
    </row>
    <row r="476" spans="1:7" ht="27" customHeight="1">
      <c r="A476" s="55" t="str">
        <f aca="true" t="shared" si="135" ref="A476:A479">IF(ISERROR(MATCH(E476,Код_КВР,0)),"",INDIRECT(ADDRESS(MATCH(E476,Код_КВР,0)+1,2,,,"КВР")))</f>
        <v>Закупка товаров, работ и услуг для муниципальных нужд</v>
      </c>
      <c r="B476" s="29" t="s">
        <v>452</v>
      </c>
      <c r="C476" s="6" t="s">
        <v>187</v>
      </c>
      <c r="D476" s="1" t="s">
        <v>165</v>
      </c>
      <c r="E476" s="69">
        <v>200</v>
      </c>
      <c r="F476" s="58">
        <f>F477</f>
        <v>146.9</v>
      </c>
      <c r="G476" s="58">
        <f>G477</f>
        <v>146.9</v>
      </c>
    </row>
    <row r="477" spans="1:7" ht="39" customHeight="1">
      <c r="A477" s="55" t="str">
        <f ca="1" t="shared" si="135"/>
        <v>Иные закупки товаров, работ и услуг для обеспечения муниципальных нужд</v>
      </c>
      <c r="B477" s="29" t="s">
        <v>452</v>
      </c>
      <c r="C477" s="6" t="s">
        <v>187</v>
      </c>
      <c r="D477" s="1" t="s">
        <v>165</v>
      </c>
      <c r="E477" s="69">
        <v>240</v>
      </c>
      <c r="F477" s="58">
        <f>'прил.16'!G74</f>
        <v>146.9</v>
      </c>
      <c r="G477" s="58">
        <f>'прил.16'!H74</f>
        <v>146.9</v>
      </c>
    </row>
    <row r="478" spans="1:7" ht="18.75" customHeight="1">
      <c r="A478" s="55" t="str">
        <f ca="1" t="shared" si="135"/>
        <v>Иные бюджетные ассигнования</v>
      </c>
      <c r="B478" s="29" t="s">
        <v>452</v>
      </c>
      <c r="C478" s="6" t="s">
        <v>187</v>
      </c>
      <c r="D478" s="1" t="s">
        <v>165</v>
      </c>
      <c r="E478" s="69">
        <v>800</v>
      </c>
      <c r="F478" s="58">
        <f>F479</f>
        <v>130</v>
      </c>
      <c r="G478" s="58">
        <f>G479</f>
        <v>130</v>
      </c>
    </row>
    <row r="479" spans="1:7" ht="33">
      <c r="A479" s="55" t="str">
        <f ca="1" t="shared" si="135"/>
        <v>Предоставление платежей, взносов, безвозмездных перечислений субъектам международного права</v>
      </c>
      <c r="B479" s="29" t="s">
        <v>452</v>
      </c>
      <c r="C479" s="6" t="s">
        <v>187</v>
      </c>
      <c r="D479" s="1" t="s">
        <v>165</v>
      </c>
      <c r="E479" s="69">
        <v>860</v>
      </c>
      <c r="F479" s="58">
        <f>'прил.16'!G77</f>
        <v>130</v>
      </c>
      <c r="G479" s="58">
        <f>'прил.16'!H77</f>
        <v>130</v>
      </c>
    </row>
    <row r="480" spans="1:7" ht="12.75">
      <c r="A480" s="55" t="str">
        <f ca="1">IF(ISERROR(MATCH(B480,Код_КЦСР,0)),"",INDIRECT(ADDRESS(MATCH(B480,Код_КЦСР,0)+1,2,,,"КЦСР")))</f>
        <v>Сохранение и укрепление здоровья детей и подростков</v>
      </c>
      <c r="B480" s="29" t="s">
        <v>453</v>
      </c>
      <c r="C480" s="6"/>
      <c r="D480" s="1"/>
      <c r="E480" s="69"/>
      <c r="F480" s="58">
        <f aca="true" t="shared" si="136" ref="F480:G480">F485+F481</f>
        <v>109.9</v>
      </c>
      <c r="G480" s="58">
        <f t="shared" si="136"/>
        <v>109.9</v>
      </c>
    </row>
    <row r="481" spans="1:7" ht="12.75">
      <c r="A481" s="55" t="str">
        <f ca="1">IF(ISERROR(MATCH(C481,Код_Раздел,0)),"",INDIRECT(ADDRESS(MATCH(C481,Код_Раздел,0)+1,2,,,"Раздел")))</f>
        <v>Общегосударственные  вопросы</v>
      </c>
      <c r="B481" s="29" t="s">
        <v>453</v>
      </c>
      <c r="C481" s="6" t="s">
        <v>187</v>
      </c>
      <c r="D481" s="1"/>
      <c r="E481" s="92"/>
      <c r="F481" s="58">
        <f aca="true" t="shared" si="137" ref="F481:G481">F482</f>
        <v>32</v>
      </c>
      <c r="G481" s="58">
        <f t="shared" si="137"/>
        <v>32</v>
      </c>
    </row>
    <row r="482" spans="1:7" ht="12.75">
      <c r="A482" s="59" t="s">
        <v>209</v>
      </c>
      <c r="B482" s="29" t="s">
        <v>453</v>
      </c>
      <c r="C482" s="6" t="s">
        <v>187</v>
      </c>
      <c r="D482" s="1" t="s">
        <v>165</v>
      </c>
      <c r="E482" s="92"/>
      <c r="F482" s="58">
        <f aca="true" t="shared" si="138" ref="F482:G482">F483</f>
        <v>32</v>
      </c>
      <c r="G482" s="58">
        <f t="shared" si="138"/>
        <v>32</v>
      </c>
    </row>
    <row r="483" spans="1:7" ht="23.25" customHeight="1">
      <c r="A483" s="55" t="str">
        <f ca="1">IF(ISERROR(MATCH(E483,Код_КВР,0)),"",INDIRECT(ADDRESS(MATCH(E483,Код_КВР,0)+1,2,,,"КВР")))</f>
        <v>Закупка товаров, работ и услуг для муниципальных нужд</v>
      </c>
      <c r="B483" s="29" t="s">
        <v>453</v>
      </c>
      <c r="C483" s="6" t="s">
        <v>187</v>
      </c>
      <c r="D483" s="1" t="s">
        <v>165</v>
      </c>
      <c r="E483" s="92">
        <v>200</v>
      </c>
      <c r="F483" s="58">
        <f aca="true" t="shared" si="139" ref="F483:G483">F484</f>
        <v>32</v>
      </c>
      <c r="G483" s="58">
        <f t="shared" si="139"/>
        <v>32</v>
      </c>
    </row>
    <row r="484" spans="1:7" ht="33">
      <c r="A484" s="55" t="str">
        <f ca="1">IF(ISERROR(MATCH(E484,Код_КВР,0)),"",INDIRECT(ADDRESS(MATCH(E484,Код_КВР,0)+1,2,,,"КВР")))</f>
        <v>Иные закупки товаров, работ и услуг для обеспечения муниципальных нужд</v>
      </c>
      <c r="B484" s="29" t="s">
        <v>453</v>
      </c>
      <c r="C484" s="6" t="s">
        <v>187</v>
      </c>
      <c r="D484" s="1" t="s">
        <v>165</v>
      </c>
      <c r="E484" s="92">
        <v>240</v>
      </c>
      <c r="F484" s="58">
        <f>'прил.16'!G80</f>
        <v>32</v>
      </c>
      <c r="G484" s="58">
        <f>'прил.16'!H80</f>
        <v>32</v>
      </c>
    </row>
    <row r="485" spans="1:7" ht="26.25" customHeight="1">
      <c r="A485" s="55" t="str">
        <f ca="1">IF(ISERROR(MATCH(C485,Код_Раздел,0)),"",INDIRECT(ADDRESS(MATCH(C485,Код_Раздел,0)+1,2,,,"Раздел")))</f>
        <v>Национальная безопасность и правоохранительная  деятельность</v>
      </c>
      <c r="B485" s="29" t="s">
        <v>453</v>
      </c>
      <c r="C485" s="6" t="s">
        <v>189</v>
      </c>
      <c r="D485" s="1"/>
      <c r="E485" s="69"/>
      <c r="F485" s="58">
        <f aca="true" t="shared" si="140" ref="F485:G487">F486</f>
        <v>77.9</v>
      </c>
      <c r="G485" s="58">
        <f t="shared" si="140"/>
        <v>77.9</v>
      </c>
    </row>
    <row r="486" spans="1:7" ht="36.75" customHeight="1">
      <c r="A486" s="59" t="s">
        <v>231</v>
      </c>
      <c r="B486" s="29" t="s">
        <v>453</v>
      </c>
      <c r="C486" s="6" t="s">
        <v>189</v>
      </c>
      <c r="D486" s="1" t="s">
        <v>193</v>
      </c>
      <c r="E486" s="69"/>
      <c r="F486" s="58">
        <f t="shared" si="140"/>
        <v>77.9</v>
      </c>
      <c r="G486" s="58">
        <f t="shared" si="140"/>
        <v>77.9</v>
      </c>
    </row>
    <row r="487" spans="1:7" ht="19.5" customHeight="1">
      <c r="A487" s="55" t="str">
        <f ca="1">IF(ISERROR(MATCH(E487,Код_КВР,0)),"",INDIRECT(ADDRESS(MATCH(E487,Код_КВР,0)+1,2,,,"КВР")))</f>
        <v>Закупка товаров, работ и услуг для муниципальных нужд</v>
      </c>
      <c r="B487" s="29" t="s">
        <v>453</v>
      </c>
      <c r="C487" s="6" t="s">
        <v>189</v>
      </c>
      <c r="D487" s="1" t="s">
        <v>193</v>
      </c>
      <c r="E487" s="69">
        <v>200</v>
      </c>
      <c r="F487" s="58">
        <f t="shared" si="140"/>
        <v>77.9</v>
      </c>
      <c r="G487" s="58">
        <f t="shared" si="140"/>
        <v>77.9</v>
      </c>
    </row>
    <row r="488" spans="1:7" ht="36.75" customHeight="1">
      <c r="A488" s="55" t="str">
        <f ca="1">IF(ISERROR(MATCH(E488,Код_КВР,0)),"",INDIRECT(ADDRESS(MATCH(E488,Код_КВР,0)+1,2,,,"КВР")))</f>
        <v>Иные закупки товаров, работ и услуг для обеспечения муниципальных нужд</v>
      </c>
      <c r="B488" s="29" t="s">
        <v>453</v>
      </c>
      <c r="C488" s="6" t="s">
        <v>189</v>
      </c>
      <c r="D488" s="1" t="s">
        <v>193</v>
      </c>
      <c r="E488" s="69">
        <v>240</v>
      </c>
      <c r="F488" s="58">
        <f>'прил.16'!G159</f>
        <v>77.9</v>
      </c>
      <c r="G488" s="58">
        <f>'прил.16'!H159</f>
        <v>77.9</v>
      </c>
    </row>
    <row r="489" spans="1:7" ht="20.25" customHeight="1">
      <c r="A489" s="55" t="str">
        <f ca="1">IF(ISERROR(MATCH(B489,Код_КЦСР,0)),"",INDIRECT(ADDRESS(MATCH(B489,Код_КЦСР,0)+1,2,,,"КЦСР")))</f>
        <v>Пропаганда здорового образа жизни</v>
      </c>
      <c r="B489" s="29" t="s">
        <v>455</v>
      </c>
      <c r="C489" s="6"/>
      <c r="D489" s="1"/>
      <c r="E489" s="69"/>
      <c r="F489" s="58">
        <f>F490+F494+F501</f>
        <v>738.6</v>
      </c>
      <c r="G489" s="58">
        <f>G490+G494+G501</f>
        <v>738.6</v>
      </c>
    </row>
    <row r="490" spans="1:7" ht="20.25" customHeight="1">
      <c r="A490" s="55" t="str">
        <f ca="1">IF(ISERROR(MATCH(C490,Код_Раздел,0)),"",INDIRECT(ADDRESS(MATCH(C490,Код_Раздел,0)+1,2,,,"Раздел")))</f>
        <v>Общегосударственные  вопросы</v>
      </c>
      <c r="B490" s="29" t="s">
        <v>455</v>
      </c>
      <c r="C490" s="6" t="s">
        <v>187</v>
      </c>
      <c r="D490" s="1"/>
      <c r="E490" s="69"/>
      <c r="F490" s="58">
        <f aca="true" t="shared" si="141" ref="F490:G492">F491</f>
        <v>257.3</v>
      </c>
      <c r="G490" s="58">
        <f t="shared" si="141"/>
        <v>257.3</v>
      </c>
    </row>
    <row r="491" spans="1:7" ht="20.25" customHeight="1">
      <c r="A491" s="59" t="s">
        <v>209</v>
      </c>
      <c r="B491" s="29" t="s">
        <v>455</v>
      </c>
      <c r="C491" s="6" t="s">
        <v>187</v>
      </c>
      <c r="D491" s="1" t="s">
        <v>165</v>
      </c>
      <c r="E491" s="69"/>
      <c r="F491" s="58">
        <f t="shared" si="141"/>
        <v>257.3</v>
      </c>
      <c r="G491" s="58">
        <f t="shared" si="141"/>
        <v>257.3</v>
      </c>
    </row>
    <row r="492" spans="1:7" ht="20.25" customHeight="1">
      <c r="A492" s="55" t="str">
        <f ca="1">IF(ISERROR(MATCH(E492,Код_КВР,0)),"",INDIRECT(ADDRESS(MATCH(E492,Код_КВР,0)+1,2,,,"КВР")))</f>
        <v>Закупка товаров, работ и услуг для муниципальных нужд</v>
      </c>
      <c r="B492" s="29" t="s">
        <v>455</v>
      </c>
      <c r="C492" s="6" t="s">
        <v>187</v>
      </c>
      <c r="D492" s="1" t="s">
        <v>165</v>
      </c>
      <c r="E492" s="69">
        <v>200</v>
      </c>
      <c r="F492" s="58">
        <f t="shared" si="141"/>
        <v>257.3</v>
      </c>
      <c r="G492" s="58">
        <f t="shared" si="141"/>
        <v>257.3</v>
      </c>
    </row>
    <row r="493" spans="1:7" ht="36.75" customHeight="1">
      <c r="A493" s="55" t="str">
        <f ca="1">IF(ISERROR(MATCH(E493,Код_КВР,0)),"",INDIRECT(ADDRESS(MATCH(E493,Код_КВР,0)+1,2,,,"КВР")))</f>
        <v>Иные закупки товаров, работ и услуг для обеспечения муниципальных нужд</v>
      </c>
      <c r="B493" s="29" t="s">
        <v>455</v>
      </c>
      <c r="C493" s="6" t="s">
        <v>187</v>
      </c>
      <c r="D493" s="1" t="s">
        <v>165</v>
      </c>
      <c r="E493" s="69">
        <v>240</v>
      </c>
      <c r="F493" s="58">
        <f>'прил.16'!G83</f>
        <v>257.3</v>
      </c>
      <c r="G493" s="58">
        <f>'прил.16'!H83</f>
        <v>257.3</v>
      </c>
    </row>
    <row r="494" spans="1:7" ht="12.75">
      <c r="A494" s="55" t="str">
        <f ca="1">IF(ISERROR(MATCH(C494,Код_Раздел,0)),"",INDIRECT(ADDRESS(MATCH(C494,Код_Раздел,0)+1,2,,,"Раздел")))</f>
        <v>Образование</v>
      </c>
      <c r="B494" s="29" t="s">
        <v>455</v>
      </c>
      <c r="C494" s="6" t="s">
        <v>170</v>
      </c>
      <c r="D494" s="1"/>
      <c r="E494" s="69"/>
      <c r="F494" s="58">
        <f>F495+F498</f>
        <v>332.9</v>
      </c>
      <c r="G494" s="58">
        <f>G495+G498</f>
        <v>332.9</v>
      </c>
    </row>
    <row r="495" spans="1:7" ht="12.75">
      <c r="A495" s="59" t="s">
        <v>174</v>
      </c>
      <c r="B495" s="29" t="s">
        <v>455</v>
      </c>
      <c r="C495" s="6" t="s">
        <v>170</v>
      </c>
      <c r="D495" s="1" t="s">
        <v>170</v>
      </c>
      <c r="E495" s="69"/>
      <c r="F495" s="58">
        <f aca="true" t="shared" si="142" ref="F495:G496">F496</f>
        <v>332.9</v>
      </c>
      <c r="G495" s="58">
        <f t="shared" si="142"/>
        <v>332.9</v>
      </c>
    </row>
    <row r="496" spans="1:7" ht="36.75" customHeight="1">
      <c r="A496" s="55" t="str">
        <f ca="1">IF(ISERROR(MATCH(E496,Код_КВР,0)),"",INDIRECT(ADDRESS(MATCH(E496,Код_КВР,0)+1,2,,,"КВР")))</f>
        <v>Предоставление субсидий бюджетным, автономным учреждениям и иным некоммерческим организациям</v>
      </c>
      <c r="B496" s="29" t="s">
        <v>455</v>
      </c>
      <c r="C496" s="6" t="s">
        <v>170</v>
      </c>
      <c r="D496" s="1" t="s">
        <v>170</v>
      </c>
      <c r="E496" s="69">
        <v>600</v>
      </c>
      <c r="F496" s="58">
        <f t="shared" si="142"/>
        <v>332.9</v>
      </c>
      <c r="G496" s="58">
        <f t="shared" si="142"/>
        <v>332.9</v>
      </c>
    </row>
    <row r="497" spans="1:7" ht="23.25" customHeight="1">
      <c r="A497" s="55" t="str">
        <f ca="1">IF(ISERROR(MATCH(E497,Код_КВР,0)),"",INDIRECT(ADDRESS(MATCH(E497,Код_КВР,0)+1,2,,,"КВР")))</f>
        <v>Субсидии бюджетным учреждениям</v>
      </c>
      <c r="B497" s="29" t="s">
        <v>455</v>
      </c>
      <c r="C497" s="6" t="s">
        <v>170</v>
      </c>
      <c r="D497" s="1" t="s">
        <v>170</v>
      </c>
      <c r="E497" s="69">
        <v>610</v>
      </c>
      <c r="F497" s="58">
        <f>'прил.16'!G278</f>
        <v>332.9</v>
      </c>
      <c r="G497" s="58">
        <f>'прил.16'!H278</f>
        <v>332.9</v>
      </c>
    </row>
    <row r="498" spans="1:7" ht="12.75" hidden="1">
      <c r="A498" s="59" t="s">
        <v>221</v>
      </c>
      <c r="B498" s="29" t="s">
        <v>455</v>
      </c>
      <c r="C498" s="6" t="s">
        <v>170</v>
      </c>
      <c r="D498" s="6" t="s">
        <v>193</v>
      </c>
      <c r="E498" s="69"/>
      <c r="F498" s="58">
        <f aca="true" t="shared" si="143" ref="F498:G499">F499</f>
        <v>0</v>
      </c>
      <c r="G498" s="58">
        <f t="shared" si="143"/>
        <v>0</v>
      </c>
    </row>
    <row r="499" spans="1:7" ht="12.75" hidden="1">
      <c r="A499" s="55" t="str">
        <f ca="1">IF(ISERROR(MATCH(E499,Код_КВР,0)),"",INDIRECT(ADDRESS(MATCH(E499,Код_КВР,0)+1,2,,,"КВР")))</f>
        <v>Закупка товаров, работ и услуг для муниципальных нужд</v>
      </c>
      <c r="B499" s="29" t="s">
        <v>455</v>
      </c>
      <c r="C499" s="6" t="s">
        <v>170</v>
      </c>
      <c r="D499" s="6" t="s">
        <v>193</v>
      </c>
      <c r="E499" s="69">
        <v>200</v>
      </c>
      <c r="F499" s="58">
        <f t="shared" si="143"/>
        <v>0</v>
      </c>
      <c r="G499" s="58">
        <f t="shared" si="143"/>
        <v>0</v>
      </c>
    </row>
    <row r="500" spans="1:7" ht="33" hidden="1">
      <c r="A500" s="55" t="str">
        <f ca="1">IF(ISERROR(MATCH(E500,Код_КВР,0)),"",INDIRECT(ADDRESS(MATCH(E500,Код_КВР,0)+1,2,,,"КВР")))</f>
        <v>Иные закупки товаров, работ и услуг для обеспечения муниципальных нужд</v>
      </c>
      <c r="B500" s="29" t="s">
        <v>455</v>
      </c>
      <c r="C500" s="6" t="s">
        <v>170</v>
      </c>
      <c r="D500" s="6" t="s">
        <v>193</v>
      </c>
      <c r="E500" s="69">
        <v>240</v>
      </c>
      <c r="F500" s="58"/>
      <c r="G500" s="58"/>
    </row>
    <row r="501" spans="1:7" ht="23.25" customHeight="1">
      <c r="A501" s="55" t="str">
        <f ca="1">IF(ISERROR(MATCH(C501,Код_Раздел,0)),"",INDIRECT(ADDRESS(MATCH(C501,Код_Раздел,0)+1,2,,,"Раздел")))</f>
        <v>Культура, кинематография</v>
      </c>
      <c r="B501" s="29" t="s">
        <v>455</v>
      </c>
      <c r="C501" s="6" t="s">
        <v>196</v>
      </c>
      <c r="D501" s="1"/>
      <c r="E501" s="69"/>
      <c r="F501" s="58">
        <f aca="true" t="shared" si="144" ref="F501:G503">F502</f>
        <v>148.4</v>
      </c>
      <c r="G501" s="58">
        <f t="shared" si="144"/>
        <v>148.4</v>
      </c>
    </row>
    <row r="502" spans="1:7" ht="20.25" customHeight="1">
      <c r="A502" s="59" t="s">
        <v>139</v>
      </c>
      <c r="B502" s="29" t="s">
        <v>455</v>
      </c>
      <c r="C502" s="6" t="s">
        <v>196</v>
      </c>
      <c r="D502" s="1" t="s">
        <v>190</v>
      </c>
      <c r="E502" s="69"/>
      <c r="F502" s="58">
        <f t="shared" si="144"/>
        <v>148.4</v>
      </c>
      <c r="G502" s="58">
        <f t="shared" si="144"/>
        <v>148.4</v>
      </c>
    </row>
    <row r="503" spans="1:7" ht="33">
      <c r="A503" s="55" t="str">
        <f ca="1">IF(ISERROR(MATCH(E503,Код_КВР,0)),"",INDIRECT(ADDRESS(MATCH(E503,Код_КВР,0)+1,2,,,"КВР")))</f>
        <v>Предоставление субсидий бюджетным, автономным учреждениям и иным некоммерческим организациям</v>
      </c>
      <c r="B503" s="29" t="s">
        <v>455</v>
      </c>
      <c r="C503" s="6" t="s">
        <v>196</v>
      </c>
      <c r="D503" s="1" t="s">
        <v>190</v>
      </c>
      <c r="E503" s="69">
        <v>600</v>
      </c>
      <c r="F503" s="58">
        <f t="shared" si="144"/>
        <v>148.4</v>
      </c>
      <c r="G503" s="58">
        <f t="shared" si="144"/>
        <v>148.4</v>
      </c>
    </row>
    <row r="504" spans="1:7" ht="20.25" customHeight="1">
      <c r="A504" s="55" t="str">
        <f ca="1">IF(ISERROR(MATCH(E504,Код_КВР,0)),"",INDIRECT(ADDRESS(MATCH(E504,Код_КВР,0)+1,2,,,"КВР")))</f>
        <v>Субсидии бюджетным учреждениям</v>
      </c>
      <c r="B504" s="29" t="s">
        <v>455</v>
      </c>
      <c r="C504" s="6" t="s">
        <v>196</v>
      </c>
      <c r="D504" s="1" t="s">
        <v>190</v>
      </c>
      <c r="E504" s="69">
        <v>610</v>
      </c>
      <c r="F504" s="58">
        <f>'прил.16'!G807</f>
        <v>148.4</v>
      </c>
      <c r="G504" s="58">
        <f>'прил.16'!H807</f>
        <v>148.4</v>
      </c>
    </row>
    <row r="505" spans="1:7" ht="22.5" customHeight="1">
      <c r="A505" s="55" t="str">
        <f ca="1">IF(ISERROR(MATCH(B505,Код_КЦСР,0)),"",INDIRECT(ADDRESS(MATCH(B505,Код_КЦСР,0)+1,2,,,"КЦСР")))</f>
        <v>Здоровье на рабочем месте</v>
      </c>
      <c r="B505" s="29" t="s">
        <v>457</v>
      </c>
      <c r="C505" s="6"/>
      <c r="D505" s="1"/>
      <c r="E505" s="69"/>
      <c r="F505" s="58">
        <f aca="true" t="shared" si="145" ref="F505:G505">F506</f>
        <v>60</v>
      </c>
      <c r="G505" s="58">
        <f t="shared" si="145"/>
        <v>60</v>
      </c>
    </row>
    <row r="506" spans="1:7" ht="19.5" customHeight="1">
      <c r="A506" s="55" t="str">
        <f ca="1">IF(ISERROR(MATCH(C506,Код_Раздел,0)),"",INDIRECT(ADDRESS(MATCH(C506,Код_Раздел,0)+1,2,,,"Раздел")))</f>
        <v>Общегосударственные  вопросы</v>
      </c>
      <c r="B506" s="29" t="s">
        <v>457</v>
      </c>
      <c r="C506" s="6" t="s">
        <v>187</v>
      </c>
      <c r="D506" s="1"/>
      <c r="E506" s="92"/>
      <c r="F506" s="58">
        <f aca="true" t="shared" si="146" ref="F506:G506">F507</f>
        <v>60</v>
      </c>
      <c r="G506" s="58">
        <f t="shared" si="146"/>
        <v>60</v>
      </c>
    </row>
    <row r="507" spans="1:7" ht="24.75" customHeight="1">
      <c r="A507" s="59" t="s">
        <v>209</v>
      </c>
      <c r="B507" s="29" t="s">
        <v>457</v>
      </c>
      <c r="C507" s="6" t="s">
        <v>187</v>
      </c>
      <c r="D507" s="1" t="s">
        <v>165</v>
      </c>
      <c r="E507" s="92"/>
      <c r="F507" s="58">
        <f aca="true" t="shared" si="147" ref="F507:G507">F508</f>
        <v>60</v>
      </c>
      <c r="G507" s="58">
        <f t="shared" si="147"/>
        <v>60</v>
      </c>
    </row>
    <row r="508" spans="1:7" ht="24.75" customHeight="1">
      <c r="A508" s="55" t="str">
        <f ca="1">IF(ISERROR(MATCH(E508,Код_КВР,0)),"",INDIRECT(ADDRESS(MATCH(E508,Код_КВР,0)+1,2,,,"КВР")))</f>
        <v>Закупка товаров, работ и услуг для муниципальных нужд</v>
      </c>
      <c r="B508" s="29" t="s">
        <v>457</v>
      </c>
      <c r="C508" s="6" t="s">
        <v>187</v>
      </c>
      <c r="D508" s="1" t="s">
        <v>165</v>
      </c>
      <c r="E508" s="92">
        <v>200</v>
      </c>
      <c r="F508" s="58">
        <f aca="true" t="shared" si="148" ref="F508:G508">F509</f>
        <v>60</v>
      </c>
      <c r="G508" s="58">
        <f t="shared" si="148"/>
        <v>60</v>
      </c>
    </row>
    <row r="509" spans="1:7" ht="37.5" customHeight="1">
      <c r="A509" s="55" t="str">
        <f ca="1">IF(ISERROR(MATCH(E509,Код_КВР,0)),"",INDIRECT(ADDRESS(MATCH(E509,Код_КВР,0)+1,2,,,"КВР")))</f>
        <v>Иные закупки товаров, работ и услуг для обеспечения муниципальных нужд</v>
      </c>
      <c r="B509" s="29" t="s">
        <v>457</v>
      </c>
      <c r="C509" s="6" t="s">
        <v>187</v>
      </c>
      <c r="D509" s="1" t="s">
        <v>165</v>
      </c>
      <c r="E509" s="92">
        <v>240</v>
      </c>
      <c r="F509" s="58">
        <f>'прил.16'!G86</f>
        <v>60</v>
      </c>
      <c r="G509" s="58">
        <f>'прил.16'!H86</f>
        <v>60</v>
      </c>
    </row>
    <row r="510" spans="1:7" ht="39.75" customHeight="1">
      <c r="A510" s="55" t="str">
        <f ca="1">IF(ISERROR(MATCH(B510,Код_КЦСР,0)),"",INDIRECT(ADDRESS(MATCH(B510,Код_КЦСР,0)+1,2,,,"КЦСР")))</f>
        <v>Муниципальная программа «iCity – Современные информационные технологии г. Череповца»  на 2014-2020 годы</v>
      </c>
      <c r="B510" s="29" t="s">
        <v>459</v>
      </c>
      <c r="C510" s="6"/>
      <c r="D510" s="1"/>
      <c r="E510" s="69"/>
      <c r="F510" s="58">
        <f>F511+F516</f>
        <v>45013.9</v>
      </c>
      <c r="G510" s="58">
        <f>G511+G516</f>
        <v>45076.3</v>
      </c>
    </row>
    <row r="511" spans="1:7" ht="56.25" customHeight="1" hidden="1">
      <c r="A511" s="55" t="str">
        <f ca="1">IF(ISERROR(MATCH(B511,Код_КЦСР,0)),"",INDIRECT(ADDRESS(MATCH(B511,Код_КЦСР,0)+1,2,,,"КЦСР")))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511" s="29" t="s">
        <v>461</v>
      </c>
      <c r="C511" s="6"/>
      <c r="D511" s="1"/>
      <c r="E511" s="69"/>
      <c r="F511" s="58">
        <f aca="true" t="shared" si="149" ref="F511:G514">F512</f>
        <v>0</v>
      </c>
      <c r="G511" s="58">
        <f t="shared" si="149"/>
        <v>0</v>
      </c>
    </row>
    <row r="512" spans="1:7" ht="12.75" hidden="1">
      <c r="A512" s="55" t="str">
        <f ca="1">IF(ISERROR(MATCH(C512,Код_Раздел,0)),"",INDIRECT(ADDRESS(MATCH(C512,Код_Раздел,0)+1,2,,,"Раздел")))</f>
        <v>Национальная экономика</v>
      </c>
      <c r="B512" s="29" t="s">
        <v>461</v>
      </c>
      <c r="C512" s="6" t="s">
        <v>190</v>
      </c>
      <c r="D512" s="1"/>
      <c r="E512" s="69"/>
      <c r="F512" s="58">
        <f t="shared" si="149"/>
        <v>0</v>
      </c>
      <c r="G512" s="58">
        <f t="shared" si="149"/>
        <v>0</v>
      </c>
    </row>
    <row r="513" spans="1:7" ht="12.75" hidden="1">
      <c r="A513" s="59" t="s">
        <v>204</v>
      </c>
      <c r="B513" s="29" t="s">
        <v>461</v>
      </c>
      <c r="C513" s="6" t="s">
        <v>190</v>
      </c>
      <c r="D513" s="1" t="s">
        <v>163</v>
      </c>
      <c r="E513" s="69"/>
      <c r="F513" s="58">
        <f t="shared" si="149"/>
        <v>0</v>
      </c>
      <c r="G513" s="58">
        <f t="shared" si="149"/>
        <v>0</v>
      </c>
    </row>
    <row r="514" spans="1:7" ht="36.75" customHeight="1" hidden="1">
      <c r="A514" s="55" t="str">
        <f ca="1">IF(ISERROR(MATCH(E514,Код_КВР,0)),"",INDIRECT(ADDRESS(MATCH(E514,Код_КВР,0)+1,2,,,"КВР")))</f>
        <v>Предоставление субсидий бюджетным, автономным учреждениям и иным некоммерческим организациям</v>
      </c>
      <c r="B514" s="29" t="s">
        <v>461</v>
      </c>
      <c r="C514" s="6" t="s">
        <v>190</v>
      </c>
      <c r="D514" s="1" t="s">
        <v>163</v>
      </c>
      <c r="E514" s="69">
        <v>600</v>
      </c>
      <c r="F514" s="58">
        <f t="shared" si="149"/>
        <v>0</v>
      </c>
      <c r="G514" s="58">
        <f t="shared" si="149"/>
        <v>0</v>
      </c>
    </row>
    <row r="515" spans="1:7" ht="12.75" hidden="1">
      <c r="A515" s="55" t="str">
        <f ca="1">IF(ISERROR(MATCH(E515,Код_КВР,0)),"",INDIRECT(ADDRESS(MATCH(E515,Код_КВР,0)+1,2,,,"КВР")))</f>
        <v>Субсидии бюджетным учреждениям</v>
      </c>
      <c r="B515" s="29" t="s">
        <v>461</v>
      </c>
      <c r="C515" s="6" t="s">
        <v>190</v>
      </c>
      <c r="D515" s="1" t="s">
        <v>163</v>
      </c>
      <c r="E515" s="69">
        <v>610</v>
      </c>
      <c r="F515" s="58">
        <f>'прил.16'!G216</f>
        <v>0</v>
      </c>
      <c r="G515" s="58">
        <f>'прил.16'!H216</f>
        <v>0</v>
      </c>
    </row>
    <row r="516" spans="1:7" ht="85.5" customHeight="1">
      <c r="A516" s="55" t="str">
        <f ca="1">IF(ISERROR(MATCH(B516,Код_КЦСР,0)),"",INDIRECT(ADDRESS(MATCH(B516,Код_КЦСР,0)+1,2,,,"КЦСР")))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516" s="29" t="s">
        <v>462</v>
      </c>
      <c r="C516" s="6"/>
      <c r="D516" s="1"/>
      <c r="E516" s="69"/>
      <c r="F516" s="58">
        <f aca="true" t="shared" si="150" ref="F516:G518">F517</f>
        <v>45013.9</v>
      </c>
      <c r="G516" s="58">
        <f t="shared" si="150"/>
        <v>45076.3</v>
      </c>
    </row>
    <row r="517" spans="1:7" ht="12.75">
      <c r="A517" s="55" t="str">
        <f ca="1">IF(ISERROR(MATCH(C517,Код_Раздел,0)),"",INDIRECT(ADDRESS(MATCH(C517,Код_Раздел,0)+1,2,,,"Раздел")))</f>
        <v>Национальная экономика</v>
      </c>
      <c r="B517" s="29" t="s">
        <v>462</v>
      </c>
      <c r="C517" s="6" t="s">
        <v>190</v>
      </c>
      <c r="D517" s="1"/>
      <c r="E517" s="69"/>
      <c r="F517" s="58">
        <f t="shared" si="150"/>
        <v>45013.9</v>
      </c>
      <c r="G517" s="58">
        <f t="shared" si="150"/>
        <v>45076.3</v>
      </c>
    </row>
    <row r="518" spans="1:7" ht="12.75">
      <c r="A518" s="59" t="s">
        <v>204</v>
      </c>
      <c r="B518" s="29" t="s">
        <v>462</v>
      </c>
      <c r="C518" s="6" t="s">
        <v>190</v>
      </c>
      <c r="D518" s="1" t="s">
        <v>163</v>
      </c>
      <c r="E518" s="69"/>
      <c r="F518" s="58">
        <f t="shared" si="150"/>
        <v>45013.9</v>
      </c>
      <c r="G518" s="58">
        <f t="shared" si="150"/>
        <v>45076.3</v>
      </c>
    </row>
    <row r="519" spans="1:7" ht="35.25" customHeight="1">
      <c r="A519" s="55" t="str">
        <f ca="1">IF(ISERROR(MATCH(E519,Код_КВР,0)),"",INDIRECT(ADDRESS(MATCH(E519,Код_КВР,0)+1,2,,,"КВР")))</f>
        <v>Предоставление субсидий бюджетным, автономным учреждениям и иным некоммерческим организациям</v>
      </c>
      <c r="B519" s="29" t="s">
        <v>462</v>
      </c>
      <c r="C519" s="6" t="s">
        <v>190</v>
      </c>
      <c r="D519" s="1" t="s">
        <v>163</v>
      </c>
      <c r="E519" s="69">
        <v>600</v>
      </c>
      <c r="F519" s="58">
        <f>SUM(F520:F520)</f>
        <v>45013.9</v>
      </c>
      <c r="G519" s="58">
        <f>SUM(G520:G520)</f>
        <v>45076.3</v>
      </c>
    </row>
    <row r="520" spans="1:7" ht="12.75">
      <c r="A520" s="55" t="str">
        <f ca="1">IF(ISERROR(MATCH(E520,Код_КВР,0)),"",INDIRECT(ADDRESS(MATCH(E520,Код_КВР,0)+1,2,,,"КВР")))</f>
        <v>Субсидии бюджетным учреждениям</v>
      </c>
      <c r="B520" s="29" t="s">
        <v>462</v>
      </c>
      <c r="C520" s="6" t="s">
        <v>190</v>
      </c>
      <c r="D520" s="1" t="s">
        <v>163</v>
      </c>
      <c r="E520" s="69">
        <v>610</v>
      </c>
      <c r="F520" s="58">
        <f>'прил.16'!G219</f>
        <v>45013.9</v>
      </c>
      <c r="G520" s="58">
        <f>'прил.16'!H219</f>
        <v>45076.3</v>
      </c>
    </row>
    <row r="521" spans="1:7" ht="35.25" customHeight="1">
      <c r="A521" s="55" t="str">
        <f ca="1">IF(ISERROR(MATCH(B521,Код_КЦСР,0)),"",INDIRECT(ADDRESS(MATCH(B521,Код_КЦСР,0)+1,2,,,"КЦСР")))</f>
        <v>Муниципальная программа «Развитие внутреннего и въездного туризма в г. Череповце» на 2014-2022 годы</v>
      </c>
      <c r="B521" s="31" t="s">
        <v>1</v>
      </c>
      <c r="C521" s="6"/>
      <c r="D521" s="1"/>
      <c r="E521" s="69"/>
      <c r="F521" s="58">
        <f>F527+F532+F522</f>
        <v>50</v>
      </c>
      <c r="G521" s="58">
        <f>G527+G532+G522</f>
        <v>50</v>
      </c>
    </row>
    <row r="522" spans="1:7" ht="35.25" customHeight="1" hidden="1">
      <c r="A522" s="55" t="str">
        <f ca="1">IF(ISERROR(MATCH(B522,Код_КЦСР,0)),"",INDIRECT(ADDRESS(MATCH(B522,Код_КЦСР,0)+1,2,,,"КЦСР")))</f>
        <v xml:space="preserve">Организационно-методическое и информационное обеспечение туристской деятельности </v>
      </c>
      <c r="B522" s="31" t="s">
        <v>533</v>
      </c>
      <c r="C522" s="6"/>
      <c r="D522" s="1"/>
      <c r="E522" s="92"/>
      <c r="F522" s="58">
        <f aca="true" t="shared" si="151" ref="F522:G525">F523</f>
        <v>0</v>
      </c>
      <c r="G522" s="58">
        <f t="shared" si="151"/>
        <v>0</v>
      </c>
    </row>
    <row r="523" spans="1:7" ht="19.5" customHeight="1" hidden="1">
      <c r="A523" s="55" t="str">
        <f ca="1">IF(ISERROR(MATCH(C523,Код_Раздел,0)),"",INDIRECT(ADDRESS(MATCH(C523,Код_Раздел,0)+1,2,,,"Раздел")))</f>
        <v>Национальная экономика</v>
      </c>
      <c r="B523" s="31" t="s">
        <v>533</v>
      </c>
      <c r="C523" s="6" t="s">
        <v>190</v>
      </c>
      <c r="D523" s="1"/>
      <c r="E523" s="92"/>
      <c r="F523" s="58">
        <f t="shared" si="151"/>
        <v>0</v>
      </c>
      <c r="G523" s="58">
        <f t="shared" si="151"/>
        <v>0</v>
      </c>
    </row>
    <row r="524" spans="1:7" ht="21.95" customHeight="1" hidden="1">
      <c r="A524" s="59" t="s">
        <v>204</v>
      </c>
      <c r="B524" s="31" t="s">
        <v>533</v>
      </c>
      <c r="C524" s="6" t="s">
        <v>190</v>
      </c>
      <c r="D524" s="6" t="s">
        <v>163</v>
      </c>
      <c r="E524" s="92"/>
      <c r="F524" s="58">
        <f t="shared" si="151"/>
        <v>0</v>
      </c>
      <c r="G524" s="58">
        <f t="shared" si="151"/>
        <v>0</v>
      </c>
    </row>
    <row r="525" spans="1:7" ht="35.25" customHeight="1" hidden="1">
      <c r="A525" s="55" t="str">
        <f aca="true" t="shared" si="152" ref="A525:A526">IF(ISERROR(MATCH(E525,Код_КВР,0)),"",INDIRECT(ADDRESS(MATCH(E525,Код_КВР,0)+1,2,,,"КВР")))</f>
        <v>Предоставление субсидий бюджетным, автономным учреждениям и иным некоммерческим организациям</v>
      </c>
      <c r="B525" s="31" t="s">
        <v>533</v>
      </c>
      <c r="C525" s="6" t="s">
        <v>190</v>
      </c>
      <c r="D525" s="6" t="s">
        <v>163</v>
      </c>
      <c r="E525" s="92">
        <v>600</v>
      </c>
      <c r="F525" s="58">
        <f t="shared" si="151"/>
        <v>0</v>
      </c>
      <c r="G525" s="58">
        <f t="shared" si="151"/>
        <v>0</v>
      </c>
    </row>
    <row r="526" spans="1:7" ht="19.7" customHeight="1" hidden="1">
      <c r="A526" s="55" t="str">
        <f ca="1" t="shared" si="152"/>
        <v>Субсидии бюджетным учреждениям</v>
      </c>
      <c r="B526" s="31" t="s">
        <v>533</v>
      </c>
      <c r="C526" s="6" t="s">
        <v>190</v>
      </c>
      <c r="D526" s="6" t="s">
        <v>163</v>
      </c>
      <c r="E526" s="92">
        <v>610</v>
      </c>
      <c r="F526" s="58">
        <f>'прил.16'!G223</f>
        <v>0</v>
      </c>
      <c r="G526" s="58">
        <f>'прил.16'!H223</f>
        <v>0</v>
      </c>
    </row>
    <row r="527" spans="1:7" ht="39.75" customHeight="1">
      <c r="A527" s="55" t="str">
        <f ca="1">IF(ISERROR(MATCH(B527,Код_КЦСР,0)),"",INDIRECT(ADDRESS(MATCH(B527,Код_КЦСР,0)+1,2,,,"КЦСР")))</f>
        <v>Продвижение городского туристского продукта на российском рынке</v>
      </c>
      <c r="B527" s="31" t="s">
        <v>2</v>
      </c>
      <c r="C527" s="6"/>
      <c r="D527" s="1"/>
      <c r="E527" s="69"/>
      <c r="F527" s="58">
        <f aca="true" t="shared" si="153" ref="F527:G529">F528</f>
        <v>22</v>
      </c>
      <c r="G527" s="58">
        <f t="shared" si="153"/>
        <v>22</v>
      </c>
    </row>
    <row r="528" spans="1:7" ht="20.45" customHeight="1">
      <c r="A528" s="55" t="str">
        <f ca="1">IF(ISERROR(MATCH(C528,Код_Раздел,0)),"",INDIRECT(ADDRESS(MATCH(C528,Код_Раздел,0)+1,2,,,"Раздел")))</f>
        <v>Национальная экономика</v>
      </c>
      <c r="B528" s="31" t="s">
        <v>2</v>
      </c>
      <c r="C528" s="6" t="s">
        <v>190</v>
      </c>
      <c r="D528" s="1"/>
      <c r="E528" s="69"/>
      <c r="F528" s="58">
        <f t="shared" si="153"/>
        <v>22</v>
      </c>
      <c r="G528" s="58">
        <f t="shared" si="153"/>
        <v>22</v>
      </c>
    </row>
    <row r="529" spans="1:7" ht="19.15" customHeight="1">
      <c r="A529" s="59" t="s">
        <v>209</v>
      </c>
      <c r="B529" s="31" t="s">
        <v>2</v>
      </c>
      <c r="C529" s="6" t="s">
        <v>190</v>
      </c>
      <c r="D529" s="6" t="s">
        <v>171</v>
      </c>
      <c r="E529" s="69"/>
      <c r="F529" s="58">
        <f t="shared" si="153"/>
        <v>22</v>
      </c>
      <c r="G529" s="58">
        <f t="shared" si="153"/>
        <v>22</v>
      </c>
    </row>
    <row r="530" spans="1:7" ht="12.75">
      <c r="A530" s="55" t="str">
        <f aca="true" t="shared" si="154" ref="A530:A531">IF(ISERROR(MATCH(E530,Код_КВР,0)),"",INDIRECT(ADDRESS(MATCH(E530,Код_КВР,0)+1,2,,,"КВР")))</f>
        <v>Закупка товаров, работ и услуг для муниципальных нужд</v>
      </c>
      <c r="B530" s="31" t="s">
        <v>2</v>
      </c>
      <c r="C530" s="6" t="s">
        <v>190</v>
      </c>
      <c r="D530" s="6" t="s">
        <v>171</v>
      </c>
      <c r="E530" s="69">
        <v>200</v>
      </c>
      <c r="F530" s="58">
        <f aca="true" t="shared" si="155" ref="F530:G530">F531</f>
        <v>22</v>
      </c>
      <c r="G530" s="58">
        <f t="shared" si="155"/>
        <v>22</v>
      </c>
    </row>
    <row r="531" spans="1:7" ht="36" customHeight="1">
      <c r="A531" s="55" t="str">
        <f ca="1" t="shared" si="154"/>
        <v>Иные закупки товаров, работ и услуг для обеспечения муниципальных нужд</v>
      </c>
      <c r="B531" s="31" t="s">
        <v>2</v>
      </c>
      <c r="C531" s="6" t="s">
        <v>190</v>
      </c>
      <c r="D531" s="6" t="s">
        <v>171</v>
      </c>
      <c r="E531" s="69">
        <v>240</v>
      </c>
      <c r="F531" s="58">
        <f>'прил.16'!G383</f>
        <v>22</v>
      </c>
      <c r="G531" s="58">
        <f>'прил.16'!H383</f>
        <v>22</v>
      </c>
    </row>
    <row r="532" spans="1:7" ht="12.75">
      <c r="A532" s="55" t="str">
        <f ca="1">IF(ISERROR(MATCH(B532,Код_КЦСР,0)),"",INDIRECT(ADDRESS(MATCH(B532,Код_КЦСР,0)+1,2,,,"КЦСР")))</f>
        <v>Развитие туристской инфраструктуры</v>
      </c>
      <c r="B532" s="31" t="s">
        <v>3</v>
      </c>
      <c r="C532" s="6"/>
      <c r="D532" s="1"/>
      <c r="E532" s="69"/>
      <c r="F532" s="58">
        <f aca="true" t="shared" si="156" ref="F532:G535">F533</f>
        <v>28</v>
      </c>
      <c r="G532" s="58">
        <f t="shared" si="156"/>
        <v>28</v>
      </c>
    </row>
    <row r="533" spans="1:7" ht="12.75">
      <c r="A533" s="55" t="str">
        <f ca="1">IF(ISERROR(MATCH(C533,Код_Раздел,0)),"",INDIRECT(ADDRESS(MATCH(C533,Код_Раздел,0)+1,2,,,"Раздел")))</f>
        <v>Национальная экономика</v>
      </c>
      <c r="B533" s="31" t="s">
        <v>3</v>
      </c>
      <c r="C533" s="6" t="s">
        <v>190</v>
      </c>
      <c r="D533" s="1"/>
      <c r="E533" s="69"/>
      <c r="F533" s="58">
        <f t="shared" si="156"/>
        <v>28</v>
      </c>
      <c r="G533" s="58">
        <f t="shared" si="156"/>
        <v>28</v>
      </c>
    </row>
    <row r="534" spans="1:7" ht="12.75">
      <c r="A534" s="59" t="s">
        <v>209</v>
      </c>
      <c r="B534" s="31" t="s">
        <v>3</v>
      </c>
      <c r="C534" s="6" t="s">
        <v>190</v>
      </c>
      <c r="D534" s="6" t="s">
        <v>171</v>
      </c>
      <c r="E534" s="69"/>
      <c r="F534" s="58">
        <f t="shared" si="156"/>
        <v>28</v>
      </c>
      <c r="G534" s="58">
        <f t="shared" si="156"/>
        <v>28</v>
      </c>
    </row>
    <row r="535" spans="1:7" ht="12.75">
      <c r="A535" s="55" t="str">
        <f ca="1">IF(ISERROR(MATCH(E535,Код_КВР,0)),"",INDIRECT(ADDRESS(MATCH(E535,Код_КВР,0)+1,2,,,"КВР")))</f>
        <v>Закупка товаров, работ и услуг для муниципальных нужд</v>
      </c>
      <c r="B535" s="31" t="s">
        <v>3</v>
      </c>
      <c r="C535" s="6" t="s">
        <v>190</v>
      </c>
      <c r="D535" s="6" t="s">
        <v>171</v>
      </c>
      <c r="E535" s="69">
        <v>200</v>
      </c>
      <c r="F535" s="58">
        <f t="shared" si="156"/>
        <v>28</v>
      </c>
      <c r="G535" s="58">
        <f t="shared" si="156"/>
        <v>28</v>
      </c>
    </row>
    <row r="536" spans="1:7" ht="33">
      <c r="A536" s="55" t="str">
        <f ca="1">IF(ISERROR(MATCH(E536,Код_КВР,0)),"",INDIRECT(ADDRESS(MATCH(E536,Код_КВР,0)+1,2,,,"КВР")))</f>
        <v>Иные закупки товаров, работ и услуг для обеспечения муниципальных нужд</v>
      </c>
      <c r="B536" s="31" t="s">
        <v>3</v>
      </c>
      <c r="C536" s="6" t="s">
        <v>190</v>
      </c>
      <c r="D536" s="6" t="s">
        <v>171</v>
      </c>
      <c r="E536" s="69">
        <v>240</v>
      </c>
      <c r="F536" s="58">
        <f>'прил.16'!G386</f>
        <v>28</v>
      </c>
      <c r="G536" s="58">
        <f>'прил.16'!H386</f>
        <v>28</v>
      </c>
    </row>
    <row r="537" spans="1:7" ht="33">
      <c r="A537" s="55" t="str">
        <f ca="1">IF(ISERROR(MATCH(B537,Код_КЦСР,0)),"",INDIRECT(ADDRESS(MATCH(B537,Код_КЦСР,0)+1,2,,,"КЦСР")))</f>
        <v>Муниципальная программа «Социальная поддержка граждан» на 2014-2018 годы</v>
      </c>
      <c r="B537" s="31" t="s">
        <v>4</v>
      </c>
      <c r="C537" s="6"/>
      <c r="D537" s="1"/>
      <c r="E537" s="69"/>
      <c r="F537" s="58">
        <f>F538+F543+F600+F608+F616+F624+F632+F639+F644+F548+F579+F651+F565+F553+F570</f>
        <v>798697.0999999999</v>
      </c>
      <c r="G537" s="58">
        <f>G538+G543+G600+G608+G616+G624+G632+G639+G644+G548+G579+G651+G565+G553+G570</f>
        <v>922410.9</v>
      </c>
    </row>
    <row r="538" spans="1:7" ht="59.25" customHeight="1">
      <c r="A538" s="55" t="str">
        <f ca="1">IF(ISERROR(MATCH(B538,Код_КЦСР,0)),"",INDIRECT(ADDRESS(MATCH(B538,Код_КЦСР,0)+1,2,,,"КЦСР")))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538" s="31" t="s">
        <v>5</v>
      </c>
      <c r="C538" s="6"/>
      <c r="D538" s="1"/>
      <c r="E538" s="69"/>
      <c r="F538" s="58">
        <f aca="true" t="shared" si="157" ref="F538:G541">F539</f>
        <v>962.5</v>
      </c>
      <c r="G538" s="58">
        <f t="shared" si="157"/>
        <v>962.5</v>
      </c>
    </row>
    <row r="539" spans="1:7" ht="18.75" customHeight="1">
      <c r="A539" s="55" t="str">
        <f ca="1">IF(ISERROR(MATCH(C539,Код_Раздел,0)),"",INDIRECT(ADDRESS(MATCH(C539,Код_Раздел,0)+1,2,,,"Раздел")))</f>
        <v>Образование</v>
      </c>
      <c r="B539" s="31" t="s">
        <v>5</v>
      </c>
      <c r="C539" s="6" t="s">
        <v>170</v>
      </c>
      <c r="D539" s="1"/>
      <c r="E539" s="69"/>
      <c r="F539" s="58">
        <f t="shared" si="157"/>
        <v>962.5</v>
      </c>
      <c r="G539" s="58">
        <f t="shared" si="157"/>
        <v>962.5</v>
      </c>
    </row>
    <row r="540" spans="1:7" ht="24.75" customHeight="1">
      <c r="A540" s="59" t="s">
        <v>174</v>
      </c>
      <c r="B540" s="31" t="s">
        <v>5</v>
      </c>
      <c r="C540" s="6" t="s">
        <v>170</v>
      </c>
      <c r="D540" s="6" t="s">
        <v>170</v>
      </c>
      <c r="E540" s="69"/>
      <c r="F540" s="58">
        <f t="shared" si="157"/>
        <v>962.5</v>
      </c>
      <c r="G540" s="58">
        <f t="shared" si="157"/>
        <v>962.5</v>
      </c>
    </row>
    <row r="541" spans="1:7" ht="20.25" customHeight="1">
      <c r="A541" s="55" t="str">
        <f ca="1">IF(ISERROR(MATCH(E541,Код_КВР,0)),"",INDIRECT(ADDRESS(MATCH(E541,Код_КВР,0)+1,2,,,"КВР")))</f>
        <v>Социальное обеспечение и иные выплаты населению</v>
      </c>
      <c r="B541" s="31" t="s">
        <v>5</v>
      </c>
      <c r="C541" s="6" t="s">
        <v>170</v>
      </c>
      <c r="D541" s="6" t="s">
        <v>170</v>
      </c>
      <c r="E541" s="69">
        <v>300</v>
      </c>
      <c r="F541" s="58">
        <f t="shared" si="157"/>
        <v>962.5</v>
      </c>
      <c r="G541" s="58">
        <f t="shared" si="157"/>
        <v>962.5</v>
      </c>
    </row>
    <row r="542" spans="1:7" ht="36" customHeight="1">
      <c r="A542" s="55" t="str">
        <f ca="1">IF(ISERROR(MATCH(E542,Код_КВР,0)),"",INDIRECT(ADDRESS(MATCH(E542,Код_КВР,0)+1,2,,,"КВР")))</f>
        <v>Социальные выплаты гражданам, кроме публичных нормативных социальных выплат</v>
      </c>
      <c r="B542" s="31" t="s">
        <v>5</v>
      </c>
      <c r="C542" s="6" t="s">
        <v>170</v>
      </c>
      <c r="D542" s="6" t="s">
        <v>170</v>
      </c>
      <c r="E542" s="69">
        <v>320</v>
      </c>
      <c r="F542" s="58">
        <f>'прил.16'!G908</f>
        <v>962.5</v>
      </c>
      <c r="G542" s="58">
        <f>'прил.16'!H908</f>
        <v>962.5</v>
      </c>
    </row>
    <row r="543" spans="1:7" ht="77.25" customHeight="1">
      <c r="A543" s="55" t="str">
        <f ca="1">IF(ISERROR(MATCH(B543,Код_КЦСР,0)),"",INDIRECT(ADDRESS(MATCH(B543,Код_КЦСР,0)+1,2,,,"КЦСР")))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543" s="32" t="s">
        <v>7</v>
      </c>
      <c r="C543" s="6"/>
      <c r="D543" s="1"/>
      <c r="E543" s="69"/>
      <c r="F543" s="58">
        <f aca="true" t="shared" si="158" ref="F543:G546">F544</f>
        <v>113.2</v>
      </c>
      <c r="G543" s="58">
        <f t="shared" si="158"/>
        <v>0</v>
      </c>
    </row>
    <row r="544" spans="1:7" ht="12.75">
      <c r="A544" s="55" t="str">
        <f ca="1">IF(ISERROR(MATCH(C544,Код_Раздел,0)),"",INDIRECT(ADDRESS(MATCH(C544,Код_Раздел,0)+1,2,,,"Раздел")))</f>
        <v>Образование</v>
      </c>
      <c r="B544" s="32" t="s">
        <v>7</v>
      </c>
      <c r="C544" s="6" t="s">
        <v>170</v>
      </c>
      <c r="D544" s="1"/>
      <c r="E544" s="69"/>
      <c r="F544" s="58">
        <f t="shared" si="158"/>
        <v>113.2</v>
      </c>
      <c r="G544" s="58">
        <f t="shared" si="158"/>
        <v>0</v>
      </c>
    </row>
    <row r="545" spans="1:7" ht="24" customHeight="1">
      <c r="A545" s="59" t="s">
        <v>174</v>
      </c>
      <c r="B545" s="32" t="s">
        <v>7</v>
      </c>
      <c r="C545" s="6" t="s">
        <v>170</v>
      </c>
      <c r="D545" s="6" t="s">
        <v>170</v>
      </c>
      <c r="E545" s="69"/>
      <c r="F545" s="58">
        <f t="shared" si="158"/>
        <v>113.2</v>
      </c>
      <c r="G545" s="58">
        <f t="shared" si="158"/>
        <v>0</v>
      </c>
    </row>
    <row r="546" spans="1:7" ht="36.75" customHeight="1">
      <c r="A546" s="55" t="str">
        <f ca="1">IF(ISERROR(MATCH(E546,Код_КВР,0)),"",INDIRECT(ADDRESS(MATCH(E546,Код_КВР,0)+1,2,,,"КВР")))</f>
        <v>Капитальные вложения в объекты недвижимого имущества муниципальной собственности</v>
      </c>
      <c r="B546" s="32" t="s">
        <v>7</v>
      </c>
      <c r="C546" s="6" t="s">
        <v>170</v>
      </c>
      <c r="D546" s="6" t="s">
        <v>170</v>
      </c>
      <c r="E546" s="69">
        <v>400</v>
      </c>
      <c r="F546" s="58">
        <f t="shared" si="158"/>
        <v>113.2</v>
      </c>
      <c r="G546" s="58">
        <f t="shared" si="158"/>
        <v>0</v>
      </c>
    </row>
    <row r="547" spans="1:7" ht="12.75">
      <c r="A547" s="55" t="str">
        <f ca="1">IF(ISERROR(MATCH(E547,Код_КВР,0)),"",INDIRECT(ADDRESS(MATCH(E547,Код_КВР,0)+1,2,,,"КВР")))</f>
        <v>Бюджетные инвестиции</v>
      </c>
      <c r="B547" s="32" t="s">
        <v>7</v>
      </c>
      <c r="C547" s="6" t="s">
        <v>170</v>
      </c>
      <c r="D547" s="6" t="s">
        <v>170</v>
      </c>
      <c r="E547" s="69">
        <v>410</v>
      </c>
      <c r="F547" s="58">
        <f>'прил.16'!G1113</f>
        <v>113.2</v>
      </c>
      <c r="G547" s="58">
        <f>'прил.16'!H1113</f>
        <v>0</v>
      </c>
    </row>
    <row r="548" spans="1:7" ht="66">
      <c r="A548" s="55" t="str">
        <f ca="1">IF(ISERROR(MATCH(B548,Код_КЦСР,0)),"",INDIRECT(ADDRESS(MATCH(B548,Код_КЦСР,0)+1,2,,,"КЦСР")))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548" s="32" t="s">
        <v>316</v>
      </c>
      <c r="C548" s="6"/>
      <c r="D548" s="1"/>
      <c r="E548" s="79"/>
      <c r="F548" s="58">
        <f aca="true" t="shared" si="159" ref="F548:G548">F549</f>
        <v>5772.5</v>
      </c>
      <c r="G548" s="58">
        <f t="shared" si="159"/>
        <v>5772.5</v>
      </c>
    </row>
    <row r="549" spans="1:7" ht="21" customHeight="1">
      <c r="A549" s="55" t="str">
        <f ca="1">IF(ISERROR(MATCH(C549,Код_Раздел,0)),"",INDIRECT(ADDRESS(MATCH(C549,Код_Раздел,0)+1,2,,,"Раздел")))</f>
        <v>Образование</v>
      </c>
      <c r="B549" s="32" t="s">
        <v>316</v>
      </c>
      <c r="C549" s="6" t="s">
        <v>170</v>
      </c>
      <c r="D549" s="1"/>
      <c r="E549" s="79"/>
      <c r="F549" s="58">
        <f aca="true" t="shared" si="160" ref="F549:G549">F550</f>
        <v>5772.5</v>
      </c>
      <c r="G549" s="58">
        <f t="shared" si="160"/>
        <v>5772.5</v>
      </c>
    </row>
    <row r="550" spans="1:7" ht="22.5" customHeight="1">
      <c r="A550" s="59" t="s">
        <v>174</v>
      </c>
      <c r="B550" s="32" t="s">
        <v>316</v>
      </c>
      <c r="C550" s="6" t="s">
        <v>170</v>
      </c>
      <c r="D550" s="6" t="s">
        <v>170</v>
      </c>
      <c r="E550" s="79"/>
      <c r="F550" s="58">
        <f aca="true" t="shared" si="161" ref="F550:G550">F551</f>
        <v>5772.5</v>
      </c>
      <c r="G550" s="58">
        <f t="shared" si="161"/>
        <v>5772.5</v>
      </c>
    </row>
    <row r="551" spans="1:7" ht="24.75" customHeight="1">
      <c r="A551" s="55" t="str">
        <f ca="1">IF(ISERROR(MATCH(E551,Код_КВР,0)),"",INDIRECT(ADDRESS(MATCH(E551,Код_КВР,0)+1,2,,,"КВР")))</f>
        <v>Иные бюджетные ассигнования</v>
      </c>
      <c r="B551" s="32" t="s">
        <v>316</v>
      </c>
      <c r="C551" s="6" t="s">
        <v>170</v>
      </c>
      <c r="D551" s="6" t="s">
        <v>170</v>
      </c>
      <c r="E551" s="79">
        <v>800</v>
      </c>
      <c r="F551" s="58">
        <f aca="true" t="shared" si="162" ref="F551:G551">F552</f>
        <v>5772.5</v>
      </c>
      <c r="G551" s="58">
        <f t="shared" si="162"/>
        <v>5772.5</v>
      </c>
    </row>
    <row r="552" spans="1:7" ht="49.5">
      <c r="A552" s="55" t="str">
        <f ca="1">IF(ISERROR(MATCH(E552,Код_КВР,0)),"",INDIRECT(ADDRESS(MATCH(E552,Код_КВР,0)+1,2,,,"КВР")))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52" s="32" t="s">
        <v>316</v>
      </c>
      <c r="C552" s="6" t="s">
        <v>170</v>
      </c>
      <c r="D552" s="6" t="s">
        <v>170</v>
      </c>
      <c r="E552" s="79">
        <v>810</v>
      </c>
      <c r="F552" s="58">
        <f>'прил.16'!G911</f>
        <v>5772.5</v>
      </c>
      <c r="G552" s="58">
        <f>'прил.16'!H911</f>
        <v>5772.5</v>
      </c>
    </row>
    <row r="553" spans="1:7" ht="41.25" customHeight="1">
      <c r="A553" s="55" t="str">
        <f ca="1">IF(ISERROR(MATCH(B553,Код_КЦСР,0)),"",INDIRECT(ADDRESS(MATCH(B553,Код_КЦСР,0)+1,2,,,"КЦСР")))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553" s="32" t="s">
        <v>340</v>
      </c>
      <c r="C553" s="6"/>
      <c r="D553" s="1"/>
      <c r="E553" s="98"/>
      <c r="F553" s="58">
        <f aca="true" t="shared" si="163" ref="F553:G553">F554</f>
        <v>219895.39999999997</v>
      </c>
      <c r="G553" s="58">
        <f t="shared" si="163"/>
        <v>228218.09999999998</v>
      </c>
    </row>
    <row r="554" spans="1:7" ht="24.75" customHeight="1">
      <c r="A554" s="55" t="str">
        <f ca="1">IF(ISERROR(MATCH(C554,Код_Раздел,0)),"",INDIRECT(ADDRESS(MATCH(C554,Код_Раздел,0)+1,2,,,"Раздел")))</f>
        <v>Социальная политика</v>
      </c>
      <c r="B554" s="32" t="s">
        <v>340</v>
      </c>
      <c r="C554" s="6" t="s">
        <v>163</v>
      </c>
      <c r="D554" s="1"/>
      <c r="E554" s="98"/>
      <c r="F554" s="58">
        <f aca="true" t="shared" si="164" ref="F554:G554">F555+F560</f>
        <v>219895.39999999997</v>
      </c>
      <c r="G554" s="58">
        <f t="shared" si="164"/>
        <v>228218.09999999998</v>
      </c>
    </row>
    <row r="555" spans="1:7" ht="23.25" customHeight="1">
      <c r="A555" s="59" t="s">
        <v>154</v>
      </c>
      <c r="B555" s="32" t="s">
        <v>340</v>
      </c>
      <c r="C555" s="6" t="s">
        <v>163</v>
      </c>
      <c r="D555" s="6" t="s">
        <v>189</v>
      </c>
      <c r="E555" s="98"/>
      <c r="F555" s="58">
        <f aca="true" t="shared" si="165" ref="F555:G555">F556+F558</f>
        <v>218231.59999999998</v>
      </c>
      <c r="G555" s="58">
        <f t="shared" si="165"/>
        <v>226554.3</v>
      </c>
    </row>
    <row r="556" spans="1:7" ht="24" customHeight="1">
      <c r="A556" s="55" t="str">
        <f ca="1">IF(ISERROR(MATCH(E556,Код_КВР,0)),"",INDIRECT(ADDRESS(MATCH(E556,Код_КВР,0)+1,2,,,"КВР")))</f>
        <v>Закупка товаров, работ и услуг для муниципальных нужд</v>
      </c>
      <c r="B556" s="32" t="s">
        <v>340</v>
      </c>
      <c r="C556" s="6" t="s">
        <v>163</v>
      </c>
      <c r="D556" s="6" t="s">
        <v>189</v>
      </c>
      <c r="E556" s="98">
        <v>200</v>
      </c>
      <c r="F556" s="58">
        <f aca="true" t="shared" si="166" ref="F556:G556">F557</f>
        <v>1585.8</v>
      </c>
      <c r="G556" s="58">
        <f t="shared" si="166"/>
        <v>1708.9</v>
      </c>
    </row>
    <row r="557" spans="1:7" ht="39.75" customHeight="1">
      <c r="A557" s="55" t="str">
        <f ca="1">IF(ISERROR(MATCH(E557,Код_КВР,0)),"",INDIRECT(ADDRESS(MATCH(E557,Код_КВР,0)+1,2,,,"КВР")))</f>
        <v>Иные закупки товаров, работ и услуг для обеспечения муниципальных нужд</v>
      </c>
      <c r="B557" s="32" t="s">
        <v>340</v>
      </c>
      <c r="C557" s="6" t="s">
        <v>163</v>
      </c>
      <c r="D557" s="6" t="s">
        <v>189</v>
      </c>
      <c r="E557" s="98">
        <v>240</v>
      </c>
      <c r="F557" s="58">
        <f>'прил.16'!G967</f>
        <v>1585.8</v>
      </c>
      <c r="G557" s="58">
        <f>'прил.16'!H967</f>
        <v>1708.9</v>
      </c>
    </row>
    <row r="558" spans="1:7" ht="22.5" customHeight="1">
      <c r="A558" s="55" t="str">
        <f ca="1">IF(ISERROR(MATCH(E558,Код_КВР,0)),"",INDIRECT(ADDRESS(MATCH(E558,Код_КВР,0)+1,2,,,"КВР")))</f>
        <v>Социальное обеспечение и иные выплаты населению</v>
      </c>
      <c r="B558" s="32" t="s">
        <v>340</v>
      </c>
      <c r="C558" s="6" t="s">
        <v>163</v>
      </c>
      <c r="D558" s="6" t="s">
        <v>189</v>
      </c>
      <c r="E558" s="98">
        <v>300</v>
      </c>
      <c r="F558" s="58">
        <f aca="true" t="shared" si="167" ref="F558:G558">F559</f>
        <v>216645.8</v>
      </c>
      <c r="G558" s="58">
        <f t="shared" si="167"/>
        <v>224845.4</v>
      </c>
    </row>
    <row r="559" spans="1:7" ht="39" customHeight="1">
      <c r="A559" s="55" t="str">
        <f ca="1">IF(ISERROR(MATCH(E559,Код_КВР,0)),"",INDIRECT(ADDRESS(MATCH(E559,Код_КВР,0)+1,2,,,"КВР")))</f>
        <v>Социальные выплаты гражданам, кроме публичных нормативных социальных выплат</v>
      </c>
      <c r="B559" s="32" t="s">
        <v>340</v>
      </c>
      <c r="C559" s="6" t="s">
        <v>163</v>
      </c>
      <c r="D559" s="6" t="s">
        <v>189</v>
      </c>
      <c r="E559" s="98">
        <v>320</v>
      </c>
      <c r="F559" s="58">
        <f>'прил.16'!G969</f>
        <v>216645.8</v>
      </c>
      <c r="G559" s="58">
        <f>'прил.16'!H969</f>
        <v>224845.4</v>
      </c>
    </row>
    <row r="560" spans="1:7" ht="26.25" customHeight="1">
      <c r="A560" s="59" t="s">
        <v>164</v>
      </c>
      <c r="B560" s="32" t="s">
        <v>340</v>
      </c>
      <c r="C560" s="6" t="s">
        <v>163</v>
      </c>
      <c r="D560" s="6" t="s">
        <v>191</v>
      </c>
      <c r="E560" s="98"/>
      <c r="F560" s="58">
        <f aca="true" t="shared" si="168" ref="F560:G560">F561+F563</f>
        <v>1663.8000000000002</v>
      </c>
      <c r="G560" s="58">
        <f t="shared" si="168"/>
        <v>1663.8000000000002</v>
      </c>
    </row>
    <row r="561" spans="1:7" ht="39" customHeight="1">
      <c r="A561" s="55" t="str">
        <f ca="1">IF(ISERROR(MATCH(E561,Код_КВР,0)),"",INDIRECT(ADDRESS(MATCH(E561,Код_КВР,0)+1,2,,,"КВР")))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1" s="32" t="s">
        <v>340</v>
      </c>
      <c r="C561" s="6" t="s">
        <v>163</v>
      </c>
      <c r="D561" s="6" t="s">
        <v>191</v>
      </c>
      <c r="E561" s="98">
        <v>100</v>
      </c>
      <c r="F561" s="58">
        <f aca="true" t="shared" si="169" ref="F561:G561">F562</f>
        <v>1123.9</v>
      </c>
      <c r="G561" s="58">
        <f t="shared" si="169"/>
        <v>1123.9</v>
      </c>
    </row>
    <row r="562" spans="1:7" ht="23.25" customHeight="1">
      <c r="A562" s="55" t="str">
        <f ca="1">IF(ISERROR(MATCH(E562,Код_КВР,0)),"",INDIRECT(ADDRESS(MATCH(E562,Код_КВР,0)+1,2,,,"КВР")))</f>
        <v>Расходы на выплаты персоналу муниципальных органов</v>
      </c>
      <c r="B562" s="32" t="s">
        <v>340</v>
      </c>
      <c r="C562" s="6" t="s">
        <v>163</v>
      </c>
      <c r="D562" s="6" t="s">
        <v>191</v>
      </c>
      <c r="E562" s="98">
        <v>120</v>
      </c>
      <c r="F562" s="58">
        <f>'прил.16'!G999</f>
        <v>1123.9</v>
      </c>
      <c r="G562" s="58">
        <f>'прил.16'!H999</f>
        <v>1123.9</v>
      </c>
    </row>
    <row r="563" spans="1:7" ht="23.25" customHeight="1">
      <c r="A563" s="55" t="str">
        <f ca="1">IF(ISERROR(MATCH(E563,Код_КВР,0)),"",INDIRECT(ADDRESS(MATCH(E563,Код_КВР,0)+1,2,,,"КВР")))</f>
        <v>Закупка товаров, работ и услуг для муниципальных нужд</v>
      </c>
      <c r="B563" s="32" t="s">
        <v>340</v>
      </c>
      <c r="C563" s="6" t="s">
        <v>163</v>
      </c>
      <c r="D563" s="6" t="s">
        <v>191</v>
      </c>
      <c r="E563" s="98">
        <v>200</v>
      </c>
      <c r="F563" s="58">
        <f aca="true" t="shared" si="170" ref="F563:G563">F564</f>
        <v>539.9</v>
      </c>
      <c r="G563" s="58">
        <f t="shared" si="170"/>
        <v>539.9</v>
      </c>
    </row>
    <row r="564" spans="1:7" ht="40.5" customHeight="1">
      <c r="A564" s="55" t="str">
        <f ca="1">IF(ISERROR(MATCH(E564,Код_КВР,0)),"",INDIRECT(ADDRESS(MATCH(E564,Код_КВР,0)+1,2,,,"КВР")))</f>
        <v>Иные закупки товаров, работ и услуг для обеспечения муниципальных нужд</v>
      </c>
      <c r="B564" s="32" t="s">
        <v>340</v>
      </c>
      <c r="C564" s="6" t="s">
        <v>163</v>
      </c>
      <c r="D564" s="6" t="s">
        <v>191</v>
      </c>
      <c r="E564" s="98">
        <v>240</v>
      </c>
      <c r="F564" s="58">
        <f>'прил.16'!G1001</f>
        <v>539.9</v>
      </c>
      <c r="G564" s="58">
        <f>'прил.16'!H1001</f>
        <v>539.9</v>
      </c>
    </row>
    <row r="565" spans="1:7" ht="93.75" customHeight="1">
      <c r="A565" s="55" t="str">
        <f ca="1">IF(ISERROR(MATCH(B565,Код_КЦСР,0)),"",INDIRECT(ADDRESS(MATCH(B565,Код_КЦСР,0)+1,2,,,"КЦСР")))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565" s="32" t="s">
        <v>338</v>
      </c>
      <c r="C565" s="6"/>
      <c r="D565" s="6"/>
      <c r="E565" s="137"/>
      <c r="F565" s="58">
        <f>F566</f>
        <v>1796.3</v>
      </c>
      <c r="G565" s="58">
        <f>G566</f>
        <v>4296.3</v>
      </c>
    </row>
    <row r="566" spans="1:7" ht="23.25" customHeight="1">
      <c r="A566" s="55" t="str">
        <f ca="1">IF(ISERROR(MATCH(C566,Код_Раздел,0)),"",INDIRECT(ADDRESS(MATCH(C566,Код_Раздел,0)+1,2,,,"Раздел")))</f>
        <v>Образование</v>
      </c>
      <c r="B566" s="32" t="s">
        <v>338</v>
      </c>
      <c r="C566" s="6" t="s">
        <v>170</v>
      </c>
      <c r="D566" s="1"/>
      <c r="E566" s="94"/>
      <c r="F566" s="58">
        <f aca="true" t="shared" si="171" ref="F566:G566">F567</f>
        <v>1796.3</v>
      </c>
      <c r="G566" s="58">
        <f t="shared" si="171"/>
        <v>4296.3</v>
      </c>
    </row>
    <row r="567" spans="1:7" ht="21" customHeight="1">
      <c r="A567" s="59" t="s">
        <v>174</v>
      </c>
      <c r="B567" s="32" t="s">
        <v>338</v>
      </c>
      <c r="C567" s="6" t="s">
        <v>170</v>
      </c>
      <c r="D567" s="6" t="s">
        <v>170</v>
      </c>
      <c r="E567" s="94"/>
      <c r="F567" s="58">
        <f aca="true" t="shared" si="172" ref="F567:G567">F568</f>
        <v>1796.3</v>
      </c>
      <c r="G567" s="58">
        <f t="shared" si="172"/>
        <v>4296.3</v>
      </c>
    </row>
    <row r="568" spans="1:7" ht="22.5" customHeight="1">
      <c r="A568" s="55" t="str">
        <f ca="1">IF(ISERROR(MATCH(E568,Код_КВР,0)),"",INDIRECT(ADDRESS(MATCH(E568,Код_КВР,0)+1,2,,,"КВР")))</f>
        <v>Закупка товаров, работ и услуг для муниципальных нужд</v>
      </c>
      <c r="B568" s="32" t="s">
        <v>338</v>
      </c>
      <c r="C568" s="6" t="s">
        <v>170</v>
      </c>
      <c r="D568" s="6" t="s">
        <v>170</v>
      </c>
      <c r="E568" s="94">
        <v>200</v>
      </c>
      <c r="F568" s="58">
        <f aca="true" t="shared" si="173" ref="F568:G568">F569</f>
        <v>1796.3</v>
      </c>
      <c r="G568" s="58">
        <f t="shared" si="173"/>
        <v>4296.3</v>
      </c>
    </row>
    <row r="569" spans="1:7" ht="36.75" customHeight="1">
      <c r="A569" s="55" t="str">
        <f ca="1">IF(ISERROR(MATCH(E569,Код_КВР,0)),"",INDIRECT(ADDRESS(MATCH(E569,Код_КВР,0)+1,2,,,"КВР")))</f>
        <v>Иные закупки товаров, работ и услуг для обеспечения муниципальных нужд</v>
      </c>
      <c r="B569" s="32" t="s">
        <v>338</v>
      </c>
      <c r="C569" s="6" t="s">
        <v>170</v>
      </c>
      <c r="D569" s="6" t="s">
        <v>170</v>
      </c>
      <c r="E569" s="94">
        <v>240</v>
      </c>
      <c r="F569" s="58">
        <f>'прил.16'!G1116</f>
        <v>1796.3</v>
      </c>
      <c r="G569" s="58">
        <f>'прил.16'!H1116</f>
        <v>4296.3</v>
      </c>
    </row>
    <row r="570" spans="1:7" ht="165.75" customHeight="1">
      <c r="A570" s="55" t="str">
        <f ca="1">IF(ISERROR(MATCH(B570,Код_КЦСР,0)),"",INDIRECT(ADDRESS(MATCH(B570,Код_КЦСР,0)+1,2,,,"КЦСР")))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570" s="32" t="s">
        <v>580</v>
      </c>
      <c r="C570" s="6"/>
      <c r="D570" s="1"/>
      <c r="E570" s="98"/>
      <c r="F570" s="58">
        <f aca="true" t="shared" si="174" ref="F570:G570">F571</f>
        <v>18920.2</v>
      </c>
      <c r="G570" s="58">
        <f t="shared" si="174"/>
        <v>18920.2</v>
      </c>
    </row>
    <row r="571" spans="1:7" ht="20.25" customHeight="1">
      <c r="A571" s="55" t="str">
        <f ca="1">IF(ISERROR(MATCH(C571,Код_Раздел,0)),"",INDIRECT(ADDRESS(MATCH(C571,Код_Раздел,0)+1,2,,,"Раздел")))</f>
        <v>Социальная политика</v>
      </c>
      <c r="B571" s="32" t="s">
        <v>580</v>
      </c>
      <c r="C571" s="6" t="s">
        <v>163</v>
      </c>
      <c r="D571" s="1"/>
      <c r="E571" s="98"/>
      <c r="F571" s="58">
        <f aca="true" t="shared" si="175" ref="F571:G571">F572</f>
        <v>18920.2</v>
      </c>
      <c r="G571" s="58">
        <f t="shared" si="175"/>
        <v>18920.2</v>
      </c>
    </row>
    <row r="572" spans="1:7" ht="25.5" customHeight="1">
      <c r="A572" s="59" t="s">
        <v>164</v>
      </c>
      <c r="B572" s="32" t="s">
        <v>580</v>
      </c>
      <c r="C572" s="6" t="s">
        <v>163</v>
      </c>
      <c r="D572" s="6" t="s">
        <v>191</v>
      </c>
      <c r="E572" s="98"/>
      <c r="F572" s="58">
        <f aca="true" t="shared" si="176" ref="F572:G572">F573+F575+F577</f>
        <v>18920.2</v>
      </c>
      <c r="G572" s="58">
        <f t="shared" si="176"/>
        <v>18920.2</v>
      </c>
    </row>
    <row r="573" spans="1:7" ht="44.25" customHeight="1">
      <c r="A573" s="55" t="str">
        <f aca="true" t="shared" si="177" ref="A573:A578">IF(ISERROR(MATCH(E573,Код_КВР,0)),"",INDIRECT(ADDRESS(MATCH(E573,Код_КВР,0)+1,2,,,"КВР")))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3" s="32" t="s">
        <v>580</v>
      </c>
      <c r="C573" s="6" t="s">
        <v>163</v>
      </c>
      <c r="D573" s="6" t="s">
        <v>191</v>
      </c>
      <c r="E573" s="98">
        <v>100</v>
      </c>
      <c r="F573" s="58">
        <f aca="true" t="shared" si="178" ref="F573:G573">F574</f>
        <v>8645</v>
      </c>
      <c r="G573" s="58">
        <f t="shared" si="178"/>
        <v>8645</v>
      </c>
    </row>
    <row r="574" spans="1:7" ht="31.5" customHeight="1">
      <c r="A574" s="55" t="str">
        <f ca="1" t="shared" si="177"/>
        <v>Расходы на выплаты персоналу муниципальных органов</v>
      </c>
      <c r="B574" s="32" t="s">
        <v>580</v>
      </c>
      <c r="C574" s="6" t="s">
        <v>163</v>
      </c>
      <c r="D574" s="6" t="s">
        <v>191</v>
      </c>
      <c r="E574" s="98">
        <v>120</v>
      </c>
      <c r="F574" s="58">
        <f>'прил.16'!G980</f>
        <v>8645</v>
      </c>
      <c r="G574" s="58">
        <f>'прил.16'!H980</f>
        <v>8645</v>
      </c>
    </row>
    <row r="575" spans="1:7" ht="23.25" customHeight="1">
      <c r="A575" s="55" t="str">
        <f ca="1" t="shared" si="177"/>
        <v>Закупка товаров, работ и услуг для муниципальных нужд</v>
      </c>
      <c r="B575" s="32" t="s">
        <v>580</v>
      </c>
      <c r="C575" s="6" t="s">
        <v>163</v>
      </c>
      <c r="D575" s="6" t="s">
        <v>191</v>
      </c>
      <c r="E575" s="98">
        <v>200</v>
      </c>
      <c r="F575" s="58">
        <f aca="true" t="shared" si="179" ref="F575:G575">F576</f>
        <v>2548.4</v>
      </c>
      <c r="G575" s="58">
        <f t="shared" si="179"/>
        <v>2548.4</v>
      </c>
    </row>
    <row r="576" spans="1:7" ht="39.75" customHeight="1">
      <c r="A576" s="55" t="str">
        <f ca="1" t="shared" si="177"/>
        <v>Иные закупки товаров, работ и услуг для обеспечения муниципальных нужд</v>
      </c>
      <c r="B576" s="32" t="s">
        <v>580</v>
      </c>
      <c r="C576" s="6" t="s">
        <v>163</v>
      </c>
      <c r="D576" s="6" t="s">
        <v>191</v>
      </c>
      <c r="E576" s="98">
        <v>240</v>
      </c>
      <c r="F576" s="58">
        <f>'прил.16'!G982</f>
        <v>2548.4</v>
      </c>
      <c r="G576" s="58">
        <f>'прил.16'!H982</f>
        <v>2548.4</v>
      </c>
    </row>
    <row r="577" spans="1:7" ht="26.25" customHeight="1">
      <c r="A577" s="55" t="str">
        <f ca="1" t="shared" si="177"/>
        <v>Социальное обеспечение и иные выплаты населению</v>
      </c>
      <c r="B577" s="32" t="s">
        <v>580</v>
      </c>
      <c r="C577" s="6" t="s">
        <v>163</v>
      </c>
      <c r="D577" s="6" t="s">
        <v>191</v>
      </c>
      <c r="E577" s="98">
        <v>300</v>
      </c>
      <c r="F577" s="58">
        <f aca="true" t="shared" si="180" ref="F577:G577">F578</f>
        <v>7726.8</v>
      </c>
      <c r="G577" s="58">
        <f t="shared" si="180"/>
        <v>7726.8</v>
      </c>
    </row>
    <row r="578" spans="1:7" ht="41.25" customHeight="1">
      <c r="A578" s="55" t="str">
        <f ca="1" t="shared" si="177"/>
        <v>Социальные выплаты гражданам, кроме публичных нормативных социальных выплат</v>
      </c>
      <c r="B578" s="32" t="s">
        <v>580</v>
      </c>
      <c r="C578" s="6" t="s">
        <v>163</v>
      </c>
      <c r="D578" s="6" t="s">
        <v>191</v>
      </c>
      <c r="E578" s="98">
        <v>320</v>
      </c>
      <c r="F578" s="58">
        <f>'прил.16'!G984</f>
        <v>7726.8</v>
      </c>
      <c r="G578" s="58">
        <f>'прил.16'!H984</f>
        <v>7726.8</v>
      </c>
    </row>
    <row r="579" spans="1:7" ht="97.5" customHeight="1">
      <c r="A579" s="55" t="str">
        <f ca="1">IF(ISERROR(MATCH(B579,Код_КЦСР,0)),"",INDIRECT(ADDRESS(MATCH(B579,Код_КЦСР,0)+1,2,,,"КЦСР")))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579" s="32" t="s">
        <v>336</v>
      </c>
      <c r="C579" s="6"/>
      <c r="D579" s="1"/>
      <c r="E579" s="94"/>
      <c r="F579" s="58">
        <f>F580+F584</f>
        <v>370491.5</v>
      </c>
      <c r="G579" s="58">
        <f>G580+G584</f>
        <v>465197.20000000007</v>
      </c>
    </row>
    <row r="580" spans="1:7" ht="12.75">
      <c r="A580" s="55" t="str">
        <f ca="1">IF(ISERROR(MATCH(C580,Код_Раздел,0)),"",INDIRECT(ADDRESS(MATCH(C580,Код_Раздел,0)+1,2,,,"Раздел")))</f>
        <v>Образование</v>
      </c>
      <c r="B580" s="32" t="s">
        <v>336</v>
      </c>
      <c r="C580" s="6" t="s">
        <v>170</v>
      </c>
      <c r="D580" s="1"/>
      <c r="E580" s="94"/>
      <c r="F580" s="58">
        <f aca="true" t="shared" si="181" ref="F580:G581">F581</f>
        <v>34238.700000000004</v>
      </c>
      <c r="G580" s="58">
        <f t="shared" si="181"/>
        <v>34238.700000000004</v>
      </c>
    </row>
    <row r="581" spans="1:7" ht="12.75">
      <c r="A581" s="59" t="s">
        <v>174</v>
      </c>
      <c r="B581" s="32" t="s">
        <v>336</v>
      </c>
      <c r="C581" s="6" t="s">
        <v>170</v>
      </c>
      <c r="D581" s="6" t="s">
        <v>170</v>
      </c>
      <c r="E581" s="94"/>
      <c r="F581" s="58">
        <f t="shared" si="181"/>
        <v>34238.700000000004</v>
      </c>
      <c r="G581" s="58">
        <f t="shared" si="181"/>
        <v>34238.700000000004</v>
      </c>
    </row>
    <row r="582" spans="1:7" ht="21" customHeight="1">
      <c r="A582" s="55" t="str">
        <f ca="1">IF(ISERROR(MATCH(E582,Код_КВР,0)),"",INDIRECT(ADDRESS(MATCH(E582,Код_КВР,0)+1,2,,,"КВР")))</f>
        <v>Социальное обеспечение и иные выплаты населению</v>
      </c>
      <c r="B582" s="32" t="s">
        <v>336</v>
      </c>
      <c r="C582" s="6" t="s">
        <v>170</v>
      </c>
      <c r="D582" s="6" t="s">
        <v>170</v>
      </c>
      <c r="E582" s="94">
        <v>300</v>
      </c>
      <c r="F582" s="58">
        <f>F583</f>
        <v>34238.700000000004</v>
      </c>
      <c r="G582" s="58">
        <f>G583</f>
        <v>34238.700000000004</v>
      </c>
    </row>
    <row r="583" spans="1:7" ht="37.5" customHeight="1">
      <c r="A583" s="55" t="str">
        <f ca="1">IF(ISERROR(MATCH(E583,Код_КВР,0)),"",INDIRECT(ADDRESS(MATCH(E583,Код_КВР,0)+1,2,,,"КВР")))</f>
        <v>Социальные выплаты гражданам, кроме публичных нормативных социальных выплат</v>
      </c>
      <c r="B583" s="32" t="s">
        <v>336</v>
      </c>
      <c r="C583" s="6" t="s">
        <v>170</v>
      </c>
      <c r="D583" s="6" t="s">
        <v>170</v>
      </c>
      <c r="E583" s="94">
        <v>320</v>
      </c>
      <c r="F583" s="58">
        <f>'прил.16'!G914</f>
        <v>34238.700000000004</v>
      </c>
      <c r="G583" s="58">
        <f>'прил.16'!H914</f>
        <v>34238.700000000004</v>
      </c>
    </row>
    <row r="584" spans="1:7" ht="23.25" customHeight="1">
      <c r="A584" s="55" t="str">
        <f ca="1">IF(ISERROR(MATCH(C584,Код_Раздел,0)),"",INDIRECT(ADDRESS(MATCH(C584,Код_Раздел,0)+1,2,,,"Раздел")))</f>
        <v>Социальная политика</v>
      </c>
      <c r="B584" s="32" t="s">
        <v>336</v>
      </c>
      <c r="C584" s="6" t="s">
        <v>163</v>
      </c>
      <c r="D584" s="1"/>
      <c r="E584" s="94"/>
      <c r="F584" s="58">
        <f>F585+F588+F593</f>
        <v>336252.8</v>
      </c>
      <c r="G584" s="58">
        <f>G585+G588+G593</f>
        <v>430958.50000000006</v>
      </c>
    </row>
    <row r="585" spans="1:7" ht="24" customHeight="1">
      <c r="A585" s="59" t="s">
        <v>229</v>
      </c>
      <c r="B585" s="32" t="s">
        <v>336</v>
      </c>
      <c r="C585" s="6" t="s">
        <v>163</v>
      </c>
      <c r="D585" s="6" t="s">
        <v>188</v>
      </c>
      <c r="E585" s="94"/>
      <c r="F585" s="58">
        <f aca="true" t="shared" si="182" ref="F585:G585">F586</f>
        <v>96495.9</v>
      </c>
      <c r="G585" s="58">
        <f t="shared" si="182"/>
        <v>110315.9</v>
      </c>
    </row>
    <row r="586" spans="1:7" ht="42.75" customHeight="1">
      <c r="A586" s="55" t="str">
        <f ca="1">IF(ISERROR(MATCH(E586,Код_КВР,0)),"",INDIRECT(ADDRESS(MATCH(E586,Код_КВР,0)+1,2,,,"КВР")))</f>
        <v>Предоставление субсидий бюджетным, автономным учреждениям и иным некоммерческим организациям</v>
      </c>
      <c r="B586" s="32" t="s">
        <v>336</v>
      </c>
      <c r="C586" s="6" t="s">
        <v>163</v>
      </c>
      <c r="D586" s="6" t="s">
        <v>188</v>
      </c>
      <c r="E586" s="94">
        <v>600</v>
      </c>
      <c r="F586" s="58">
        <f aca="true" t="shared" si="183" ref="F586:G586">F587</f>
        <v>96495.9</v>
      </c>
      <c r="G586" s="58">
        <f t="shared" si="183"/>
        <v>110315.9</v>
      </c>
    </row>
    <row r="587" spans="1:7" ht="23.65" customHeight="1">
      <c r="A587" s="55" t="str">
        <f ca="1">IF(ISERROR(MATCH(E587,Код_КВР,0)),"",INDIRECT(ADDRESS(MATCH(E587,Код_КВР,0)+1,2,,,"КВР")))</f>
        <v>Субсидии бюджетным учреждениям</v>
      </c>
      <c r="B587" s="32" t="s">
        <v>336</v>
      </c>
      <c r="C587" s="6" t="s">
        <v>163</v>
      </c>
      <c r="D587" s="6" t="s">
        <v>188</v>
      </c>
      <c r="E587" s="94">
        <v>610</v>
      </c>
      <c r="F587" s="58">
        <f>'прил.16'!G924</f>
        <v>96495.9</v>
      </c>
      <c r="G587" s="58">
        <f>'прил.16'!H924</f>
        <v>110315.9</v>
      </c>
    </row>
    <row r="588" spans="1:7" ht="27" customHeight="1">
      <c r="A588" s="59" t="s">
        <v>174</v>
      </c>
      <c r="B588" s="32" t="s">
        <v>336</v>
      </c>
      <c r="C588" s="6" t="s">
        <v>163</v>
      </c>
      <c r="D588" s="6" t="s">
        <v>189</v>
      </c>
      <c r="E588" s="94"/>
      <c r="F588" s="58">
        <f aca="true" t="shared" si="184" ref="F588:G588">F591+F589</f>
        <v>207747.69999999998</v>
      </c>
      <c r="G588" s="58">
        <f t="shared" si="184"/>
        <v>288633.4</v>
      </c>
    </row>
    <row r="589" spans="1:7" ht="28.5" customHeight="1">
      <c r="A589" s="55" t="str">
        <f ca="1">IF(ISERROR(MATCH(E589,Код_КВР,0)),"",INDIRECT(ADDRESS(MATCH(E589,Код_КВР,0)+1,2,,,"КВР")))</f>
        <v>Закупка товаров, работ и услуг для муниципальных нужд</v>
      </c>
      <c r="B589" s="32" t="s">
        <v>336</v>
      </c>
      <c r="C589" s="6" t="s">
        <v>163</v>
      </c>
      <c r="D589" s="6" t="s">
        <v>189</v>
      </c>
      <c r="E589" s="98">
        <v>200</v>
      </c>
      <c r="F589" s="58">
        <f aca="true" t="shared" si="185" ref="F589:G589">F590</f>
        <v>1249.3</v>
      </c>
      <c r="G589" s="58">
        <f t="shared" si="185"/>
        <v>1665</v>
      </c>
    </row>
    <row r="590" spans="1:7" ht="41.25" customHeight="1">
      <c r="A590" s="55" t="str">
        <f ca="1">IF(ISERROR(MATCH(E590,Код_КВР,0)),"",INDIRECT(ADDRESS(MATCH(E590,Код_КВР,0)+1,2,,,"КВР")))</f>
        <v>Иные закупки товаров, работ и услуг для обеспечения муниципальных нужд</v>
      </c>
      <c r="B590" s="32" t="s">
        <v>336</v>
      </c>
      <c r="C590" s="6" t="s">
        <v>163</v>
      </c>
      <c r="D590" s="6" t="s">
        <v>189</v>
      </c>
      <c r="E590" s="98">
        <v>240</v>
      </c>
      <c r="F590" s="58">
        <f>'прил.16'!G933</f>
        <v>1249.3</v>
      </c>
      <c r="G590" s="58">
        <f>'прил.16'!H933</f>
        <v>1665</v>
      </c>
    </row>
    <row r="591" spans="1:7" ht="24.75" customHeight="1">
      <c r="A591" s="55" t="str">
        <f ca="1">IF(ISERROR(MATCH(E591,Код_КВР,0)),"",INDIRECT(ADDRESS(MATCH(E591,Код_КВР,0)+1,2,,,"КВР")))</f>
        <v>Социальное обеспечение и иные выплаты населению</v>
      </c>
      <c r="B591" s="32" t="s">
        <v>336</v>
      </c>
      <c r="C591" s="6" t="s">
        <v>163</v>
      </c>
      <c r="D591" s="6" t="s">
        <v>189</v>
      </c>
      <c r="E591" s="94">
        <v>300</v>
      </c>
      <c r="F591" s="58">
        <f aca="true" t="shared" si="186" ref="F591:G591">F592</f>
        <v>206498.4</v>
      </c>
      <c r="G591" s="58">
        <f t="shared" si="186"/>
        <v>286968.4</v>
      </c>
    </row>
    <row r="592" spans="1:7" ht="40.5" customHeight="1">
      <c r="A592" s="55" t="str">
        <f ca="1">IF(ISERROR(MATCH(E592,Код_КВР,0)),"",INDIRECT(ADDRESS(MATCH(E592,Код_КВР,0)+1,2,,,"КВР")))</f>
        <v>Социальные выплаты гражданам, кроме публичных нормативных социальных выплат</v>
      </c>
      <c r="B592" s="32" t="s">
        <v>336</v>
      </c>
      <c r="C592" s="6" t="s">
        <v>163</v>
      </c>
      <c r="D592" s="6" t="s">
        <v>189</v>
      </c>
      <c r="E592" s="94">
        <v>320</v>
      </c>
      <c r="F592" s="58">
        <f>'прил.16'!G935</f>
        <v>206498.4</v>
      </c>
      <c r="G592" s="58">
        <f>'прил.16'!H935</f>
        <v>286968.4</v>
      </c>
    </row>
    <row r="593" spans="1:7" ht="23.25" customHeight="1">
      <c r="A593" s="59" t="s">
        <v>164</v>
      </c>
      <c r="B593" s="32" t="s">
        <v>336</v>
      </c>
      <c r="C593" s="6" t="s">
        <v>163</v>
      </c>
      <c r="D593" s="6" t="s">
        <v>191</v>
      </c>
      <c r="E593" s="98"/>
      <c r="F593" s="58">
        <f aca="true" t="shared" si="187" ref="F593:G593">F594+F596+F598</f>
        <v>32009.200000000004</v>
      </c>
      <c r="G593" s="58">
        <f t="shared" si="187"/>
        <v>32009.200000000004</v>
      </c>
    </row>
    <row r="594" spans="1:7" ht="39" customHeight="1">
      <c r="A594" s="55" t="str">
        <f aca="true" t="shared" si="188" ref="A594:A599">IF(ISERROR(MATCH(E594,Код_КВР,0)),"",INDIRECT(ADDRESS(MATCH(E594,Код_КВР,0)+1,2,,,"КВР")))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4" s="32" t="s">
        <v>336</v>
      </c>
      <c r="C594" s="6" t="s">
        <v>163</v>
      </c>
      <c r="D594" s="6" t="s">
        <v>191</v>
      </c>
      <c r="E594" s="98">
        <v>100</v>
      </c>
      <c r="F594" s="58">
        <f aca="true" t="shared" si="189" ref="F594:G594">F595</f>
        <v>26867.100000000002</v>
      </c>
      <c r="G594" s="58">
        <f t="shared" si="189"/>
        <v>26867.100000000002</v>
      </c>
    </row>
    <row r="595" spans="1:7" ht="22.5" customHeight="1">
      <c r="A595" s="55" t="str">
        <f ca="1" t="shared" si="188"/>
        <v>Расходы на выплаты персоналу муниципальных органов</v>
      </c>
      <c r="B595" s="32" t="s">
        <v>336</v>
      </c>
      <c r="C595" s="6" t="s">
        <v>163</v>
      </c>
      <c r="D595" s="6" t="s">
        <v>191</v>
      </c>
      <c r="E595" s="98">
        <v>120</v>
      </c>
      <c r="F595" s="58">
        <f>'прил.16'!G992</f>
        <v>26867.100000000002</v>
      </c>
      <c r="G595" s="58">
        <f>'прил.16'!H992</f>
        <v>26867.100000000002</v>
      </c>
    </row>
    <row r="596" spans="1:7" ht="26.25" customHeight="1">
      <c r="A596" s="55" t="str">
        <f ca="1" t="shared" si="188"/>
        <v>Закупка товаров, работ и услуг для муниципальных нужд</v>
      </c>
      <c r="B596" s="32" t="s">
        <v>336</v>
      </c>
      <c r="C596" s="6" t="s">
        <v>163</v>
      </c>
      <c r="D596" s="6" t="s">
        <v>191</v>
      </c>
      <c r="E596" s="98">
        <v>200</v>
      </c>
      <c r="F596" s="58">
        <f aca="true" t="shared" si="190" ref="F596:G596">F597</f>
        <v>5126.900000000001</v>
      </c>
      <c r="G596" s="58">
        <f t="shared" si="190"/>
        <v>5126.900000000001</v>
      </c>
    </row>
    <row r="597" spans="1:7" ht="36" customHeight="1">
      <c r="A597" s="55" t="str">
        <f ca="1" t="shared" si="188"/>
        <v>Иные закупки товаров, работ и услуг для обеспечения муниципальных нужд</v>
      </c>
      <c r="B597" s="32" t="s">
        <v>336</v>
      </c>
      <c r="C597" s="6" t="s">
        <v>163</v>
      </c>
      <c r="D597" s="6" t="s">
        <v>191</v>
      </c>
      <c r="E597" s="98">
        <v>240</v>
      </c>
      <c r="F597" s="58">
        <f>'прил.16'!G994</f>
        <v>5126.900000000001</v>
      </c>
      <c r="G597" s="58">
        <f>'прил.16'!H994</f>
        <v>5126.900000000001</v>
      </c>
    </row>
    <row r="598" spans="1:7" ht="24" customHeight="1">
      <c r="A598" s="55" t="str">
        <f ca="1" t="shared" si="188"/>
        <v>Иные бюджетные ассигнования</v>
      </c>
      <c r="B598" s="32" t="s">
        <v>336</v>
      </c>
      <c r="C598" s="6" t="s">
        <v>163</v>
      </c>
      <c r="D598" s="6" t="s">
        <v>191</v>
      </c>
      <c r="E598" s="98">
        <v>800</v>
      </c>
      <c r="F598" s="58">
        <f aca="true" t="shared" si="191" ref="F598:G598">F599</f>
        <v>15.2</v>
      </c>
      <c r="G598" s="58">
        <f t="shared" si="191"/>
        <v>15.2</v>
      </c>
    </row>
    <row r="599" spans="1:7" ht="20.25" customHeight="1">
      <c r="A599" s="55" t="str">
        <f ca="1" t="shared" si="188"/>
        <v>Уплата налогов, сборов и иных платежей</v>
      </c>
      <c r="B599" s="32" t="s">
        <v>336</v>
      </c>
      <c r="C599" s="6" t="s">
        <v>163</v>
      </c>
      <c r="D599" s="6" t="s">
        <v>191</v>
      </c>
      <c r="E599" s="98">
        <v>850</v>
      </c>
      <c r="F599" s="58">
        <f>'прил.16'!G996</f>
        <v>15.2</v>
      </c>
      <c r="G599" s="58">
        <f>'прил.16'!H996</f>
        <v>15.2</v>
      </c>
    </row>
    <row r="600" spans="1:7" ht="44.25" customHeight="1">
      <c r="A600" s="55" t="str">
        <f ca="1">IF(ISERROR(MATCH(B600,Код_КЦСР,0)),"",INDIRECT(ADDRESS(MATCH(B600,Код_КЦСР,0)+1,2,,,"КЦСР")))</f>
        <v>Выплата ежемесячного социального пособия на оздоровление работникам учреждений здравоохранения</v>
      </c>
      <c r="B600" s="31" t="s">
        <v>8</v>
      </c>
      <c r="C600" s="6"/>
      <c r="D600" s="1"/>
      <c r="E600" s="69"/>
      <c r="F600" s="58">
        <f aca="true" t="shared" si="192" ref="F600:G602">F601</f>
        <v>23549.2</v>
      </c>
      <c r="G600" s="58">
        <f t="shared" si="192"/>
        <v>23549.2</v>
      </c>
    </row>
    <row r="601" spans="1:7" ht="75" customHeight="1">
      <c r="A601" s="55" t="str">
        <f ca="1">IF(ISERROR(MATCH(B601,Код_КЦСР,0)),"",INDIRECT(ADDRESS(MATCH(B601,Код_КЦСР,0)+1,2,,,"КЦСР")))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601" s="31" t="s">
        <v>10</v>
      </c>
      <c r="C601" s="6"/>
      <c r="D601" s="1"/>
      <c r="E601" s="69"/>
      <c r="F601" s="58">
        <f>F602</f>
        <v>23549.2</v>
      </c>
      <c r="G601" s="58">
        <f>G602</f>
        <v>23549.2</v>
      </c>
    </row>
    <row r="602" spans="1:7" ht="22.5" customHeight="1">
      <c r="A602" s="55" t="str">
        <f ca="1">IF(ISERROR(MATCH(C602,Код_Раздел,0)),"",INDIRECT(ADDRESS(MATCH(C602,Код_Раздел,0)+1,2,,,"Раздел")))</f>
        <v>Социальная политика</v>
      </c>
      <c r="B602" s="31" t="s">
        <v>10</v>
      </c>
      <c r="C602" s="6" t="s">
        <v>163</v>
      </c>
      <c r="D602" s="1"/>
      <c r="E602" s="69"/>
      <c r="F602" s="58">
        <f t="shared" si="192"/>
        <v>23549.2</v>
      </c>
      <c r="G602" s="58">
        <f t="shared" si="192"/>
        <v>23549.2</v>
      </c>
    </row>
    <row r="603" spans="1:7" ht="24" customHeight="1">
      <c r="A603" s="59" t="s">
        <v>154</v>
      </c>
      <c r="B603" s="31" t="s">
        <v>10</v>
      </c>
      <c r="C603" s="6" t="s">
        <v>163</v>
      </c>
      <c r="D603" s="6" t="s">
        <v>189</v>
      </c>
      <c r="E603" s="69"/>
      <c r="F603" s="58">
        <f aca="true" t="shared" si="193" ref="F603:G603">F606+F604</f>
        <v>23549.2</v>
      </c>
      <c r="G603" s="58">
        <f t="shared" si="193"/>
        <v>23549.2</v>
      </c>
    </row>
    <row r="604" spans="1:7" ht="24.75" customHeight="1">
      <c r="A604" s="55" t="str">
        <f ca="1">IF(ISERROR(MATCH(E604,Код_КВР,0)),"",INDIRECT(ADDRESS(MATCH(E604,Код_КВР,0)+1,2,,,"КВР")))</f>
        <v>Закупка товаров, работ и услуг для муниципальных нужд</v>
      </c>
      <c r="B604" s="31" t="s">
        <v>10</v>
      </c>
      <c r="C604" s="6" t="s">
        <v>163</v>
      </c>
      <c r="D604" s="6" t="s">
        <v>189</v>
      </c>
      <c r="E604" s="93">
        <v>200</v>
      </c>
      <c r="F604" s="58">
        <f aca="true" t="shared" si="194" ref="F604:G604">F605</f>
        <v>233.2</v>
      </c>
      <c r="G604" s="58">
        <f t="shared" si="194"/>
        <v>233.2</v>
      </c>
    </row>
    <row r="605" spans="1:7" ht="37.5" customHeight="1">
      <c r="A605" s="55" t="str">
        <f ca="1">IF(ISERROR(MATCH(E605,Код_КВР,0)),"",INDIRECT(ADDRESS(MATCH(E605,Код_КВР,0)+1,2,,,"КВР")))</f>
        <v>Иные закупки товаров, работ и услуг для обеспечения муниципальных нужд</v>
      </c>
      <c r="B605" s="31" t="s">
        <v>10</v>
      </c>
      <c r="C605" s="6" t="s">
        <v>163</v>
      </c>
      <c r="D605" s="6" t="s">
        <v>189</v>
      </c>
      <c r="E605" s="93">
        <v>240</v>
      </c>
      <c r="F605" s="58">
        <f>'прил.16'!G939</f>
        <v>233.2</v>
      </c>
      <c r="G605" s="58">
        <f>'прил.16'!H939</f>
        <v>233.2</v>
      </c>
    </row>
    <row r="606" spans="1:7" ht="22.5" customHeight="1">
      <c r="A606" s="55" t="str">
        <f ca="1">IF(ISERROR(MATCH(E606,Код_КВР,0)),"",INDIRECT(ADDRESS(MATCH(E606,Код_КВР,0)+1,2,,,"КВР")))</f>
        <v>Социальное обеспечение и иные выплаты населению</v>
      </c>
      <c r="B606" s="31" t="s">
        <v>10</v>
      </c>
      <c r="C606" s="6" t="s">
        <v>163</v>
      </c>
      <c r="D606" s="6" t="s">
        <v>189</v>
      </c>
      <c r="E606" s="69">
        <v>300</v>
      </c>
      <c r="F606" s="58">
        <f>F607</f>
        <v>23316</v>
      </c>
      <c r="G606" s="58">
        <f>G607</f>
        <v>23316</v>
      </c>
    </row>
    <row r="607" spans="1:7" ht="27" customHeight="1">
      <c r="A607" s="55" t="str">
        <f ca="1">IF(ISERROR(MATCH(E607,Код_КВР,0)),"",INDIRECT(ADDRESS(MATCH(E607,Код_КВР,0)+1,2,,,"КВР")))</f>
        <v>Публичные нормативные социальные выплаты гражданам</v>
      </c>
      <c r="B607" s="31" t="s">
        <v>10</v>
      </c>
      <c r="C607" s="6" t="s">
        <v>163</v>
      </c>
      <c r="D607" s="6" t="s">
        <v>189</v>
      </c>
      <c r="E607" s="69">
        <v>310</v>
      </c>
      <c r="F607" s="58">
        <f>'прил.16'!G941</f>
        <v>23316</v>
      </c>
      <c r="G607" s="58">
        <f>'прил.16'!H941</f>
        <v>23316</v>
      </c>
    </row>
    <row r="608" spans="1:7" ht="40.5" customHeight="1">
      <c r="A608" s="55" t="str">
        <f ca="1">IF(ISERROR(MATCH(B608,Код_КЦСР,0)),"",INDIRECT(ADDRESS(MATCH(B608,Код_КЦСР,0)+1,2,,,"КЦСР")))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608" s="31" t="s">
        <v>11</v>
      </c>
      <c r="C608" s="6"/>
      <c r="D608" s="1"/>
      <c r="E608" s="69"/>
      <c r="F608" s="58">
        <f aca="true" t="shared" si="195" ref="F608:G614">F609</f>
        <v>6108.5</v>
      </c>
      <c r="G608" s="58">
        <f t="shared" si="195"/>
        <v>6108.5</v>
      </c>
    </row>
    <row r="609" spans="1:7" ht="74.25" customHeight="1">
      <c r="A609" s="55" t="str">
        <f ca="1">IF(ISERROR(MATCH(B609,Код_КЦСР,0)),"",INDIRECT(ADDRESS(MATCH(B609,Код_КЦСР,0)+1,2,,,"КЦСР")))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609" s="31" t="s">
        <v>12</v>
      </c>
      <c r="C609" s="6"/>
      <c r="D609" s="1"/>
      <c r="E609" s="69"/>
      <c r="F609" s="58">
        <f t="shared" si="195"/>
        <v>6108.5</v>
      </c>
      <c r="G609" s="58">
        <f t="shared" si="195"/>
        <v>6108.5</v>
      </c>
    </row>
    <row r="610" spans="1:7" ht="25.5" customHeight="1">
      <c r="A610" s="55" t="str">
        <f ca="1">IF(ISERROR(MATCH(C610,Код_Раздел,0)),"",INDIRECT(ADDRESS(MATCH(C610,Код_Раздел,0)+1,2,,,"Раздел")))</f>
        <v>Социальная политика</v>
      </c>
      <c r="B610" s="31" t="s">
        <v>12</v>
      </c>
      <c r="C610" s="6" t="s">
        <v>163</v>
      </c>
      <c r="D610" s="1"/>
      <c r="E610" s="69"/>
      <c r="F610" s="58">
        <f t="shared" si="195"/>
        <v>6108.5</v>
      </c>
      <c r="G610" s="58">
        <f t="shared" si="195"/>
        <v>6108.5</v>
      </c>
    </row>
    <row r="611" spans="1:7" ht="24" customHeight="1">
      <c r="A611" s="59" t="s">
        <v>154</v>
      </c>
      <c r="B611" s="31" t="s">
        <v>12</v>
      </c>
      <c r="C611" s="6" t="s">
        <v>163</v>
      </c>
      <c r="D611" s="6" t="s">
        <v>189</v>
      </c>
      <c r="E611" s="69"/>
      <c r="F611" s="58">
        <f aca="true" t="shared" si="196" ref="F611:G611">F614+F612</f>
        <v>6108.5</v>
      </c>
      <c r="G611" s="58">
        <f t="shared" si="196"/>
        <v>6108.5</v>
      </c>
    </row>
    <row r="612" spans="1:7" ht="27.75" customHeight="1">
      <c r="A612" s="55" t="str">
        <f ca="1">IF(ISERROR(MATCH(E612,Код_КВР,0)),"",INDIRECT(ADDRESS(MATCH(E612,Код_КВР,0)+1,2,,,"КВР")))</f>
        <v>Закупка товаров, работ и услуг для муниципальных нужд</v>
      </c>
      <c r="B612" s="31" t="s">
        <v>12</v>
      </c>
      <c r="C612" s="6" t="s">
        <v>163</v>
      </c>
      <c r="D612" s="6" t="s">
        <v>189</v>
      </c>
      <c r="E612" s="93">
        <v>200</v>
      </c>
      <c r="F612" s="58">
        <f aca="true" t="shared" si="197" ref="F612:G612">F613</f>
        <v>60.5</v>
      </c>
      <c r="G612" s="58">
        <f t="shared" si="197"/>
        <v>60.5</v>
      </c>
    </row>
    <row r="613" spans="1:7" ht="39.75" customHeight="1">
      <c r="A613" s="55" t="str">
        <f ca="1">IF(ISERROR(MATCH(E613,Код_КВР,0)),"",INDIRECT(ADDRESS(MATCH(E613,Код_КВР,0)+1,2,,,"КВР")))</f>
        <v>Иные закупки товаров, работ и услуг для обеспечения муниципальных нужд</v>
      </c>
      <c r="B613" s="31" t="s">
        <v>12</v>
      </c>
      <c r="C613" s="6" t="s">
        <v>163</v>
      </c>
      <c r="D613" s="6" t="s">
        <v>189</v>
      </c>
      <c r="E613" s="93">
        <v>240</v>
      </c>
      <c r="F613" s="58">
        <f>'прил.16'!G945</f>
        <v>60.5</v>
      </c>
      <c r="G613" s="58">
        <f>'прил.16'!H945</f>
        <v>60.5</v>
      </c>
    </row>
    <row r="614" spans="1:7" ht="22.5" customHeight="1">
      <c r="A614" s="55" t="str">
        <f ca="1">IF(ISERROR(MATCH(E614,Код_КВР,0)),"",INDIRECT(ADDRESS(MATCH(E614,Код_КВР,0)+1,2,,,"КВР")))</f>
        <v>Социальное обеспечение и иные выплаты населению</v>
      </c>
      <c r="B614" s="31" t="s">
        <v>12</v>
      </c>
      <c r="C614" s="6" t="s">
        <v>163</v>
      </c>
      <c r="D614" s="6" t="s">
        <v>189</v>
      </c>
      <c r="E614" s="69">
        <v>300</v>
      </c>
      <c r="F614" s="58">
        <f t="shared" si="195"/>
        <v>6048</v>
      </c>
      <c r="G614" s="58">
        <f t="shared" si="195"/>
        <v>6048</v>
      </c>
    </row>
    <row r="615" spans="1:7" ht="28.5" customHeight="1">
      <c r="A615" s="55" t="str">
        <f ca="1">IF(ISERROR(MATCH(E615,Код_КВР,0)),"",INDIRECT(ADDRESS(MATCH(E615,Код_КВР,0)+1,2,,,"КВР")))</f>
        <v>Публичные нормативные социальные выплаты гражданам</v>
      </c>
      <c r="B615" s="31" t="s">
        <v>12</v>
      </c>
      <c r="C615" s="6" t="s">
        <v>163</v>
      </c>
      <c r="D615" s="6" t="s">
        <v>189</v>
      </c>
      <c r="E615" s="69">
        <v>310</v>
      </c>
      <c r="F615" s="58">
        <f>'прил.16'!G947</f>
        <v>6048</v>
      </c>
      <c r="G615" s="58">
        <f>'прил.16'!H947</f>
        <v>6048</v>
      </c>
    </row>
    <row r="616" spans="1:7" ht="36.75" customHeight="1">
      <c r="A616" s="55" t="str">
        <f ca="1">IF(ISERROR(MATCH(B616,Код_КЦСР,0)),"",INDIRECT(ADDRESS(MATCH(B616,Код_КЦСР,0)+1,2,,,"КЦСР")))</f>
        <v>Выплата вознаграждений лицам, имеющим знак «За особые заслуги перед городом Череповцом»</v>
      </c>
      <c r="B616" s="31" t="s">
        <v>13</v>
      </c>
      <c r="C616" s="6"/>
      <c r="D616" s="1"/>
      <c r="E616" s="69"/>
      <c r="F616" s="58">
        <f aca="true" t="shared" si="198" ref="F616:G622">F617</f>
        <v>403</v>
      </c>
      <c r="G616" s="58">
        <f t="shared" si="198"/>
        <v>403</v>
      </c>
    </row>
    <row r="617" spans="1:7" ht="69" customHeight="1">
      <c r="A617" s="55" t="str">
        <f ca="1">IF(ISERROR(MATCH(B617,Код_КЦСР,0)),"",INDIRECT(ADDRESS(MATCH(B617,Код_КЦСР,0)+1,2,,,"КЦСР")))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617" s="31" t="s">
        <v>15</v>
      </c>
      <c r="C617" s="6"/>
      <c r="D617" s="1"/>
      <c r="E617" s="69"/>
      <c r="F617" s="58">
        <f t="shared" si="198"/>
        <v>403</v>
      </c>
      <c r="G617" s="58">
        <f t="shared" si="198"/>
        <v>403</v>
      </c>
    </row>
    <row r="618" spans="1:7" ht="21" customHeight="1">
      <c r="A618" s="55" t="str">
        <f ca="1">IF(ISERROR(MATCH(C618,Код_Раздел,0)),"",INDIRECT(ADDRESS(MATCH(C618,Код_Раздел,0)+1,2,,,"Раздел")))</f>
        <v>Социальная политика</v>
      </c>
      <c r="B618" s="31" t="s">
        <v>15</v>
      </c>
      <c r="C618" s="6" t="s">
        <v>163</v>
      </c>
      <c r="D618" s="1"/>
      <c r="E618" s="69"/>
      <c r="F618" s="58">
        <f t="shared" si="198"/>
        <v>403</v>
      </c>
      <c r="G618" s="58">
        <f t="shared" si="198"/>
        <v>403</v>
      </c>
    </row>
    <row r="619" spans="1:7" ht="21.75" customHeight="1">
      <c r="A619" s="59" t="s">
        <v>154</v>
      </c>
      <c r="B619" s="31" t="s">
        <v>15</v>
      </c>
      <c r="C619" s="6" t="s">
        <v>163</v>
      </c>
      <c r="D619" s="6" t="s">
        <v>189</v>
      </c>
      <c r="E619" s="69"/>
      <c r="F619" s="58">
        <f>F622+F620</f>
        <v>403</v>
      </c>
      <c r="G619" s="58">
        <f>G622+G620</f>
        <v>403</v>
      </c>
    </row>
    <row r="620" spans="1:7" ht="26.25" customHeight="1">
      <c r="A620" s="55" t="str">
        <f ca="1">IF(ISERROR(MATCH(E620,Код_КВР,0)),"",INDIRECT(ADDRESS(MATCH(E620,Код_КВР,0)+1,2,,,"КВР")))</f>
        <v>Закупка товаров, работ и услуг для муниципальных нужд</v>
      </c>
      <c r="B620" s="31" t="s">
        <v>15</v>
      </c>
      <c r="C620" s="6" t="s">
        <v>163</v>
      </c>
      <c r="D620" s="6" t="s">
        <v>189</v>
      </c>
      <c r="E620" s="93">
        <v>200</v>
      </c>
      <c r="F620" s="58">
        <f aca="true" t="shared" si="199" ref="F620:G620">F621</f>
        <v>4</v>
      </c>
      <c r="G620" s="58">
        <f t="shared" si="199"/>
        <v>4</v>
      </c>
    </row>
    <row r="621" spans="1:7" ht="40.5" customHeight="1">
      <c r="A621" s="55" t="str">
        <f ca="1">IF(ISERROR(MATCH(E621,Код_КВР,0)),"",INDIRECT(ADDRESS(MATCH(E621,Код_КВР,0)+1,2,,,"КВР")))</f>
        <v>Иные закупки товаров, работ и услуг для обеспечения муниципальных нужд</v>
      </c>
      <c r="B621" s="31" t="s">
        <v>15</v>
      </c>
      <c r="C621" s="6" t="s">
        <v>163</v>
      </c>
      <c r="D621" s="6" t="s">
        <v>189</v>
      </c>
      <c r="E621" s="93">
        <v>240</v>
      </c>
      <c r="F621" s="58">
        <f>'прил.16'!G951</f>
        <v>4</v>
      </c>
      <c r="G621" s="58">
        <f>'прил.16'!H951</f>
        <v>4</v>
      </c>
    </row>
    <row r="622" spans="1:7" ht="23.25" customHeight="1">
      <c r="A622" s="55" t="str">
        <f ca="1">IF(ISERROR(MATCH(E622,Код_КВР,0)),"",INDIRECT(ADDRESS(MATCH(E622,Код_КВР,0)+1,2,,,"КВР")))</f>
        <v>Социальное обеспечение и иные выплаты населению</v>
      </c>
      <c r="B622" s="31" t="s">
        <v>15</v>
      </c>
      <c r="C622" s="6" t="s">
        <v>163</v>
      </c>
      <c r="D622" s="6" t="s">
        <v>189</v>
      </c>
      <c r="E622" s="69">
        <v>300</v>
      </c>
      <c r="F622" s="58">
        <f t="shared" si="198"/>
        <v>399</v>
      </c>
      <c r="G622" s="58">
        <f t="shared" si="198"/>
        <v>399</v>
      </c>
    </row>
    <row r="623" spans="1:7" ht="31.5" customHeight="1">
      <c r="A623" s="55" t="str">
        <f ca="1">IF(ISERROR(MATCH(E623,Код_КВР,0)),"",INDIRECT(ADDRESS(MATCH(E623,Код_КВР,0)+1,2,,,"КВР")))</f>
        <v>Публичные нормативные социальные выплаты гражданам</v>
      </c>
      <c r="B623" s="31" t="s">
        <v>15</v>
      </c>
      <c r="C623" s="6" t="s">
        <v>163</v>
      </c>
      <c r="D623" s="6" t="s">
        <v>189</v>
      </c>
      <c r="E623" s="69">
        <v>310</v>
      </c>
      <c r="F623" s="58">
        <f>'прил.16'!G953</f>
        <v>399</v>
      </c>
      <c r="G623" s="58">
        <f>'прил.16'!H953</f>
        <v>399</v>
      </c>
    </row>
    <row r="624" spans="1:7" ht="39.75" customHeight="1">
      <c r="A624" s="55" t="str">
        <f ca="1">IF(ISERROR(MATCH(B624,Код_КЦСР,0)),"",INDIRECT(ADDRESS(MATCH(B624,Код_КЦСР,0)+1,2,,,"КЦСР")))</f>
        <v>Выплата вознаграждений лицам, имеющим звание «Почетный гражданин города Череповца</v>
      </c>
      <c r="B624" s="31" t="s">
        <v>16</v>
      </c>
      <c r="C624" s="6"/>
      <c r="D624" s="1"/>
      <c r="E624" s="69"/>
      <c r="F624" s="58">
        <f aca="true" t="shared" si="200" ref="F624:G630">F625</f>
        <v>379.8</v>
      </c>
      <c r="G624" s="58">
        <f t="shared" si="200"/>
        <v>379.8</v>
      </c>
    </row>
    <row r="625" spans="1:7" ht="60.75" customHeight="1">
      <c r="A625" s="55" t="str">
        <f ca="1">IF(ISERROR(MATCH(B625,Код_КЦСР,0)),"",INDIRECT(ADDRESS(MATCH(B625,Код_КЦСР,0)+1,2,,,"КЦСР")))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625" s="31" t="s">
        <v>18</v>
      </c>
      <c r="C625" s="6"/>
      <c r="D625" s="1"/>
      <c r="E625" s="69"/>
      <c r="F625" s="58">
        <f t="shared" si="200"/>
        <v>379.8</v>
      </c>
      <c r="G625" s="58">
        <f t="shared" si="200"/>
        <v>379.8</v>
      </c>
    </row>
    <row r="626" spans="1:7" ht="21" customHeight="1">
      <c r="A626" s="55" t="str">
        <f ca="1">IF(ISERROR(MATCH(C626,Код_Раздел,0)),"",INDIRECT(ADDRESS(MATCH(C626,Код_Раздел,0)+1,2,,,"Раздел")))</f>
        <v>Социальная политика</v>
      </c>
      <c r="B626" s="31" t="s">
        <v>18</v>
      </c>
      <c r="C626" s="6" t="s">
        <v>163</v>
      </c>
      <c r="D626" s="1"/>
      <c r="E626" s="69"/>
      <c r="F626" s="58">
        <f t="shared" si="200"/>
        <v>379.8</v>
      </c>
      <c r="G626" s="58">
        <f t="shared" si="200"/>
        <v>379.8</v>
      </c>
    </row>
    <row r="627" spans="1:7" ht="24" customHeight="1">
      <c r="A627" s="59" t="s">
        <v>154</v>
      </c>
      <c r="B627" s="31" t="s">
        <v>18</v>
      </c>
      <c r="C627" s="6" t="s">
        <v>163</v>
      </c>
      <c r="D627" s="6" t="s">
        <v>189</v>
      </c>
      <c r="E627" s="69"/>
      <c r="F627" s="58">
        <f aca="true" t="shared" si="201" ref="F627:G627">F630+F628</f>
        <v>379.8</v>
      </c>
      <c r="G627" s="58">
        <f t="shared" si="201"/>
        <v>379.8</v>
      </c>
    </row>
    <row r="628" spans="1:7" ht="24.75" customHeight="1">
      <c r="A628" s="55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31" t="s">
        <v>18</v>
      </c>
      <c r="C628" s="6" t="s">
        <v>163</v>
      </c>
      <c r="D628" s="6" t="s">
        <v>189</v>
      </c>
      <c r="E628" s="93">
        <v>200</v>
      </c>
      <c r="F628" s="58">
        <f aca="true" t="shared" si="202" ref="F628:G628">F629</f>
        <v>3.8</v>
      </c>
      <c r="G628" s="58">
        <f t="shared" si="202"/>
        <v>3.8</v>
      </c>
    </row>
    <row r="629" spans="1:7" ht="41.25" customHeight="1">
      <c r="A629" s="55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31" t="s">
        <v>18</v>
      </c>
      <c r="C629" s="6" t="s">
        <v>163</v>
      </c>
      <c r="D629" s="6" t="s">
        <v>189</v>
      </c>
      <c r="E629" s="93">
        <v>240</v>
      </c>
      <c r="F629" s="58">
        <f>'прил.16'!G957</f>
        <v>3.8</v>
      </c>
      <c r="G629" s="58">
        <f>'прил.16'!H957</f>
        <v>3.8</v>
      </c>
    </row>
    <row r="630" spans="1:7" ht="26.25" customHeight="1">
      <c r="A630" s="55" t="str">
        <f ca="1">IF(ISERROR(MATCH(E630,Код_КВР,0)),"",INDIRECT(ADDRESS(MATCH(E630,Код_КВР,0)+1,2,,,"КВР")))</f>
        <v>Социальное обеспечение и иные выплаты населению</v>
      </c>
      <c r="B630" s="31" t="s">
        <v>18</v>
      </c>
      <c r="C630" s="6" t="s">
        <v>163</v>
      </c>
      <c r="D630" s="6" t="s">
        <v>189</v>
      </c>
      <c r="E630" s="69">
        <v>300</v>
      </c>
      <c r="F630" s="58">
        <f t="shared" si="200"/>
        <v>376</v>
      </c>
      <c r="G630" s="58">
        <f t="shared" si="200"/>
        <v>376</v>
      </c>
    </row>
    <row r="631" spans="1:7" ht="18" customHeight="1">
      <c r="A631" s="55" t="str">
        <f ca="1">IF(ISERROR(MATCH(E631,Код_КВР,0)),"",INDIRECT(ADDRESS(MATCH(E631,Код_КВР,0)+1,2,,,"КВР")))</f>
        <v>Публичные нормативные социальные выплаты гражданам</v>
      </c>
      <c r="B631" s="31" t="s">
        <v>18</v>
      </c>
      <c r="C631" s="6" t="s">
        <v>163</v>
      </c>
      <c r="D631" s="6" t="s">
        <v>189</v>
      </c>
      <c r="E631" s="69">
        <v>310</v>
      </c>
      <c r="F631" s="58">
        <f>'прил.16'!G959</f>
        <v>376</v>
      </c>
      <c r="G631" s="58">
        <f>'прил.16'!H959</f>
        <v>376</v>
      </c>
    </row>
    <row r="632" spans="1:7" ht="39" customHeight="1">
      <c r="A632" s="55" t="str">
        <f ca="1">IF(ISERROR(MATCH(B632,Код_КЦСР,0)),"",INDIRECT(ADDRESS(MATCH(B632,Код_КЦСР,0)+1,2,,,"КЦСР")))</f>
        <v>Социальная поддержка пенсионеров на условиях договора пожизненного содержания с иждивением</v>
      </c>
      <c r="B632" s="31" t="s">
        <v>19</v>
      </c>
      <c r="C632" s="6"/>
      <c r="D632" s="1"/>
      <c r="E632" s="69"/>
      <c r="F632" s="58">
        <f aca="true" t="shared" si="203" ref="F632:G633">F633</f>
        <v>15444.3</v>
      </c>
      <c r="G632" s="58">
        <f t="shared" si="203"/>
        <v>15497.2</v>
      </c>
    </row>
    <row r="633" spans="1:7" ht="12.75">
      <c r="A633" s="55" t="str">
        <f ca="1">IF(ISERROR(MATCH(C633,Код_Раздел,0)),"",INDIRECT(ADDRESS(MATCH(C633,Код_Раздел,0)+1,2,,,"Раздел")))</f>
        <v>Социальная политика</v>
      </c>
      <c r="B633" s="31" t="s">
        <v>19</v>
      </c>
      <c r="C633" s="6" t="s">
        <v>163</v>
      </c>
      <c r="D633" s="1"/>
      <c r="E633" s="69"/>
      <c r="F633" s="58">
        <f t="shared" si="203"/>
        <v>15444.3</v>
      </c>
      <c r="G633" s="58">
        <f t="shared" si="203"/>
        <v>15497.2</v>
      </c>
    </row>
    <row r="634" spans="1:7" ht="12.75">
      <c r="A634" s="59" t="s">
        <v>154</v>
      </c>
      <c r="B634" s="31" t="s">
        <v>19</v>
      </c>
      <c r="C634" s="6" t="s">
        <v>163</v>
      </c>
      <c r="D634" s="6" t="s">
        <v>189</v>
      </c>
      <c r="E634" s="69"/>
      <c r="F634" s="58">
        <f aca="true" t="shared" si="204" ref="F634:G634">F637+F635</f>
        <v>15444.3</v>
      </c>
      <c r="G634" s="58">
        <f t="shared" si="204"/>
        <v>15497.2</v>
      </c>
    </row>
    <row r="635" spans="1:7" ht="23.25" customHeight="1">
      <c r="A635" s="55" t="str">
        <f ca="1">IF(ISERROR(MATCH(E635,Код_КВР,0)),"",INDIRECT(ADDRESS(MATCH(E635,Код_КВР,0)+1,2,,,"КВР")))</f>
        <v>Закупка товаров, работ и услуг для муниципальных нужд</v>
      </c>
      <c r="B635" s="31" t="s">
        <v>19</v>
      </c>
      <c r="C635" s="6" t="s">
        <v>163</v>
      </c>
      <c r="D635" s="6" t="s">
        <v>189</v>
      </c>
      <c r="E635" s="93">
        <v>200</v>
      </c>
      <c r="F635" s="58">
        <f aca="true" t="shared" si="205" ref="F635:G635">F636</f>
        <v>127.5</v>
      </c>
      <c r="G635" s="58">
        <f t="shared" si="205"/>
        <v>127.5</v>
      </c>
    </row>
    <row r="636" spans="1:7" ht="34.5" customHeight="1">
      <c r="A636" s="55" t="str">
        <f ca="1">IF(ISERROR(MATCH(E636,Код_КВР,0)),"",INDIRECT(ADDRESS(MATCH(E636,Код_КВР,0)+1,2,,,"КВР")))</f>
        <v>Иные закупки товаров, работ и услуг для обеспечения муниципальных нужд</v>
      </c>
      <c r="B636" s="31" t="s">
        <v>19</v>
      </c>
      <c r="C636" s="6" t="s">
        <v>163</v>
      </c>
      <c r="D636" s="6" t="s">
        <v>189</v>
      </c>
      <c r="E636" s="93">
        <v>240</v>
      </c>
      <c r="F636" s="58">
        <f>'прил.16'!G962</f>
        <v>127.5</v>
      </c>
      <c r="G636" s="58">
        <f>'прил.16'!H962</f>
        <v>127.5</v>
      </c>
    </row>
    <row r="637" spans="1:7" ht="23.25" customHeight="1">
      <c r="A637" s="55" t="str">
        <f ca="1">IF(ISERROR(MATCH(E637,Код_КВР,0)),"",INDIRECT(ADDRESS(MATCH(E637,Код_КВР,0)+1,2,,,"КВР")))</f>
        <v>Социальное обеспечение и иные выплаты населению</v>
      </c>
      <c r="B637" s="31" t="s">
        <v>19</v>
      </c>
      <c r="C637" s="6" t="s">
        <v>163</v>
      </c>
      <c r="D637" s="6" t="s">
        <v>189</v>
      </c>
      <c r="E637" s="69">
        <v>300</v>
      </c>
      <c r="F637" s="58">
        <f>SUM(F638:F638)</f>
        <v>15316.8</v>
      </c>
      <c r="G637" s="58">
        <f>SUM(G638:G638)</f>
        <v>15369.7</v>
      </c>
    </row>
    <row r="638" spans="1:7" ht="39.75" customHeight="1">
      <c r="A638" s="55" t="str">
        <f ca="1">IF(ISERROR(MATCH(E638,Код_КВР,0)),"",INDIRECT(ADDRESS(MATCH(E638,Код_КВР,0)+1,2,,,"КВР")))</f>
        <v>Социальные выплаты гражданам, кроме публичных нормативных социальных выплат</v>
      </c>
      <c r="B638" s="31" t="s">
        <v>19</v>
      </c>
      <c r="C638" s="6" t="s">
        <v>163</v>
      </c>
      <c r="D638" s="6" t="s">
        <v>189</v>
      </c>
      <c r="E638" s="69">
        <v>320</v>
      </c>
      <c r="F638" s="58">
        <f>'прил.16'!G964</f>
        <v>15316.8</v>
      </c>
      <c r="G638" s="58">
        <f>'прил.16'!H964</f>
        <v>15369.7</v>
      </c>
    </row>
    <row r="639" spans="1:7" ht="21" customHeight="1">
      <c r="A639" s="55" t="str">
        <f ca="1">IF(ISERROR(MATCH(B639,Код_КЦСР,0)),"",INDIRECT(ADDRESS(MATCH(B639,Код_КЦСР,0)+1,2,,,"КЦСР")))</f>
        <v>Оплата услуг бани по льготным помывкам</v>
      </c>
      <c r="B639" s="31" t="s">
        <v>20</v>
      </c>
      <c r="C639" s="6"/>
      <c r="D639" s="1"/>
      <c r="E639" s="69"/>
      <c r="F639" s="58">
        <f aca="true" t="shared" si="206" ref="F639:G642">F640</f>
        <v>71</v>
      </c>
      <c r="G639" s="58">
        <f t="shared" si="206"/>
        <v>71</v>
      </c>
    </row>
    <row r="640" spans="1:7" ht="20.25" customHeight="1">
      <c r="A640" s="55" t="str">
        <f ca="1">IF(ISERROR(MATCH(C640,Код_Раздел,0)),"",INDIRECT(ADDRESS(MATCH(C640,Код_Раздел,0)+1,2,,,"Раздел")))</f>
        <v>Социальная политика</v>
      </c>
      <c r="B640" s="31" t="s">
        <v>20</v>
      </c>
      <c r="C640" s="6" t="s">
        <v>163</v>
      </c>
      <c r="D640" s="1"/>
      <c r="E640" s="69"/>
      <c r="F640" s="58">
        <f t="shared" si="206"/>
        <v>71</v>
      </c>
      <c r="G640" s="58">
        <f t="shared" si="206"/>
        <v>71</v>
      </c>
    </row>
    <row r="641" spans="1:7" ht="20.25" customHeight="1">
      <c r="A641" s="59" t="s">
        <v>154</v>
      </c>
      <c r="B641" s="31" t="s">
        <v>20</v>
      </c>
      <c r="C641" s="6" t="s">
        <v>163</v>
      </c>
      <c r="D641" s="6" t="s">
        <v>189</v>
      </c>
      <c r="E641" s="69"/>
      <c r="F641" s="58">
        <f>F642</f>
        <v>71</v>
      </c>
      <c r="G641" s="58">
        <f>G642</f>
        <v>71</v>
      </c>
    </row>
    <row r="642" spans="1:7" ht="18.75" customHeight="1">
      <c r="A642" s="55" t="str">
        <f ca="1">IF(ISERROR(MATCH(E642,Код_КВР,0)),"",INDIRECT(ADDRESS(MATCH(E642,Код_КВР,0)+1,2,,,"КВР")))</f>
        <v>Социальное обеспечение и иные выплаты населению</v>
      </c>
      <c r="B642" s="31" t="s">
        <v>20</v>
      </c>
      <c r="C642" s="6" t="s">
        <v>163</v>
      </c>
      <c r="D642" s="6" t="s">
        <v>189</v>
      </c>
      <c r="E642" s="69">
        <v>300</v>
      </c>
      <c r="F642" s="58">
        <f t="shared" si="206"/>
        <v>71</v>
      </c>
      <c r="G642" s="58">
        <f t="shared" si="206"/>
        <v>71</v>
      </c>
    </row>
    <row r="643" spans="1:7" ht="45" customHeight="1">
      <c r="A643" s="55" t="str">
        <f ca="1">IF(ISERROR(MATCH(E643,Код_КВР,0)),"",INDIRECT(ADDRESS(MATCH(E643,Код_КВР,0)+1,2,,,"КВР")))</f>
        <v>Социальные выплаты гражданам, кроме публичных нормативных социальных выплат</v>
      </c>
      <c r="B643" s="31" t="s">
        <v>20</v>
      </c>
      <c r="C643" s="6" t="s">
        <v>163</v>
      </c>
      <c r="D643" s="6" t="s">
        <v>189</v>
      </c>
      <c r="E643" s="69">
        <v>320</v>
      </c>
      <c r="F643" s="58">
        <f>'прил.16'!G452</f>
        <v>71</v>
      </c>
      <c r="G643" s="58">
        <f>'прил.16'!H452</f>
        <v>71</v>
      </c>
    </row>
    <row r="644" spans="1:7" ht="54" customHeight="1">
      <c r="A644" s="55" t="str">
        <f ca="1">IF(ISERROR(MATCH(B644,Код_КЦСР,0)),"",INDIRECT(ADDRESS(MATCH(B644,Код_КЦСР,0)+1,2,,,"КЦСР")))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644" s="31" t="s">
        <v>540</v>
      </c>
      <c r="C644" s="6"/>
      <c r="D644" s="1"/>
      <c r="E644" s="77"/>
      <c r="F644" s="58">
        <f aca="true" t="shared" si="207" ref="F644:G644">F645</f>
        <v>9180.7</v>
      </c>
      <c r="G644" s="58">
        <f t="shared" si="207"/>
        <v>9188.1</v>
      </c>
    </row>
    <row r="645" spans="1:7" ht="24" customHeight="1">
      <c r="A645" s="55" t="str">
        <f ca="1">IF(ISERROR(MATCH(C645,Код_Раздел,0)),"",INDIRECT(ADDRESS(MATCH(C645,Код_Раздел,0)+1,2,,,"Раздел")))</f>
        <v>Социальная политика</v>
      </c>
      <c r="B645" s="31" t="s">
        <v>540</v>
      </c>
      <c r="C645" s="6" t="s">
        <v>163</v>
      </c>
      <c r="D645" s="1"/>
      <c r="E645" s="77"/>
      <c r="F645" s="58">
        <f aca="true" t="shared" si="208" ref="F645:G645">F646</f>
        <v>9180.7</v>
      </c>
      <c r="G645" s="58">
        <f t="shared" si="208"/>
        <v>9188.1</v>
      </c>
    </row>
    <row r="646" spans="1:7" ht="24" customHeight="1">
      <c r="A646" s="59" t="s">
        <v>164</v>
      </c>
      <c r="B646" s="31" t="s">
        <v>540</v>
      </c>
      <c r="C646" s="6" t="s">
        <v>163</v>
      </c>
      <c r="D646" s="6" t="s">
        <v>191</v>
      </c>
      <c r="E646" s="77"/>
      <c r="F646" s="58">
        <f aca="true" t="shared" si="209" ref="F646:G646">F647+F649</f>
        <v>9180.7</v>
      </c>
      <c r="G646" s="58">
        <f t="shared" si="209"/>
        <v>9188.1</v>
      </c>
    </row>
    <row r="647" spans="1:7" ht="50.25" customHeight="1">
      <c r="A647" s="55" t="str">
        <f ca="1">IF(ISERROR(MATCH(E647,Код_КВР,0)),"",INDIRECT(ADDRESS(MATCH(E647,Код_КВР,0)+1,2,,,"КВР")))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7" s="31" t="s">
        <v>540</v>
      </c>
      <c r="C647" s="6" t="s">
        <v>163</v>
      </c>
      <c r="D647" s="6" t="s">
        <v>191</v>
      </c>
      <c r="E647" s="77">
        <v>100</v>
      </c>
      <c r="F647" s="58">
        <f aca="true" t="shared" si="210" ref="F647:G647">F648</f>
        <v>8909</v>
      </c>
      <c r="G647" s="58">
        <f t="shared" si="210"/>
        <v>8909</v>
      </c>
    </row>
    <row r="648" spans="1:7" ht="21" customHeight="1">
      <c r="A648" s="55" t="str">
        <f ca="1">IF(ISERROR(MATCH(E648,Код_КВР,0)),"",INDIRECT(ADDRESS(MATCH(E648,Код_КВР,0)+1,2,,,"КВР")))</f>
        <v>Расходы на выплаты персоналу муниципальных органов</v>
      </c>
      <c r="B648" s="31" t="s">
        <v>540</v>
      </c>
      <c r="C648" s="6" t="s">
        <v>163</v>
      </c>
      <c r="D648" s="6" t="s">
        <v>191</v>
      </c>
      <c r="E648" s="77">
        <v>120</v>
      </c>
      <c r="F648" s="58">
        <f>'прил.16'!G987</f>
        <v>8909</v>
      </c>
      <c r="G648" s="58">
        <f>'прил.16'!H987</f>
        <v>8909</v>
      </c>
    </row>
    <row r="649" spans="1:7" ht="23.25" customHeight="1">
      <c r="A649" s="55" t="str">
        <f ca="1">IF(ISERROR(MATCH(E649,Код_КВР,0)),"",INDIRECT(ADDRESS(MATCH(E649,Код_КВР,0)+1,2,,,"КВР")))</f>
        <v>Закупка товаров, работ и услуг для муниципальных нужд</v>
      </c>
      <c r="B649" s="31" t="s">
        <v>540</v>
      </c>
      <c r="C649" s="6" t="s">
        <v>163</v>
      </c>
      <c r="D649" s="6" t="s">
        <v>191</v>
      </c>
      <c r="E649" s="77">
        <v>200</v>
      </c>
      <c r="F649" s="58">
        <f aca="true" t="shared" si="211" ref="F649:G649">F650</f>
        <v>271.7</v>
      </c>
      <c r="G649" s="58">
        <f t="shared" si="211"/>
        <v>279.1</v>
      </c>
    </row>
    <row r="650" spans="1:7" ht="37.5" customHeight="1">
      <c r="A650" s="55" t="str">
        <f ca="1">IF(ISERROR(MATCH(E650,Код_КВР,0)),"",INDIRECT(ADDRESS(MATCH(E650,Код_КВР,0)+1,2,,,"КВР")))</f>
        <v>Иные закупки товаров, работ и услуг для обеспечения муниципальных нужд</v>
      </c>
      <c r="B650" s="31" t="s">
        <v>540</v>
      </c>
      <c r="C650" s="6" t="s">
        <v>163</v>
      </c>
      <c r="D650" s="6" t="s">
        <v>191</v>
      </c>
      <c r="E650" s="77">
        <v>240</v>
      </c>
      <c r="F650" s="58">
        <f>'прил.16'!G989</f>
        <v>271.7</v>
      </c>
      <c r="G650" s="58">
        <f>'прил.16'!H989</f>
        <v>279.1</v>
      </c>
    </row>
    <row r="651" spans="1:7" ht="38.25" customHeight="1">
      <c r="A651" s="55" t="str">
        <f ca="1">IF(ISERROR(MATCH(B651,Код_КЦСР,0)),"",INDIRECT(ADDRESS(MATCH(B651,Код_КЦСР,0)+1,2,,,"КЦСР")))</f>
        <v>Социальная поддержка детей-сирот и детей, оставшихся без попечения родителей</v>
      </c>
      <c r="B651" s="101" t="s">
        <v>593</v>
      </c>
      <c r="C651" s="6"/>
      <c r="D651" s="1"/>
      <c r="E651" s="94"/>
      <c r="F651" s="58">
        <f aca="true" t="shared" si="212" ref="F651:G651">F653+F657</f>
        <v>125609</v>
      </c>
      <c r="G651" s="58">
        <f t="shared" si="212"/>
        <v>143847.3</v>
      </c>
    </row>
    <row r="652" spans="1:7" ht="33">
      <c r="A652" s="55" t="str">
        <f ca="1">IF(ISERROR(MATCH(B652,Код_КЦСР,0)),"",INDIRECT(ADDRESS(MATCH(B652,Код_КЦСР,0)+1,2,,,"КЦСР")))</f>
        <v>Социальная поддержка детей-сирот и детей, оставшихся без попечения родителей</v>
      </c>
      <c r="B652" s="101" t="s">
        <v>582</v>
      </c>
      <c r="C652" s="6"/>
      <c r="D652" s="1"/>
      <c r="E652" s="100"/>
      <c r="F652" s="58">
        <f aca="true" t="shared" si="213" ref="F652">F653+F657</f>
        <v>125609</v>
      </c>
      <c r="G652" s="58">
        <f>G653+G657</f>
        <v>143847.3</v>
      </c>
    </row>
    <row r="653" spans="1:7" ht="12.75">
      <c r="A653" s="55" t="str">
        <f ca="1">IF(ISERROR(MATCH(C653,Код_Раздел,0)),"",INDIRECT(ADDRESS(MATCH(C653,Код_Раздел,0)+1,2,,,"Раздел")))</f>
        <v>Образование</v>
      </c>
      <c r="B653" s="31" t="s">
        <v>582</v>
      </c>
      <c r="C653" s="6" t="s">
        <v>170</v>
      </c>
      <c r="D653" s="1"/>
      <c r="E653" s="94"/>
      <c r="F653" s="58">
        <f aca="true" t="shared" si="214" ref="F653:G654">F654</f>
        <v>1955</v>
      </c>
      <c r="G653" s="58">
        <f t="shared" si="214"/>
        <v>391</v>
      </c>
    </row>
    <row r="654" spans="1:7" ht="12.75">
      <c r="A654" s="59" t="s">
        <v>174</v>
      </c>
      <c r="B654" s="31" t="s">
        <v>582</v>
      </c>
      <c r="C654" s="6" t="s">
        <v>170</v>
      </c>
      <c r="D654" s="6" t="s">
        <v>170</v>
      </c>
      <c r="E654" s="94"/>
      <c r="F654" s="58">
        <f t="shared" si="214"/>
        <v>1955</v>
      </c>
      <c r="G654" s="58">
        <f t="shared" si="214"/>
        <v>391</v>
      </c>
    </row>
    <row r="655" spans="1:7" ht="27" customHeight="1">
      <c r="A655" s="55" t="str">
        <f ca="1">IF(ISERROR(MATCH(E655,Код_КВР,0)),"",INDIRECT(ADDRESS(MATCH(E655,Код_КВР,0)+1,2,,,"КВР")))</f>
        <v>Социальное обеспечение и иные выплаты населению</v>
      </c>
      <c r="B655" s="31" t="s">
        <v>582</v>
      </c>
      <c r="C655" s="6" t="s">
        <v>170</v>
      </c>
      <c r="D655" s="6" t="s">
        <v>170</v>
      </c>
      <c r="E655" s="94">
        <v>300</v>
      </c>
      <c r="F655" s="58">
        <f aca="true" t="shared" si="215" ref="F655:G655">F656</f>
        <v>1955</v>
      </c>
      <c r="G655" s="58">
        <f t="shared" si="215"/>
        <v>391</v>
      </c>
    </row>
    <row r="656" spans="1:7" ht="39" customHeight="1">
      <c r="A656" s="55" t="str">
        <f ca="1">IF(ISERROR(MATCH(E656,Код_КВР,0)),"",INDIRECT(ADDRESS(MATCH(E656,Код_КВР,0)+1,2,,,"КВР")))</f>
        <v>Социальные выплаты гражданам, кроме публичных нормативных социальных выплат</v>
      </c>
      <c r="B656" s="31" t="s">
        <v>582</v>
      </c>
      <c r="C656" s="6" t="s">
        <v>170</v>
      </c>
      <c r="D656" s="6" t="s">
        <v>170</v>
      </c>
      <c r="E656" s="94">
        <v>320</v>
      </c>
      <c r="F656" s="58">
        <f>'прил.16'!G917</f>
        <v>1955</v>
      </c>
      <c r="G656" s="58">
        <f>'прил.16'!H917</f>
        <v>391</v>
      </c>
    </row>
    <row r="657" spans="1:7" ht="22.5" customHeight="1">
      <c r="A657" s="55" t="str">
        <f ca="1">IF(ISERROR(MATCH(C657,Код_Раздел,0)),"",INDIRECT(ADDRESS(MATCH(C657,Код_Раздел,0)+1,2,,,"Раздел")))</f>
        <v>Социальная политика</v>
      </c>
      <c r="B657" s="31" t="s">
        <v>582</v>
      </c>
      <c r="C657" s="6" t="s">
        <v>163</v>
      </c>
      <c r="D657" s="1"/>
      <c r="E657" s="94"/>
      <c r="F657" s="58">
        <f aca="true" t="shared" si="216" ref="F657:G657">F658+F661</f>
        <v>123654</v>
      </c>
      <c r="G657" s="58">
        <f t="shared" si="216"/>
        <v>143456.3</v>
      </c>
    </row>
    <row r="658" spans="1:7" ht="24" customHeight="1">
      <c r="A658" s="59" t="s">
        <v>229</v>
      </c>
      <c r="B658" s="31" t="s">
        <v>582</v>
      </c>
      <c r="C658" s="6" t="s">
        <v>163</v>
      </c>
      <c r="D658" s="6" t="s">
        <v>188</v>
      </c>
      <c r="E658" s="94"/>
      <c r="F658" s="58">
        <f aca="true" t="shared" si="217" ref="F658:G658">F659</f>
        <v>94324</v>
      </c>
      <c r="G658" s="58">
        <f t="shared" si="217"/>
        <v>94683.2</v>
      </c>
    </row>
    <row r="659" spans="1:7" ht="40.5" customHeight="1">
      <c r="A659" s="55" t="str">
        <f ca="1">IF(ISERROR(MATCH(E659,Код_КВР,0)),"",INDIRECT(ADDRESS(MATCH(E659,Код_КВР,0)+1,2,,,"КВР")))</f>
        <v>Предоставление субсидий бюджетным, автономным учреждениям и иным некоммерческим организациям</v>
      </c>
      <c r="B659" s="31" t="s">
        <v>582</v>
      </c>
      <c r="C659" s="6" t="s">
        <v>163</v>
      </c>
      <c r="D659" s="6" t="s">
        <v>188</v>
      </c>
      <c r="E659" s="94">
        <v>600</v>
      </c>
      <c r="F659" s="58">
        <f aca="true" t="shared" si="218" ref="F659:G659">F660</f>
        <v>94324</v>
      </c>
      <c r="G659" s="58">
        <f t="shared" si="218"/>
        <v>94683.2</v>
      </c>
    </row>
    <row r="660" spans="1:7" ht="26.1" customHeight="1">
      <c r="A660" s="55" t="str">
        <f ca="1">IF(ISERROR(MATCH(E660,Код_КВР,0)),"",INDIRECT(ADDRESS(MATCH(E660,Код_КВР,0)+1,2,,,"КВР")))</f>
        <v>Субсидии бюджетным учреждениям</v>
      </c>
      <c r="B660" s="31" t="s">
        <v>582</v>
      </c>
      <c r="C660" s="6" t="s">
        <v>163</v>
      </c>
      <c r="D660" s="6" t="s">
        <v>188</v>
      </c>
      <c r="E660" s="94">
        <v>610</v>
      </c>
      <c r="F660" s="58">
        <f>'прил.16'!G928</f>
        <v>94324</v>
      </c>
      <c r="G660" s="58">
        <f>'прил.16'!H928</f>
        <v>94683.2</v>
      </c>
    </row>
    <row r="661" spans="1:7" ht="22.5" customHeight="1">
      <c r="A661" s="60" t="s">
        <v>179</v>
      </c>
      <c r="B661" s="31" t="s">
        <v>582</v>
      </c>
      <c r="C661" s="6" t="s">
        <v>163</v>
      </c>
      <c r="D661" s="6" t="s">
        <v>190</v>
      </c>
      <c r="E661" s="94"/>
      <c r="F661" s="58">
        <f aca="true" t="shared" si="219" ref="F661:G661">F662</f>
        <v>29330</v>
      </c>
      <c r="G661" s="58">
        <f t="shared" si="219"/>
        <v>48773.1</v>
      </c>
    </row>
    <row r="662" spans="1:7" ht="24.75" customHeight="1">
      <c r="A662" s="55" t="str">
        <f ca="1">IF(ISERROR(MATCH(E662,Код_КВР,0)),"",INDIRECT(ADDRESS(MATCH(E662,Код_КВР,0)+1,2,,,"КВР")))</f>
        <v>Социальное обеспечение и иные выплаты населению</v>
      </c>
      <c r="B662" s="31" t="s">
        <v>582</v>
      </c>
      <c r="C662" s="6" t="s">
        <v>163</v>
      </c>
      <c r="D662" s="6" t="s">
        <v>190</v>
      </c>
      <c r="E662" s="94">
        <v>300</v>
      </c>
      <c r="F662" s="58">
        <f aca="true" t="shared" si="220" ref="F662:G662">F663</f>
        <v>29330</v>
      </c>
      <c r="G662" s="58">
        <f t="shared" si="220"/>
        <v>48773.1</v>
      </c>
    </row>
    <row r="663" spans="1:7" ht="39.75" customHeight="1">
      <c r="A663" s="55" t="str">
        <f ca="1">IF(ISERROR(MATCH(E663,Код_КВР,0)),"",INDIRECT(ADDRESS(MATCH(E663,Код_КВР,0)+1,2,,,"КВР")))</f>
        <v>Социальные выплаты гражданам, кроме публичных нормативных социальных выплат</v>
      </c>
      <c r="B663" s="31" t="s">
        <v>582</v>
      </c>
      <c r="C663" s="6" t="s">
        <v>163</v>
      </c>
      <c r="D663" s="6" t="s">
        <v>190</v>
      </c>
      <c r="E663" s="94">
        <v>320</v>
      </c>
      <c r="F663" s="58">
        <f>'прил.16'!G975</f>
        <v>29330</v>
      </c>
      <c r="G663" s="58">
        <f>'прил.16'!H975</f>
        <v>48773.1</v>
      </c>
    </row>
    <row r="664" spans="1:7" ht="40.5" customHeight="1">
      <c r="A664" s="55" t="str">
        <f ca="1">IF(ISERROR(MATCH(B664,Код_КЦСР,0)),"",INDIRECT(ADDRESS(MATCH(B664,Код_КЦСР,0)+1,2,,,"КЦСР")))</f>
        <v>Муниципальная программа «Обеспечение жильем отдельных категорий граждан» на 2014-2020 годы</v>
      </c>
      <c r="B664" s="31" t="s">
        <v>22</v>
      </c>
      <c r="C664" s="6"/>
      <c r="D664" s="1"/>
      <c r="E664" s="69"/>
      <c r="F664" s="58">
        <f aca="true" t="shared" si="221" ref="F664:G664">F670+F675+F681</f>
        <v>30788.6</v>
      </c>
      <c r="G664" s="58">
        <f t="shared" si="221"/>
        <v>33636</v>
      </c>
    </row>
    <row r="665" spans="1:7" ht="104.45" customHeight="1" hidden="1">
      <c r="A665" s="55" t="str">
        <f ca="1">IF(ISERROR(MATCH(B665,Код_КЦСР,0)),"",INDIRECT(ADDRESS(MATCH(B665,Код_КЦСР,0)+1,2,,,"КЦСР")))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665" s="32" t="s">
        <v>584</v>
      </c>
      <c r="C665" s="6"/>
      <c r="D665" s="1"/>
      <c r="E665" s="99"/>
      <c r="F665" s="58">
        <f aca="true" t="shared" si="222" ref="F665:G668">F666</f>
        <v>0</v>
      </c>
      <c r="G665" s="58">
        <f t="shared" si="222"/>
        <v>0</v>
      </c>
    </row>
    <row r="666" spans="1:7" ht="22.5" customHeight="1" hidden="1">
      <c r="A666" s="55" t="str">
        <f ca="1">IF(ISERROR(MATCH(C666,Код_Раздел,0)),"",INDIRECT(ADDRESS(MATCH(C666,Код_Раздел,0)+1,2,,,"Раздел")))</f>
        <v>Социальная политика</v>
      </c>
      <c r="B666" s="32" t="s">
        <v>584</v>
      </c>
      <c r="C666" s="6" t="s">
        <v>163</v>
      </c>
      <c r="D666" s="1"/>
      <c r="E666" s="99"/>
      <c r="F666" s="58">
        <f t="shared" si="222"/>
        <v>0</v>
      </c>
      <c r="G666" s="58">
        <f t="shared" si="222"/>
        <v>0</v>
      </c>
    </row>
    <row r="667" spans="1:7" ht="24.75" customHeight="1" hidden="1">
      <c r="A667" s="59" t="s">
        <v>154</v>
      </c>
      <c r="B667" s="32" t="s">
        <v>584</v>
      </c>
      <c r="C667" s="6" t="s">
        <v>163</v>
      </c>
      <c r="D667" s="6" t="s">
        <v>189</v>
      </c>
      <c r="E667" s="99"/>
      <c r="F667" s="58">
        <f t="shared" si="222"/>
        <v>0</v>
      </c>
      <c r="G667" s="58">
        <f t="shared" si="222"/>
        <v>0</v>
      </c>
    </row>
    <row r="668" spans="1:7" ht="18" customHeight="1" hidden="1">
      <c r="A668" s="55" t="str">
        <f ca="1">IF(ISERROR(MATCH(E668,Код_КВР,0)),"",INDIRECT(ADDRESS(MATCH(E668,Код_КВР,0)+1,2,,,"КВР")))</f>
        <v>Социальное обеспечение и иные выплаты населению</v>
      </c>
      <c r="B668" s="32" t="s">
        <v>584</v>
      </c>
      <c r="C668" s="6" t="s">
        <v>163</v>
      </c>
      <c r="D668" s="6" t="s">
        <v>189</v>
      </c>
      <c r="E668" s="99">
        <v>300</v>
      </c>
      <c r="F668" s="58">
        <f t="shared" si="222"/>
        <v>0</v>
      </c>
      <c r="G668" s="58">
        <f t="shared" si="222"/>
        <v>0</v>
      </c>
    </row>
    <row r="669" spans="1:7" ht="36" customHeight="1" hidden="1">
      <c r="A669" s="55" t="str">
        <f ca="1">IF(ISERROR(MATCH(E669,Код_КВР,0)),"",INDIRECT(ADDRESS(MATCH(E669,Код_КВР,0)+1,2,,,"КВР")))</f>
        <v>Социальные выплаты гражданам, кроме публичных нормативных социальных выплат</v>
      </c>
      <c r="B669" s="32" t="s">
        <v>584</v>
      </c>
      <c r="C669" s="6" t="s">
        <v>163</v>
      </c>
      <c r="D669" s="6" t="s">
        <v>189</v>
      </c>
      <c r="E669" s="99">
        <v>320</v>
      </c>
      <c r="F669" s="58">
        <f>'прил.16'!G290</f>
        <v>0</v>
      </c>
      <c r="G669" s="58">
        <f>'прил.16'!H290</f>
        <v>0</v>
      </c>
    </row>
    <row r="670" spans="1:7" ht="94.5" customHeight="1">
      <c r="A670" s="55" t="str">
        <f ca="1">IF(ISERROR(MATCH(B670,Код_КЦСР,0)),"",INDIRECT(ADDRESS(MATCH(B670,Код_КЦСР,0)+1,2,,,"КЦСР")))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670" s="32" t="s">
        <v>352</v>
      </c>
      <c r="C670" s="6"/>
      <c r="D670" s="1"/>
      <c r="E670" s="69"/>
      <c r="F670" s="58">
        <f aca="true" t="shared" si="223" ref="F670:G670">F671</f>
        <v>17160</v>
      </c>
      <c r="G670" s="58">
        <f t="shared" si="223"/>
        <v>17160</v>
      </c>
    </row>
    <row r="671" spans="1:7" ht="20.25" customHeight="1">
      <c r="A671" s="55" t="str">
        <f ca="1">IF(ISERROR(MATCH(C671,Код_Раздел,0)),"",INDIRECT(ADDRESS(MATCH(C671,Код_Раздел,0)+1,2,,,"Раздел")))</f>
        <v>Социальная политика</v>
      </c>
      <c r="B671" s="32" t="s">
        <v>352</v>
      </c>
      <c r="C671" s="6" t="s">
        <v>163</v>
      </c>
      <c r="D671" s="1"/>
      <c r="E671" s="69"/>
      <c r="F671" s="58">
        <f aca="true" t="shared" si="224" ref="F671:G673">F672</f>
        <v>17160</v>
      </c>
      <c r="G671" s="58">
        <f t="shared" si="224"/>
        <v>17160</v>
      </c>
    </row>
    <row r="672" spans="1:7" ht="24" customHeight="1">
      <c r="A672" s="59" t="s">
        <v>154</v>
      </c>
      <c r="B672" s="32" t="s">
        <v>352</v>
      </c>
      <c r="C672" s="6" t="s">
        <v>163</v>
      </c>
      <c r="D672" s="6" t="s">
        <v>189</v>
      </c>
      <c r="E672" s="69"/>
      <c r="F672" s="58">
        <f t="shared" si="224"/>
        <v>17160</v>
      </c>
      <c r="G672" s="58">
        <f t="shared" si="224"/>
        <v>17160</v>
      </c>
    </row>
    <row r="673" spans="1:7" ht="19.5" customHeight="1">
      <c r="A673" s="55" t="str">
        <f ca="1">IF(ISERROR(MATCH(E673,Код_КВР,0)),"",INDIRECT(ADDRESS(MATCH(E673,Код_КВР,0)+1,2,,,"КВР")))</f>
        <v>Социальное обеспечение и иные выплаты населению</v>
      </c>
      <c r="B673" s="32" t="s">
        <v>352</v>
      </c>
      <c r="C673" s="6" t="s">
        <v>163</v>
      </c>
      <c r="D673" s="6" t="s">
        <v>189</v>
      </c>
      <c r="E673" s="69">
        <v>300</v>
      </c>
      <c r="F673" s="58">
        <f t="shared" si="224"/>
        <v>17160</v>
      </c>
      <c r="G673" s="58">
        <f t="shared" si="224"/>
        <v>17160</v>
      </c>
    </row>
    <row r="674" spans="1:7" ht="36.75" customHeight="1">
      <c r="A674" s="55" t="str">
        <f ca="1">IF(ISERROR(MATCH(E674,Код_КВР,0)),"",INDIRECT(ADDRESS(MATCH(E674,Код_КВР,0)+1,2,,,"КВР")))</f>
        <v>Социальные выплаты гражданам, кроме публичных нормативных социальных выплат</v>
      </c>
      <c r="B674" s="32" t="s">
        <v>352</v>
      </c>
      <c r="C674" s="6" t="s">
        <v>163</v>
      </c>
      <c r="D674" s="6" t="s">
        <v>189</v>
      </c>
      <c r="E674" s="69">
        <v>320</v>
      </c>
      <c r="F674" s="58">
        <f>'прил.16'!G293</f>
        <v>17160</v>
      </c>
      <c r="G674" s="58">
        <f>'прил.16'!H293</f>
        <v>17160</v>
      </c>
    </row>
    <row r="675" spans="1:7" ht="24" customHeight="1">
      <c r="A675" s="55" t="str">
        <f ca="1">IF(ISERROR(MATCH(B675,Код_КЦСР,0)),"",INDIRECT(ADDRESS(MATCH(B675,Код_КЦСР,0)+1,2,,,"КЦСР")))</f>
        <v>Обеспечение жильем молодых семей</v>
      </c>
      <c r="B675" s="31" t="s">
        <v>24</v>
      </c>
      <c r="C675" s="6"/>
      <c r="D675" s="1"/>
      <c r="E675" s="69"/>
      <c r="F675" s="58">
        <f aca="true" t="shared" si="225" ref="F675:G675">F676</f>
        <v>1666.1</v>
      </c>
      <c r="G675" s="58">
        <f t="shared" si="225"/>
        <v>1666.1</v>
      </c>
    </row>
    <row r="676" spans="1:7" ht="37.5" customHeight="1">
      <c r="A676" s="55" t="str">
        <f ca="1">IF(ISERROR(MATCH(B676,Код_КЦСР,0)),"",INDIRECT(ADDRESS(MATCH(B676,Код_КЦСР,0)+1,2,,,"КЦСР")))</f>
        <v>Предоставление социальных выплат на приобретение (строительство) жилья молодыми семьями</v>
      </c>
      <c r="B676" s="31" t="s">
        <v>26</v>
      </c>
      <c r="C676" s="6"/>
      <c r="D676" s="1"/>
      <c r="E676" s="69"/>
      <c r="F676" s="58">
        <f aca="true" t="shared" si="226" ref="F676:G679">F677</f>
        <v>1666.1</v>
      </c>
      <c r="G676" s="58">
        <f t="shared" si="226"/>
        <v>1666.1</v>
      </c>
    </row>
    <row r="677" spans="1:7" ht="21" customHeight="1">
      <c r="A677" s="55" t="str">
        <f ca="1">IF(ISERROR(MATCH(C677,Код_Раздел,0)),"",INDIRECT(ADDRESS(MATCH(C677,Код_Раздел,0)+1,2,,,"Раздел")))</f>
        <v>Социальная политика</v>
      </c>
      <c r="B677" s="31" t="s">
        <v>26</v>
      </c>
      <c r="C677" s="6" t="s">
        <v>163</v>
      </c>
      <c r="D677" s="1"/>
      <c r="E677" s="69"/>
      <c r="F677" s="58">
        <f t="shared" si="226"/>
        <v>1666.1</v>
      </c>
      <c r="G677" s="58">
        <f t="shared" si="226"/>
        <v>1666.1</v>
      </c>
    </row>
    <row r="678" spans="1:7" ht="26.25" customHeight="1">
      <c r="A678" s="59" t="s">
        <v>154</v>
      </c>
      <c r="B678" s="31" t="s">
        <v>26</v>
      </c>
      <c r="C678" s="6" t="s">
        <v>163</v>
      </c>
      <c r="D678" s="6" t="s">
        <v>189</v>
      </c>
      <c r="E678" s="69"/>
      <c r="F678" s="58">
        <f t="shared" si="226"/>
        <v>1666.1</v>
      </c>
      <c r="G678" s="58">
        <f t="shared" si="226"/>
        <v>1666.1</v>
      </c>
    </row>
    <row r="679" spans="1:7" ht="22.5" customHeight="1">
      <c r="A679" s="55" t="str">
        <f ca="1">IF(ISERROR(MATCH(E679,Код_КВР,0)),"",INDIRECT(ADDRESS(MATCH(E679,Код_КВР,0)+1,2,,,"КВР")))</f>
        <v>Социальное обеспечение и иные выплаты населению</v>
      </c>
      <c r="B679" s="31" t="s">
        <v>26</v>
      </c>
      <c r="C679" s="6" t="s">
        <v>163</v>
      </c>
      <c r="D679" s="6" t="s">
        <v>189</v>
      </c>
      <c r="E679" s="69">
        <v>300</v>
      </c>
      <c r="F679" s="58">
        <f t="shared" si="226"/>
        <v>1666.1</v>
      </c>
      <c r="G679" s="58">
        <f t="shared" si="226"/>
        <v>1666.1</v>
      </c>
    </row>
    <row r="680" spans="1:7" ht="37.5" customHeight="1">
      <c r="A680" s="55" t="str">
        <f ca="1">IF(ISERROR(MATCH(E680,Код_КВР,0)),"",INDIRECT(ADDRESS(MATCH(E680,Код_КВР,0)+1,2,,,"КВР")))</f>
        <v>Социальные выплаты гражданам, кроме публичных нормативных социальных выплат</v>
      </c>
      <c r="B680" s="31" t="s">
        <v>26</v>
      </c>
      <c r="C680" s="6" t="s">
        <v>163</v>
      </c>
      <c r="D680" s="6" t="s">
        <v>189</v>
      </c>
      <c r="E680" s="69">
        <v>320</v>
      </c>
      <c r="F680" s="58">
        <f>'прил.16'!G297</f>
        <v>1666.1</v>
      </c>
      <c r="G680" s="58">
        <f>'прил.16'!H297</f>
        <v>1666.1</v>
      </c>
    </row>
    <row r="681" spans="1:7" ht="36" customHeight="1">
      <c r="A681" s="55" t="str">
        <f ca="1">IF(ISERROR(MATCH(B681,Код_КЦСР,0)),"",INDIRECT(ADDRESS(MATCH(B681,Код_КЦСР,0)+1,2,,,"КЦСР")))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681" s="31" t="s">
        <v>28</v>
      </c>
      <c r="C681" s="6"/>
      <c r="D681" s="1"/>
      <c r="E681" s="69"/>
      <c r="F681" s="58">
        <f>F682</f>
        <v>11962.5</v>
      </c>
      <c r="G681" s="58">
        <f>G682</f>
        <v>14809.9</v>
      </c>
    </row>
    <row r="682" spans="1:7" ht="43.5" customHeight="1">
      <c r="A682" s="55" t="str">
        <f ca="1">IF(ISERROR(MATCH(B682,Код_КЦСР,0)),"",INDIRECT(ADDRESS(MATCH(B682,Код_КЦСР,0)+1,2,,,"КЦСР")))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682" s="31" t="s">
        <v>30</v>
      </c>
      <c r="C682" s="6"/>
      <c r="D682" s="1"/>
      <c r="E682" s="69"/>
      <c r="F682" s="58">
        <f aca="true" t="shared" si="227" ref="F682:G685">F683</f>
        <v>11962.5</v>
      </c>
      <c r="G682" s="58">
        <f t="shared" si="227"/>
        <v>14809.9</v>
      </c>
    </row>
    <row r="683" spans="1:7" ht="21" customHeight="1">
      <c r="A683" s="55" t="str">
        <f ca="1">IF(ISERROR(MATCH(C683,Код_Раздел,0)),"",INDIRECT(ADDRESS(MATCH(C683,Код_Раздел,0)+1,2,,,"Раздел")))</f>
        <v>Социальная политика</v>
      </c>
      <c r="B683" s="31" t="s">
        <v>30</v>
      </c>
      <c r="C683" s="6" t="s">
        <v>163</v>
      </c>
      <c r="D683" s="1"/>
      <c r="E683" s="69"/>
      <c r="F683" s="58">
        <f t="shared" si="227"/>
        <v>11962.5</v>
      </c>
      <c r="G683" s="58">
        <f t="shared" si="227"/>
        <v>14809.9</v>
      </c>
    </row>
    <row r="684" spans="1:7" ht="21" customHeight="1">
      <c r="A684" s="59" t="s">
        <v>154</v>
      </c>
      <c r="B684" s="31" t="s">
        <v>30</v>
      </c>
      <c r="C684" s="6" t="s">
        <v>163</v>
      </c>
      <c r="D684" s="6" t="s">
        <v>189</v>
      </c>
      <c r="E684" s="69"/>
      <c r="F684" s="58">
        <f t="shared" si="227"/>
        <v>11962.5</v>
      </c>
      <c r="G684" s="58">
        <f t="shared" si="227"/>
        <v>14809.9</v>
      </c>
    </row>
    <row r="685" spans="1:7" ht="22.5" customHeight="1">
      <c r="A685" s="55" t="str">
        <f ca="1">IF(ISERROR(MATCH(E685,Код_КВР,0)),"",INDIRECT(ADDRESS(MATCH(E685,Код_КВР,0)+1,2,,,"КВР")))</f>
        <v>Социальное обеспечение и иные выплаты населению</v>
      </c>
      <c r="B685" s="31" t="s">
        <v>30</v>
      </c>
      <c r="C685" s="6" t="s">
        <v>163</v>
      </c>
      <c r="D685" s="6" t="s">
        <v>189</v>
      </c>
      <c r="E685" s="69">
        <v>300</v>
      </c>
      <c r="F685" s="58">
        <f t="shared" si="227"/>
        <v>11962.5</v>
      </c>
      <c r="G685" s="58">
        <f t="shared" si="227"/>
        <v>14809.9</v>
      </c>
    </row>
    <row r="686" spans="1:7" ht="37.5" customHeight="1">
      <c r="A686" s="55" t="str">
        <f ca="1">IF(ISERROR(MATCH(E686,Код_КВР,0)),"",INDIRECT(ADDRESS(MATCH(E686,Код_КВР,0)+1,2,,,"КВР")))</f>
        <v>Социальные выплаты гражданам, кроме публичных нормативных социальных выплат</v>
      </c>
      <c r="B686" s="31" t="s">
        <v>30</v>
      </c>
      <c r="C686" s="6" t="s">
        <v>163</v>
      </c>
      <c r="D686" s="6" t="s">
        <v>189</v>
      </c>
      <c r="E686" s="69">
        <v>320</v>
      </c>
      <c r="F686" s="58">
        <f>'прил.16'!G301</f>
        <v>11962.5</v>
      </c>
      <c r="G686" s="58">
        <f>'прил.16'!H301</f>
        <v>14809.9</v>
      </c>
    </row>
    <row r="687" spans="1:7" ht="60" customHeight="1">
      <c r="A687" s="55" t="str">
        <f ca="1">IF(ISERROR(MATCH(B687,Код_КЦСР,0)),"",INDIRECT(ADDRESS(MATCH(B687,Код_КЦСР,0)+1,2,,,"КЦСР")))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687" s="31" t="s">
        <v>32</v>
      </c>
      <c r="C687" s="6"/>
      <c r="D687" s="1"/>
      <c r="E687" s="69"/>
      <c r="F687" s="58">
        <f aca="true" t="shared" si="228" ref="F687:G688">F688</f>
        <v>892.7</v>
      </c>
      <c r="G687" s="58">
        <f t="shared" si="228"/>
        <v>892.7</v>
      </c>
    </row>
    <row r="688" spans="1:7" ht="36.75" customHeight="1">
      <c r="A688" s="55" t="str">
        <f ca="1">IF(ISERROR(MATCH(B688,Код_КЦСР,0)),"",INDIRECT(ADDRESS(MATCH(B688,Код_КЦСР,0)+1,2,,,"КЦСР")))</f>
        <v>Энергосбережение и повышение энергетической эффективности в жилищном фонде</v>
      </c>
      <c r="B688" s="31" t="s">
        <v>33</v>
      </c>
      <c r="C688" s="6"/>
      <c r="D688" s="1"/>
      <c r="E688" s="69"/>
      <c r="F688" s="58">
        <f t="shared" si="228"/>
        <v>892.7</v>
      </c>
      <c r="G688" s="58">
        <f t="shared" si="228"/>
        <v>892.7</v>
      </c>
    </row>
    <row r="689" spans="1:7" ht="55.5" customHeight="1">
      <c r="A689" s="55" t="str">
        <f ca="1">IF(ISERROR(MATCH(B689,Код_КЦСР,0)),"",INDIRECT(ADDRESS(MATCH(B689,Код_КЦСР,0)+1,2,,,"КЦСР")))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689" s="31" t="s">
        <v>35</v>
      </c>
      <c r="C689" s="6"/>
      <c r="D689" s="1"/>
      <c r="E689" s="69"/>
      <c r="F689" s="58">
        <f aca="true" t="shared" si="229" ref="F689:G692">F690</f>
        <v>892.7</v>
      </c>
      <c r="G689" s="58">
        <f t="shared" si="229"/>
        <v>892.7</v>
      </c>
    </row>
    <row r="690" spans="1:7" ht="23.25" customHeight="1">
      <c r="A690" s="55" t="str">
        <f ca="1">IF(ISERROR(MATCH(C690,Код_Раздел,0)),"",INDIRECT(ADDRESS(MATCH(C690,Код_Раздел,0)+1,2,,,"Раздел")))</f>
        <v>Жилищно-коммунальное хозяйство</v>
      </c>
      <c r="B690" s="31" t="s">
        <v>35</v>
      </c>
      <c r="C690" s="6" t="s">
        <v>195</v>
      </c>
      <c r="D690" s="1"/>
      <c r="E690" s="69"/>
      <c r="F690" s="58">
        <f t="shared" si="229"/>
        <v>892.7</v>
      </c>
      <c r="G690" s="58">
        <f t="shared" si="229"/>
        <v>892.7</v>
      </c>
    </row>
    <row r="691" spans="1:7" ht="23.25" customHeight="1">
      <c r="A691" s="59" t="s">
        <v>200</v>
      </c>
      <c r="B691" s="31" t="s">
        <v>35</v>
      </c>
      <c r="C691" s="6" t="s">
        <v>195</v>
      </c>
      <c r="D691" s="6" t="s">
        <v>187</v>
      </c>
      <c r="E691" s="69"/>
      <c r="F691" s="58">
        <f t="shared" si="229"/>
        <v>892.7</v>
      </c>
      <c r="G691" s="58">
        <f t="shared" si="229"/>
        <v>892.7</v>
      </c>
    </row>
    <row r="692" spans="1:7" ht="22.5" customHeight="1">
      <c r="A692" s="55" t="str">
        <f ca="1">IF(ISERROR(MATCH(E692,Код_КВР,0)),"",INDIRECT(ADDRESS(MATCH(E692,Код_КВР,0)+1,2,,,"КВР")))</f>
        <v>Закупка товаров, работ и услуг для муниципальных нужд</v>
      </c>
      <c r="B692" s="31" t="s">
        <v>35</v>
      </c>
      <c r="C692" s="6" t="s">
        <v>195</v>
      </c>
      <c r="D692" s="6" t="s">
        <v>187</v>
      </c>
      <c r="E692" s="69">
        <v>200</v>
      </c>
      <c r="F692" s="58">
        <f t="shared" si="229"/>
        <v>892.7</v>
      </c>
      <c r="G692" s="58">
        <f t="shared" si="229"/>
        <v>892.7</v>
      </c>
    </row>
    <row r="693" spans="1:7" ht="33">
      <c r="A693" s="55" t="str">
        <f ca="1">IF(ISERROR(MATCH(E693,Код_КВР,0)),"",INDIRECT(ADDRESS(MATCH(E693,Код_КВР,0)+1,2,,,"КВР")))</f>
        <v>Иные закупки товаров, работ и услуг для обеспечения муниципальных нужд</v>
      </c>
      <c r="B693" s="31" t="s">
        <v>35</v>
      </c>
      <c r="C693" s="6" t="s">
        <v>195</v>
      </c>
      <c r="D693" s="6" t="s">
        <v>187</v>
      </c>
      <c r="E693" s="69">
        <v>240</v>
      </c>
      <c r="F693" s="58">
        <f>'прил.16'!G398</f>
        <v>892.7</v>
      </c>
      <c r="G693" s="58">
        <f>'прил.16'!H398</f>
        <v>892.7</v>
      </c>
    </row>
    <row r="694" spans="1:7" ht="35.25" customHeight="1">
      <c r="A694" s="55" t="str">
        <f ca="1">IF(ISERROR(MATCH(B694,Код_КЦСР,0)),"",INDIRECT(ADDRESS(MATCH(B694,Код_КЦСР,0)+1,2,,,"КЦСР")))</f>
        <v>Муниципальная программа «Развитие городского общественного транспорта» на 2014-2017 годы</v>
      </c>
      <c r="B694" s="31" t="s">
        <v>37</v>
      </c>
      <c r="C694" s="6"/>
      <c r="D694" s="1"/>
      <c r="E694" s="69"/>
      <c r="F694" s="58">
        <f>F695+F700</f>
        <v>9636.2</v>
      </c>
      <c r="G694" s="58">
        <f>G695+G700</f>
        <v>896</v>
      </c>
    </row>
    <row r="695" spans="1:7" ht="24" customHeight="1">
      <c r="A695" s="55" t="str">
        <f ca="1">IF(ISERROR(MATCH(B695,Код_КЦСР,0)),"",INDIRECT(ADDRESS(MATCH(B695,Код_КЦСР,0)+1,2,,,"КЦСР")))</f>
        <v>Приобретение автобусов в муниципальную собственность</v>
      </c>
      <c r="B695" s="31" t="s">
        <v>38</v>
      </c>
      <c r="C695" s="6"/>
      <c r="D695" s="1"/>
      <c r="E695" s="69"/>
      <c r="F695" s="58">
        <f aca="true" t="shared" si="230" ref="F695:G698">F696</f>
        <v>8740.2</v>
      </c>
      <c r="G695" s="58">
        <f t="shared" si="230"/>
        <v>0</v>
      </c>
    </row>
    <row r="696" spans="1:7" ht="19.5" customHeight="1">
      <c r="A696" s="55" t="str">
        <f ca="1">IF(ISERROR(MATCH(C696,Код_Раздел,0)),"",INDIRECT(ADDRESS(MATCH(C696,Код_Раздел,0)+1,2,,,"Раздел")))</f>
        <v>Национальная экономика</v>
      </c>
      <c r="B696" s="31" t="s">
        <v>38</v>
      </c>
      <c r="C696" s="6" t="s">
        <v>190</v>
      </c>
      <c r="D696" s="1"/>
      <c r="E696" s="69"/>
      <c r="F696" s="58">
        <f t="shared" si="230"/>
        <v>8740.2</v>
      </c>
      <c r="G696" s="58">
        <f t="shared" si="230"/>
        <v>0</v>
      </c>
    </row>
    <row r="697" spans="1:7" ht="21" customHeight="1">
      <c r="A697" s="87" t="s">
        <v>312</v>
      </c>
      <c r="B697" s="31" t="s">
        <v>38</v>
      </c>
      <c r="C697" s="6" t="s">
        <v>190</v>
      </c>
      <c r="D697" s="6" t="s">
        <v>196</v>
      </c>
      <c r="E697" s="69"/>
      <c r="F697" s="58">
        <f t="shared" si="230"/>
        <v>8740.2</v>
      </c>
      <c r="G697" s="58">
        <f t="shared" si="230"/>
        <v>0</v>
      </c>
    </row>
    <row r="698" spans="1:7" ht="27" customHeight="1">
      <c r="A698" s="55" t="str">
        <f ca="1">IF(ISERROR(MATCH(E698,Код_КВР,0)),"",INDIRECT(ADDRESS(MATCH(E698,Код_КВР,0)+1,2,,,"КВР")))</f>
        <v>Закупка товаров, работ и услуг для муниципальных нужд</v>
      </c>
      <c r="B698" s="31" t="s">
        <v>38</v>
      </c>
      <c r="C698" s="6" t="s">
        <v>190</v>
      </c>
      <c r="D698" s="6" t="s">
        <v>196</v>
      </c>
      <c r="E698" s="69">
        <v>200</v>
      </c>
      <c r="F698" s="58">
        <f t="shared" si="230"/>
        <v>8740.2</v>
      </c>
      <c r="G698" s="58">
        <f t="shared" si="230"/>
        <v>0</v>
      </c>
    </row>
    <row r="699" spans="1:7" ht="40.5" customHeight="1">
      <c r="A699" s="55" t="str">
        <f ca="1">IF(ISERROR(MATCH(E699,Код_КВР,0)),"",INDIRECT(ADDRESS(MATCH(E699,Код_КВР,0)+1,2,,,"КВР")))</f>
        <v>Иные закупки товаров, работ и услуг для обеспечения муниципальных нужд</v>
      </c>
      <c r="B699" s="31" t="s">
        <v>38</v>
      </c>
      <c r="C699" s="6" t="s">
        <v>190</v>
      </c>
      <c r="D699" s="6" t="s">
        <v>196</v>
      </c>
      <c r="E699" s="69">
        <v>240</v>
      </c>
      <c r="F699" s="58">
        <f>'прил.16'!G1021</f>
        <v>8740.2</v>
      </c>
      <c r="G699" s="58">
        <f>'прил.16'!H1021</f>
        <v>0</v>
      </c>
    </row>
    <row r="700" spans="1:7" ht="39.75" customHeight="1">
      <c r="A700" s="55" t="str">
        <f ca="1">IF(ISERROR(MATCH(B700,Код_КЦСР,0)),"",INDIRECT(ADDRESS(MATCH(B700,Код_КЦСР,0)+1,2,,,"КЦСР")))</f>
        <v>Обустройство автобусных остановок павильонами/навесами для ожидания автобуса</v>
      </c>
      <c r="B700" s="31" t="s">
        <v>542</v>
      </c>
      <c r="C700" s="6"/>
      <c r="D700" s="6"/>
      <c r="E700" s="137"/>
      <c r="F700" s="58">
        <f>F701</f>
        <v>896</v>
      </c>
      <c r="G700" s="58">
        <f>G701</f>
        <v>896</v>
      </c>
    </row>
    <row r="701" spans="1:7" ht="20.25" customHeight="1">
      <c r="A701" s="55" t="str">
        <f ca="1">IF(ISERROR(MATCH(C701,Код_Раздел,0)),"",INDIRECT(ADDRESS(MATCH(C701,Код_Раздел,0)+1,2,,,"Раздел")))</f>
        <v>Национальная экономика</v>
      </c>
      <c r="B701" s="31" t="s">
        <v>542</v>
      </c>
      <c r="C701" s="6" t="s">
        <v>190</v>
      </c>
      <c r="D701" s="1"/>
      <c r="E701" s="79"/>
      <c r="F701" s="58">
        <f aca="true" t="shared" si="231" ref="F701:G703">F702</f>
        <v>896</v>
      </c>
      <c r="G701" s="58">
        <f t="shared" si="231"/>
        <v>896</v>
      </c>
    </row>
    <row r="702" spans="1:7" ht="20.25" customHeight="1">
      <c r="A702" s="87" t="s">
        <v>155</v>
      </c>
      <c r="B702" s="31" t="s">
        <v>542</v>
      </c>
      <c r="C702" s="6" t="s">
        <v>190</v>
      </c>
      <c r="D702" s="6" t="s">
        <v>193</v>
      </c>
      <c r="E702" s="79"/>
      <c r="F702" s="58">
        <f t="shared" si="231"/>
        <v>896</v>
      </c>
      <c r="G702" s="58">
        <f t="shared" si="231"/>
        <v>896</v>
      </c>
    </row>
    <row r="703" spans="1:7" ht="20.25" customHeight="1">
      <c r="A703" s="55" t="str">
        <f ca="1">IF(ISERROR(MATCH(E703,Код_КВР,0)),"",INDIRECT(ADDRESS(MATCH(E703,Код_КВР,0)+1,2,,,"КВР")))</f>
        <v>Закупка товаров, работ и услуг для муниципальных нужд</v>
      </c>
      <c r="B703" s="31" t="s">
        <v>542</v>
      </c>
      <c r="C703" s="6" t="s">
        <v>190</v>
      </c>
      <c r="D703" s="6" t="s">
        <v>193</v>
      </c>
      <c r="E703" s="79">
        <v>200</v>
      </c>
      <c r="F703" s="58">
        <f t="shared" si="231"/>
        <v>896</v>
      </c>
      <c r="G703" s="58">
        <f t="shared" si="231"/>
        <v>896</v>
      </c>
    </row>
    <row r="704" spans="1:7" ht="39.75" customHeight="1">
      <c r="A704" s="55" t="str">
        <f ca="1">IF(ISERROR(MATCH(E704,Код_КВР,0)),"",INDIRECT(ADDRESS(MATCH(E704,Код_КВР,0)+1,2,,,"КВР")))</f>
        <v>Иные закупки товаров, работ и услуг для обеспечения муниципальных нужд</v>
      </c>
      <c r="B704" s="31" t="s">
        <v>542</v>
      </c>
      <c r="C704" s="6" t="s">
        <v>190</v>
      </c>
      <c r="D704" s="6" t="s">
        <v>193</v>
      </c>
      <c r="E704" s="79">
        <v>240</v>
      </c>
      <c r="F704" s="58">
        <f>'прил.16'!G362</f>
        <v>896</v>
      </c>
      <c r="G704" s="58">
        <f>'прил.16'!H362</f>
        <v>896</v>
      </c>
    </row>
    <row r="705" spans="1:7" ht="45" customHeight="1">
      <c r="A705" s="55" t="str">
        <f ca="1">IF(ISERROR(MATCH(B705,Код_КЦСР,0)),"",INDIRECT(ADDRESS(MATCH(B705,Код_КЦСР,0)+1,2,,,"КЦСР")))</f>
        <v>Муниципальная программа «Реализация градостроительной политики города Череповца» на 2014-2022 годы</v>
      </c>
      <c r="B705" s="31" t="s">
        <v>40</v>
      </c>
      <c r="C705" s="6"/>
      <c r="D705" s="1"/>
      <c r="E705" s="69"/>
      <c r="F705" s="58">
        <f aca="true" t="shared" si="232" ref="F705:G705">F706+F711+F716</f>
        <v>34817.5</v>
      </c>
      <c r="G705" s="58">
        <f t="shared" si="232"/>
        <v>37154.1</v>
      </c>
    </row>
    <row r="706" spans="1:7" ht="39" customHeight="1">
      <c r="A706" s="55" t="str">
        <f ca="1">IF(ISERROR(MATCH(B706,Код_КЦСР,0)),"",INDIRECT(ADDRESS(MATCH(B706,Код_КЦСР,0)+1,2,,,"КЦСР")))</f>
        <v>Обеспечение подготовки градостроительной документации и нормативно-правовых актов</v>
      </c>
      <c r="B706" s="31" t="s">
        <v>41</v>
      </c>
      <c r="C706" s="6"/>
      <c r="D706" s="1"/>
      <c r="E706" s="69"/>
      <c r="F706" s="58">
        <f aca="true" t="shared" si="233" ref="F706:G709">F707</f>
        <v>2651.2</v>
      </c>
      <c r="G706" s="58">
        <f t="shared" si="233"/>
        <v>3091.4</v>
      </c>
    </row>
    <row r="707" spans="1:7" ht="28.5" customHeight="1">
      <c r="A707" s="55" t="str">
        <f ca="1">IF(ISERROR(MATCH(C707,Код_Раздел,0)),"",INDIRECT(ADDRESS(MATCH(C707,Код_Раздел,0)+1,2,,,"Раздел")))</f>
        <v>Национальная экономика</v>
      </c>
      <c r="B707" s="31" t="s">
        <v>41</v>
      </c>
      <c r="C707" s="6" t="s">
        <v>190</v>
      </c>
      <c r="D707" s="1"/>
      <c r="E707" s="69"/>
      <c r="F707" s="58">
        <f t="shared" si="233"/>
        <v>2651.2</v>
      </c>
      <c r="G707" s="58">
        <f t="shared" si="233"/>
        <v>3091.4</v>
      </c>
    </row>
    <row r="708" spans="1:7" ht="22.5" customHeight="1">
      <c r="A708" s="59" t="s">
        <v>209</v>
      </c>
      <c r="B708" s="31" t="s">
        <v>41</v>
      </c>
      <c r="C708" s="6" t="s">
        <v>190</v>
      </c>
      <c r="D708" s="6" t="s">
        <v>171</v>
      </c>
      <c r="E708" s="69"/>
      <c r="F708" s="58">
        <f t="shared" si="233"/>
        <v>2651.2</v>
      </c>
      <c r="G708" s="58">
        <f t="shared" si="233"/>
        <v>3091.4</v>
      </c>
    </row>
    <row r="709" spans="1:7" ht="24.75" customHeight="1">
      <c r="A709" s="55" t="str">
        <f ca="1">IF(ISERROR(MATCH(E709,Код_КВР,0)),"",INDIRECT(ADDRESS(MATCH(E709,Код_КВР,0)+1,2,,,"КВР")))</f>
        <v>Закупка товаров, работ и услуг для муниципальных нужд</v>
      </c>
      <c r="B709" s="31" t="s">
        <v>41</v>
      </c>
      <c r="C709" s="6" t="s">
        <v>190</v>
      </c>
      <c r="D709" s="6" t="s">
        <v>171</v>
      </c>
      <c r="E709" s="69">
        <v>200</v>
      </c>
      <c r="F709" s="58">
        <f t="shared" si="233"/>
        <v>2651.2</v>
      </c>
      <c r="G709" s="58">
        <f t="shared" si="233"/>
        <v>3091.4</v>
      </c>
    </row>
    <row r="710" spans="1:7" ht="41.25" customHeight="1">
      <c r="A710" s="55" t="str">
        <f ca="1">IF(ISERROR(MATCH(E710,Код_КВР,0)),"",INDIRECT(ADDRESS(MATCH(E710,Код_КВР,0)+1,2,,,"КВР")))</f>
        <v>Иные закупки товаров, работ и услуг для обеспечения муниципальных нужд</v>
      </c>
      <c r="B710" s="31" t="s">
        <v>41</v>
      </c>
      <c r="C710" s="6" t="s">
        <v>190</v>
      </c>
      <c r="D710" s="6" t="s">
        <v>171</v>
      </c>
      <c r="E710" s="69">
        <v>240</v>
      </c>
      <c r="F710" s="58">
        <f>'прил.16'!G459</f>
        <v>2651.2</v>
      </c>
      <c r="G710" s="58">
        <f>'прил.16'!H459</f>
        <v>3091.4</v>
      </c>
    </row>
    <row r="711" spans="1:7" ht="34.5" customHeight="1">
      <c r="A711" s="55" t="str">
        <f ca="1">IF(ISERROR(MATCH(B711,Код_КЦСР,0)),"",INDIRECT(ADDRESS(MATCH(B711,Код_КЦСР,0)+1,2,,,"КЦСР")))</f>
        <v>Создание условий для формирования комфортной городской среды</v>
      </c>
      <c r="B711" s="31" t="s">
        <v>43</v>
      </c>
      <c r="C711" s="6"/>
      <c r="D711" s="1"/>
      <c r="E711" s="69"/>
      <c r="F711" s="58">
        <f>F712</f>
        <v>0</v>
      </c>
      <c r="G711" s="58">
        <f>G712</f>
        <v>1896.4</v>
      </c>
    </row>
    <row r="712" spans="1:7" ht="26.25" customHeight="1">
      <c r="A712" s="55" t="str">
        <f ca="1">IF(ISERROR(MATCH(C712,Код_Раздел,0)),"",INDIRECT(ADDRESS(MATCH(C712,Код_Раздел,0)+1,2,,,"Раздел")))</f>
        <v>Национальная экономика</v>
      </c>
      <c r="B712" s="31" t="s">
        <v>43</v>
      </c>
      <c r="C712" s="6" t="s">
        <v>190</v>
      </c>
      <c r="D712" s="1"/>
      <c r="E712" s="69"/>
      <c r="F712" s="58">
        <f aca="true" t="shared" si="234" ref="F712:G714">F713</f>
        <v>0</v>
      </c>
      <c r="G712" s="58">
        <f t="shared" si="234"/>
        <v>1896.4</v>
      </c>
    </row>
    <row r="713" spans="1:7" ht="22.5" customHeight="1">
      <c r="A713" s="59" t="s">
        <v>209</v>
      </c>
      <c r="B713" s="31" t="s">
        <v>43</v>
      </c>
      <c r="C713" s="6" t="s">
        <v>190</v>
      </c>
      <c r="D713" s="6" t="s">
        <v>171</v>
      </c>
      <c r="E713" s="69"/>
      <c r="F713" s="58">
        <f t="shared" si="234"/>
        <v>0</v>
      </c>
      <c r="G713" s="58">
        <f t="shared" si="234"/>
        <v>1896.4</v>
      </c>
    </row>
    <row r="714" spans="1:7" ht="19.5" customHeight="1">
      <c r="A714" s="55" t="str">
        <f ca="1">IF(ISERROR(MATCH(E714,Код_КВР,0)),"",INDIRECT(ADDRESS(MATCH(E714,Код_КВР,0)+1,2,,,"КВР")))</f>
        <v>Закупка товаров, работ и услуг для муниципальных нужд</v>
      </c>
      <c r="B714" s="31" t="s">
        <v>43</v>
      </c>
      <c r="C714" s="6" t="s">
        <v>190</v>
      </c>
      <c r="D714" s="6" t="s">
        <v>171</v>
      </c>
      <c r="E714" s="69">
        <v>200</v>
      </c>
      <c r="F714" s="58">
        <f t="shared" si="234"/>
        <v>0</v>
      </c>
      <c r="G714" s="58">
        <f t="shared" si="234"/>
        <v>1896.4</v>
      </c>
    </row>
    <row r="715" spans="1:7" ht="43.5" customHeight="1">
      <c r="A715" s="55" t="str">
        <f ca="1">IF(ISERROR(MATCH(E715,Код_КВР,0)),"",INDIRECT(ADDRESS(MATCH(E715,Код_КВР,0)+1,2,,,"КВР")))</f>
        <v>Иные закупки товаров, работ и услуг для обеспечения муниципальных нужд</v>
      </c>
      <c r="B715" s="31" t="s">
        <v>43</v>
      </c>
      <c r="C715" s="6" t="s">
        <v>190</v>
      </c>
      <c r="D715" s="6" t="s">
        <v>171</v>
      </c>
      <c r="E715" s="69">
        <v>240</v>
      </c>
      <c r="F715" s="58">
        <f>'прил.16'!G462</f>
        <v>0</v>
      </c>
      <c r="G715" s="58">
        <f>'прил.16'!H462</f>
        <v>1896.4</v>
      </c>
    </row>
    <row r="716" spans="1:7" ht="57.75" customHeight="1">
      <c r="A716" s="55" t="str">
        <f ca="1">IF(ISERROR(MATCH(B716,Код_КЦСР,0)),"",INDIRECT(ADDRESS(MATCH(B716,Код_КЦСР,0)+1,2,,,"КЦСР")))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716" s="31" t="s">
        <v>544</v>
      </c>
      <c r="C716" s="6"/>
      <c r="D716" s="1"/>
      <c r="E716" s="77"/>
      <c r="F716" s="58">
        <f aca="true" t="shared" si="235" ref="F716:G716">F717</f>
        <v>32166.3</v>
      </c>
      <c r="G716" s="58">
        <f t="shared" si="235"/>
        <v>32166.3</v>
      </c>
    </row>
    <row r="717" spans="1:7" ht="24" customHeight="1">
      <c r="A717" s="55" t="str">
        <f ca="1">IF(ISERROR(MATCH(C717,Код_Раздел,0)),"",INDIRECT(ADDRESS(MATCH(C717,Код_Раздел,0)+1,2,,,"Раздел")))</f>
        <v>Национальная экономика</v>
      </c>
      <c r="B717" s="31" t="s">
        <v>544</v>
      </c>
      <c r="C717" s="6" t="s">
        <v>190</v>
      </c>
      <c r="D717" s="1"/>
      <c r="E717" s="77"/>
      <c r="F717" s="58">
        <f aca="true" t="shared" si="236" ref="F717:G717">F718</f>
        <v>32166.3</v>
      </c>
      <c r="G717" s="58">
        <f t="shared" si="236"/>
        <v>32166.3</v>
      </c>
    </row>
    <row r="718" spans="1:7" ht="21" customHeight="1">
      <c r="A718" s="59" t="s">
        <v>197</v>
      </c>
      <c r="B718" s="31" t="s">
        <v>544</v>
      </c>
      <c r="C718" s="6" t="s">
        <v>190</v>
      </c>
      <c r="D718" s="6" t="s">
        <v>171</v>
      </c>
      <c r="E718" s="77"/>
      <c r="F718" s="58">
        <f aca="true" t="shared" si="237" ref="F718:G718">F719+F721+F723</f>
        <v>32166.3</v>
      </c>
      <c r="G718" s="58">
        <f t="shared" si="237"/>
        <v>32166.3</v>
      </c>
    </row>
    <row r="719" spans="1:7" ht="48" customHeight="1">
      <c r="A719" s="55" t="str">
        <f aca="true" t="shared" si="238" ref="A719:A724">IF(ISERROR(MATCH(E719,Код_КВР,0)),"",INDIRECT(ADDRESS(MATCH(E719,Код_КВР,0)+1,2,,,"КВР")))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9" s="31" t="s">
        <v>544</v>
      </c>
      <c r="C719" s="6" t="s">
        <v>190</v>
      </c>
      <c r="D719" s="6" t="s">
        <v>171</v>
      </c>
      <c r="E719" s="77">
        <v>100</v>
      </c>
      <c r="F719" s="58">
        <f aca="true" t="shared" si="239" ref="F719:G719">F720</f>
        <v>32144.3</v>
      </c>
      <c r="G719" s="58">
        <f t="shared" si="239"/>
        <v>32144.3</v>
      </c>
    </row>
    <row r="720" spans="1:7" ht="21" customHeight="1">
      <c r="A720" s="55" t="str">
        <f ca="1" t="shared" si="238"/>
        <v>Расходы на выплаты персоналу муниципальных органов</v>
      </c>
      <c r="B720" s="31" t="s">
        <v>544</v>
      </c>
      <c r="C720" s="6" t="s">
        <v>190</v>
      </c>
      <c r="D720" s="6" t="s">
        <v>171</v>
      </c>
      <c r="E720" s="77">
        <v>120</v>
      </c>
      <c r="F720" s="58">
        <f>'прил.16'!G465</f>
        <v>32144.3</v>
      </c>
      <c r="G720" s="58">
        <f>'прил.16'!H465</f>
        <v>32144.3</v>
      </c>
    </row>
    <row r="721" spans="1:7" ht="24" customHeight="1">
      <c r="A721" s="55" t="str">
        <f ca="1" t="shared" si="238"/>
        <v>Закупка товаров, работ и услуг для муниципальных нужд</v>
      </c>
      <c r="B721" s="31" t="s">
        <v>544</v>
      </c>
      <c r="C721" s="6" t="s">
        <v>190</v>
      </c>
      <c r="D721" s="6" t="s">
        <v>171</v>
      </c>
      <c r="E721" s="77">
        <v>200</v>
      </c>
      <c r="F721" s="58">
        <f aca="true" t="shared" si="240" ref="F721:G721">F722</f>
        <v>20</v>
      </c>
      <c r="G721" s="58">
        <f t="shared" si="240"/>
        <v>20</v>
      </c>
    </row>
    <row r="722" spans="1:7" ht="37.5" customHeight="1">
      <c r="A722" s="55" t="str">
        <f ca="1" t="shared" si="238"/>
        <v>Иные закупки товаров, работ и услуг для обеспечения муниципальных нужд</v>
      </c>
      <c r="B722" s="31" t="s">
        <v>544</v>
      </c>
      <c r="C722" s="6" t="s">
        <v>190</v>
      </c>
      <c r="D722" s="6" t="s">
        <v>171</v>
      </c>
      <c r="E722" s="77">
        <v>240</v>
      </c>
      <c r="F722" s="58">
        <f>'прил.16'!G467</f>
        <v>20</v>
      </c>
      <c r="G722" s="58">
        <f>'прил.16'!H467</f>
        <v>20</v>
      </c>
    </row>
    <row r="723" spans="1:7" ht="26.25" customHeight="1">
      <c r="A723" s="55" t="str">
        <f ca="1" t="shared" si="238"/>
        <v>Иные бюджетные ассигнования</v>
      </c>
      <c r="B723" s="31" t="s">
        <v>544</v>
      </c>
      <c r="C723" s="6" t="s">
        <v>190</v>
      </c>
      <c r="D723" s="6" t="s">
        <v>171</v>
      </c>
      <c r="E723" s="77">
        <v>800</v>
      </c>
      <c r="F723" s="58">
        <f aca="true" t="shared" si="241" ref="F723:G723">F724</f>
        <v>2</v>
      </c>
      <c r="G723" s="58">
        <f t="shared" si="241"/>
        <v>2</v>
      </c>
    </row>
    <row r="724" spans="1:7" ht="24" customHeight="1">
      <c r="A724" s="55" t="str">
        <f ca="1" t="shared" si="238"/>
        <v>Уплата налогов, сборов и иных платежей</v>
      </c>
      <c r="B724" s="31" t="s">
        <v>544</v>
      </c>
      <c r="C724" s="6" t="s">
        <v>190</v>
      </c>
      <c r="D724" s="6" t="s">
        <v>171</v>
      </c>
      <c r="E724" s="77">
        <v>850</v>
      </c>
      <c r="F724" s="58">
        <f>'прил.16'!G469</f>
        <v>2</v>
      </c>
      <c r="G724" s="58">
        <f>'прил.16'!H469</f>
        <v>2</v>
      </c>
    </row>
    <row r="725" spans="1:7" ht="37.5" customHeight="1">
      <c r="A725" s="55" t="str">
        <f ca="1">IF(ISERROR(MATCH(B725,Код_КЦСР,0)),"",INDIRECT(ADDRESS(MATCH(B725,Код_КЦСР,0)+1,2,,,"КЦСР")))</f>
        <v>Муниципальная программа «Развитие жилищно-коммунального хозяйства города Череповца» на 2014-2018 годы</v>
      </c>
      <c r="B725" s="31" t="s">
        <v>44</v>
      </c>
      <c r="C725" s="6"/>
      <c r="D725" s="1"/>
      <c r="E725" s="69"/>
      <c r="F725" s="58">
        <f aca="true" t="shared" si="242" ref="F725:G725">F726+F735+F771</f>
        <v>646644.4000000001</v>
      </c>
      <c r="G725" s="58">
        <f t="shared" si="242"/>
        <v>636960.9000000001</v>
      </c>
    </row>
    <row r="726" spans="1:7" ht="58.5" customHeight="1">
      <c r="A726" s="55" t="str">
        <f ca="1">IF(ISERROR(MATCH(B726,Код_КЦСР,0)),"",INDIRECT(ADDRESS(MATCH(B726,Код_КЦСР,0)+1,2,,,"КЦСР")))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726" s="31" t="s">
        <v>548</v>
      </c>
      <c r="C726" s="6"/>
      <c r="D726" s="1"/>
      <c r="E726" s="79"/>
      <c r="F726" s="58">
        <f aca="true" t="shared" si="243" ref="F726:G726">F727</f>
        <v>25161.4</v>
      </c>
      <c r="G726" s="58">
        <f t="shared" si="243"/>
        <v>25161.4</v>
      </c>
    </row>
    <row r="727" spans="1:7" ht="26.25" customHeight="1">
      <c r="A727" s="55" t="str">
        <f ca="1">IF(ISERROR(MATCH(C727,Код_Раздел,0)),"",INDIRECT(ADDRESS(MATCH(C727,Код_Раздел,0)+1,2,,,"Раздел")))</f>
        <v>Жилищно-коммунальное хозяйство</v>
      </c>
      <c r="B727" s="31" t="s">
        <v>548</v>
      </c>
      <c r="C727" s="6" t="s">
        <v>195</v>
      </c>
      <c r="D727" s="1"/>
      <c r="E727" s="79"/>
      <c r="F727" s="58">
        <f aca="true" t="shared" si="244" ref="F727:G727">F728</f>
        <v>25161.4</v>
      </c>
      <c r="G727" s="58">
        <f t="shared" si="244"/>
        <v>25161.4</v>
      </c>
    </row>
    <row r="728" spans="1:7" ht="22.5" customHeight="1">
      <c r="A728" s="10" t="s">
        <v>140</v>
      </c>
      <c r="B728" s="31" t="s">
        <v>548</v>
      </c>
      <c r="C728" s="6" t="s">
        <v>195</v>
      </c>
      <c r="D728" s="6" t="s">
        <v>195</v>
      </c>
      <c r="E728" s="79"/>
      <c r="F728" s="58">
        <f aca="true" t="shared" si="245" ref="F728:G728">F729+F731+F733</f>
        <v>25161.4</v>
      </c>
      <c r="G728" s="58">
        <f t="shared" si="245"/>
        <v>25161.4</v>
      </c>
    </row>
    <row r="729" spans="1:7" ht="39" customHeight="1">
      <c r="A729" s="55" t="str">
        <f aca="true" t="shared" si="246" ref="A729:A734">IF(ISERROR(MATCH(E729,Код_КВР,0)),"",INDIRECT(ADDRESS(MATCH(E729,Код_КВР,0)+1,2,,,"КВР")))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9" s="31" t="s">
        <v>548</v>
      </c>
      <c r="C729" s="6" t="s">
        <v>195</v>
      </c>
      <c r="D729" s="6" t="s">
        <v>195</v>
      </c>
      <c r="E729" s="79">
        <v>100</v>
      </c>
      <c r="F729" s="58">
        <f aca="true" t="shared" si="247" ref="F729:G729">F730</f>
        <v>25127</v>
      </c>
      <c r="G729" s="58">
        <f t="shared" si="247"/>
        <v>25127</v>
      </c>
    </row>
    <row r="730" spans="1:7" ht="26.25" customHeight="1">
      <c r="A730" s="55" t="str">
        <f ca="1" t="shared" si="246"/>
        <v>Расходы на выплаты персоналу муниципальных органов</v>
      </c>
      <c r="B730" s="31" t="s">
        <v>548</v>
      </c>
      <c r="C730" s="6" t="s">
        <v>195</v>
      </c>
      <c r="D730" s="6" t="s">
        <v>195</v>
      </c>
      <c r="E730" s="79">
        <v>120</v>
      </c>
      <c r="F730" s="58">
        <f>'прил.16'!G429</f>
        <v>25127</v>
      </c>
      <c r="G730" s="58">
        <f>'прил.16'!H429</f>
        <v>25127</v>
      </c>
    </row>
    <row r="731" spans="1:7" ht="28.5" customHeight="1">
      <c r="A731" s="55" t="str">
        <f ca="1" t="shared" si="246"/>
        <v>Закупка товаров, работ и услуг для муниципальных нужд</v>
      </c>
      <c r="B731" s="31" t="s">
        <v>548</v>
      </c>
      <c r="C731" s="6" t="s">
        <v>195</v>
      </c>
      <c r="D731" s="6" t="s">
        <v>195</v>
      </c>
      <c r="E731" s="79">
        <v>200</v>
      </c>
      <c r="F731" s="58">
        <f>'прил.16'!G430</f>
        <v>31.4</v>
      </c>
      <c r="G731" s="58">
        <f>'прил.16'!H430</f>
        <v>31.4</v>
      </c>
    </row>
    <row r="732" spans="1:7" ht="35.25" customHeight="1">
      <c r="A732" s="55" t="str">
        <f ca="1" t="shared" si="246"/>
        <v>Иные закупки товаров, работ и услуг для обеспечения муниципальных нужд</v>
      </c>
      <c r="B732" s="31" t="s">
        <v>548</v>
      </c>
      <c r="C732" s="6" t="s">
        <v>195</v>
      </c>
      <c r="D732" s="6" t="s">
        <v>195</v>
      </c>
      <c r="E732" s="79">
        <v>240</v>
      </c>
      <c r="F732" s="58">
        <f>'прил.16'!G431</f>
        <v>31.4</v>
      </c>
      <c r="G732" s="58">
        <f>'прил.16'!H431</f>
        <v>31.4</v>
      </c>
    </row>
    <row r="733" spans="1:7" ht="21" customHeight="1">
      <c r="A733" s="55" t="str">
        <f ca="1" t="shared" si="246"/>
        <v>Иные бюджетные ассигнования</v>
      </c>
      <c r="B733" s="31" t="s">
        <v>548</v>
      </c>
      <c r="C733" s="6" t="s">
        <v>195</v>
      </c>
      <c r="D733" s="6" t="s">
        <v>195</v>
      </c>
      <c r="E733" s="79">
        <v>800</v>
      </c>
      <c r="F733" s="58">
        <f>'прил.16'!G432</f>
        <v>3</v>
      </c>
      <c r="G733" s="58">
        <f>'прил.16'!H432</f>
        <v>3</v>
      </c>
    </row>
    <row r="734" spans="1:7" ht="19.5" customHeight="1">
      <c r="A734" s="55" t="str">
        <f ca="1" t="shared" si="246"/>
        <v>Уплата налогов, сборов и иных платежей</v>
      </c>
      <c r="B734" s="31" t="s">
        <v>548</v>
      </c>
      <c r="C734" s="6" t="s">
        <v>195</v>
      </c>
      <c r="D734" s="6" t="s">
        <v>195</v>
      </c>
      <c r="E734" s="79">
        <v>850</v>
      </c>
      <c r="F734" s="58">
        <f>'прил.16'!G433</f>
        <v>3</v>
      </c>
      <c r="G734" s="58">
        <f>'прил.16'!H433</f>
        <v>3</v>
      </c>
    </row>
    <row r="735" spans="1:7" ht="22.5" customHeight="1">
      <c r="A735" s="55" t="str">
        <f ca="1">IF(ISERROR(MATCH(B735,Код_КЦСР,0)),"",INDIRECT(ADDRESS(MATCH(B735,Код_КЦСР,0)+1,2,,,"КЦСР")))</f>
        <v>Развитие благоустройства города</v>
      </c>
      <c r="B735" s="31" t="s">
        <v>45</v>
      </c>
      <c r="C735" s="6"/>
      <c r="D735" s="6"/>
      <c r="E735" s="79"/>
      <c r="F735" s="58">
        <f aca="true" t="shared" si="248" ref="F735:G735">F736+F743+F752+F761+F766</f>
        <v>578228.5000000001</v>
      </c>
      <c r="G735" s="58">
        <f t="shared" si="248"/>
        <v>567147.1000000001</v>
      </c>
    </row>
    <row r="736" spans="1:7" ht="36.75" customHeight="1">
      <c r="A736" s="55" t="str">
        <f ca="1">IF(ISERROR(MATCH(B736,Код_КЦСР,0)),"",INDIRECT(ADDRESS(MATCH(B736,Код_КЦСР,0)+1,2,,,"КЦСР")))</f>
        <v>Мероприятия по благоустройству и повышению внешней привлекательности города</v>
      </c>
      <c r="B736" s="31" t="s">
        <v>47</v>
      </c>
      <c r="C736" s="6"/>
      <c r="D736" s="1"/>
      <c r="E736" s="69"/>
      <c r="F736" s="58">
        <f aca="true" t="shared" si="249" ref="F736:G737">F737</f>
        <v>134533.2</v>
      </c>
      <c r="G736" s="58">
        <f t="shared" si="249"/>
        <v>137981.5</v>
      </c>
    </row>
    <row r="737" spans="1:7" ht="20.25" customHeight="1">
      <c r="A737" s="55" t="str">
        <f ca="1">IF(ISERROR(MATCH(C737,Код_Раздел,0)),"",INDIRECT(ADDRESS(MATCH(C737,Код_Раздел,0)+1,2,,,"Раздел")))</f>
        <v>Жилищно-коммунальное хозяйство</v>
      </c>
      <c r="B737" s="31" t="s">
        <v>47</v>
      </c>
      <c r="C737" s="6" t="s">
        <v>195</v>
      </c>
      <c r="D737" s="1"/>
      <c r="E737" s="69"/>
      <c r="F737" s="58">
        <f t="shared" si="249"/>
        <v>134533.2</v>
      </c>
      <c r="G737" s="58">
        <f t="shared" si="249"/>
        <v>137981.5</v>
      </c>
    </row>
    <row r="738" spans="1:7" ht="20.25" customHeight="1">
      <c r="A738" s="55" t="s">
        <v>222</v>
      </c>
      <c r="B738" s="31" t="s">
        <v>47</v>
      </c>
      <c r="C738" s="6" t="s">
        <v>195</v>
      </c>
      <c r="D738" s="6" t="s">
        <v>189</v>
      </c>
      <c r="E738" s="69"/>
      <c r="F738" s="58">
        <f>F739+F741</f>
        <v>134533.2</v>
      </c>
      <c r="G738" s="58">
        <f>G739+G741</f>
        <v>137981.5</v>
      </c>
    </row>
    <row r="739" spans="1:7" ht="24.75" customHeight="1">
      <c r="A739" s="55" t="str">
        <f ca="1">IF(ISERROR(MATCH(E739,Код_КВР,0)),"",INDIRECT(ADDRESS(MATCH(E739,Код_КВР,0)+1,2,,,"КВР")))</f>
        <v>Закупка товаров, работ и услуг для муниципальных нужд</v>
      </c>
      <c r="B739" s="31" t="s">
        <v>47</v>
      </c>
      <c r="C739" s="6" t="s">
        <v>195</v>
      </c>
      <c r="D739" s="6" t="s">
        <v>189</v>
      </c>
      <c r="E739" s="69">
        <v>200</v>
      </c>
      <c r="F739" s="58">
        <f>F740</f>
        <v>103536.8</v>
      </c>
      <c r="G739" s="58">
        <f>G740</f>
        <v>106985.1</v>
      </c>
    </row>
    <row r="740" spans="1:7" ht="33">
      <c r="A740" s="55" t="str">
        <f ca="1">IF(ISERROR(MATCH(E740,Код_КВР,0)),"",INDIRECT(ADDRESS(MATCH(E740,Код_КВР,0)+1,2,,,"КВР")))</f>
        <v>Иные закупки товаров, работ и услуг для обеспечения муниципальных нужд</v>
      </c>
      <c r="B740" s="31" t="s">
        <v>47</v>
      </c>
      <c r="C740" s="6" t="s">
        <v>195</v>
      </c>
      <c r="D740" s="6" t="s">
        <v>189</v>
      </c>
      <c r="E740" s="69">
        <v>240</v>
      </c>
      <c r="F740" s="58">
        <f>'прил.16'!G418</f>
        <v>103536.8</v>
      </c>
      <c r="G740" s="58">
        <f>'прил.16'!H418</f>
        <v>106985.1</v>
      </c>
    </row>
    <row r="741" spans="1:7" ht="12.75">
      <c r="A741" s="55" t="str">
        <f ca="1">IF(ISERROR(MATCH(E741,Код_КВР,0)),"",INDIRECT(ADDRESS(MATCH(E741,Код_КВР,0)+1,2,,,"КВР")))</f>
        <v>Иные бюджетные ассигнования</v>
      </c>
      <c r="B741" s="31" t="s">
        <v>47</v>
      </c>
      <c r="C741" s="6" t="s">
        <v>195</v>
      </c>
      <c r="D741" s="6" t="s">
        <v>189</v>
      </c>
      <c r="E741" s="69">
        <v>800</v>
      </c>
      <c r="F741" s="58">
        <f>F742</f>
        <v>30996.399999999998</v>
      </c>
      <c r="G741" s="58">
        <f>G742</f>
        <v>30996.399999999998</v>
      </c>
    </row>
    <row r="742" spans="1:7" ht="49.5">
      <c r="A742" s="55" t="str">
        <f ca="1">IF(ISERROR(MATCH(E742,Код_КВР,0)),"",INDIRECT(ADDRESS(MATCH(E742,Код_КВР,0)+1,2,,,"КВР")))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42" s="31" t="s">
        <v>47</v>
      </c>
      <c r="C742" s="6" t="s">
        <v>195</v>
      </c>
      <c r="D742" s="6" t="s">
        <v>189</v>
      </c>
      <c r="E742" s="69">
        <v>810</v>
      </c>
      <c r="F742" s="58">
        <f>'прил.16'!G420</f>
        <v>30996.399999999998</v>
      </c>
      <c r="G742" s="58">
        <f>'прил.16'!H420</f>
        <v>30996.399999999998</v>
      </c>
    </row>
    <row r="743" spans="1:7" ht="33">
      <c r="A743" s="55" t="str">
        <f ca="1">IF(ISERROR(MATCH(B743,Код_КЦСР,0)),"",INDIRECT(ADDRESS(MATCH(B743,Код_КЦСР,0)+1,2,,,"КЦСР")))</f>
        <v>Мероприятия по содержанию и ремонту улично-дорожной  сети города</v>
      </c>
      <c r="B743" s="31" t="s">
        <v>49</v>
      </c>
      <c r="C743" s="6"/>
      <c r="D743" s="1"/>
      <c r="E743" s="69"/>
      <c r="F743" s="58">
        <f aca="true" t="shared" si="250" ref="F743:G744">F744</f>
        <v>336166.70000000007</v>
      </c>
      <c r="G743" s="58">
        <f t="shared" si="250"/>
        <v>336182.10000000003</v>
      </c>
    </row>
    <row r="744" spans="1:7" ht="21" customHeight="1">
      <c r="A744" s="55" t="str">
        <f ca="1">IF(ISERROR(MATCH(C744,Код_Раздел,0)),"",INDIRECT(ADDRESS(MATCH(C744,Код_Раздел,0)+1,2,,,"Раздел")))</f>
        <v>Национальная экономика</v>
      </c>
      <c r="B744" s="31" t="s">
        <v>49</v>
      </c>
      <c r="C744" s="6" t="s">
        <v>190</v>
      </c>
      <c r="D744" s="1"/>
      <c r="E744" s="69"/>
      <c r="F744" s="58">
        <f t="shared" si="250"/>
        <v>336166.70000000007</v>
      </c>
      <c r="G744" s="58">
        <f t="shared" si="250"/>
        <v>336182.10000000003</v>
      </c>
    </row>
    <row r="745" spans="1:7" ht="23.25" customHeight="1">
      <c r="A745" s="87" t="s">
        <v>155</v>
      </c>
      <c r="B745" s="31" t="s">
        <v>49</v>
      </c>
      <c r="C745" s="6" t="s">
        <v>190</v>
      </c>
      <c r="D745" s="6" t="s">
        <v>193</v>
      </c>
      <c r="E745" s="69"/>
      <c r="F745" s="58">
        <f>F746+F748+F750</f>
        <v>336166.70000000007</v>
      </c>
      <c r="G745" s="58">
        <f>G746+G748+G750</f>
        <v>336182.10000000003</v>
      </c>
    </row>
    <row r="746" spans="1:7" ht="42.75" customHeight="1">
      <c r="A746" s="55" t="str">
        <f aca="true" t="shared" si="251" ref="A746:A751">IF(ISERROR(MATCH(E746,Код_КВР,0)),"",INDIRECT(ADDRESS(MATCH(E746,Код_КВР,0)+1,2,,,"КВР")))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6" s="31" t="s">
        <v>49</v>
      </c>
      <c r="C746" s="6" t="s">
        <v>190</v>
      </c>
      <c r="D746" s="6" t="s">
        <v>193</v>
      </c>
      <c r="E746" s="69">
        <v>100</v>
      </c>
      <c r="F746" s="58">
        <f>F747</f>
        <v>10037.4</v>
      </c>
      <c r="G746" s="58">
        <f>G747</f>
        <v>10037.4</v>
      </c>
    </row>
    <row r="747" spans="1:7" ht="23.25" customHeight="1">
      <c r="A747" s="55" t="str">
        <f ca="1" t="shared" si="251"/>
        <v>Расходы на выплаты персоналу казенных учреждений</v>
      </c>
      <c r="B747" s="31" t="s">
        <v>49</v>
      </c>
      <c r="C747" s="6" t="s">
        <v>190</v>
      </c>
      <c r="D747" s="6" t="s">
        <v>193</v>
      </c>
      <c r="E747" s="69">
        <v>110</v>
      </c>
      <c r="F747" s="58">
        <f>'прил.16'!G367</f>
        <v>10037.4</v>
      </c>
      <c r="G747" s="58">
        <f>'прил.16'!H367</f>
        <v>10037.4</v>
      </c>
    </row>
    <row r="748" spans="1:7" ht="21" customHeight="1">
      <c r="A748" s="55" t="str">
        <f ca="1" t="shared" si="251"/>
        <v>Закупка товаров, работ и услуг для муниципальных нужд</v>
      </c>
      <c r="B748" s="31" t="s">
        <v>49</v>
      </c>
      <c r="C748" s="6" t="s">
        <v>190</v>
      </c>
      <c r="D748" s="6" t="s">
        <v>193</v>
      </c>
      <c r="E748" s="69">
        <v>200</v>
      </c>
      <c r="F748" s="58">
        <f>F749</f>
        <v>326127.70000000007</v>
      </c>
      <c r="G748" s="58">
        <f>G749</f>
        <v>326143.10000000003</v>
      </c>
    </row>
    <row r="749" spans="1:7" ht="37.5" customHeight="1">
      <c r="A749" s="55" t="str">
        <f ca="1" t="shared" si="251"/>
        <v>Иные закупки товаров, работ и услуг для обеспечения муниципальных нужд</v>
      </c>
      <c r="B749" s="31" t="s">
        <v>49</v>
      </c>
      <c r="C749" s="6" t="s">
        <v>190</v>
      </c>
      <c r="D749" s="6" t="s">
        <v>193</v>
      </c>
      <c r="E749" s="69">
        <v>240</v>
      </c>
      <c r="F749" s="58">
        <f>'прил.16'!G369</f>
        <v>326127.70000000007</v>
      </c>
      <c r="G749" s="58">
        <f>'прил.16'!H369</f>
        <v>326143.10000000003</v>
      </c>
    </row>
    <row r="750" spans="1:7" ht="21" customHeight="1">
      <c r="A750" s="55" t="str">
        <f ca="1" t="shared" si="251"/>
        <v>Иные бюджетные ассигнования</v>
      </c>
      <c r="B750" s="31" t="s">
        <v>49</v>
      </c>
      <c r="C750" s="6" t="s">
        <v>190</v>
      </c>
      <c r="D750" s="6" t="s">
        <v>193</v>
      </c>
      <c r="E750" s="69">
        <v>800</v>
      </c>
      <c r="F750" s="58">
        <f>F751</f>
        <v>1.6</v>
      </c>
      <c r="G750" s="58">
        <f>G751</f>
        <v>1.6</v>
      </c>
    </row>
    <row r="751" spans="1:7" ht="20.25" customHeight="1">
      <c r="A751" s="55" t="str">
        <f ca="1" t="shared" si="251"/>
        <v>Уплата налогов, сборов и иных платежей</v>
      </c>
      <c r="B751" s="31" t="s">
        <v>49</v>
      </c>
      <c r="C751" s="6" t="s">
        <v>190</v>
      </c>
      <c r="D751" s="6" t="s">
        <v>193</v>
      </c>
      <c r="E751" s="69">
        <v>850</v>
      </c>
      <c r="F751" s="58">
        <f>'прил.16'!G371</f>
        <v>1.6</v>
      </c>
      <c r="G751" s="58">
        <f>'прил.16'!H371</f>
        <v>1.6</v>
      </c>
    </row>
    <row r="752" spans="1:7" ht="36.75" customHeight="1">
      <c r="A752" s="55" t="str">
        <f ca="1">IF(ISERROR(MATCH(B752,Код_КЦСР,0)),"",INDIRECT(ADDRESS(MATCH(B752,Код_КЦСР,0)+1,2,,,"КЦСР")))</f>
        <v>Мероприятия по решению общегосударственных вопросов и вопросов в области национальной политики</v>
      </c>
      <c r="B752" s="31" t="s">
        <v>51</v>
      </c>
      <c r="C752" s="6"/>
      <c r="D752" s="1"/>
      <c r="E752" s="69"/>
      <c r="F752" s="58">
        <f>F753+F757</f>
        <v>440</v>
      </c>
      <c r="G752" s="58">
        <f>G753+G757</f>
        <v>440</v>
      </c>
    </row>
    <row r="753" spans="1:7" ht="23.25" customHeight="1">
      <c r="A753" s="55" t="str">
        <f ca="1">IF(ISERROR(MATCH(C753,Код_Раздел,0)),"",INDIRECT(ADDRESS(MATCH(C753,Код_Раздел,0)+1,2,,,"Раздел")))</f>
        <v>Общегосударственные  вопросы</v>
      </c>
      <c r="B753" s="31" t="s">
        <v>51</v>
      </c>
      <c r="C753" s="6" t="s">
        <v>187</v>
      </c>
      <c r="D753" s="1"/>
      <c r="E753" s="69"/>
      <c r="F753" s="58">
        <f aca="true" t="shared" si="252" ref="F753:G755">F754</f>
        <v>360</v>
      </c>
      <c r="G753" s="58">
        <f t="shared" si="252"/>
        <v>360</v>
      </c>
    </row>
    <row r="754" spans="1:7" ht="24" customHeight="1">
      <c r="A754" s="59" t="s">
        <v>209</v>
      </c>
      <c r="B754" s="31" t="s">
        <v>51</v>
      </c>
      <c r="C754" s="6" t="s">
        <v>187</v>
      </c>
      <c r="D754" s="1" t="s">
        <v>165</v>
      </c>
      <c r="E754" s="69"/>
      <c r="F754" s="58">
        <f t="shared" si="252"/>
        <v>360</v>
      </c>
      <c r="G754" s="58">
        <f t="shared" si="252"/>
        <v>360</v>
      </c>
    </row>
    <row r="755" spans="1:7" ht="23.25" customHeight="1">
      <c r="A755" s="55" t="str">
        <f ca="1">IF(ISERROR(MATCH(E755,Код_КВР,0)),"",INDIRECT(ADDRESS(MATCH(E755,Код_КВР,0)+1,2,,,"КВР")))</f>
        <v>Закупка товаров, работ и услуг для муниципальных нужд</v>
      </c>
      <c r="B755" s="31" t="s">
        <v>51</v>
      </c>
      <c r="C755" s="6" t="s">
        <v>187</v>
      </c>
      <c r="D755" s="1" t="s">
        <v>165</v>
      </c>
      <c r="E755" s="69">
        <v>200</v>
      </c>
      <c r="F755" s="58">
        <f t="shared" si="252"/>
        <v>360</v>
      </c>
      <c r="G755" s="58">
        <f t="shared" si="252"/>
        <v>360</v>
      </c>
    </row>
    <row r="756" spans="1:7" ht="36.75" customHeight="1">
      <c r="A756" s="55" t="str">
        <f ca="1">IF(ISERROR(MATCH(E756,Код_КВР,0)),"",INDIRECT(ADDRESS(MATCH(E756,Код_КВР,0)+1,2,,,"КВР")))</f>
        <v>Иные закупки товаров, работ и услуг для обеспечения муниципальных нужд</v>
      </c>
      <c r="B756" s="31" t="s">
        <v>51</v>
      </c>
      <c r="C756" s="6" t="s">
        <v>187</v>
      </c>
      <c r="D756" s="1" t="s">
        <v>165</v>
      </c>
      <c r="E756" s="69">
        <v>240</v>
      </c>
      <c r="F756" s="58">
        <f>'прил.16'!G351</f>
        <v>360</v>
      </c>
      <c r="G756" s="58">
        <f>'прил.16'!H351</f>
        <v>360</v>
      </c>
    </row>
    <row r="757" spans="1:7" ht="24.75" customHeight="1">
      <c r="A757" s="55" t="str">
        <f ca="1">IF(ISERROR(MATCH(C757,Код_Раздел,0)),"",INDIRECT(ADDRESS(MATCH(C757,Код_Раздел,0)+1,2,,,"Раздел")))</f>
        <v>Национальная экономика</v>
      </c>
      <c r="B757" s="31" t="s">
        <v>51</v>
      </c>
      <c r="C757" s="6" t="s">
        <v>190</v>
      </c>
      <c r="D757" s="1"/>
      <c r="E757" s="69"/>
      <c r="F757" s="58">
        <f>F758</f>
        <v>80</v>
      </c>
      <c r="G757" s="58">
        <f>G758</f>
        <v>80</v>
      </c>
    </row>
    <row r="758" spans="1:7" ht="18.75" customHeight="1">
      <c r="A758" s="10" t="s">
        <v>197</v>
      </c>
      <c r="B758" s="31" t="s">
        <v>51</v>
      </c>
      <c r="C758" s="6" t="s">
        <v>190</v>
      </c>
      <c r="D758" s="6" t="s">
        <v>171</v>
      </c>
      <c r="E758" s="69"/>
      <c r="F758" s="58">
        <f aca="true" t="shared" si="253" ref="F758:G759">F759</f>
        <v>80</v>
      </c>
      <c r="G758" s="58">
        <f t="shared" si="253"/>
        <v>80</v>
      </c>
    </row>
    <row r="759" spans="1:7" ht="24" customHeight="1">
      <c r="A759" s="55" t="str">
        <f ca="1">IF(ISERROR(MATCH(E759,Код_КВР,0)),"",INDIRECT(ADDRESS(MATCH(E759,Код_КВР,0)+1,2,,,"КВР")))</f>
        <v>Закупка товаров, работ и услуг для муниципальных нужд</v>
      </c>
      <c r="B759" s="31" t="s">
        <v>51</v>
      </c>
      <c r="C759" s="6" t="s">
        <v>190</v>
      </c>
      <c r="D759" s="6" t="s">
        <v>171</v>
      </c>
      <c r="E759" s="69">
        <v>200</v>
      </c>
      <c r="F759" s="58">
        <f t="shared" si="253"/>
        <v>80</v>
      </c>
      <c r="G759" s="58">
        <f t="shared" si="253"/>
        <v>80</v>
      </c>
    </row>
    <row r="760" spans="1:7" ht="33">
      <c r="A760" s="55" t="str">
        <f ca="1">IF(ISERROR(MATCH(E760,Код_КВР,0)),"",INDIRECT(ADDRESS(MATCH(E760,Код_КВР,0)+1,2,,,"КВР")))</f>
        <v>Иные закупки товаров, работ и услуг для обеспечения муниципальных нужд</v>
      </c>
      <c r="B760" s="31" t="s">
        <v>51</v>
      </c>
      <c r="C760" s="6" t="s">
        <v>190</v>
      </c>
      <c r="D760" s="6" t="s">
        <v>171</v>
      </c>
      <c r="E760" s="69">
        <v>240</v>
      </c>
      <c r="F760" s="58">
        <f>'прил.16'!G391</f>
        <v>80</v>
      </c>
      <c r="G760" s="58">
        <f>'прил.16'!H391</f>
        <v>80</v>
      </c>
    </row>
    <row r="761" spans="1:7" ht="55.5" customHeight="1">
      <c r="A761" s="55" t="str">
        <f ca="1">IF(ISERROR(MATCH(B761,Код_КЦСР,0)),"",INDIRECT(ADDRESS(MATCH(B761,Код_КЦСР,0)+1,2,,,"КЦСР")))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761" s="31" t="s">
        <v>348</v>
      </c>
      <c r="C761" s="6"/>
      <c r="D761" s="1"/>
      <c r="E761" s="69"/>
      <c r="F761" s="58">
        <f aca="true" t="shared" si="254" ref="F761:G762">F762</f>
        <v>105131.1</v>
      </c>
      <c r="G761" s="58">
        <f t="shared" si="254"/>
        <v>90586</v>
      </c>
    </row>
    <row r="762" spans="1:7" ht="24" customHeight="1">
      <c r="A762" s="55" t="str">
        <f ca="1">IF(ISERROR(MATCH(C762,Код_Раздел,0)),"",INDIRECT(ADDRESS(MATCH(C762,Код_Раздел,0)+1,2,,,"Раздел")))</f>
        <v>Национальная экономика</v>
      </c>
      <c r="B762" s="31" t="s">
        <v>348</v>
      </c>
      <c r="C762" s="6" t="s">
        <v>190</v>
      </c>
      <c r="D762" s="1"/>
      <c r="E762" s="69"/>
      <c r="F762" s="58">
        <f t="shared" si="254"/>
        <v>105131.1</v>
      </c>
      <c r="G762" s="58">
        <f t="shared" si="254"/>
        <v>90586</v>
      </c>
    </row>
    <row r="763" spans="1:7" ht="20.25" customHeight="1">
      <c r="A763" s="87" t="s">
        <v>155</v>
      </c>
      <c r="B763" s="31" t="s">
        <v>348</v>
      </c>
      <c r="C763" s="6" t="s">
        <v>190</v>
      </c>
      <c r="D763" s="1" t="s">
        <v>193</v>
      </c>
      <c r="E763" s="69"/>
      <c r="F763" s="58">
        <f aca="true" t="shared" si="255" ref="F763:G763">F764</f>
        <v>105131.1</v>
      </c>
      <c r="G763" s="58">
        <f t="shared" si="255"/>
        <v>90586</v>
      </c>
    </row>
    <row r="764" spans="1:7" ht="22.5" customHeight="1">
      <c r="A764" s="55" t="str">
        <f ca="1">IF(ISERROR(MATCH(E764,Код_КВР,0)),"",INDIRECT(ADDRESS(MATCH(E764,Код_КВР,0)+1,2,,,"КВР")))</f>
        <v>Закупка товаров, работ и услуг для муниципальных нужд</v>
      </c>
      <c r="B764" s="31" t="s">
        <v>348</v>
      </c>
      <c r="C764" s="6" t="s">
        <v>190</v>
      </c>
      <c r="D764" s="1" t="s">
        <v>193</v>
      </c>
      <c r="E764" s="69">
        <v>200</v>
      </c>
      <c r="F764" s="58">
        <f>F765</f>
        <v>105131.1</v>
      </c>
      <c r="G764" s="58">
        <f>G765</f>
        <v>90586</v>
      </c>
    </row>
    <row r="765" spans="1:7" ht="39" customHeight="1">
      <c r="A765" s="55" t="str">
        <f ca="1">IF(ISERROR(MATCH(E765,Код_КВР,0)),"",INDIRECT(ADDRESS(MATCH(E765,Код_КВР,0)+1,2,,,"КВР")))</f>
        <v>Иные закупки товаров, работ и услуг для обеспечения муниципальных нужд</v>
      </c>
      <c r="B765" s="31" t="s">
        <v>348</v>
      </c>
      <c r="C765" s="6" t="s">
        <v>190</v>
      </c>
      <c r="D765" s="1" t="s">
        <v>193</v>
      </c>
      <c r="E765" s="69">
        <v>240</v>
      </c>
      <c r="F765" s="58">
        <f>'прил.16'!G374</f>
        <v>105131.1</v>
      </c>
      <c r="G765" s="58">
        <f>'прил.16'!H374</f>
        <v>90586</v>
      </c>
    </row>
    <row r="766" spans="1:7" ht="105.75" customHeight="1">
      <c r="A766" s="55" t="str">
        <f ca="1">IF(ISERROR(MATCH(B766,Код_КЦСР,0)),"",INDIRECT(ADDRESS(MATCH(B766,Код_КЦСР,0)+1,2,,,"КЦСР")))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766" s="69" t="s">
        <v>343</v>
      </c>
      <c r="C766" s="6"/>
      <c r="D766" s="6"/>
      <c r="E766" s="69"/>
      <c r="F766" s="58">
        <f>F767</f>
        <v>1957.5</v>
      </c>
      <c r="G766" s="58">
        <f>G767</f>
        <v>1957.5</v>
      </c>
    </row>
    <row r="767" spans="1:7" ht="20.25" customHeight="1">
      <c r="A767" s="55" t="str">
        <f ca="1">IF(ISERROR(MATCH(C767,Код_Раздел,0)),"",INDIRECT(ADDRESS(MATCH(C767,Код_Раздел,0)+1,2,,,"Раздел")))</f>
        <v>Здравоохранение</v>
      </c>
      <c r="B767" s="69" t="s">
        <v>343</v>
      </c>
      <c r="C767" s="6" t="s">
        <v>193</v>
      </c>
      <c r="D767" s="6"/>
      <c r="E767" s="69"/>
      <c r="F767" s="58">
        <f aca="true" t="shared" si="256" ref="F767:G769">F768</f>
        <v>1957.5</v>
      </c>
      <c r="G767" s="58">
        <f t="shared" si="256"/>
        <v>1957.5</v>
      </c>
    </row>
    <row r="768" spans="1:7" ht="25.5" customHeight="1">
      <c r="A768" s="87" t="s">
        <v>233</v>
      </c>
      <c r="B768" s="69" t="s">
        <v>343</v>
      </c>
      <c r="C768" s="6" t="s">
        <v>193</v>
      </c>
      <c r="D768" s="6" t="s">
        <v>170</v>
      </c>
      <c r="E768" s="69"/>
      <c r="F768" s="58">
        <f t="shared" si="256"/>
        <v>1957.5</v>
      </c>
      <c r="G768" s="58">
        <f t="shared" si="256"/>
        <v>1957.5</v>
      </c>
    </row>
    <row r="769" spans="1:7" ht="23.25" customHeight="1">
      <c r="A769" s="55" t="str">
        <f ca="1">IF(ISERROR(MATCH(E769,Код_КВР,0)),"",INDIRECT(ADDRESS(MATCH(E769,Код_КВР,0)+1,2,,,"КВР")))</f>
        <v>Закупка товаров, работ и услуг для муниципальных нужд</v>
      </c>
      <c r="B769" s="69" t="s">
        <v>343</v>
      </c>
      <c r="C769" s="6" t="s">
        <v>193</v>
      </c>
      <c r="D769" s="6" t="s">
        <v>170</v>
      </c>
      <c r="E769" s="69">
        <v>200</v>
      </c>
      <c r="F769" s="58">
        <f t="shared" si="256"/>
        <v>1957.5</v>
      </c>
      <c r="G769" s="58">
        <f t="shared" si="256"/>
        <v>1957.5</v>
      </c>
    </row>
    <row r="770" spans="1:7" ht="37.5" customHeight="1">
      <c r="A770" s="55" t="str">
        <f ca="1">IF(ISERROR(MATCH(E770,Код_КВР,0)),"",INDIRECT(ADDRESS(MATCH(E770,Код_КВР,0)+1,2,,,"КВР")))</f>
        <v>Иные закупки товаров, работ и услуг для обеспечения муниципальных нужд</v>
      </c>
      <c r="B770" s="69" t="s">
        <v>343</v>
      </c>
      <c r="C770" s="6" t="s">
        <v>193</v>
      </c>
      <c r="D770" s="6" t="s">
        <v>170</v>
      </c>
      <c r="E770" s="69">
        <v>240</v>
      </c>
      <c r="F770" s="58">
        <f>'прил.16'!G446</f>
        <v>1957.5</v>
      </c>
      <c r="G770" s="58">
        <f>'прил.16'!H446</f>
        <v>1957.5</v>
      </c>
    </row>
    <row r="771" spans="1:7" ht="20.25" customHeight="1">
      <c r="A771" s="55" t="str">
        <f ca="1">IF(ISERROR(MATCH(B771,Код_КЦСР,0)),"",INDIRECT(ADDRESS(MATCH(B771,Код_КЦСР,0)+1,2,,,"КЦСР")))</f>
        <v>Содержание и ремонт жилищного фонда</v>
      </c>
      <c r="B771" s="31" t="s">
        <v>53</v>
      </c>
      <c r="C771" s="6"/>
      <c r="D771" s="1"/>
      <c r="E771" s="69"/>
      <c r="F771" s="58">
        <f aca="true" t="shared" si="257" ref="F771:G771">F772+F777+F782+F787</f>
        <v>43254.5</v>
      </c>
      <c r="G771" s="58">
        <f t="shared" si="257"/>
        <v>44652.4</v>
      </c>
    </row>
    <row r="772" spans="1:7" ht="26.25" customHeight="1">
      <c r="A772" s="55" t="str">
        <f ca="1">IF(ISERROR(MATCH(B772,Код_КЦСР,0)),"",INDIRECT(ADDRESS(MATCH(B772,Код_КЦСР,0)+1,2,,,"КЦСР")))</f>
        <v>Капитальный ремонт жилищного фонда</v>
      </c>
      <c r="B772" s="31" t="s">
        <v>55</v>
      </c>
      <c r="C772" s="6"/>
      <c r="D772" s="1"/>
      <c r="E772" s="69"/>
      <c r="F772" s="58">
        <f aca="true" t="shared" si="258" ref="F772:G775">F773</f>
        <v>500</v>
      </c>
      <c r="G772" s="58">
        <f t="shared" si="258"/>
        <v>500</v>
      </c>
    </row>
    <row r="773" spans="1:7" ht="24.75" customHeight="1">
      <c r="A773" s="55" t="str">
        <f ca="1">IF(ISERROR(MATCH(C773,Код_Раздел,0)),"",INDIRECT(ADDRESS(MATCH(C773,Код_Раздел,0)+1,2,,,"Раздел")))</f>
        <v>Жилищно-коммунальное хозяйство</v>
      </c>
      <c r="B773" s="31" t="s">
        <v>55</v>
      </c>
      <c r="C773" s="6" t="s">
        <v>195</v>
      </c>
      <c r="D773" s="1"/>
      <c r="E773" s="69"/>
      <c r="F773" s="58">
        <f t="shared" si="258"/>
        <v>500</v>
      </c>
      <c r="G773" s="58">
        <f t="shared" si="258"/>
        <v>500</v>
      </c>
    </row>
    <row r="774" spans="1:7" ht="12.75">
      <c r="A774" s="59" t="s">
        <v>200</v>
      </c>
      <c r="B774" s="31" t="s">
        <v>55</v>
      </c>
      <c r="C774" s="6" t="s">
        <v>195</v>
      </c>
      <c r="D774" s="6" t="s">
        <v>187</v>
      </c>
      <c r="E774" s="69"/>
      <c r="F774" s="58">
        <f t="shared" si="258"/>
        <v>500</v>
      </c>
      <c r="G774" s="58">
        <f t="shared" si="258"/>
        <v>500</v>
      </c>
    </row>
    <row r="775" spans="1:7" ht="12.75">
      <c r="A775" s="55" t="str">
        <f ca="1">IF(ISERROR(MATCH(E775,Код_КВР,0)),"",INDIRECT(ADDRESS(MATCH(E775,Код_КВР,0)+1,2,,,"КВР")))</f>
        <v>Закупка товаров, работ и услуг для муниципальных нужд</v>
      </c>
      <c r="B775" s="31" t="s">
        <v>55</v>
      </c>
      <c r="C775" s="6" t="s">
        <v>195</v>
      </c>
      <c r="D775" s="6" t="s">
        <v>187</v>
      </c>
      <c r="E775" s="69">
        <v>200</v>
      </c>
      <c r="F775" s="58">
        <f t="shared" si="258"/>
        <v>500</v>
      </c>
      <c r="G775" s="58">
        <f t="shared" si="258"/>
        <v>500</v>
      </c>
    </row>
    <row r="776" spans="1:7" ht="39.75" customHeight="1">
      <c r="A776" s="55" t="str">
        <f ca="1">IF(ISERROR(MATCH(E776,Код_КВР,0)),"",INDIRECT(ADDRESS(MATCH(E776,Код_КВР,0)+1,2,,,"КВР")))</f>
        <v>Иные закупки товаров, работ и услуг для обеспечения муниципальных нужд</v>
      </c>
      <c r="B776" s="31" t="s">
        <v>55</v>
      </c>
      <c r="C776" s="6" t="s">
        <v>195</v>
      </c>
      <c r="D776" s="6" t="s">
        <v>187</v>
      </c>
      <c r="E776" s="69">
        <v>240</v>
      </c>
      <c r="F776" s="58">
        <f>'прил.16'!G403</f>
        <v>500</v>
      </c>
      <c r="G776" s="58">
        <f>'прил.16'!H403</f>
        <v>500</v>
      </c>
    </row>
    <row r="777" spans="1:7" ht="35.25" customHeight="1">
      <c r="A777" s="55" t="str">
        <f ca="1">IF(ISERROR(MATCH(B777,Код_КЦСР,0)),"",INDIRECT(ADDRESS(MATCH(B777,Код_КЦСР,0)+1,2,,,"КЦСР")))</f>
        <v>Содержание и ремонт временно незаселенных жилых помещений муниципального жилищного фонда</v>
      </c>
      <c r="B777" s="31" t="s">
        <v>57</v>
      </c>
      <c r="C777" s="6"/>
      <c r="D777" s="6"/>
      <c r="E777" s="69"/>
      <c r="F777" s="58">
        <f aca="true" t="shared" si="259" ref="F777:G777">F778</f>
        <v>4974</v>
      </c>
      <c r="G777" s="58">
        <f t="shared" si="259"/>
        <v>4974</v>
      </c>
    </row>
    <row r="778" spans="1:7" ht="12.75">
      <c r="A778" s="55" t="str">
        <f ca="1">IF(ISERROR(MATCH(C778,Код_Раздел,0)),"",INDIRECT(ADDRESS(MATCH(C778,Код_Раздел,0)+1,2,,,"Раздел")))</f>
        <v>Жилищно-коммунальное хозяйство</v>
      </c>
      <c r="B778" s="31" t="s">
        <v>57</v>
      </c>
      <c r="C778" s="6" t="s">
        <v>195</v>
      </c>
      <c r="D778" s="1"/>
      <c r="E778" s="69"/>
      <c r="F778" s="58">
        <f aca="true" t="shared" si="260" ref="F778:G780">F779</f>
        <v>4974</v>
      </c>
      <c r="G778" s="58">
        <f t="shared" si="260"/>
        <v>4974</v>
      </c>
    </row>
    <row r="779" spans="1:7" ht="12.75">
      <c r="A779" s="59" t="s">
        <v>200</v>
      </c>
      <c r="B779" s="31" t="s">
        <v>57</v>
      </c>
      <c r="C779" s="6" t="s">
        <v>195</v>
      </c>
      <c r="D779" s="6" t="s">
        <v>187</v>
      </c>
      <c r="E779" s="69"/>
      <c r="F779" s="58">
        <f t="shared" si="260"/>
        <v>4974</v>
      </c>
      <c r="G779" s="58">
        <f t="shared" si="260"/>
        <v>4974</v>
      </c>
    </row>
    <row r="780" spans="1:7" ht="12.75">
      <c r="A780" s="55" t="str">
        <f ca="1">IF(ISERROR(MATCH(E780,Код_КВР,0)),"",INDIRECT(ADDRESS(MATCH(E780,Код_КВР,0)+1,2,,,"КВР")))</f>
        <v>Закупка товаров, работ и услуг для муниципальных нужд</v>
      </c>
      <c r="B780" s="31" t="s">
        <v>57</v>
      </c>
      <c r="C780" s="6" t="s">
        <v>195</v>
      </c>
      <c r="D780" s="6" t="s">
        <v>187</v>
      </c>
      <c r="E780" s="69">
        <v>200</v>
      </c>
      <c r="F780" s="58">
        <f t="shared" si="260"/>
        <v>4974</v>
      </c>
      <c r="G780" s="58">
        <f t="shared" si="260"/>
        <v>4974</v>
      </c>
    </row>
    <row r="781" spans="1:7" ht="33">
      <c r="A781" s="55" t="str">
        <f ca="1">IF(ISERROR(MATCH(E781,Код_КВР,0)),"",INDIRECT(ADDRESS(MATCH(E781,Код_КВР,0)+1,2,,,"КВР")))</f>
        <v>Иные закупки товаров, работ и услуг для обеспечения муниципальных нужд</v>
      </c>
      <c r="B781" s="31" t="s">
        <v>57</v>
      </c>
      <c r="C781" s="6" t="s">
        <v>195</v>
      </c>
      <c r="D781" s="6" t="s">
        <v>187</v>
      </c>
      <c r="E781" s="69">
        <v>240</v>
      </c>
      <c r="F781" s="58">
        <f>'прил.16'!G406</f>
        <v>4974</v>
      </c>
      <c r="G781" s="58">
        <f>'прил.16'!H406</f>
        <v>4974</v>
      </c>
    </row>
    <row r="782" spans="1:7" ht="59.25" customHeight="1">
      <c r="A782" s="55" t="str">
        <f ca="1">IF(ISERROR(MATCH(B782,Код_КЦСР,0)),"",INDIRECT(ADDRESS(MATCH(B782,Код_КЦСР,0)+1,2,,,"КЦСР")))</f>
        <v>Осуществление полномочий собственника муниципального жилищного фонда в части внесения взносов в региональный фонд капитального ремонта</v>
      </c>
      <c r="B782" s="31" t="s">
        <v>487</v>
      </c>
      <c r="C782" s="6"/>
      <c r="D782" s="6"/>
      <c r="E782" s="69"/>
      <c r="F782" s="58">
        <f aca="true" t="shared" si="261" ref="F782:G785">F783</f>
        <v>37780.5</v>
      </c>
      <c r="G782" s="58">
        <f t="shared" si="261"/>
        <v>39178.4</v>
      </c>
    </row>
    <row r="783" spans="1:7" ht="20.25" customHeight="1">
      <c r="A783" s="55" t="str">
        <f ca="1">IF(ISERROR(MATCH(C783,Код_Раздел,0)),"",INDIRECT(ADDRESS(MATCH(C783,Код_Раздел,0)+1,2,,,"Раздел")))</f>
        <v>Жилищно-коммунальное хозяйство</v>
      </c>
      <c r="B783" s="31" t="s">
        <v>487</v>
      </c>
      <c r="C783" s="6" t="s">
        <v>195</v>
      </c>
      <c r="D783" s="1"/>
      <c r="E783" s="69"/>
      <c r="F783" s="58">
        <f t="shared" si="261"/>
        <v>37780.5</v>
      </c>
      <c r="G783" s="58">
        <f t="shared" si="261"/>
        <v>39178.4</v>
      </c>
    </row>
    <row r="784" spans="1:7" ht="18.75" customHeight="1">
      <c r="A784" s="59" t="s">
        <v>200</v>
      </c>
      <c r="B784" s="31" t="s">
        <v>487</v>
      </c>
      <c r="C784" s="6" t="s">
        <v>195</v>
      </c>
      <c r="D784" s="6" t="s">
        <v>187</v>
      </c>
      <c r="E784" s="69"/>
      <c r="F784" s="58">
        <f t="shared" si="261"/>
        <v>37780.5</v>
      </c>
      <c r="G784" s="58">
        <f t="shared" si="261"/>
        <v>39178.4</v>
      </c>
    </row>
    <row r="785" spans="1:7" ht="25.5" customHeight="1">
      <c r="A785" s="55" t="str">
        <f ca="1">IF(ISERROR(MATCH(E785,Код_КВР,0)),"",INDIRECT(ADDRESS(MATCH(E785,Код_КВР,0)+1,2,,,"КВР")))</f>
        <v>Закупка товаров, работ и услуг для муниципальных нужд</v>
      </c>
      <c r="B785" s="31" t="s">
        <v>487</v>
      </c>
      <c r="C785" s="6" t="s">
        <v>195</v>
      </c>
      <c r="D785" s="6" t="s">
        <v>187</v>
      </c>
      <c r="E785" s="69">
        <v>200</v>
      </c>
      <c r="F785" s="58">
        <f t="shared" si="261"/>
        <v>37780.5</v>
      </c>
      <c r="G785" s="58">
        <f t="shared" si="261"/>
        <v>39178.4</v>
      </c>
    </row>
    <row r="786" spans="1:7" ht="36.75" customHeight="1">
      <c r="A786" s="55" t="str">
        <f ca="1">IF(ISERROR(MATCH(E786,Код_КВР,0)),"",INDIRECT(ADDRESS(MATCH(E786,Код_КВР,0)+1,2,,,"КВР")))</f>
        <v>Иные закупки товаров, работ и услуг для обеспечения муниципальных нужд</v>
      </c>
      <c r="B786" s="31" t="s">
        <v>487</v>
      </c>
      <c r="C786" s="6" t="s">
        <v>195</v>
      </c>
      <c r="D786" s="6" t="s">
        <v>187</v>
      </c>
      <c r="E786" s="69">
        <v>240</v>
      </c>
      <c r="F786" s="58">
        <f>'прил.16'!G409</f>
        <v>37780.5</v>
      </c>
      <c r="G786" s="58">
        <f>'прил.16'!H409</f>
        <v>39178.4</v>
      </c>
    </row>
    <row r="787" spans="1:7" ht="49.5" hidden="1">
      <c r="A787" s="55" t="str">
        <f ca="1">IF(ISERROR(MATCH(B787,Код_КЦСР,0)),"",INDIRECT(ADDRESS(MATCH(B787,Код_КЦСР,0)+1,2,,,"КЦСР")))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787" s="31" t="s">
        <v>546</v>
      </c>
      <c r="C787" s="6"/>
      <c r="D787" s="6"/>
      <c r="E787" s="79"/>
      <c r="F787" s="58">
        <f aca="true" t="shared" si="262" ref="F787:G790">F788</f>
        <v>0</v>
      </c>
      <c r="G787" s="58">
        <f t="shared" si="262"/>
        <v>0</v>
      </c>
    </row>
    <row r="788" spans="1:7" ht="12.75" hidden="1">
      <c r="A788" s="55" t="str">
        <f ca="1">IF(ISERROR(MATCH(C788,Код_Раздел,0)),"",INDIRECT(ADDRESS(MATCH(C788,Код_Раздел,0)+1,2,,,"Раздел")))</f>
        <v>Жилищно-коммунальное хозяйство</v>
      </c>
      <c r="B788" s="31" t="s">
        <v>546</v>
      </c>
      <c r="C788" s="6" t="s">
        <v>195</v>
      </c>
      <c r="D788" s="1"/>
      <c r="E788" s="79"/>
      <c r="F788" s="58">
        <f t="shared" si="262"/>
        <v>0</v>
      </c>
      <c r="G788" s="58">
        <f t="shared" si="262"/>
        <v>0</v>
      </c>
    </row>
    <row r="789" spans="1:7" ht="12.75" hidden="1">
      <c r="A789" s="59" t="s">
        <v>200</v>
      </c>
      <c r="B789" s="31" t="s">
        <v>546</v>
      </c>
      <c r="C789" s="6" t="s">
        <v>195</v>
      </c>
      <c r="D789" s="6" t="s">
        <v>187</v>
      </c>
      <c r="E789" s="79"/>
      <c r="F789" s="58">
        <f t="shared" si="262"/>
        <v>0</v>
      </c>
      <c r="G789" s="58">
        <f t="shared" si="262"/>
        <v>0</v>
      </c>
    </row>
    <row r="790" spans="1:7" ht="12.75" hidden="1">
      <c r="A790" s="55" t="str">
        <f ca="1">IF(ISERROR(MATCH(E790,Код_КВР,0)),"",INDIRECT(ADDRESS(MATCH(E790,Код_КВР,0)+1,2,,,"КВР")))</f>
        <v>Иные бюджетные ассигнования</v>
      </c>
      <c r="B790" s="31" t="s">
        <v>546</v>
      </c>
      <c r="C790" s="6" t="s">
        <v>195</v>
      </c>
      <c r="D790" s="6" t="s">
        <v>187</v>
      </c>
      <c r="E790" s="79">
        <v>800</v>
      </c>
      <c r="F790" s="58">
        <f t="shared" si="262"/>
        <v>0</v>
      </c>
      <c r="G790" s="58">
        <f t="shared" si="262"/>
        <v>0</v>
      </c>
    </row>
    <row r="791" spans="1:7" ht="49.5" hidden="1">
      <c r="A791" s="55" t="str">
        <f ca="1">IF(ISERROR(MATCH(E791,Код_КВР,0)),"",INDIRECT(ADDRESS(MATCH(E791,Код_КВР,0)+1,2,,,"КВР")))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91" s="31" t="s">
        <v>546</v>
      </c>
      <c r="C791" s="6" t="s">
        <v>195</v>
      </c>
      <c r="D791" s="6" t="s">
        <v>187</v>
      </c>
      <c r="E791" s="79">
        <v>810</v>
      </c>
      <c r="F791" s="58">
        <f>'прил.16'!G412</f>
        <v>0</v>
      </c>
      <c r="G791" s="58">
        <f>'прил.16'!H412</f>
        <v>0</v>
      </c>
    </row>
    <row r="792" spans="1:7" ht="40.5" customHeight="1">
      <c r="A792" s="55" t="str">
        <f ca="1">IF(ISERROR(MATCH(B792,Код_КЦСР,0)),"",INDIRECT(ADDRESS(MATCH(B792,Код_КЦСР,0)+1,2,,,"КЦСР")))</f>
        <v>Муниципальная программа «Развитие земельно-имущественного комплекса  города Череповца» на 2014-2018 годы</v>
      </c>
      <c r="B792" s="31" t="s">
        <v>59</v>
      </c>
      <c r="C792" s="6"/>
      <c r="D792" s="1"/>
      <c r="E792" s="69"/>
      <c r="F792" s="58">
        <f aca="true" t="shared" si="263" ref="F792:G792">F793+F802+F807+F812</f>
        <v>101775.9</v>
      </c>
      <c r="G792" s="58">
        <f t="shared" si="263"/>
        <v>100863.99999999999</v>
      </c>
    </row>
    <row r="793" spans="1:7" ht="37.5" customHeight="1">
      <c r="A793" s="55" t="str">
        <f ca="1">IF(ISERROR(MATCH(B793,Код_КЦСР,0)),"",INDIRECT(ADDRESS(MATCH(B793,Код_КЦСР,0)+1,2,,,"КЦСР")))</f>
        <v>Формирование и обеспечение сохранности муниципального земельно-имущественного комплекса</v>
      </c>
      <c r="B793" s="31" t="s">
        <v>61</v>
      </c>
      <c r="C793" s="6"/>
      <c r="D793" s="1"/>
      <c r="E793" s="69"/>
      <c r="F793" s="58">
        <f aca="true" t="shared" si="264" ref="F793:G793">F794+F798</f>
        <v>63061.6</v>
      </c>
      <c r="G793" s="58">
        <f t="shared" si="264"/>
        <v>62149.7</v>
      </c>
    </row>
    <row r="794" spans="1:7" ht="21" customHeight="1">
      <c r="A794" s="55" t="str">
        <f ca="1">IF(ISERROR(MATCH(C794,Код_Раздел,0)),"",INDIRECT(ADDRESS(MATCH(C794,Код_Раздел,0)+1,2,,,"Раздел")))</f>
        <v>Общегосударственные  вопросы</v>
      </c>
      <c r="B794" s="31" t="s">
        <v>61</v>
      </c>
      <c r="C794" s="6" t="s">
        <v>187</v>
      </c>
      <c r="D794" s="1"/>
      <c r="E794" s="69"/>
      <c r="F794" s="58">
        <f aca="true" t="shared" si="265" ref="F794:G796">F795</f>
        <v>8980.6</v>
      </c>
      <c r="G794" s="58">
        <f t="shared" si="265"/>
        <v>8980.6</v>
      </c>
    </row>
    <row r="795" spans="1:7" ht="19.5" customHeight="1">
      <c r="A795" s="59" t="s">
        <v>209</v>
      </c>
      <c r="B795" s="31" t="s">
        <v>61</v>
      </c>
      <c r="C795" s="6" t="s">
        <v>187</v>
      </c>
      <c r="D795" s="1" t="s">
        <v>165</v>
      </c>
      <c r="E795" s="69"/>
      <c r="F795" s="58">
        <f t="shared" si="265"/>
        <v>8980.6</v>
      </c>
      <c r="G795" s="58">
        <f t="shared" si="265"/>
        <v>8980.6</v>
      </c>
    </row>
    <row r="796" spans="1:7" ht="22.5" customHeight="1">
      <c r="A796" s="55" t="str">
        <f ca="1">IF(ISERROR(MATCH(E796,Код_КВР,0)),"",INDIRECT(ADDRESS(MATCH(E796,Код_КВР,0)+1,2,,,"КВР")))</f>
        <v>Закупка товаров, работ и услуг для муниципальных нужд</v>
      </c>
      <c r="B796" s="31" t="s">
        <v>61</v>
      </c>
      <c r="C796" s="6" t="s">
        <v>187</v>
      </c>
      <c r="D796" s="1" t="s">
        <v>165</v>
      </c>
      <c r="E796" s="69">
        <v>200</v>
      </c>
      <c r="F796" s="58">
        <f t="shared" si="265"/>
        <v>8980.6</v>
      </c>
      <c r="G796" s="58">
        <f t="shared" si="265"/>
        <v>8980.6</v>
      </c>
    </row>
    <row r="797" spans="1:7" ht="45" customHeight="1">
      <c r="A797" s="55" t="str">
        <f ca="1">IF(ISERROR(MATCH(E797,Код_КВР,0)),"",INDIRECT(ADDRESS(MATCH(E797,Код_КВР,0)+1,2,,,"КВР")))</f>
        <v>Иные закупки товаров, работ и услуг для обеспечения муниципальных нужд</v>
      </c>
      <c r="B797" s="31" t="s">
        <v>61</v>
      </c>
      <c r="C797" s="6" t="s">
        <v>187</v>
      </c>
      <c r="D797" s="1" t="s">
        <v>165</v>
      </c>
      <c r="E797" s="69">
        <v>240</v>
      </c>
      <c r="F797" s="58">
        <f>'прил.16'!G1008+'прил.16'!G90</f>
        <v>8980.6</v>
      </c>
      <c r="G797" s="58">
        <f>'прил.16'!H1008+'прил.16'!H90</f>
        <v>8980.6</v>
      </c>
    </row>
    <row r="798" spans="1:7" ht="21" customHeight="1">
      <c r="A798" s="55" t="str">
        <f ca="1">IF(ISERROR(MATCH(C798,Код_Раздел,0)),"",INDIRECT(ADDRESS(MATCH(C798,Код_Раздел,0)+1,2,,,"Раздел")))</f>
        <v>Национальная экономика</v>
      </c>
      <c r="B798" s="31" t="s">
        <v>61</v>
      </c>
      <c r="C798" s="6" t="s">
        <v>190</v>
      </c>
      <c r="D798" s="1"/>
      <c r="E798" s="69"/>
      <c r="F798" s="58">
        <f>F799</f>
        <v>54081</v>
      </c>
      <c r="G798" s="58">
        <f>G799</f>
        <v>53169.1</v>
      </c>
    </row>
    <row r="799" spans="1:7" ht="19.5" customHeight="1">
      <c r="A799" s="87" t="s">
        <v>312</v>
      </c>
      <c r="B799" s="31" t="s">
        <v>61</v>
      </c>
      <c r="C799" s="6" t="s">
        <v>190</v>
      </c>
      <c r="D799" s="6" t="s">
        <v>196</v>
      </c>
      <c r="E799" s="69"/>
      <c r="F799" s="58">
        <f aca="true" t="shared" si="266" ref="F799:G800">F800</f>
        <v>54081</v>
      </c>
      <c r="G799" s="58">
        <f t="shared" si="266"/>
        <v>53169.1</v>
      </c>
    </row>
    <row r="800" spans="1:7" ht="24" customHeight="1">
      <c r="A800" s="55" t="str">
        <f ca="1">IF(ISERROR(MATCH(E800,Код_КВР,0)),"",INDIRECT(ADDRESS(MATCH(E800,Код_КВР,0)+1,2,,,"КВР")))</f>
        <v>Закупка товаров, работ и услуг для муниципальных нужд</v>
      </c>
      <c r="B800" s="31" t="s">
        <v>61</v>
      </c>
      <c r="C800" s="6" t="s">
        <v>190</v>
      </c>
      <c r="D800" s="6" t="s">
        <v>196</v>
      </c>
      <c r="E800" s="69">
        <v>200</v>
      </c>
      <c r="F800" s="58">
        <f t="shared" si="266"/>
        <v>54081</v>
      </c>
      <c r="G800" s="58">
        <f t="shared" si="266"/>
        <v>53169.1</v>
      </c>
    </row>
    <row r="801" spans="1:7" ht="33">
      <c r="A801" s="55" t="str">
        <f ca="1">IF(ISERROR(MATCH(E801,Код_КВР,0)),"",INDIRECT(ADDRESS(MATCH(E801,Код_КВР,0)+1,2,,,"КВР")))</f>
        <v>Иные закупки товаров, работ и услуг для обеспечения муниципальных нужд</v>
      </c>
      <c r="B801" s="31" t="s">
        <v>61</v>
      </c>
      <c r="C801" s="6" t="s">
        <v>190</v>
      </c>
      <c r="D801" s="6" t="s">
        <v>196</v>
      </c>
      <c r="E801" s="69">
        <v>240</v>
      </c>
      <c r="F801" s="58">
        <f>'прил.16'!G357+'прил.16'!G1025</f>
        <v>54081</v>
      </c>
      <c r="G801" s="58">
        <f>'прил.16'!H357+'прил.16'!H1025</f>
        <v>53169.1</v>
      </c>
    </row>
    <row r="802" spans="1:7" ht="33">
      <c r="A802" s="55" t="str">
        <f ca="1">IF(ISERROR(MATCH(B802,Код_КЦСР,0)),"",INDIRECT(ADDRESS(MATCH(B802,Код_КЦСР,0)+1,2,,,"КЦСР")))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02" s="31" t="s">
        <v>63</v>
      </c>
      <c r="C802" s="6"/>
      <c r="D802" s="1"/>
      <c r="E802" s="69"/>
      <c r="F802" s="58">
        <f>F803</f>
        <v>3175.1</v>
      </c>
      <c r="G802" s="58">
        <f>G803</f>
        <v>3175.1</v>
      </c>
    </row>
    <row r="803" spans="1:7" ht="12.75">
      <c r="A803" s="55" t="str">
        <f ca="1">IF(ISERROR(MATCH(C803,Код_Раздел,0)),"",INDIRECT(ADDRESS(MATCH(C803,Код_Раздел,0)+1,2,,,"Раздел")))</f>
        <v>Общегосударственные  вопросы</v>
      </c>
      <c r="B803" s="31" t="s">
        <v>63</v>
      </c>
      <c r="C803" s="6" t="s">
        <v>187</v>
      </c>
      <c r="D803" s="1"/>
      <c r="E803" s="69"/>
      <c r="F803" s="58">
        <f aca="true" t="shared" si="267" ref="F803:G805">F804</f>
        <v>3175.1</v>
      </c>
      <c r="G803" s="58">
        <f t="shared" si="267"/>
        <v>3175.1</v>
      </c>
    </row>
    <row r="804" spans="1:7" ht="12.75">
      <c r="A804" s="59" t="s">
        <v>209</v>
      </c>
      <c r="B804" s="31" t="s">
        <v>63</v>
      </c>
      <c r="C804" s="6" t="s">
        <v>187</v>
      </c>
      <c r="D804" s="1" t="s">
        <v>165</v>
      </c>
      <c r="E804" s="69"/>
      <c r="F804" s="58">
        <f t="shared" si="267"/>
        <v>3175.1</v>
      </c>
      <c r="G804" s="58">
        <f t="shared" si="267"/>
        <v>3175.1</v>
      </c>
    </row>
    <row r="805" spans="1:7" ht="12.75">
      <c r="A805" s="55" t="str">
        <f ca="1">IF(ISERROR(MATCH(E805,Код_КВР,0)),"",INDIRECT(ADDRESS(MATCH(E805,Код_КВР,0)+1,2,,,"КВР")))</f>
        <v>Закупка товаров, работ и услуг для муниципальных нужд</v>
      </c>
      <c r="B805" s="31" t="s">
        <v>63</v>
      </c>
      <c r="C805" s="6" t="s">
        <v>187</v>
      </c>
      <c r="D805" s="1" t="s">
        <v>165</v>
      </c>
      <c r="E805" s="69">
        <v>200</v>
      </c>
      <c r="F805" s="58">
        <f t="shared" si="267"/>
        <v>3175.1</v>
      </c>
      <c r="G805" s="58">
        <f t="shared" si="267"/>
        <v>3175.1</v>
      </c>
    </row>
    <row r="806" spans="1:7" ht="33">
      <c r="A806" s="55" t="str">
        <f ca="1">IF(ISERROR(MATCH(E806,Код_КВР,0)),"",INDIRECT(ADDRESS(MATCH(E806,Код_КВР,0)+1,2,,,"КВР")))</f>
        <v>Иные закупки товаров, работ и услуг для обеспечения муниципальных нужд</v>
      </c>
      <c r="B806" s="31" t="s">
        <v>63</v>
      </c>
      <c r="C806" s="6" t="s">
        <v>187</v>
      </c>
      <c r="D806" s="1" t="s">
        <v>165</v>
      </c>
      <c r="E806" s="69">
        <v>240</v>
      </c>
      <c r="F806" s="58">
        <f>'прил.16'!G1011</f>
        <v>3175.1</v>
      </c>
      <c r="G806" s="58">
        <f>'прил.16'!H1011</f>
        <v>3175.1</v>
      </c>
    </row>
    <row r="807" spans="1:7" ht="33">
      <c r="A807" s="55" t="str">
        <f ca="1">IF(ISERROR(MATCH(B807,Код_КЦСР,0)),"",INDIRECT(ADDRESS(MATCH(B807,Код_КЦСР,0)+1,2,,,"КЦСР")))</f>
        <v>Обеспечение исполнения полномочий органа местного самоуправления в области наружной рекламы</v>
      </c>
      <c r="B807" s="31" t="s">
        <v>65</v>
      </c>
      <c r="C807" s="6"/>
      <c r="D807" s="1"/>
      <c r="E807" s="69"/>
      <c r="F807" s="58">
        <f>F808</f>
        <v>658</v>
      </c>
      <c r="G807" s="58">
        <f>G808</f>
        <v>658</v>
      </c>
    </row>
    <row r="808" spans="1:7" ht="12.75">
      <c r="A808" s="55" t="str">
        <f ca="1">IF(ISERROR(MATCH(C808,Код_Раздел,0)),"",INDIRECT(ADDRESS(MATCH(C808,Код_Раздел,0)+1,2,,,"Раздел")))</f>
        <v>Национальная экономика</v>
      </c>
      <c r="B808" s="31" t="s">
        <v>65</v>
      </c>
      <c r="C808" s="6" t="s">
        <v>190</v>
      </c>
      <c r="D808" s="1"/>
      <c r="E808" s="69"/>
      <c r="F808" s="58">
        <f aca="true" t="shared" si="268" ref="F808:G810">F809</f>
        <v>658</v>
      </c>
      <c r="G808" s="58">
        <f t="shared" si="268"/>
        <v>658</v>
      </c>
    </row>
    <row r="809" spans="1:7" ht="18.75" customHeight="1">
      <c r="A809" s="59" t="s">
        <v>197</v>
      </c>
      <c r="B809" s="31" t="s">
        <v>65</v>
      </c>
      <c r="C809" s="6" t="s">
        <v>190</v>
      </c>
      <c r="D809" s="6" t="s">
        <v>171</v>
      </c>
      <c r="E809" s="69"/>
      <c r="F809" s="58">
        <f t="shared" si="268"/>
        <v>658</v>
      </c>
      <c r="G809" s="58">
        <f t="shared" si="268"/>
        <v>658</v>
      </c>
    </row>
    <row r="810" spans="1:7" ht="19.5" customHeight="1">
      <c r="A810" s="55" t="str">
        <f ca="1">IF(ISERROR(MATCH(E810,Код_КВР,0)),"",INDIRECT(ADDRESS(MATCH(E810,Код_КВР,0)+1,2,,,"КВР")))</f>
        <v>Закупка товаров, работ и услуг для муниципальных нужд</v>
      </c>
      <c r="B810" s="31" t="s">
        <v>65</v>
      </c>
      <c r="C810" s="6" t="s">
        <v>190</v>
      </c>
      <c r="D810" s="6" t="s">
        <v>171</v>
      </c>
      <c r="E810" s="69">
        <v>200</v>
      </c>
      <c r="F810" s="58">
        <f t="shared" si="268"/>
        <v>658</v>
      </c>
      <c r="G810" s="58">
        <f t="shared" si="268"/>
        <v>658</v>
      </c>
    </row>
    <row r="811" spans="1:7" ht="33">
      <c r="A811" s="55" t="str">
        <f ca="1">IF(ISERROR(MATCH(E811,Код_КВР,0)),"",INDIRECT(ADDRESS(MATCH(E811,Код_КВР,0)+1,2,,,"КВР")))</f>
        <v>Иные закупки товаров, работ и услуг для обеспечения муниципальных нужд</v>
      </c>
      <c r="B811" s="31" t="s">
        <v>65</v>
      </c>
      <c r="C811" s="6" t="s">
        <v>190</v>
      </c>
      <c r="D811" s="6" t="s">
        <v>171</v>
      </c>
      <c r="E811" s="69">
        <v>240</v>
      </c>
      <c r="F811" s="58">
        <f>'прил.16'!G1052</f>
        <v>658</v>
      </c>
      <c r="G811" s="58">
        <f>'прил.16'!H1052</f>
        <v>658</v>
      </c>
    </row>
    <row r="812" spans="1:7" ht="55.5" customHeight="1">
      <c r="A812" s="55" t="str">
        <f ca="1">IF(ISERROR(MATCH(B812,Код_КЦСР,0)),"",INDIRECT(ADDRESS(MATCH(B812,Код_КЦСР,0)+1,2,,,"КЦСР")))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812" s="41" t="s">
        <v>550</v>
      </c>
      <c r="C812" s="6"/>
      <c r="D812" s="1"/>
      <c r="E812" s="77"/>
      <c r="F812" s="58">
        <f aca="true" t="shared" si="269" ref="F812:G812">F813</f>
        <v>34881.2</v>
      </c>
      <c r="G812" s="58">
        <f t="shared" si="269"/>
        <v>34881.2</v>
      </c>
    </row>
    <row r="813" spans="1:7" ht="12.75">
      <c r="A813" s="55" t="str">
        <f ca="1">IF(ISERROR(MATCH(C813,Код_Раздел,0)),"",INDIRECT(ADDRESS(MATCH(C813,Код_Раздел,0)+1,2,,,"Раздел")))</f>
        <v>Национальная экономика</v>
      </c>
      <c r="B813" s="41" t="s">
        <v>550</v>
      </c>
      <c r="C813" s="6" t="s">
        <v>190</v>
      </c>
      <c r="D813" s="1"/>
      <c r="E813" s="77"/>
      <c r="F813" s="58">
        <f aca="true" t="shared" si="270" ref="F813:G813">F814</f>
        <v>34881.2</v>
      </c>
      <c r="G813" s="58">
        <f t="shared" si="270"/>
        <v>34881.2</v>
      </c>
    </row>
    <row r="814" spans="1:7" ht="12.75">
      <c r="A814" s="59" t="s">
        <v>197</v>
      </c>
      <c r="B814" s="41" t="s">
        <v>550</v>
      </c>
      <c r="C814" s="6" t="s">
        <v>190</v>
      </c>
      <c r="D814" s="6" t="s">
        <v>171</v>
      </c>
      <c r="E814" s="77"/>
      <c r="F814" s="58">
        <f aca="true" t="shared" si="271" ref="F814:G814">F815+F817+F819</f>
        <v>34881.2</v>
      </c>
      <c r="G814" s="58">
        <f t="shared" si="271"/>
        <v>34881.2</v>
      </c>
    </row>
    <row r="815" spans="1:7" ht="36.75" customHeight="1">
      <c r="A815" s="55" t="str">
        <f aca="true" t="shared" si="272" ref="A815:A820">IF(ISERROR(MATCH(E815,Код_КВР,0)),"",INDIRECT(ADDRESS(MATCH(E815,Код_КВР,0)+1,2,,,"КВР")))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5" s="41" t="s">
        <v>550</v>
      </c>
      <c r="C815" s="6" t="s">
        <v>190</v>
      </c>
      <c r="D815" s="6" t="s">
        <v>171</v>
      </c>
      <c r="E815" s="77">
        <v>100</v>
      </c>
      <c r="F815" s="58">
        <f aca="true" t="shared" si="273" ref="F815:G815">F816</f>
        <v>34856.6</v>
      </c>
      <c r="G815" s="58">
        <f t="shared" si="273"/>
        <v>34856.6</v>
      </c>
    </row>
    <row r="816" spans="1:7" ht="12.75">
      <c r="A816" s="55" t="str">
        <f ca="1" t="shared" si="272"/>
        <v>Расходы на выплаты персоналу муниципальных органов</v>
      </c>
      <c r="B816" s="41" t="s">
        <v>550</v>
      </c>
      <c r="C816" s="6" t="s">
        <v>190</v>
      </c>
      <c r="D816" s="6" t="s">
        <v>171</v>
      </c>
      <c r="E816" s="77">
        <v>120</v>
      </c>
      <c r="F816" s="58">
        <f>'прил.16'!G1055</f>
        <v>34856.6</v>
      </c>
      <c r="G816" s="58">
        <f>'прил.16'!H1055</f>
        <v>34856.6</v>
      </c>
    </row>
    <row r="817" spans="1:7" ht="21.95" customHeight="1">
      <c r="A817" s="55" t="str">
        <f ca="1" t="shared" si="272"/>
        <v>Закупка товаров, работ и услуг для муниципальных нужд</v>
      </c>
      <c r="B817" s="41" t="s">
        <v>550</v>
      </c>
      <c r="C817" s="6" t="s">
        <v>190</v>
      </c>
      <c r="D817" s="6" t="s">
        <v>171</v>
      </c>
      <c r="E817" s="77">
        <v>200</v>
      </c>
      <c r="F817" s="58">
        <f aca="true" t="shared" si="274" ref="F817:G817">F818</f>
        <v>21.6</v>
      </c>
      <c r="G817" s="58">
        <f t="shared" si="274"/>
        <v>21.6</v>
      </c>
    </row>
    <row r="818" spans="1:7" ht="33">
      <c r="A818" s="55" t="str">
        <f ca="1" t="shared" si="272"/>
        <v>Иные закупки товаров, работ и услуг для обеспечения муниципальных нужд</v>
      </c>
      <c r="B818" s="41" t="s">
        <v>550</v>
      </c>
      <c r="C818" s="6" t="s">
        <v>190</v>
      </c>
      <c r="D818" s="6" t="s">
        <v>171</v>
      </c>
      <c r="E818" s="77">
        <v>240</v>
      </c>
      <c r="F818" s="58">
        <f>'прил.16'!G1057</f>
        <v>21.6</v>
      </c>
      <c r="G818" s="58">
        <f>'прил.16'!H1057</f>
        <v>21.6</v>
      </c>
    </row>
    <row r="819" spans="1:7" ht="18.6" customHeight="1">
      <c r="A819" s="55" t="str">
        <f ca="1" t="shared" si="272"/>
        <v>Иные бюджетные ассигнования</v>
      </c>
      <c r="B819" s="41" t="s">
        <v>550</v>
      </c>
      <c r="C819" s="6" t="s">
        <v>190</v>
      </c>
      <c r="D819" s="6" t="s">
        <v>171</v>
      </c>
      <c r="E819" s="77">
        <v>800</v>
      </c>
      <c r="F819" s="58">
        <f aca="true" t="shared" si="275" ref="F819:G819">F820</f>
        <v>3</v>
      </c>
      <c r="G819" s="58">
        <f t="shared" si="275"/>
        <v>3</v>
      </c>
    </row>
    <row r="820" spans="1:7" ht="12.75">
      <c r="A820" s="55" t="str">
        <f ca="1" t="shared" si="272"/>
        <v>Уплата налогов, сборов и иных платежей</v>
      </c>
      <c r="B820" s="41" t="s">
        <v>550</v>
      </c>
      <c r="C820" s="6" t="s">
        <v>190</v>
      </c>
      <c r="D820" s="6" t="s">
        <v>171</v>
      </c>
      <c r="E820" s="77">
        <v>850</v>
      </c>
      <c r="F820" s="58">
        <f>'прил.16'!G1059</f>
        <v>3</v>
      </c>
      <c r="G820" s="58">
        <f>'прил.16'!H1059</f>
        <v>3</v>
      </c>
    </row>
    <row r="821" spans="1:7" ht="72.75" customHeight="1">
      <c r="A821" s="55" t="str">
        <f ca="1">IF(ISERROR(MATCH(B821,Код_КЦСР,0)),"",INDIRECT(ADDRESS(MATCH(B821,Код_КЦСР,0)+1,2,,,"КЦСР")))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821" s="41" t="s">
        <v>67</v>
      </c>
      <c r="C821" s="6"/>
      <c r="D821" s="1"/>
      <c r="E821" s="69"/>
      <c r="F821" s="58">
        <f>F822+F877+F886</f>
        <v>54563.6</v>
      </c>
      <c r="G821" s="58">
        <f>G822+G877+G886</f>
        <v>55153</v>
      </c>
    </row>
    <row r="822" spans="1:7" ht="35.25" customHeight="1">
      <c r="A822" s="55" t="str">
        <f ca="1">IF(ISERROR(MATCH(B822,Код_КЦСР,0)),"",INDIRECT(ADDRESS(MATCH(B822,Код_КЦСР,0)+1,2,,,"КЦСР")))</f>
        <v>Осуществление бюджетных инвестиций в объекты муниципальной собственности</v>
      </c>
      <c r="B822" s="41" t="s">
        <v>68</v>
      </c>
      <c r="C822" s="6"/>
      <c r="D822" s="1"/>
      <c r="E822" s="69"/>
      <c r="F822" s="58">
        <f>F823+F847+F852+F862+F857</f>
        <v>2500</v>
      </c>
      <c r="G822" s="58">
        <f>G823+G847+G852+G862+G857</f>
        <v>3040</v>
      </c>
    </row>
    <row r="823" spans="1:7" ht="21" customHeight="1">
      <c r="A823" s="55" t="str">
        <f ca="1">IF(ISERROR(MATCH(B823,Код_КЦСР,0)),"",INDIRECT(ADDRESS(MATCH(B823,Код_КЦСР,0)+1,2,,,"КЦСР")))</f>
        <v>Строительство объектов сметной стоимостью до 100 млн. рублей</v>
      </c>
      <c r="B823" s="41" t="s">
        <v>69</v>
      </c>
      <c r="C823" s="6"/>
      <c r="D823" s="1"/>
      <c r="E823" s="69"/>
      <c r="F823" s="58">
        <f>F824+F828+F835+F843+F839</f>
        <v>2500</v>
      </c>
      <c r="G823" s="58">
        <f>G824+G828+G835+G843+G839</f>
        <v>3040</v>
      </c>
    </row>
    <row r="824" spans="1:7" ht="12.75" hidden="1">
      <c r="A824" s="55" t="str">
        <f ca="1">IF(ISERROR(MATCH(C824,Код_Раздел,0)),"",INDIRECT(ADDRESS(MATCH(C824,Код_Раздел,0)+1,2,,,"Раздел")))</f>
        <v>Национальная экономика</v>
      </c>
      <c r="B824" s="41" t="s">
        <v>69</v>
      </c>
      <c r="C824" s="6" t="s">
        <v>190</v>
      </c>
      <c r="D824" s="1"/>
      <c r="E824" s="69"/>
      <c r="F824" s="58">
        <f aca="true" t="shared" si="276" ref="F824:G824">F825</f>
        <v>0</v>
      </c>
      <c r="G824" s="58">
        <f t="shared" si="276"/>
        <v>0</v>
      </c>
    </row>
    <row r="825" spans="1:7" ht="12.75" hidden="1">
      <c r="A825" s="87" t="s">
        <v>155</v>
      </c>
      <c r="B825" s="41" t="s">
        <v>69</v>
      </c>
      <c r="C825" s="6" t="s">
        <v>190</v>
      </c>
      <c r="D825" s="6" t="s">
        <v>193</v>
      </c>
      <c r="E825" s="69"/>
      <c r="F825" s="58">
        <f aca="true" t="shared" si="277" ref="F825:G826">F826</f>
        <v>0</v>
      </c>
      <c r="G825" s="58">
        <f t="shared" si="277"/>
        <v>0</v>
      </c>
    </row>
    <row r="826" spans="1:7" ht="33" hidden="1">
      <c r="A826" s="55" t="str">
        <f ca="1">IF(ISERROR(MATCH(E826,Код_КВР,0)),"",INDIRECT(ADDRESS(MATCH(E826,Код_КВР,0)+1,2,,,"КВР")))</f>
        <v>Капитальные вложения в объекты недвижимого имущества муниципальной собственности</v>
      </c>
      <c r="B826" s="41" t="s">
        <v>69</v>
      </c>
      <c r="C826" s="6" t="s">
        <v>190</v>
      </c>
      <c r="D826" s="6" t="s">
        <v>193</v>
      </c>
      <c r="E826" s="69">
        <v>400</v>
      </c>
      <c r="F826" s="58">
        <f t="shared" si="277"/>
        <v>0</v>
      </c>
      <c r="G826" s="58">
        <f t="shared" si="277"/>
        <v>0</v>
      </c>
    </row>
    <row r="827" spans="1:7" ht="12.75" hidden="1">
      <c r="A827" s="55" t="str">
        <f ca="1">IF(ISERROR(MATCH(E827,Код_КВР,0)),"",INDIRECT(ADDRESS(MATCH(E827,Код_КВР,0)+1,2,,,"КВР")))</f>
        <v>Бюджетные инвестиции</v>
      </c>
      <c r="B827" s="41" t="s">
        <v>69</v>
      </c>
      <c r="C827" s="6" t="s">
        <v>190</v>
      </c>
      <c r="D827" s="6" t="s">
        <v>193</v>
      </c>
      <c r="E827" s="69">
        <v>410</v>
      </c>
      <c r="F827" s="58">
        <f>'прил.16'!G1031</f>
        <v>0</v>
      </c>
      <c r="G827" s="58">
        <f>'прил.16'!H1031</f>
        <v>0</v>
      </c>
    </row>
    <row r="828" spans="1:7" ht="12.75">
      <c r="A828" s="55" t="str">
        <f ca="1">IF(ISERROR(MATCH(C828,Код_Раздел,0)),"",INDIRECT(ADDRESS(MATCH(C828,Код_Раздел,0)+1,2,,,"Раздел")))</f>
        <v>Жилищно-коммунальное хозяйство</v>
      </c>
      <c r="B828" s="41" t="s">
        <v>69</v>
      </c>
      <c r="C828" s="6" t="s">
        <v>195</v>
      </c>
      <c r="D828" s="1"/>
      <c r="E828" s="69"/>
      <c r="F828" s="58">
        <f aca="true" t="shared" si="278" ref="F828:G828">F832+F829</f>
        <v>2500</v>
      </c>
      <c r="G828" s="58">
        <f t="shared" si="278"/>
        <v>3040</v>
      </c>
    </row>
    <row r="829" spans="1:7" ht="20.25" customHeight="1">
      <c r="A829" s="59" t="s">
        <v>223</v>
      </c>
      <c r="B829" s="41" t="s">
        <v>69</v>
      </c>
      <c r="C829" s="6" t="s">
        <v>195</v>
      </c>
      <c r="D829" s="6" t="s">
        <v>188</v>
      </c>
      <c r="E829" s="76"/>
      <c r="F829" s="58">
        <f aca="true" t="shared" si="279" ref="F829:G830">F830</f>
        <v>2500</v>
      </c>
      <c r="G829" s="58">
        <f t="shared" si="279"/>
        <v>3040</v>
      </c>
    </row>
    <row r="830" spans="1:7" ht="36.75" customHeight="1">
      <c r="A830" s="55" t="str">
        <f ca="1">IF(ISERROR(MATCH(E830,Код_КВР,0)),"",INDIRECT(ADDRESS(MATCH(E830,Код_КВР,0)+1,2,,,"КВР")))</f>
        <v>Капитальные вложения в объекты недвижимого имущества муниципальной собственности</v>
      </c>
      <c r="B830" s="41" t="s">
        <v>69</v>
      </c>
      <c r="C830" s="6" t="s">
        <v>195</v>
      </c>
      <c r="D830" s="6" t="s">
        <v>188</v>
      </c>
      <c r="E830" s="76">
        <v>400</v>
      </c>
      <c r="F830" s="58">
        <f t="shared" si="279"/>
        <v>2500</v>
      </c>
      <c r="G830" s="58">
        <f t="shared" si="279"/>
        <v>3040</v>
      </c>
    </row>
    <row r="831" spans="1:7" ht="21" customHeight="1">
      <c r="A831" s="55" t="str">
        <f ca="1">IF(ISERROR(MATCH(E831,Код_КВР,0)),"",INDIRECT(ADDRESS(MATCH(E831,Код_КВР,0)+1,2,,,"КВР")))</f>
        <v>Бюджетные инвестиции</v>
      </c>
      <c r="B831" s="41" t="s">
        <v>69</v>
      </c>
      <c r="C831" s="6" t="s">
        <v>195</v>
      </c>
      <c r="D831" s="6" t="s">
        <v>188</v>
      </c>
      <c r="E831" s="76">
        <v>410</v>
      </c>
      <c r="F831" s="58">
        <f>'прил.16'!G1085</f>
        <v>2500</v>
      </c>
      <c r="G831" s="58">
        <f>'прил.16'!H1085</f>
        <v>3040</v>
      </c>
    </row>
    <row r="832" spans="1:7" ht="12.75" hidden="1">
      <c r="A832" s="55" t="s">
        <v>222</v>
      </c>
      <c r="B832" s="41" t="s">
        <v>69</v>
      </c>
      <c r="C832" s="6" t="s">
        <v>195</v>
      </c>
      <c r="D832" s="6" t="s">
        <v>189</v>
      </c>
      <c r="E832" s="69"/>
      <c r="F832" s="58">
        <f aca="true" t="shared" si="280" ref="F832:G833">F833</f>
        <v>0</v>
      </c>
      <c r="G832" s="58">
        <f t="shared" si="280"/>
        <v>0</v>
      </c>
    </row>
    <row r="833" spans="1:7" ht="33" hidden="1">
      <c r="A833" s="55" t="str">
        <f ca="1">IF(ISERROR(MATCH(E833,Код_КВР,0)),"",INDIRECT(ADDRESS(MATCH(E833,Код_КВР,0)+1,2,,,"КВР")))</f>
        <v>Капитальные вложения в объекты недвижимого имущества муниципальной собственности</v>
      </c>
      <c r="B833" s="41" t="s">
        <v>69</v>
      </c>
      <c r="C833" s="6" t="s">
        <v>195</v>
      </c>
      <c r="D833" s="6" t="s">
        <v>189</v>
      </c>
      <c r="E833" s="69">
        <v>400</v>
      </c>
      <c r="F833" s="58">
        <f t="shared" si="280"/>
        <v>0</v>
      </c>
      <c r="G833" s="58">
        <f t="shared" si="280"/>
        <v>0</v>
      </c>
    </row>
    <row r="834" spans="1:7" ht="12.75" hidden="1">
      <c r="A834" s="55" t="str">
        <f ca="1">IF(ISERROR(MATCH(E834,Код_КВР,0)),"",INDIRECT(ADDRESS(MATCH(E834,Код_КВР,0)+1,2,,,"КВР")))</f>
        <v>Бюджетные инвестиции</v>
      </c>
      <c r="B834" s="41" t="s">
        <v>69</v>
      </c>
      <c r="C834" s="6" t="s">
        <v>195</v>
      </c>
      <c r="D834" s="6" t="s">
        <v>189</v>
      </c>
      <c r="E834" s="69">
        <v>410</v>
      </c>
      <c r="F834" s="58">
        <f>'прил.16'!G1097</f>
        <v>0</v>
      </c>
      <c r="G834" s="58">
        <f>'прил.16'!H1097</f>
        <v>0</v>
      </c>
    </row>
    <row r="835" spans="1:7" ht="12.75" hidden="1">
      <c r="A835" s="55" t="str">
        <f ca="1">IF(ISERROR(MATCH(C835,Код_Раздел,0)),"",INDIRECT(ADDRESS(MATCH(C835,Код_Раздел,0)+1,2,,,"Раздел")))</f>
        <v>Образование</v>
      </c>
      <c r="B835" s="41" t="s">
        <v>69</v>
      </c>
      <c r="C835" s="6" t="s">
        <v>170</v>
      </c>
      <c r="D835" s="1"/>
      <c r="E835" s="69"/>
      <c r="F835" s="58">
        <f aca="true" t="shared" si="281" ref="F835:G837">F836</f>
        <v>0</v>
      </c>
      <c r="G835" s="58">
        <f t="shared" si="281"/>
        <v>0</v>
      </c>
    </row>
    <row r="836" spans="1:7" ht="12.75" hidden="1">
      <c r="A836" s="59" t="s">
        <v>221</v>
      </c>
      <c r="B836" s="41" t="s">
        <v>69</v>
      </c>
      <c r="C836" s="6" t="s">
        <v>170</v>
      </c>
      <c r="D836" s="1" t="s">
        <v>193</v>
      </c>
      <c r="E836" s="69"/>
      <c r="F836" s="58">
        <f t="shared" si="281"/>
        <v>0</v>
      </c>
      <c r="G836" s="58">
        <f t="shared" si="281"/>
        <v>0</v>
      </c>
    </row>
    <row r="837" spans="1:7" ht="33" hidden="1">
      <c r="A837" s="55" t="str">
        <f ca="1">IF(ISERROR(MATCH(E837,Код_КВР,0)),"",INDIRECT(ADDRESS(MATCH(E837,Код_КВР,0)+1,2,,,"КВР")))</f>
        <v>Капитальные вложения в объекты недвижимого имущества муниципальной собственности</v>
      </c>
      <c r="B837" s="41" t="s">
        <v>69</v>
      </c>
      <c r="C837" s="6" t="s">
        <v>170</v>
      </c>
      <c r="D837" s="1" t="s">
        <v>193</v>
      </c>
      <c r="E837" s="69">
        <v>400</v>
      </c>
      <c r="F837" s="58">
        <f t="shared" si="281"/>
        <v>0</v>
      </c>
      <c r="G837" s="58">
        <f t="shared" si="281"/>
        <v>0</v>
      </c>
    </row>
    <row r="838" spans="1:7" ht="12.75" hidden="1">
      <c r="A838" s="55" t="str">
        <f ca="1">IF(ISERROR(MATCH(E838,Код_КВР,0)),"",INDIRECT(ADDRESS(MATCH(E838,Код_КВР,0)+1,2,,,"КВР")))</f>
        <v>Бюджетные инвестиции</v>
      </c>
      <c r="B838" s="41" t="s">
        <v>69</v>
      </c>
      <c r="C838" s="6" t="s">
        <v>170</v>
      </c>
      <c r="D838" s="1" t="s">
        <v>193</v>
      </c>
      <c r="E838" s="69">
        <v>410</v>
      </c>
      <c r="F838" s="58">
        <f>'прил.16'!G1103</f>
        <v>0</v>
      </c>
      <c r="G838" s="58">
        <f>'прил.16'!H1103</f>
        <v>0</v>
      </c>
    </row>
    <row r="839" spans="1:7" ht="12.75" hidden="1">
      <c r="A839" s="55" t="str">
        <f ca="1">IF(ISERROR(MATCH(C839,Код_Раздел,0)),"",INDIRECT(ADDRESS(MATCH(C839,Код_Раздел,0)+1,2,,,"Раздел")))</f>
        <v>Культура, кинематография</v>
      </c>
      <c r="B839" s="41" t="s">
        <v>69</v>
      </c>
      <c r="C839" s="6" t="s">
        <v>196</v>
      </c>
      <c r="D839" s="1"/>
      <c r="E839" s="69"/>
      <c r="F839" s="58">
        <f aca="true" t="shared" si="282" ref="F839:G841">F840</f>
        <v>0</v>
      </c>
      <c r="G839" s="58">
        <f t="shared" si="282"/>
        <v>0</v>
      </c>
    </row>
    <row r="840" spans="1:7" ht="20.25" customHeight="1" hidden="1">
      <c r="A840" s="59" t="s">
        <v>139</v>
      </c>
      <c r="B840" s="41" t="s">
        <v>69</v>
      </c>
      <c r="C840" s="6" t="s">
        <v>196</v>
      </c>
      <c r="D840" s="1" t="s">
        <v>190</v>
      </c>
      <c r="E840" s="69"/>
      <c r="F840" s="58">
        <f t="shared" si="282"/>
        <v>0</v>
      </c>
      <c r="G840" s="58">
        <f t="shared" si="282"/>
        <v>0</v>
      </c>
    </row>
    <row r="841" spans="1:7" ht="33" hidden="1">
      <c r="A841" s="55" t="str">
        <f ca="1">IF(ISERROR(MATCH(E841,Код_КВР,0)),"",INDIRECT(ADDRESS(MATCH(E841,Код_КВР,0)+1,2,,,"КВР")))</f>
        <v>Капитальные вложения в объекты недвижимого имущества муниципальной собственности</v>
      </c>
      <c r="B841" s="41" t="s">
        <v>69</v>
      </c>
      <c r="C841" s="6" t="s">
        <v>196</v>
      </c>
      <c r="D841" s="1" t="s">
        <v>190</v>
      </c>
      <c r="E841" s="69">
        <v>400</v>
      </c>
      <c r="F841" s="58">
        <f t="shared" si="282"/>
        <v>0</v>
      </c>
      <c r="G841" s="58">
        <f t="shared" si="282"/>
        <v>0</v>
      </c>
    </row>
    <row r="842" spans="1:7" ht="12.75" hidden="1">
      <c r="A842" s="55" t="str">
        <f ca="1">IF(ISERROR(MATCH(E842,Код_КВР,0)),"",INDIRECT(ADDRESS(MATCH(E842,Код_КВР,0)+1,2,,,"КВР")))</f>
        <v>Бюджетные инвестиции</v>
      </c>
      <c r="B842" s="41" t="s">
        <v>69</v>
      </c>
      <c r="C842" s="6" t="s">
        <v>196</v>
      </c>
      <c r="D842" s="1" t="s">
        <v>190</v>
      </c>
      <c r="E842" s="69">
        <v>410</v>
      </c>
      <c r="F842" s="58">
        <f>'прил.16'!G1141</f>
        <v>0</v>
      </c>
      <c r="G842" s="58">
        <f>'прил.16'!H1141</f>
        <v>0</v>
      </c>
    </row>
    <row r="843" spans="1:7" ht="12.75" hidden="1">
      <c r="A843" s="55" t="str">
        <f ca="1">IF(ISERROR(MATCH(C843,Код_Раздел,0)),"",INDIRECT(ADDRESS(MATCH(C843,Код_Раздел,0)+1,2,,,"Раздел")))</f>
        <v>Физическая культура и спорт</v>
      </c>
      <c r="B843" s="41" t="s">
        <v>69</v>
      </c>
      <c r="C843" s="6" t="s">
        <v>198</v>
      </c>
      <c r="D843" s="1"/>
      <c r="E843" s="69"/>
      <c r="F843" s="58">
        <f aca="true" t="shared" si="283" ref="F843:G845">F844</f>
        <v>0</v>
      </c>
      <c r="G843" s="58">
        <f t="shared" si="283"/>
        <v>0</v>
      </c>
    </row>
    <row r="844" spans="1:7" ht="12.75" hidden="1">
      <c r="A844" s="59" t="s">
        <v>167</v>
      </c>
      <c r="B844" s="41" t="s">
        <v>69</v>
      </c>
      <c r="C844" s="6" t="s">
        <v>198</v>
      </c>
      <c r="D844" s="1" t="s">
        <v>195</v>
      </c>
      <c r="E844" s="69"/>
      <c r="F844" s="58">
        <f t="shared" si="283"/>
        <v>0</v>
      </c>
      <c r="G844" s="58">
        <f t="shared" si="283"/>
        <v>0</v>
      </c>
    </row>
    <row r="845" spans="1:7" ht="33" hidden="1">
      <c r="A845" s="55" t="str">
        <f ca="1">IF(ISERROR(MATCH(E845,Код_КВР,0)),"",INDIRECT(ADDRESS(MATCH(E845,Код_КВР,0)+1,2,,,"КВР")))</f>
        <v>Капитальные вложения в объекты недвижимого имущества муниципальной собственности</v>
      </c>
      <c r="B845" s="41" t="s">
        <v>69</v>
      </c>
      <c r="C845" s="6" t="s">
        <v>198</v>
      </c>
      <c r="D845" s="1" t="s">
        <v>195</v>
      </c>
      <c r="E845" s="69">
        <v>400</v>
      </c>
      <c r="F845" s="58">
        <f t="shared" si="283"/>
        <v>0</v>
      </c>
      <c r="G845" s="58">
        <f t="shared" si="283"/>
        <v>0</v>
      </c>
    </row>
    <row r="846" spans="1:7" ht="12.75" hidden="1">
      <c r="A846" s="55" t="str">
        <f ca="1">IF(ISERROR(MATCH(E846,Код_КВР,0)),"",INDIRECT(ADDRESS(MATCH(E846,Код_КВР,0)+1,2,,,"КВР")))</f>
        <v>Бюджетные инвестиции</v>
      </c>
      <c r="B846" s="41" t="s">
        <v>69</v>
      </c>
      <c r="C846" s="6" t="s">
        <v>198</v>
      </c>
      <c r="D846" s="1" t="s">
        <v>195</v>
      </c>
      <c r="E846" s="69">
        <v>410</v>
      </c>
      <c r="F846" s="58">
        <f>'прил.16'!G1148</f>
        <v>0</v>
      </c>
      <c r="G846" s="58">
        <f>'прил.16'!H1148</f>
        <v>0</v>
      </c>
    </row>
    <row r="847" spans="1:7" ht="12.75" hidden="1">
      <c r="A847" s="55" t="str">
        <f ca="1">IF(ISERROR(MATCH(B847,Код_КЦСР,0)),"",INDIRECT(ADDRESS(MATCH(B847,Код_КЦСР,0)+1,2,,,"КЦСР")))</f>
        <v>Строительство детского сада № 27 в 115 мкр.</v>
      </c>
      <c r="B847" s="41" t="s">
        <v>71</v>
      </c>
      <c r="C847" s="6"/>
      <c r="D847" s="1"/>
      <c r="E847" s="69"/>
      <c r="F847" s="58">
        <f aca="true" t="shared" si="284" ref="F847:G849">F848</f>
        <v>0</v>
      </c>
      <c r="G847" s="58">
        <f t="shared" si="284"/>
        <v>0</v>
      </c>
    </row>
    <row r="848" spans="1:7" ht="12.75" hidden="1">
      <c r="A848" s="55" t="str">
        <f ca="1">IF(ISERROR(MATCH(C848,Код_Раздел,0)),"",INDIRECT(ADDRESS(MATCH(C848,Код_Раздел,0)+1,2,,,"Раздел")))</f>
        <v>Образование</v>
      </c>
      <c r="B848" s="41" t="s">
        <v>71</v>
      </c>
      <c r="C848" s="6" t="s">
        <v>170</v>
      </c>
      <c r="D848" s="1"/>
      <c r="E848" s="69"/>
      <c r="F848" s="58">
        <f t="shared" si="284"/>
        <v>0</v>
      </c>
      <c r="G848" s="58">
        <f t="shared" si="284"/>
        <v>0</v>
      </c>
    </row>
    <row r="849" spans="1:7" ht="12.75" hidden="1">
      <c r="A849" s="59" t="s">
        <v>221</v>
      </c>
      <c r="B849" s="41" t="s">
        <v>71</v>
      </c>
      <c r="C849" s="6" t="s">
        <v>170</v>
      </c>
      <c r="D849" s="1" t="s">
        <v>193</v>
      </c>
      <c r="E849" s="69"/>
      <c r="F849" s="58">
        <f t="shared" si="284"/>
        <v>0</v>
      </c>
      <c r="G849" s="58">
        <f t="shared" si="284"/>
        <v>0</v>
      </c>
    </row>
    <row r="850" spans="1:7" ht="33" hidden="1">
      <c r="A850" s="55" t="str">
        <f ca="1">IF(ISERROR(MATCH(E850,Код_КВР,0)),"",INDIRECT(ADDRESS(MATCH(E850,Код_КВР,0)+1,2,,,"КВР")))</f>
        <v>Капитальные вложения в объекты недвижимого имущества муниципальной собственности</v>
      </c>
      <c r="B850" s="41" t="s">
        <v>71</v>
      </c>
      <c r="C850" s="6" t="s">
        <v>170</v>
      </c>
      <c r="D850" s="1" t="s">
        <v>193</v>
      </c>
      <c r="E850" s="69">
        <v>400</v>
      </c>
      <c r="F850" s="58">
        <f aca="true" t="shared" si="285" ref="F850:G850">F851</f>
        <v>0</v>
      </c>
      <c r="G850" s="58">
        <f t="shared" si="285"/>
        <v>0</v>
      </c>
    </row>
    <row r="851" spans="1:7" ht="12.75" hidden="1">
      <c r="A851" s="55" t="str">
        <f ca="1">IF(ISERROR(MATCH(E851,Код_КВР,0)),"",INDIRECT(ADDRESS(MATCH(E851,Код_КВР,0)+1,2,,,"КВР")))</f>
        <v>Бюджетные инвестиции</v>
      </c>
      <c r="B851" s="41" t="s">
        <v>71</v>
      </c>
      <c r="C851" s="6" t="s">
        <v>170</v>
      </c>
      <c r="D851" s="1" t="s">
        <v>193</v>
      </c>
      <c r="E851" s="69">
        <v>410</v>
      </c>
      <c r="F851" s="58">
        <f>'прил.16'!G1127</f>
        <v>0</v>
      </c>
      <c r="G851" s="58">
        <f>'прил.16'!H1127</f>
        <v>0</v>
      </c>
    </row>
    <row r="852" spans="1:7" ht="12.75" hidden="1">
      <c r="A852" s="55" t="str">
        <f ca="1">IF(ISERROR(MATCH(B852,Код_КЦСР,0)),"",INDIRECT(ADDRESS(MATCH(B852,Код_КЦСР,0)+1,2,,,"КЦСР")))</f>
        <v>Строительство полигона твердых бытовых отходов (ТБО) №2</v>
      </c>
      <c r="B852" s="41" t="s">
        <v>72</v>
      </c>
      <c r="C852" s="6"/>
      <c r="D852" s="1"/>
      <c r="E852" s="69"/>
      <c r="F852" s="58">
        <f aca="true" t="shared" si="286" ref="F852:G855">F853</f>
        <v>0</v>
      </c>
      <c r="G852" s="58">
        <f t="shared" si="286"/>
        <v>0</v>
      </c>
    </row>
    <row r="853" spans="1:7" ht="12.75" hidden="1">
      <c r="A853" s="55" t="str">
        <f ca="1">IF(ISERROR(MATCH(C853,Код_Раздел,0)),"",INDIRECT(ADDRESS(MATCH(C853,Код_Раздел,0)+1,2,,,"Раздел")))</f>
        <v>Жилищно-коммунальное хозяйство</v>
      </c>
      <c r="B853" s="41" t="s">
        <v>72</v>
      </c>
      <c r="C853" s="6" t="s">
        <v>195</v>
      </c>
      <c r="D853" s="1"/>
      <c r="E853" s="69"/>
      <c r="F853" s="58">
        <f t="shared" si="286"/>
        <v>0</v>
      </c>
      <c r="G853" s="58">
        <f t="shared" si="286"/>
        <v>0</v>
      </c>
    </row>
    <row r="854" spans="1:7" ht="12.75" hidden="1">
      <c r="A854" s="59" t="s">
        <v>223</v>
      </c>
      <c r="B854" s="41" t="s">
        <v>72</v>
      </c>
      <c r="C854" s="6" t="s">
        <v>195</v>
      </c>
      <c r="D854" s="6" t="s">
        <v>188</v>
      </c>
      <c r="E854" s="69"/>
      <c r="F854" s="58">
        <f t="shared" si="286"/>
        <v>0</v>
      </c>
      <c r="G854" s="58">
        <f t="shared" si="286"/>
        <v>0</v>
      </c>
    </row>
    <row r="855" spans="1:7" ht="33" hidden="1">
      <c r="A855" s="55" t="str">
        <f ca="1">IF(ISERROR(MATCH(E855,Код_КВР,0)),"",INDIRECT(ADDRESS(MATCH(E855,Код_КВР,0)+1,2,,,"КВР")))</f>
        <v>Капитальные вложения в объекты недвижимого имущества муниципальной собственности</v>
      </c>
      <c r="B855" s="41" t="s">
        <v>72</v>
      </c>
      <c r="C855" s="6" t="s">
        <v>195</v>
      </c>
      <c r="D855" s="6" t="s">
        <v>188</v>
      </c>
      <c r="E855" s="69">
        <v>400</v>
      </c>
      <c r="F855" s="58">
        <f t="shared" si="286"/>
        <v>0</v>
      </c>
      <c r="G855" s="58">
        <f t="shared" si="286"/>
        <v>0</v>
      </c>
    </row>
    <row r="856" spans="1:7" ht="12.75" hidden="1">
      <c r="A856" s="55" t="str">
        <f ca="1">IF(ISERROR(MATCH(E856,Код_КВР,0)),"",INDIRECT(ADDRESS(MATCH(E856,Код_КВР,0)+1,2,,,"КВР")))</f>
        <v>Бюджетные инвестиции</v>
      </c>
      <c r="B856" s="41" t="s">
        <v>72</v>
      </c>
      <c r="C856" s="6" t="s">
        <v>195</v>
      </c>
      <c r="D856" s="6" t="s">
        <v>188</v>
      </c>
      <c r="E856" s="69">
        <v>410</v>
      </c>
      <c r="F856" s="58">
        <f>'прил.16'!G1088</f>
        <v>0</v>
      </c>
      <c r="G856" s="58">
        <f>'прил.16'!H1088</f>
        <v>0</v>
      </c>
    </row>
    <row r="857" spans="1:7" ht="33" hidden="1">
      <c r="A857" s="55" t="str">
        <f ca="1">IF(ISERROR(MATCH(B857,Код_КЦСР,0)),"",INDIRECT(ADDRESS(MATCH(B857,Код_КЦСР,0)+1,2,,,"КЦСР")))</f>
        <v>Строительство средней общеобразовательной школы № 24 в 112 мкр.</v>
      </c>
      <c r="B857" s="38" t="s">
        <v>483</v>
      </c>
      <c r="C857" s="6"/>
      <c r="D857" s="1"/>
      <c r="E857" s="69"/>
      <c r="F857" s="58">
        <f aca="true" t="shared" si="287" ref="F857:G860">F858</f>
        <v>0</v>
      </c>
      <c r="G857" s="58">
        <f t="shared" si="287"/>
        <v>0</v>
      </c>
    </row>
    <row r="858" spans="1:7" ht="12.75" hidden="1">
      <c r="A858" s="55" t="str">
        <f ca="1">IF(ISERROR(MATCH(C858,Код_Раздел,0)),"",INDIRECT(ADDRESS(MATCH(C858,Код_Раздел,0)+1,2,,,"Раздел")))</f>
        <v>Образование</v>
      </c>
      <c r="B858" s="38" t="s">
        <v>483</v>
      </c>
      <c r="C858" s="6" t="s">
        <v>170</v>
      </c>
      <c r="D858" s="1"/>
      <c r="E858" s="69"/>
      <c r="F858" s="58">
        <f t="shared" si="287"/>
        <v>0</v>
      </c>
      <c r="G858" s="58">
        <f t="shared" si="287"/>
        <v>0</v>
      </c>
    </row>
    <row r="859" spans="1:7" ht="12.75" hidden="1">
      <c r="A859" s="59" t="s">
        <v>221</v>
      </c>
      <c r="B859" s="38" t="s">
        <v>483</v>
      </c>
      <c r="C859" s="6" t="s">
        <v>170</v>
      </c>
      <c r="D859" s="6" t="s">
        <v>193</v>
      </c>
      <c r="E859" s="69"/>
      <c r="F859" s="58">
        <f t="shared" si="287"/>
        <v>0</v>
      </c>
      <c r="G859" s="58">
        <f t="shared" si="287"/>
        <v>0</v>
      </c>
    </row>
    <row r="860" spans="1:7" ht="33" hidden="1">
      <c r="A860" s="55" t="str">
        <f ca="1">IF(ISERROR(MATCH(E860,Код_КВР,0)),"",INDIRECT(ADDRESS(MATCH(E860,Код_КВР,0)+1,2,,,"КВР")))</f>
        <v>Капитальные вложения в объекты недвижимого имущества муниципальной собственности</v>
      </c>
      <c r="B860" s="38" t="s">
        <v>483</v>
      </c>
      <c r="C860" s="6" t="s">
        <v>170</v>
      </c>
      <c r="D860" s="6" t="s">
        <v>193</v>
      </c>
      <c r="E860" s="69">
        <v>400</v>
      </c>
      <c r="F860" s="58">
        <f t="shared" si="287"/>
        <v>0</v>
      </c>
      <c r="G860" s="58">
        <f t="shared" si="287"/>
        <v>0</v>
      </c>
    </row>
    <row r="861" spans="1:7" ht="12.75" hidden="1">
      <c r="A861" s="55" t="str">
        <f ca="1">IF(ISERROR(MATCH(E861,Код_КВР,0)),"",INDIRECT(ADDRESS(MATCH(E861,Код_КВР,0)+1,2,,,"КВР")))</f>
        <v>Бюджетные инвестиции</v>
      </c>
      <c r="B861" s="38" t="s">
        <v>483</v>
      </c>
      <c r="C861" s="6" t="s">
        <v>170</v>
      </c>
      <c r="D861" s="6" t="s">
        <v>193</v>
      </c>
      <c r="E861" s="69">
        <v>410</v>
      </c>
      <c r="F861" s="58">
        <f>'прил.16'!G1130</f>
        <v>0</v>
      </c>
      <c r="G861" s="58">
        <f>'прил.16'!H1130</f>
        <v>0</v>
      </c>
    </row>
    <row r="862" spans="1:7" ht="33" hidden="1">
      <c r="A862" s="55" t="str">
        <f ca="1">IF(ISERROR(MATCH(B862,Код_КЦСР,0)),"",INDIRECT(ADDRESS(MATCH(B862,Код_КЦСР,0)+1,2,,,"КЦСР")))</f>
        <v>Реконструкция Октябрьского проспекта на участке от Октябрьского моста до ул. Любецкой</v>
      </c>
      <c r="B862" s="38" t="s">
        <v>485</v>
      </c>
      <c r="C862" s="6"/>
      <c r="D862" s="1"/>
      <c r="E862" s="69"/>
      <c r="F862" s="58">
        <f aca="true" t="shared" si="288" ref="F862:G865">F863</f>
        <v>0</v>
      </c>
      <c r="G862" s="58">
        <f t="shared" si="288"/>
        <v>0</v>
      </c>
    </row>
    <row r="863" spans="1:7" ht="12.75" hidden="1">
      <c r="A863" s="55" t="str">
        <f ca="1">IF(ISERROR(MATCH(C863,Код_Раздел,0)),"",INDIRECT(ADDRESS(MATCH(C863,Код_Раздел,0)+1,2,,,"Раздел")))</f>
        <v>Национальная экономика</v>
      </c>
      <c r="B863" s="38" t="s">
        <v>485</v>
      </c>
      <c r="C863" s="6" t="s">
        <v>190</v>
      </c>
      <c r="D863" s="1"/>
      <c r="E863" s="69"/>
      <c r="F863" s="58">
        <f t="shared" si="288"/>
        <v>0</v>
      </c>
      <c r="G863" s="58">
        <f t="shared" si="288"/>
        <v>0</v>
      </c>
    </row>
    <row r="864" spans="1:7" ht="12.75" hidden="1">
      <c r="A864" s="87" t="s">
        <v>155</v>
      </c>
      <c r="B864" s="38" t="s">
        <v>485</v>
      </c>
      <c r="C864" s="6" t="s">
        <v>190</v>
      </c>
      <c r="D864" s="6" t="s">
        <v>193</v>
      </c>
      <c r="E864" s="69"/>
      <c r="F864" s="58">
        <f t="shared" si="288"/>
        <v>0</v>
      </c>
      <c r="G864" s="58">
        <f t="shared" si="288"/>
        <v>0</v>
      </c>
    </row>
    <row r="865" spans="1:7" ht="33" hidden="1">
      <c r="A865" s="55" t="str">
        <f ca="1">IF(ISERROR(MATCH(E865,Код_КВР,0)),"",INDIRECT(ADDRESS(MATCH(E865,Код_КВР,0)+1,2,,,"КВР")))</f>
        <v>Капитальные вложения в объекты недвижимого имущества муниципальной собственности</v>
      </c>
      <c r="B865" s="38" t="s">
        <v>485</v>
      </c>
      <c r="C865" s="6" t="s">
        <v>190</v>
      </c>
      <c r="D865" s="6" t="s">
        <v>193</v>
      </c>
      <c r="E865" s="69">
        <v>400</v>
      </c>
      <c r="F865" s="58">
        <f t="shared" si="288"/>
        <v>0</v>
      </c>
      <c r="G865" s="58">
        <f t="shared" si="288"/>
        <v>0</v>
      </c>
    </row>
    <row r="866" spans="1:7" ht="12.75" hidden="1">
      <c r="A866" s="55" t="str">
        <f ca="1">IF(ISERROR(MATCH(E866,Код_КВР,0)),"",INDIRECT(ADDRESS(MATCH(E866,Код_КВР,0)+1,2,,,"КВР")))</f>
        <v>Бюджетные инвестиции</v>
      </c>
      <c r="B866" s="38" t="s">
        <v>485</v>
      </c>
      <c r="C866" s="6" t="s">
        <v>190</v>
      </c>
      <c r="D866" s="6" t="s">
        <v>193</v>
      </c>
      <c r="E866" s="69">
        <v>410</v>
      </c>
      <c r="F866" s="58">
        <f>'прил.16'!G1034</f>
        <v>0</v>
      </c>
      <c r="G866" s="58">
        <f>'прил.16'!H1034</f>
        <v>0</v>
      </c>
    </row>
    <row r="867" spans="1:7" ht="33" hidden="1">
      <c r="A867" s="55" t="str">
        <f ca="1">IF(ISERROR(MATCH(B867,Код_КЦСР,0)),"",INDIRECT(ADDRESS(MATCH(B867,Код_КЦСР,0)+1,2,,,"КЦСР")))</f>
        <v>Строительство участков для многодетных семей. Внутриквартальные проезды.</v>
      </c>
      <c r="B867" s="38" t="s">
        <v>554</v>
      </c>
      <c r="C867" s="6"/>
      <c r="D867" s="1"/>
      <c r="E867" s="76"/>
      <c r="F867" s="58"/>
      <c r="G867" s="58"/>
    </row>
    <row r="868" spans="1:7" ht="12.75" hidden="1">
      <c r="A868" s="55" t="str">
        <f ca="1">IF(ISERROR(MATCH(C868,Код_Раздел,0)),"",INDIRECT(ADDRESS(MATCH(C868,Код_Раздел,0)+1,2,,,"Раздел")))</f>
        <v>Национальная экономика</v>
      </c>
      <c r="B868" s="38" t="s">
        <v>554</v>
      </c>
      <c r="C868" s="6" t="s">
        <v>190</v>
      </c>
      <c r="D868" s="1"/>
      <c r="E868" s="76"/>
      <c r="F868" s="58"/>
      <c r="G868" s="58"/>
    </row>
    <row r="869" spans="1:7" ht="12.75" hidden="1">
      <c r="A869" s="87" t="s">
        <v>155</v>
      </c>
      <c r="B869" s="38" t="s">
        <v>554</v>
      </c>
      <c r="C869" s="6" t="s">
        <v>190</v>
      </c>
      <c r="D869" s="6" t="s">
        <v>193</v>
      </c>
      <c r="E869" s="76"/>
      <c r="F869" s="58"/>
      <c r="G869" s="58"/>
    </row>
    <row r="870" spans="1:7" ht="33" hidden="1">
      <c r="A870" s="55" t="str">
        <f ca="1">IF(ISERROR(MATCH(E870,Код_КВР,0)),"",INDIRECT(ADDRESS(MATCH(E870,Код_КВР,0)+1,2,,,"КВР")))</f>
        <v>Капитальные вложения в объекты недвижимого имущества муниципальной собственности</v>
      </c>
      <c r="B870" s="38" t="s">
        <v>554</v>
      </c>
      <c r="C870" s="6" t="s">
        <v>190</v>
      </c>
      <c r="D870" s="6" t="s">
        <v>193</v>
      </c>
      <c r="E870" s="76">
        <v>400</v>
      </c>
      <c r="F870" s="58"/>
      <c r="G870" s="58"/>
    </row>
    <row r="871" spans="1:7" ht="12.75" hidden="1">
      <c r="A871" s="55" t="str">
        <f ca="1">IF(ISERROR(MATCH(E871,Код_КВР,0)),"",INDIRECT(ADDRESS(MATCH(E871,Код_КВР,0)+1,2,,,"КВР")))</f>
        <v>Бюджетные инвестиции</v>
      </c>
      <c r="B871" s="38" t="s">
        <v>554</v>
      </c>
      <c r="C871" s="6" t="s">
        <v>190</v>
      </c>
      <c r="D871" s="6" t="s">
        <v>193</v>
      </c>
      <c r="E871" s="76">
        <v>410</v>
      </c>
      <c r="F871" s="58"/>
      <c r="G871" s="58"/>
    </row>
    <row r="872" spans="1:7" ht="19.5" customHeight="1" hidden="1">
      <c r="A872" s="55" t="str">
        <f ca="1">IF(ISERROR(MATCH(B872,Код_КЦСР,0)),"",INDIRECT(ADDRESS(MATCH(B872,Код_КЦСР,0)+1,2,,,"КЦСР")))</f>
        <v>Строительство кладбища № 5</v>
      </c>
      <c r="B872" s="38" t="s">
        <v>555</v>
      </c>
      <c r="C872" s="6"/>
      <c r="D872" s="1"/>
      <c r="E872" s="76"/>
      <c r="F872" s="58">
        <f aca="true" t="shared" si="289" ref="F872:G875">F873</f>
        <v>0</v>
      </c>
      <c r="G872" s="58">
        <f t="shared" si="289"/>
        <v>0</v>
      </c>
    </row>
    <row r="873" spans="1:7" ht="12.75" hidden="1">
      <c r="A873" s="55" t="str">
        <f ca="1">IF(ISERROR(MATCH(C873,Код_Раздел,0)),"",INDIRECT(ADDRESS(MATCH(C873,Код_Раздел,0)+1,2,,,"Раздел")))</f>
        <v>Жилищно-коммунальное хозяйство</v>
      </c>
      <c r="B873" s="38" t="s">
        <v>555</v>
      </c>
      <c r="C873" s="6" t="s">
        <v>195</v>
      </c>
      <c r="D873" s="1"/>
      <c r="E873" s="76"/>
      <c r="F873" s="58">
        <f t="shared" si="289"/>
        <v>0</v>
      </c>
      <c r="G873" s="58">
        <f t="shared" si="289"/>
        <v>0</v>
      </c>
    </row>
    <row r="874" spans="1:7" ht="12.75" hidden="1">
      <c r="A874" s="10" t="s">
        <v>223</v>
      </c>
      <c r="B874" s="38" t="s">
        <v>555</v>
      </c>
      <c r="C874" s="6" t="s">
        <v>195</v>
      </c>
      <c r="D874" s="6" t="s">
        <v>188</v>
      </c>
      <c r="E874" s="76"/>
      <c r="F874" s="58">
        <f t="shared" si="289"/>
        <v>0</v>
      </c>
      <c r="G874" s="58">
        <f t="shared" si="289"/>
        <v>0</v>
      </c>
    </row>
    <row r="875" spans="1:7" ht="33" hidden="1">
      <c r="A875" s="55" t="str">
        <f ca="1">IF(ISERROR(MATCH(E875,Код_КВР,0)),"",INDIRECT(ADDRESS(MATCH(E875,Код_КВР,0)+1,2,,,"КВР")))</f>
        <v>Капитальные вложения в объекты недвижимого имущества муниципальной собственности</v>
      </c>
      <c r="B875" s="38" t="s">
        <v>555</v>
      </c>
      <c r="C875" s="6" t="s">
        <v>195</v>
      </c>
      <c r="D875" s="6" t="s">
        <v>188</v>
      </c>
      <c r="E875" s="76">
        <v>400</v>
      </c>
      <c r="F875" s="58">
        <f t="shared" si="289"/>
        <v>0</v>
      </c>
      <c r="G875" s="58">
        <f t="shared" si="289"/>
        <v>0</v>
      </c>
    </row>
    <row r="876" spans="1:7" ht="12.75" hidden="1">
      <c r="A876" s="55" t="str">
        <f ca="1">IF(ISERROR(MATCH(E876,Код_КВР,0)),"",INDIRECT(ADDRESS(MATCH(E876,Код_КВР,0)+1,2,,,"КВР")))</f>
        <v>Бюджетные инвестиции</v>
      </c>
      <c r="B876" s="38" t="s">
        <v>555</v>
      </c>
      <c r="C876" s="6" t="s">
        <v>195</v>
      </c>
      <c r="D876" s="6" t="s">
        <v>188</v>
      </c>
      <c r="E876" s="76">
        <v>410</v>
      </c>
      <c r="F876" s="58">
        <f>'прил.16'!G1091</f>
        <v>0</v>
      </c>
      <c r="G876" s="58">
        <f>'прил.16'!H1091</f>
        <v>0</v>
      </c>
    </row>
    <row r="877" spans="1:7" ht="12.75" hidden="1">
      <c r="A877" s="55" t="str">
        <f ca="1">IF(ISERROR(MATCH(B877,Код_КЦСР,0)),"",INDIRECT(ADDRESS(MATCH(B877,Код_КЦСР,0)+1,2,,,"КЦСР")))</f>
        <v>Капитальный ремонт объектов муниципальной собственности</v>
      </c>
      <c r="B877" s="31" t="s">
        <v>73</v>
      </c>
      <c r="C877" s="6"/>
      <c r="D877" s="1"/>
      <c r="E877" s="69"/>
      <c r="F877" s="58">
        <f aca="true" t="shared" si="290" ref="F877:G877">F882+F878</f>
        <v>0</v>
      </c>
      <c r="G877" s="58">
        <f t="shared" si="290"/>
        <v>0</v>
      </c>
    </row>
    <row r="878" spans="1:7" ht="12.75" hidden="1">
      <c r="A878" s="55" t="str">
        <f ca="1">IF(ISERROR(MATCH(C878,Код_Раздел,0)),"",INDIRECT(ADDRESS(MATCH(C878,Код_Раздел,0)+1,2,,,"Раздел")))</f>
        <v>Жилищно-коммунальное хозяйство</v>
      </c>
      <c r="B878" s="31" t="s">
        <v>73</v>
      </c>
      <c r="C878" s="6" t="s">
        <v>195</v>
      </c>
      <c r="D878" s="1"/>
      <c r="E878" s="69"/>
      <c r="F878" s="58">
        <f aca="true" t="shared" si="291" ref="F878:G880">F879</f>
        <v>0</v>
      </c>
      <c r="G878" s="58">
        <f t="shared" si="291"/>
        <v>0</v>
      </c>
    </row>
    <row r="879" spans="1:7" ht="12.75" hidden="1">
      <c r="A879" s="59" t="s">
        <v>200</v>
      </c>
      <c r="B879" s="31" t="s">
        <v>73</v>
      </c>
      <c r="C879" s="6" t="s">
        <v>195</v>
      </c>
      <c r="D879" s="1" t="s">
        <v>187</v>
      </c>
      <c r="E879" s="69"/>
      <c r="F879" s="58">
        <f t="shared" si="291"/>
        <v>0</v>
      </c>
      <c r="G879" s="58">
        <f t="shared" si="291"/>
        <v>0</v>
      </c>
    </row>
    <row r="880" spans="1:7" ht="12.75" hidden="1">
      <c r="A880" s="55" t="str">
        <f ca="1">IF(ISERROR(MATCH(E880,Код_КВР,0)),"",INDIRECT(ADDRESS(MATCH(E880,Код_КВР,0)+1,2,,,"КВР")))</f>
        <v>Закупка товаров, работ и услуг для муниципальных нужд</v>
      </c>
      <c r="B880" s="31" t="s">
        <v>73</v>
      </c>
      <c r="C880" s="6" t="s">
        <v>195</v>
      </c>
      <c r="D880" s="1" t="s">
        <v>187</v>
      </c>
      <c r="E880" s="69">
        <v>200</v>
      </c>
      <c r="F880" s="58">
        <f t="shared" si="291"/>
        <v>0</v>
      </c>
      <c r="G880" s="58">
        <f t="shared" si="291"/>
        <v>0</v>
      </c>
    </row>
    <row r="881" spans="1:7" ht="33" hidden="1">
      <c r="A881" s="55" t="str">
        <f ca="1">IF(ISERROR(MATCH(E881,Код_КВР,0)),"",INDIRECT(ADDRESS(MATCH(E881,Код_КВР,0)+1,2,,,"КВР")))</f>
        <v>Иные закупки товаров, работ и услуг для обеспечения муниципальных нужд</v>
      </c>
      <c r="B881" s="31" t="s">
        <v>73</v>
      </c>
      <c r="C881" s="6" t="s">
        <v>195</v>
      </c>
      <c r="D881" s="1" t="s">
        <v>187</v>
      </c>
      <c r="E881" s="69">
        <v>240</v>
      </c>
      <c r="F881" s="58">
        <f>'прил.16'!G1079</f>
        <v>0</v>
      </c>
      <c r="G881" s="58">
        <f>'прил.16'!H1079</f>
        <v>0</v>
      </c>
    </row>
    <row r="882" spans="1:7" ht="12.75" hidden="1">
      <c r="A882" s="55" t="str">
        <f ca="1">IF(ISERROR(MATCH(C882,Код_Раздел,0)),"",INDIRECT(ADDRESS(MATCH(C882,Код_Раздел,0)+1,2,,,"Раздел")))</f>
        <v>Образование</v>
      </c>
      <c r="B882" s="31" t="s">
        <v>73</v>
      </c>
      <c r="C882" s="6" t="s">
        <v>170</v>
      </c>
      <c r="D882" s="1"/>
      <c r="E882" s="76"/>
      <c r="F882" s="58">
        <f aca="true" t="shared" si="292" ref="F882:G882">F883</f>
        <v>0</v>
      </c>
      <c r="G882" s="58">
        <f t="shared" si="292"/>
        <v>0</v>
      </c>
    </row>
    <row r="883" spans="1:7" ht="12.75" hidden="1">
      <c r="A883" s="59" t="s">
        <v>228</v>
      </c>
      <c r="B883" s="31" t="s">
        <v>73</v>
      </c>
      <c r="C883" s="6" t="s">
        <v>170</v>
      </c>
      <c r="D883" s="1" t="s">
        <v>187</v>
      </c>
      <c r="E883" s="76"/>
      <c r="F883" s="58">
        <f aca="true" t="shared" si="293" ref="F883:G883">F884</f>
        <v>0</v>
      </c>
      <c r="G883" s="58">
        <f t="shared" si="293"/>
        <v>0</v>
      </c>
    </row>
    <row r="884" spans="1:7" ht="12.75" hidden="1">
      <c r="A884" s="55" t="str">
        <f ca="1">IF(ISERROR(MATCH(E884,Код_КВР,0)),"",INDIRECT(ADDRESS(MATCH(E884,Код_КВР,0)+1,2,,,"КВР")))</f>
        <v>Закупка товаров, работ и услуг для муниципальных нужд</v>
      </c>
      <c r="B884" s="31" t="s">
        <v>73</v>
      </c>
      <c r="C884" s="6" t="s">
        <v>170</v>
      </c>
      <c r="D884" s="1" t="s">
        <v>187</v>
      </c>
      <c r="E884" s="76">
        <v>200</v>
      </c>
      <c r="F884" s="58">
        <f aca="true" t="shared" si="294" ref="F884:G884">F885</f>
        <v>0</v>
      </c>
      <c r="G884" s="58">
        <f t="shared" si="294"/>
        <v>0</v>
      </c>
    </row>
    <row r="885" spans="1:7" ht="33" hidden="1">
      <c r="A885" s="55" t="str">
        <f ca="1">IF(ISERROR(MATCH(E885,Код_КВР,0)),"",INDIRECT(ADDRESS(MATCH(E885,Код_КВР,0)+1,2,,,"КВР")))</f>
        <v>Иные закупки товаров, работ и услуг для обеспечения муниципальных нужд</v>
      </c>
      <c r="B885" s="31" t="s">
        <v>73</v>
      </c>
      <c r="C885" s="6" t="s">
        <v>170</v>
      </c>
      <c r="D885" s="1" t="s">
        <v>187</v>
      </c>
      <c r="E885" s="76">
        <v>240</v>
      </c>
      <c r="F885" s="58">
        <f>'прил.16'!G1103</f>
        <v>0</v>
      </c>
      <c r="G885" s="58">
        <f>'прил.16'!H1103</f>
        <v>0</v>
      </c>
    </row>
    <row r="886" spans="1:7" ht="39" customHeight="1">
      <c r="A886" s="55" t="str">
        <f ca="1">IF(ISERROR(MATCH(B886,Код_КЦСР,0)),"",INDIRECT(ADDRESS(MATCH(B886,Код_КЦСР,0)+1,2,,,"КЦСР")))</f>
        <v xml:space="preserve">Обеспечение создания условий для реализации муниципальной программы </v>
      </c>
      <c r="B886" s="31" t="s">
        <v>74</v>
      </c>
      <c r="C886" s="6"/>
      <c r="D886" s="1"/>
      <c r="E886" s="69"/>
      <c r="F886" s="58">
        <f aca="true" t="shared" si="295" ref="F886:G887">F887</f>
        <v>52063.6</v>
      </c>
      <c r="G886" s="58">
        <f t="shared" si="295"/>
        <v>52113</v>
      </c>
    </row>
    <row r="887" spans="1:7" ht="19.5" customHeight="1">
      <c r="A887" s="55" t="str">
        <f ca="1">IF(ISERROR(MATCH(C887,Код_Раздел,0)),"",INDIRECT(ADDRESS(MATCH(C887,Код_Раздел,0)+1,2,,,"Раздел")))</f>
        <v>Национальная экономика</v>
      </c>
      <c r="B887" s="31" t="s">
        <v>74</v>
      </c>
      <c r="C887" s="6" t="s">
        <v>190</v>
      </c>
      <c r="D887" s="1"/>
      <c r="E887" s="69"/>
      <c r="F887" s="58">
        <f t="shared" si="295"/>
        <v>52063.6</v>
      </c>
      <c r="G887" s="58">
        <f t="shared" si="295"/>
        <v>52113</v>
      </c>
    </row>
    <row r="888" spans="1:7" ht="20.25" customHeight="1">
      <c r="A888" s="59" t="s">
        <v>197</v>
      </c>
      <c r="B888" s="31" t="s">
        <v>74</v>
      </c>
      <c r="C888" s="6" t="s">
        <v>190</v>
      </c>
      <c r="D888" s="6" t="s">
        <v>171</v>
      </c>
      <c r="E888" s="69"/>
      <c r="F888" s="58">
        <f>F889+F891+F893</f>
        <v>52063.6</v>
      </c>
      <c r="G888" s="58">
        <f>G889+G891+G893</f>
        <v>52113</v>
      </c>
    </row>
    <row r="889" spans="1:7" ht="40.5" customHeight="1">
      <c r="A889" s="55" t="str">
        <f aca="true" t="shared" si="296" ref="A889:A894">IF(ISERROR(MATCH(E889,Код_КВР,0)),"",INDIRECT(ADDRESS(MATCH(E889,Код_КВР,0)+1,2,,,"КВР")))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89" s="31" t="s">
        <v>74</v>
      </c>
      <c r="C889" s="6" t="s">
        <v>190</v>
      </c>
      <c r="D889" s="6" t="s">
        <v>171</v>
      </c>
      <c r="E889" s="69">
        <v>100</v>
      </c>
      <c r="F889" s="58">
        <f>F890</f>
        <v>48086.6</v>
      </c>
      <c r="G889" s="58">
        <f>G890</f>
        <v>48086.6</v>
      </c>
    </row>
    <row r="890" spans="1:7" ht="20.25" customHeight="1">
      <c r="A890" s="55" t="str">
        <f ca="1" t="shared" si="296"/>
        <v>Расходы на выплаты персоналу казенных учреждений</v>
      </c>
      <c r="B890" s="31" t="s">
        <v>74</v>
      </c>
      <c r="C890" s="6" t="s">
        <v>190</v>
      </c>
      <c r="D890" s="6" t="s">
        <v>171</v>
      </c>
      <c r="E890" s="69">
        <v>110</v>
      </c>
      <c r="F890" s="58">
        <f>'прил.16'!G1069</f>
        <v>48086.6</v>
      </c>
      <c r="G890" s="58">
        <f>'прил.16'!H1069</f>
        <v>48086.6</v>
      </c>
    </row>
    <row r="891" spans="1:7" ht="20.25" customHeight="1">
      <c r="A891" s="55" t="str">
        <f ca="1" t="shared" si="296"/>
        <v>Закупка товаров, работ и услуг для муниципальных нужд</v>
      </c>
      <c r="B891" s="31" t="s">
        <v>74</v>
      </c>
      <c r="C891" s="6" t="s">
        <v>190</v>
      </c>
      <c r="D891" s="6" t="s">
        <v>171</v>
      </c>
      <c r="E891" s="69">
        <v>200</v>
      </c>
      <c r="F891" s="58">
        <f>F892</f>
        <v>3292.5</v>
      </c>
      <c r="G891" s="58">
        <f>G892</f>
        <v>3341.9</v>
      </c>
    </row>
    <row r="892" spans="1:7" ht="33">
      <c r="A892" s="55" t="str">
        <f ca="1" t="shared" si="296"/>
        <v>Иные закупки товаров, работ и услуг для обеспечения муниципальных нужд</v>
      </c>
      <c r="B892" s="31" t="s">
        <v>74</v>
      </c>
      <c r="C892" s="6" t="s">
        <v>190</v>
      </c>
      <c r="D892" s="6" t="s">
        <v>171</v>
      </c>
      <c r="E892" s="69">
        <v>240</v>
      </c>
      <c r="F892" s="58">
        <f>'прил.16'!G1071</f>
        <v>3292.5</v>
      </c>
      <c r="G892" s="58">
        <f>'прил.16'!H1071</f>
        <v>3341.9</v>
      </c>
    </row>
    <row r="893" spans="1:7" ht="12.75">
      <c r="A893" s="55" t="str">
        <f ca="1" t="shared" si="296"/>
        <v>Иные бюджетные ассигнования</v>
      </c>
      <c r="B893" s="31" t="s">
        <v>74</v>
      </c>
      <c r="C893" s="6" t="s">
        <v>190</v>
      </c>
      <c r="D893" s="6" t="s">
        <v>171</v>
      </c>
      <c r="E893" s="69">
        <v>800</v>
      </c>
      <c r="F893" s="58">
        <f>F894</f>
        <v>684.5</v>
      </c>
      <c r="G893" s="58">
        <f>G894</f>
        <v>684.5</v>
      </c>
    </row>
    <row r="894" spans="1:7" ht="12.75">
      <c r="A894" s="55" t="str">
        <f ca="1" t="shared" si="296"/>
        <v>Уплата налогов, сборов и иных платежей</v>
      </c>
      <c r="B894" s="31" t="s">
        <v>74</v>
      </c>
      <c r="C894" s="6" t="s">
        <v>190</v>
      </c>
      <c r="D894" s="6" t="s">
        <v>171</v>
      </c>
      <c r="E894" s="69">
        <v>850</v>
      </c>
      <c r="F894" s="58">
        <f>'прил.16'!G1073</f>
        <v>684.5</v>
      </c>
      <c r="G894" s="58">
        <f>'прил.16'!H1073</f>
        <v>684.5</v>
      </c>
    </row>
    <row r="895" spans="1:7" ht="49.5">
      <c r="A895" s="55" t="str">
        <f ca="1">IF(ISERROR(MATCH(B895,Код_КЦСР,0)),"",INDIRECT(ADDRESS(MATCH(B895,Код_КЦСР,0)+1,2,,,"КЦСР")))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95" s="31" t="s">
        <v>75</v>
      </c>
      <c r="C895" s="6"/>
      <c r="D895" s="1"/>
      <c r="E895" s="69"/>
      <c r="F895" s="58">
        <f>F896+F980</f>
        <v>48711.80000000001</v>
      </c>
      <c r="G895" s="58">
        <f>G896+G980</f>
        <v>49964.600000000006</v>
      </c>
    </row>
    <row r="896" spans="1:7" ht="36" customHeight="1">
      <c r="A896" s="55" t="str">
        <f ca="1">IF(ISERROR(MATCH(B896,Код_КЦСР,0)),"",INDIRECT(ADDRESS(MATCH(B896,Код_КЦСР,0)+1,2,,,"КЦСР")))</f>
        <v>Обеспечение пожарной безопасности муниципальных учреждений города</v>
      </c>
      <c r="B896" s="31" t="s">
        <v>77</v>
      </c>
      <c r="C896" s="6"/>
      <c r="D896" s="1"/>
      <c r="E896" s="69"/>
      <c r="F896" s="58">
        <f>F897+F923+F913+F934+F944+F962+F975+F953</f>
        <v>2791.9</v>
      </c>
      <c r="G896" s="58">
        <f>G897+G923+G913+G934+G944+G962+G975+G953</f>
        <v>3999.9999999999995</v>
      </c>
    </row>
    <row r="897" spans="1:7" ht="49.5">
      <c r="A897" s="55" t="str">
        <f ca="1">IF(ISERROR(MATCH(B897,Код_КЦСР,0)),"",INDIRECT(ADDRESS(MATCH(B897,Код_КЦСР,0)+1,2,,,"КЦСР")))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97" s="31" t="s">
        <v>79</v>
      </c>
      <c r="C897" s="6"/>
      <c r="D897" s="1"/>
      <c r="E897" s="69"/>
      <c r="F897" s="58">
        <f aca="true" t="shared" si="297" ref="F897:G897">F898+F902+F909</f>
        <v>732</v>
      </c>
      <c r="G897" s="58">
        <f t="shared" si="297"/>
        <v>1522.6999999999998</v>
      </c>
    </row>
    <row r="898" spans="1:7" ht="27" customHeight="1">
      <c r="A898" s="55" t="str">
        <f ca="1">IF(ISERROR(MATCH(C898,Код_Раздел,0)),"",INDIRECT(ADDRESS(MATCH(C898,Код_Раздел,0)+1,2,,,"Раздел")))</f>
        <v>Национальная безопасность и правоохранительная  деятельность</v>
      </c>
      <c r="B898" s="31" t="s">
        <v>79</v>
      </c>
      <c r="C898" s="6" t="s">
        <v>189</v>
      </c>
      <c r="D898" s="1"/>
      <c r="E898" s="69"/>
      <c r="F898" s="58">
        <f aca="true" t="shared" si="298" ref="F898:G900">F899</f>
        <v>172</v>
      </c>
      <c r="G898" s="58">
        <f t="shared" si="298"/>
        <v>172</v>
      </c>
    </row>
    <row r="899" spans="1:7" ht="41.25" customHeight="1">
      <c r="A899" s="59" t="s">
        <v>231</v>
      </c>
      <c r="B899" s="31" t="s">
        <v>79</v>
      </c>
      <c r="C899" s="6" t="s">
        <v>189</v>
      </c>
      <c r="D899" s="1" t="s">
        <v>193</v>
      </c>
      <c r="E899" s="69"/>
      <c r="F899" s="58">
        <f t="shared" si="298"/>
        <v>172</v>
      </c>
      <c r="G899" s="58">
        <f t="shared" si="298"/>
        <v>172</v>
      </c>
    </row>
    <row r="900" spans="1:7" ht="18.75" customHeight="1">
      <c r="A900" s="55" t="str">
        <f ca="1">IF(ISERROR(MATCH(E900,Код_КВР,0)),"",INDIRECT(ADDRESS(MATCH(E900,Код_КВР,0)+1,2,,,"КВР")))</f>
        <v>Закупка товаров, работ и услуг для муниципальных нужд</v>
      </c>
      <c r="B900" s="31" t="s">
        <v>79</v>
      </c>
      <c r="C900" s="6" t="s">
        <v>189</v>
      </c>
      <c r="D900" s="1" t="s">
        <v>193</v>
      </c>
      <c r="E900" s="69">
        <v>200</v>
      </c>
      <c r="F900" s="58">
        <f t="shared" si="298"/>
        <v>172</v>
      </c>
      <c r="G900" s="58">
        <f t="shared" si="298"/>
        <v>172</v>
      </c>
    </row>
    <row r="901" spans="1:7" ht="33">
      <c r="A901" s="55" t="str">
        <f ca="1">IF(ISERROR(MATCH(E901,Код_КВР,0)),"",INDIRECT(ADDRESS(MATCH(E901,Код_КВР,0)+1,2,,,"КВР")))</f>
        <v>Иные закупки товаров, работ и услуг для обеспечения муниципальных нужд</v>
      </c>
      <c r="B901" s="31" t="s">
        <v>79</v>
      </c>
      <c r="C901" s="6" t="s">
        <v>189</v>
      </c>
      <c r="D901" s="1" t="s">
        <v>193</v>
      </c>
      <c r="E901" s="69">
        <v>240</v>
      </c>
      <c r="F901" s="58">
        <f>'прил.16'!G164</f>
        <v>172</v>
      </c>
      <c r="G901" s="58">
        <f>'прил.16'!H164</f>
        <v>172</v>
      </c>
    </row>
    <row r="902" spans="1:7" ht="23.25" customHeight="1">
      <c r="A902" s="55" t="str">
        <f ca="1">IF(ISERROR(MATCH(C902,Код_Раздел,0)),"",INDIRECT(ADDRESS(MATCH(C902,Код_Раздел,0)+1,2,,,"Раздел")))</f>
        <v>Образование</v>
      </c>
      <c r="B902" s="31" t="s">
        <v>79</v>
      </c>
      <c r="C902" s="6" t="s">
        <v>170</v>
      </c>
      <c r="D902" s="1"/>
      <c r="E902" s="69"/>
      <c r="F902" s="58">
        <f>F903</f>
        <v>560</v>
      </c>
      <c r="G902" s="58">
        <f>G903</f>
        <v>1003.0999999999999</v>
      </c>
    </row>
    <row r="903" spans="1:7" ht="20.25" customHeight="1">
      <c r="A903" s="59" t="s">
        <v>221</v>
      </c>
      <c r="B903" s="31" t="s">
        <v>79</v>
      </c>
      <c r="C903" s="6" t="s">
        <v>170</v>
      </c>
      <c r="D903" s="1" t="s">
        <v>193</v>
      </c>
      <c r="E903" s="69"/>
      <c r="F903" s="58">
        <f>F904+F906</f>
        <v>560</v>
      </c>
      <c r="G903" s="58">
        <f>G904+G906</f>
        <v>1003.0999999999999</v>
      </c>
    </row>
    <row r="904" spans="1:7" ht="12.75" hidden="1">
      <c r="A904" s="55" t="str">
        <f aca="true" t="shared" si="299" ref="A904:A908">IF(ISERROR(MATCH(E904,Код_КВР,0)),"",INDIRECT(ADDRESS(MATCH(E904,Код_КВР,0)+1,2,,,"КВР")))</f>
        <v>Закупка товаров, работ и услуг для муниципальных нужд</v>
      </c>
      <c r="B904" s="31" t="s">
        <v>79</v>
      </c>
      <c r="C904" s="6" t="s">
        <v>170</v>
      </c>
      <c r="D904" s="1" t="s">
        <v>193</v>
      </c>
      <c r="E904" s="69">
        <v>200</v>
      </c>
      <c r="F904" s="58">
        <f>F905</f>
        <v>0</v>
      </c>
      <c r="G904" s="58">
        <f>G905</f>
        <v>0</v>
      </c>
    </row>
    <row r="905" spans="1:7" ht="33" hidden="1">
      <c r="A905" s="55" t="str">
        <f ca="1" t="shared" si="299"/>
        <v>Иные закупки товаров, работ и услуг для обеспечения муниципальных нужд</v>
      </c>
      <c r="B905" s="31" t="s">
        <v>79</v>
      </c>
      <c r="C905" s="6" t="s">
        <v>170</v>
      </c>
      <c r="D905" s="1" t="s">
        <v>193</v>
      </c>
      <c r="E905" s="69">
        <v>240</v>
      </c>
      <c r="F905" s="58"/>
      <c r="G905" s="58"/>
    </row>
    <row r="906" spans="1:7" ht="40.5" customHeight="1">
      <c r="A906" s="55" t="str">
        <f ca="1" t="shared" si="299"/>
        <v>Предоставление субсидий бюджетным, автономным учреждениям и иным некоммерческим организациям</v>
      </c>
      <c r="B906" s="31" t="s">
        <v>79</v>
      </c>
      <c r="C906" s="6" t="s">
        <v>170</v>
      </c>
      <c r="D906" s="1" t="s">
        <v>193</v>
      </c>
      <c r="E906" s="69">
        <v>600</v>
      </c>
      <c r="F906" s="58">
        <f>F907+F908</f>
        <v>560</v>
      </c>
      <c r="G906" s="58">
        <f>G907+G908</f>
        <v>1003.0999999999999</v>
      </c>
    </row>
    <row r="907" spans="1:7" ht="12.75">
      <c r="A907" s="55" t="str">
        <f ca="1" t="shared" si="299"/>
        <v>Субсидии бюджетным учреждениям</v>
      </c>
      <c r="B907" s="31" t="s">
        <v>79</v>
      </c>
      <c r="C907" s="6" t="s">
        <v>170</v>
      </c>
      <c r="D907" s="1" t="s">
        <v>193</v>
      </c>
      <c r="E907" s="69">
        <v>610</v>
      </c>
      <c r="F907" s="58">
        <f>'прил.16'!G849+'прил.16'!G595</f>
        <v>560</v>
      </c>
      <c r="G907" s="58">
        <f>'прил.16'!H849+'прил.16'!H595</f>
        <v>948.6999999999999</v>
      </c>
    </row>
    <row r="908" spans="1:7" ht="12.75">
      <c r="A908" s="55" t="str">
        <f ca="1" t="shared" si="299"/>
        <v>Субсидии автономным учреждениям</v>
      </c>
      <c r="B908" s="31" t="s">
        <v>79</v>
      </c>
      <c r="C908" s="6" t="s">
        <v>170</v>
      </c>
      <c r="D908" s="1" t="s">
        <v>193</v>
      </c>
      <c r="E908" s="69">
        <v>620</v>
      </c>
      <c r="F908" s="58">
        <f>'прил.16'!G850</f>
        <v>0</v>
      </c>
      <c r="G908" s="58">
        <f>'прил.16'!H850</f>
        <v>54.4</v>
      </c>
    </row>
    <row r="909" spans="1:7" ht="12.75">
      <c r="A909" s="55" t="str">
        <f ca="1">IF(ISERROR(MATCH(C909,Код_Раздел,0)),"",INDIRECT(ADDRESS(MATCH(C909,Код_Раздел,0)+1,2,,,"Раздел")))</f>
        <v>Культура, кинематография</v>
      </c>
      <c r="B909" s="31" t="s">
        <v>79</v>
      </c>
      <c r="C909" s="6" t="s">
        <v>196</v>
      </c>
      <c r="D909" s="1"/>
      <c r="E909" s="69"/>
      <c r="F909" s="58">
        <f aca="true" t="shared" si="300" ref="F909:G911">F910</f>
        <v>0</v>
      </c>
      <c r="G909" s="58">
        <f t="shared" si="300"/>
        <v>347.6</v>
      </c>
    </row>
    <row r="910" spans="1:7" ht="12.75">
      <c r="A910" s="59" t="s">
        <v>139</v>
      </c>
      <c r="B910" s="31" t="s">
        <v>79</v>
      </c>
      <c r="C910" s="6" t="s">
        <v>196</v>
      </c>
      <c r="D910" s="1" t="s">
        <v>190</v>
      </c>
      <c r="E910" s="69"/>
      <c r="F910" s="58">
        <f t="shared" si="300"/>
        <v>0</v>
      </c>
      <c r="G910" s="58">
        <f t="shared" si="300"/>
        <v>347.6</v>
      </c>
    </row>
    <row r="911" spans="1:7" ht="33">
      <c r="A911" s="55" t="str">
        <f ca="1">IF(ISERROR(MATCH(E911,Код_КВР,0)),"",INDIRECT(ADDRESS(MATCH(E911,Код_КВР,0)+1,2,,,"КВР")))</f>
        <v>Предоставление субсидий бюджетным, автономным учреждениям и иным некоммерческим организациям</v>
      </c>
      <c r="B911" s="31" t="s">
        <v>79</v>
      </c>
      <c r="C911" s="6" t="s">
        <v>196</v>
      </c>
      <c r="D911" s="1" t="s">
        <v>190</v>
      </c>
      <c r="E911" s="69">
        <v>600</v>
      </c>
      <c r="F911" s="58">
        <f t="shared" si="300"/>
        <v>0</v>
      </c>
      <c r="G911" s="58">
        <f t="shared" si="300"/>
        <v>347.6</v>
      </c>
    </row>
    <row r="912" spans="1:7" ht="12.75">
      <c r="A912" s="55" t="str">
        <f ca="1">IF(ISERROR(MATCH(E912,Код_КВР,0)),"",INDIRECT(ADDRESS(MATCH(E912,Код_КВР,0)+1,2,,,"КВР")))</f>
        <v>Субсидии бюджетным учреждениям</v>
      </c>
      <c r="B912" s="31" t="s">
        <v>79</v>
      </c>
      <c r="C912" s="6" t="s">
        <v>196</v>
      </c>
      <c r="D912" s="1" t="s">
        <v>190</v>
      </c>
      <c r="E912" s="69">
        <v>610</v>
      </c>
      <c r="F912" s="58">
        <f>'прил.16'!G815</f>
        <v>0</v>
      </c>
      <c r="G912" s="58">
        <f>'прил.16'!H815</f>
        <v>347.6</v>
      </c>
    </row>
    <row r="913" spans="1:7" ht="39.95" customHeight="1">
      <c r="A913" s="55" t="str">
        <f ca="1">IF(ISERROR(MATCH(B913,Код_КЦСР,0)),"",INDIRECT(ADDRESS(MATCH(B913,Код_КЦСР,0)+1,2,,,"КЦСР")))</f>
        <v>Приобретение первичных средств пожаротушения, перезарядка огнетушителей</v>
      </c>
      <c r="B913" s="31" t="s">
        <v>81</v>
      </c>
      <c r="C913" s="6"/>
      <c r="D913" s="1"/>
      <c r="E913" s="75"/>
      <c r="F913" s="58">
        <f>F914+F919</f>
        <v>2.8</v>
      </c>
      <c r="G913" s="58">
        <f>G914+G919</f>
        <v>58.2</v>
      </c>
    </row>
    <row r="914" spans="1:7" ht="12.75">
      <c r="A914" s="55" t="str">
        <f ca="1">IF(ISERROR(MATCH(C914,Код_Раздел,0)),"",INDIRECT(ADDRESS(MATCH(C914,Код_Раздел,0)+1,2,,,"Раздел")))</f>
        <v>Образование</v>
      </c>
      <c r="B914" s="31" t="s">
        <v>81</v>
      </c>
      <c r="C914" s="6" t="s">
        <v>170</v>
      </c>
      <c r="D914" s="1"/>
      <c r="E914" s="75"/>
      <c r="F914" s="58">
        <f aca="true" t="shared" si="301" ref="F914:G914">F915</f>
        <v>0</v>
      </c>
      <c r="G914" s="58">
        <f t="shared" si="301"/>
        <v>58.2</v>
      </c>
    </row>
    <row r="915" spans="1:7" ht="12.75">
      <c r="A915" s="59" t="s">
        <v>221</v>
      </c>
      <c r="B915" s="31" t="s">
        <v>81</v>
      </c>
      <c r="C915" s="6" t="s">
        <v>170</v>
      </c>
      <c r="D915" s="1" t="s">
        <v>193</v>
      </c>
      <c r="E915" s="75"/>
      <c r="F915" s="58">
        <f aca="true" t="shared" si="302" ref="F915:G915">F916</f>
        <v>0</v>
      </c>
      <c r="G915" s="58">
        <f t="shared" si="302"/>
        <v>58.2</v>
      </c>
    </row>
    <row r="916" spans="1:7" ht="33">
      <c r="A916" s="55" t="str">
        <f ca="1">IF(ISERROR(MATCH(E916,Код_КВР,0)),"",INDIRECT(ADDRESS(MATCH(E916,Код_КВР,0)+1,2,,,"КВР")))</f>
        <v>Предоставление субсидий бюджетным, автономным учреждениям и иным некоммерческим организациям</v>
      </c>
      <c r="B916" s="31" t="s">
        <v>81</v>
      </c>
      <c r="C916" s="6" t="s">
        <v>170</v>
      </c>
      <c r="D916" s="1" t="s">
        <v>193</v>
      </c>
      <c r="E916" s="75">
        <v>600</v>
      </c>
      <c r="F916" s="58">
        <f aca="true" t="shared" si="303" ref="F916:G916">SUM(F917:F918)</f>
        <v>0</v>
      </c>
      <c r="G916" s="58">
        <f t="shared" si="303"/>
        <v>58.2</v>
      </c>
    </row>
    <row r="917" spans="1:7" ht="12.75">
      <c r="A917" s="55" t="str">
        <f ca="1">IF(ISERROR(MATCH(E917,Код_КВР,0)),"",INDIRECT(ADDRESS(MATCH(E917,Код_КВР,0)+1,2,,,"КВР")))</f>
        <v>Субсидии бюджетным учреждениям</v>
      </c>
      <c r="B917" s="31" t="s">
        <v>81</v>
      </c>
      <c r="C917" s="6" t="s">
        <v>170</v>
      </c>
      <c r="D917" s="1" t="s">
        <v>193</v>
      </c>
      <c r="E917" s="75">
        <v>610</v>
      </c>
      <c r="F917" s="58">
        <f>'прил.16'!G853+'прил.16'!G598</f>
        <v>0</v>
      </c>
      <c r="G917" s="58">
        <f>'прил.16'!H853+'прил.16'!H598</f>
        <v>43.2</v>
      </c>
    </row>
    <row r="918" spans="1:7" ht="12.75">
      <c r="A918" s="55" t="str">
        <f ca="1">IF(ISERROR(MATCH(E918,Код_КВР,0)),"",INDIRECT(ADDRESS(MATCH(E918,Код_КВР,0)+1,2,,,"КВР")))</f>
        <v>Субсидии автономным учреждениям</v>
      </c>
      <c r="B918" s="31" t="s">
        <v>81</v>
      </c>
      <c r="C918" s="6" t="s">
        <v>170</v>
      </c>
      <c r="D918" s="1" t="s">
        <v>193</v>
      </c>
      <c r="E918" s="75">
        <v>620</v>
      </c>
      <c r="F918" s="58">
        <f>'прил.16'!G854</f>
        <v>0</v>
      </c>
      <c r="G918" s="58">
        <f>'прил.16'!H854</f>
        <v>15</v>
      </c>
    </row>
    <row r="919" spans="1:7" ht="12.75">
      <c r="A919" s="55" t="str">
        <f ca="1">IF(ISERROR(MATCH(C919,Код_Раздел,0)),"",INDIRECT(ADDRESS(MATCH(C919,Код_Раздел,0)+1,2,,,"Раздел")))</f>
        <v>Культура, кинематография</v>
      </c>
      <c r="B919" s="31" t="s">
        <v>81</v>
      </c>
      <c r="C919" s="6" t="s">
        <v>196</v>
      </c>
      <c r="D919" s="1"/>
      <c r="E919" s="79"/>
      <c r="F919" s="58">
        <f aca="true" t="shared" si="304" ref="F919:G921">F920</f>
        <v>2.8</v>
      </c>
      <c r="G919" s="58">
        <f t="shared" si="304"/>
        <v>0</v>
      </c>
    </row>
    <row r="920" spans="1:7" ht="12.75">
      <c r="A920" s="59" t="s">
        <v>139</v>
      </c>
      <c r="B920" s="31" t="s">
        <v>81</v>
      </c>
      <c r="C920" s="6" t="s">
        <v>196</v>
      </c>
      <c r="D920" s="1" t="s">
        <v>190</v>
      </c>
      <c r="E920" s="79"/>
      <c r="F920" s="58">
        <f t="shared" si="304"/>
        <v>2.8</v>
      </c>
      <c r="G920" s="58">
        <f t="shared" si="304"/>
        <v>0</v>
      </c>
    </row>
    <row r="921" spans="1:7" ht="33">
      <c r="A921" s="55" t="str">
        <f ca="1">IF(ISERROR(MATCH(E921,Код_КВР,0)),"",INDIRECT(ADDRESS(MATCH(E921,Код_КВР,0)+1,2,,,"КВР")))</f>
        <v>Предоставление субсидий бюджетным, автономным учреждениям и иным некоммерческим организациям</v>
      </c>
      <c r="B921" s="31" t="s">
        <v>81</v>
      </c>
      <c r="C921" s="6" t="s">
        <v>196</v>
      </c>
      <c r="D921" s="1" t="s">
        <v>190</v>
      </c>
      <c r="E921" s="79">
        <v>600</v>
      </c>
      <c r="F921" s="58">
        <f t="shared" si="304"/>
        <v>2.8</v>
      </c>
      <c r="G921" s="58">
        <f t="shared" si="304"/>
        <v>0</v>
      </c>
    </row>
    <row r="922" spans="1:7" ht="18.75" customHeight="1">
      <c r="A922" s="55" t="str">
        <f ca="1">IF(ISERROR(MATCH(E922,Код_КВР,0)),"",INDIRECT(ADDRESS(MATCH(E922,Код_КВР,0)+1,2,,,"КВР")))</f>
        <v>Субсидии бюджетным учреждениям</v>
      </c>
      <c r="B922" s="31" t="s">
        <v>81</v>
      </c>
      <c r="C922" s="6" t="s">
        <v>196</v>
      </c>
      <c r="D922" s="1" t="s">
        <v>190</v>
      </c>
      <c r="E922" s="79">
        <v>610</v>
      </c>
      <c r="F922" s="58">
        <f>'прил.16'!G818</f>
        <v>2.8</v>
      </c>
      <c r="G922" s="58">
        <f>'прил.16'!H818</f>
        <v>0</v>
      </c>
    </row>
    <row r="923" spans="1:7" ht="18.75" customHeight="1">
      <c r="A923" s="55" t="str">
        <f ca="1">IF(ISERROR(MATCH(B923,Код_КЦСР,0)),"",INDIRECT(ADDRESS(MATCH(B923,Код_КЦСР,0)+1,2,,,"КЦСР")))</f>
        <v>Ремонт и оборудование эвакуационных путей  зданий</v>
      </c>
      <c r="B923" s="31" t="s">
        <v>83</v>
      </c>
      <c r="C923" s="6"/>
      <c r="D923" s="1"/>
      <c r="E923" s="69"/>
      <c r="F923" s="58">
        <f>F924+F929</f>
        <v>1996.1</v>
      </c>
      <c r="G923" s="58">
        <f>G924+G929</f>
        <v>1625</v>
      </c>
    </row>
    <row r="924" spans="1:7" ht="18.75" customHeight="1">
      <c r="A924" s="55" t="str">
        <f ca="1">IF(ISERROR(MATCH(C924,Код_Раздел,0)),"",INDIRECT(ADDRESS(MATCH(C924,Код_Раздел,0)+1,2,,,"Раздел")))</f>
        <v>Образование</v>
      </c>
      <c r="B924" s="31" t="s">
        <v>83</v>
      </c>
      <c r="C924" s="6" t="s">
        <v>170</v>
      </c>
      <c r="D924" s="1"/>
      <c r="E924" s="69"/>
      <c r="F924" s="58">
        <f aca="true" t="shared" si="305" ref="F924:G925">F925</f>
        <v>1350</v>
      </c>
      <c r="G924" s="58">
        <f t="shared" si="305"/>
        <v>1625</v>
      </c>
    </row>
    <row r="925" spans="1:7" ht="18.75" customHeight="1">
      <c r="A925" s="59" t="s">
        <v>221</v>
      </c>
      <c r="B925" s="31" t="s">
        <v>83</v>
      </c>
      <c r="C925" s="6" t="s">
        <v>170</v>
      </c>
      <c r="D925" s="1" t="s">
        <v>193</v>
      </c>
      <c r="E925" s="69"/>
      <c r="F925" s="58">
        <f t="shared" si="305"/>
        <v>1350</v>
      </c>
      <c r="G925" s="58">
        <f t="shared" si="305"/>
        <v>1625</v>
      </c>
    </row>
    <row r="926" spans="1:7" ht="33" customHeight="1">
      <c r="A926" s="55" t="str">
        <f ca="1">IF(ISERROR(MATCH(E926,Код_КВР,0)),"",INDIRECT(ADDRESS(MATCH(E926,Код_КВР,0)+1,2,,,"КВР")))</f>
        <v>Предоставление субсидий бюджетным, автономным учреждениям и иным некоммерческим организациям</v>
      </c>
      <c r="B926" s="31" t="s">
        <v>83</v>
      </c>
      <c r="C926" s="6" t="s">
        <v>170</v>
      </c>
      <c r="D926" s="1" t="s">
        <v>193</v>
      </c>
      <c r="E926" s="69">
        <v>600</v>
      </c>
      <c r="F926" s="58">
        <f>F927+F928</f>
        <v>1350</v>
      </c>
      <c r="G926" s="58">
        <f>G927+G928</f>
        <v>1625</v>
      </c>
    </row>
    <row r="927" spans="1:7" ht="18.75" customHeight="1">
      <c r="A927" s="55" t="str">
        <f ca="1">IF(ISERROR(MATCH(E927,Код_КВР,0)),"",INDIRECT(ADDRESS(MATCH(E927,Код_КВР,0)+1,2,,,"КВР")))</f>
        <v>Субсидии бюджетным учреждениям</v>
      </c>
      <c r="B927" s="31" t="s">
        <v>83</v>
      </c>
      <c r="C927" s="6" t="s">
        <v>170</v>
      </c>
      <c r="D927" s="1" t="s">
        <v>193</v>
      </c>
      <c r="E927" s="69">
        <v>610</v>
      </c>
      <c r="F927" s="58">
        <f>F928+'прил.16'!G601</f>
        <v>1350</v>
      </c>
      <c r="G927" s="58">
        <f>G928+'прил.16'!H601</f>
        <v>1625</v>
      </c>
    </row>
    <row r="928" spans="1:7" ht="18.75" customHeight="1">
      <c r="A928" s="55" t="str">
        <f ca="1">IF(ISERROR(MATCH(E928,Код_КВР,0)),"",INDIRECT(ADDRESS(MATCH(E928,Код_КВР,0)+1,2,,,"КВР")))</f>
        <v>Субсидии автономным учреждениям</v>
      </c>
      <c r="B928" s="31" t="s">
        <v>83</v>
      </c>
      <c r="C928" s="6" t="s">
        <v>170</v>
      </c>
      <c r="D928" s="1" t="s">
        <v>193</v>
      </c>
      <c r="E928" s="69">
        <v>620</v>
      </c>
      <c r="F928" s="58"/>
      <c r="G928" s="58"/>
    </row>
    <row r="929" spans="1:7" ht="18.75" customHeight="1">
      <c r="A929" s="55" t="str">
        <f ca="1">IF(ISERROR(MATCH(C929,Код_Раздел,0)),"",INDIRECT(ADDRESS(MATCH(C929,Код_Раздел,0)+1,2,,,"Раздел")))</f>
        <v>Культура, кинематография</v>
      </c>
      <c r="B929" s="31" t="s">
        <v>83</v>
      </c>
      <c r="C929" s="6" t="s">
        <v>196</v>
      </c>
      <c r="D929" s="1"/>
      <c r="E929" s="69"/>
      <c r="F929" s="58">
        <f aca="true" t="shared" si="306" ref="F929:G930">F930</f>
        <v>646.1</v>
      </c>
      <c r="G929" s="58">
        <f t="shared" si="306"/>
        <v>0</v>
      </c>
    </row>
    <row r="930" spans="1:7" ht="24.75" customHeight="1">
      <c r="A930" s="59" t="s">
        <v>139</v>
      </c>
      <c r="B930" s="31" t="s">
        <v>83</v>
      </c>
      <c r="C930" s="6" t="s">
        <v>196</v>
      </c>
      <c r="D930" s="1" t="s">
        <v>190</v>
      </c>
      <c r="E930" s="69"/>
      <c r="F930" s="58">
        <f t="shared" si="306"/>
        <v>646.1</v>
      </c>
      <c r="G930" s="58">
        <f t="shared" si="306"/>
        <v>0</v>
      </c>
    </row>
    <row r="931" spans="1:7" ht="36.75" customHeight="1">
      <c r="A931" s="55" t="str">
        <f ca="1">IF(ISERROR(MATCH(E931,Код_КВР,0)),"",INDIRECT(ADDRESS(MATCH(E931,Код_КВР,0)+1,2,,,"КВР")))</f>
        <v>Предоставление субсидий бюджетным, автономным учреждениям и иным некоммерческим организациям</v>
      </c>
      <c r="B931" s="31" t="s">
        <v>83</v>
      </c>
      <c r="C931" s="6" t="s">
        <v>196</v>
      </c>
      <c r="D931" s="1" t="s">
        <v>190</v>
      </c>
      <c r="E931" s="69">
        <v>600</v>
      </c>
      <c r="F931" s="58">
        <f>F932+F933</f>
        <v>646.1</v>
      </c>
      <c r="G931" s="58">
        <f>G932+G933</f>
        <v>0</v>
      </c>
    </row>
    <row r="932" spans="1:7" ht="18.75" customHeight="1">
      <c r="A932" s="55" t="str">
        <f ca="1">IF(ISERROR(MATCH(E932,Код_КВР,0)),"",INDIRECT(ADDRESS(MATCH(E932,Код_КВР,0)+1,2,,,"КВР")))</f>
        <v>Субсидии бюджетным учреждениям</v>
      </c>
      <c r="B932" s="31" t="s">
        <v>83</v>
      </c>
      <c r="C932" s="6" t="s">
        <v>196</v>
      </c>
      <c r="D932" s="1" t="s">
        <v>190</v>
      </c>
      <c r="E932" s="69">
        <v>610</v>
      </c>
      <c r="F932" s="58">
        <f>'прил.16'!G821</f>
        <v>646.1</v>
      </c>
      <c r="G932" s="58">
        <f>'прил.16'!H821</f>
        <v>0</v>
      </c>
    </row>
    <row r="933" spans="1:7" ht="18.75" customHeight="1" hidden="1">
      <c r="A933" s="55" t="str">
        <f ca="1">IF(ISERROR(MATCH(E933,Код_КВР,0)),"",INDIRECT(ADDRESS(MATCH(E933,Код_КВР,0)+1,2,,,"КВР")))</f>
        <v>Субсидии автономным учреждениям</v>
      </c>
      <c r="B933" s="31" t="s">
        <v>83</v>
      </c>
      <c r="C933" s="6" t="s">
        <v>196</v>
      </c>
      <c r="D933" s="1" t="s">
        <v>190</v>
      </c>
      <c r="E933" s="69">
        <v>620</v>
      </c>
      <c r="F933" s="58"/>
      <c r="G933" s="58"/>
    </row>
    <row r="934" spans="1:7" ht="18" customHeight="1">
      <c r="A934" s="55" t="str">
        <f ca="1">IF(ISERROR(MATCH(B934,Код_КЦСР,0)),"",INDIRECT(ADDRESS(MATCH(B934,Код_КЦСР,0)+1,2,,,"КЦСР")))</f>
        <v>Ремонт и обслуживание электрооборудования зданий</v>
      </c>
      <c r="B934" s="31" t="s">
        <v>85</v>
      </c>
      <c r="C934" s="6"/>
      <c r="D934" s="1"/>
      <c r="E934" s="75"/>
      <c r="F934" s="58">
        <f>F935+F940</f>
        <v>0</v>
      </c>
      <c r="G934" s="58">
        <f>G935+G940</f>
        <v>548.0999999999999</v>
      </c>
    </row>
    <row r="935" spans="1:7" ht="18.75" customHeight="1">
      <c r="A935" s="55" t="str">
        <f ca="1">IF(ISERROR(MATCH(C935,Код_Раздел,0)),"",INDIRECT(ADDRESS(MATCH(C935,Код_Раздел,0)+1,2,,,"Раздел")))</f>
        <v>Образование</v>
      </c>
      <c r="B935" s="31" t="s">
        <v>85</v>
      </c>
      <c r="C935" s="6" t="s">
        <v>170</v>
      </c>
      <c r="D935" s="1"/>
      <c r="E935" s="75"/>
      <c r="F935" s="58">
        <f aca="true" t="shared" si="307" ref="F935:G935">F936</f>
        <v>0</v>
      </c>
      <c r="G935" s="58">
        <f t="shared" si="307"/>
        <v>431.79999999999995</v>
      </c>
    </row>
    <row r="936" spans="1:7" ht="18.75" customHeight="1">
      <c r="A936" s="59" t="s">
        <v>221</v>
      </c>
      <c r="B936" s="31" t="s">
        <v>85</v>
      </c>
      <c r="C936" s="6" t="s">
        <v>170</v>
      </c>
      <c r="D936" s="1" t="s">
        <v>193</v>
      </c>
      <c r="E936" s="75"/>
      <c r="F936" s="58">
        <f aca="true" t="shared" si="308" ref="F936:G936">F937</f>
        <v>0</v>
      </c>
      <c r="G936" s="58">
        <f t="shared" si="308"/>
        <v>431.79999999999995</v>
      </c>
    </row>
    <row r="937" spans="1:7" ht="40.5" customHeight="1">
      <c r="A937" s="55" t="str">
        <f ca="1">IF(ISERROR(MATCH(E937,Код_КВР,0)),"",INDIRECT(ADDRESS(MATCH(E937,Код_КВР,0)+1,2,,,"КВР")))</f>
        <v>Предоставление субсидий бюджетным, автономным учреждениям и иным некоммерческим организациям</v>
      </c>
      <c r="B937" s="31" t="s">
        <v>85</v>
      </c>
      <c r="C937" s="6" t="s">
        <v>170</v>
      </c>
      <c r="D937" s="1" t="s">
        <v>193</v>
      </c>
      <c r="E937" s="75">
        <v>600</v>
      </c>
      <c r="F937" s="58">
        <f aca="true" t="shared" si="309" ref="F937:G937">SUM(F938:F939)</f>
        <v>0</v>
      </c>
      <c r="G937" s="58">
        <f t="shared" si="309"/>
        <v>431.79999999999995</v>
      </c>
    </row>
    <row r="938" spans="1:7" ht="18.75" customHeight="1">
      <c r="A938" s="55" t="str">
        <f ca="1">IF(ISERROR(MATCH(E938,Код_КВР,0)),"",INDIRECT(ADDRESS(MATCH(E938,Код_КВР,0)+1,2,,,"КВР")))</f>
        <v>Субсидии бюджетным учреждениям</v>
      </c>
      <c r="B938" s="31" t="s">
        <v>85</v>
      </c>
      <c r="C938" s="6" t="s">
        <v>170</v>
      </c>
      <c r="D938" s="1" t="s">
        <v>193</v>
      </c>
      <c r="E938" s="75">
        <v>610</v>
      </c>
      <c r="F938" s="58">
        <f>'прил.16'!G861+'прил.16'!G607</f>
        <v>0</v>
      </c>
      <c r="G938" s="58">
        <f>'прил.16'!H861+'прил.16'!H604</f>
        <v>401.9</v>
      </c>
    </row>
    <row r="939" spans="1:7" ht="18.75" customHeight="1">
      <c r="A939" s="55" t="str">
        <f ca="1">IF(ISERROR(MATCH(E939,Код_КВР,0)),"",INDIRECT(ADDRESS(MATCH(E939,Код_КВР,0)+1,2,,,"КВР")))</f>
        <v>Субсидии автономным учреждениям</v>
      </c>
      <c r="B939" s="31" t="s">
        <v>85</v>
      </c>
      <c r="C939" s="6" t="s">
        <v>170</v>
      </c>
      <c r="D939" s="1" t="s">
        <v>193</v>
      </c>
      <c r="E939" s="75">
        <v>620</v>
      </c>
      <c r="F939" s="58">
        <f>'прил.16'!G862</f>
        <v>0</v>
      </c>
      <c r="G939" s="58">
        <f>'прил.16'!H862</f>
        <v>29.9</v>
      </c>
    </row>
    <row r="940" spans="1:7" ht="18.75" customHeight="1">
      <c r="A940" s="55" t="str">
        <f ca="1">IF(ISERROR(MATCH(C940,Код_Раздел,0)),"",INDIRECT(ADDRESS(MATCH(C940,Код_Раздел,0)+1,2,,,"Раздел")))</f>
        <v>Культура, кинематография</v>
      </c>
      <c r="B940" s="31" t="s">
        <v>85</v>
      </c>
      <c r="C940" s="6" t="s">
        <v>196</v>
      </c>
      <c r="D940" s="1"/>
      <c r="E940" s="79"/>
      <c r="F940" s="58">
        <f aca="true" t="shared" si="310" ref="F940:G942">F941</f>
        <v>0</v>
      </c>
      <c r="G940" s="58">
        <f t="shared" si="310"/>
        <v>116.3</v>
      </c>
    </row>
    <row r="941" spans="1:7" ht="18.75" customHeight="1">
      <c r="A941" s="59" t="s">
        <v>139</v>
      </c>
      <c r="B941" s="31" t="s">
        <v>85</v>
      </c>
      <c r="C941" s="6" t="s">
        <v>196</v>
      </c>
      <c r="D941" s="1" t="s">
        <v>190</v>
      </c>
      <c r="E941" s="79"/>
      <c r="F941" s="58">
        <f t="shared" si="310"/>
        <v>0</v>
      </c>
      <c r="G941" s="58">
        <f t="shared" si="310"/>
        <v>116.3</v>
      </c>
    </row>
    <row r="942" spans="1:7" ht="36" customHeight="1">
      <c r="A942" s="55" t="str">
        <f ca="1">IF(ISERROR(MATCH(E942,Код_КВР,0)),"",INDIRECT(ADDRESS(MATCH(E942,Код_КВР,0)+1,2,,,"КВР")))</f>
        <v>Предоставление субсидий бюджетным, автономным учреждениям и иным некоммерческим организациям</v>
      </c>
      <c r="B942" s="31" t="s">
        <v>85</v>
      </c>
      <c r="C942" s="6" t="s">
        <v>196</v>
      </c>
      <c r="D942" s="1" t="s">
        <v>190</v>
      </c>
      <c r="E942" s="79">
        <v>600</v>
      </c>
      <c r="F942" s="58">
        <f t="shared" si="310"/>
        <v>0</v>
      </c>
      <c r="G942" s="58">
        <f t="shared" si="310"/>
        <v>116.3</v>
      </c>
    </row>
    <row r="943" spans="1:7" ht="18.75" customHeight="1">
      <c r="A943" s="55" t="str">
        <f ca="1">IF(ISERROR(MATCH(E943,Код_КВР,0)),"",INDIRECT(ADDRESS(MATCH(E943,Код_КВР,0)+1,2,,,"КВР")))</f>
        <v>Субсидии бюджетным учреждениям</v>
      </c>
      <c r="B943" s="31" t="s">
        <v>85</v>
      </c>
      <c r="C943" s="6" t="s">
        <v>196</v>
      </c>
      <c r="D943" s="1" t="s">
        <v>190</v>
      </c>
      <c r="E943" s="79">
        <v>610</v>
      </c>
      <c r="F943" s="58">
        <f>'прил.16'!G824</f>
        <v>0</v>
      </c>
      <c r="G943" s="58">
        <f>'прил.16'!H824</f>
        <v>116.3</v>
      </c>
    </row>
    <row r="944" spans="1:7" ht="18.75" customHeight="1">
      <c r="A944" s="55" t="str">
        <f ca="1">IF(ISERROR(MATCH(B944,Код_КЦСР,0)),"",INDIRECT(ADDRESS(MATCH(B944,Код_КЦСР,0)+1,2,,,"КЦСР")))</f>
        <v>Ремонт и испытание наружных пожарных лестниц</v>
      </c>
      <c r="B944" s="31" t="s">
        <v>87</v>
      </c>
      <c r="C944" s="6"/>
      <c r="D944" s="1"/>
      <c r="E944" s="79"/>
      <c r="F944" s="58">
        <f aca="true" t="shared" si="311" ref="F944:G944">F949</f>
        <v>61</v>
      </c>
      <c r="G944" s="58">
        <f t="shared" si="311"/>
        <v>0</v>
      </c>
    </row>
    <row r="945" spans="1:7" ht="18.75" customHeight="1" hidden="1">
      <c r="A945" s="55" t="str">
        <f ca="1">IF(ISERROR(MATCH(C945,Код_Раздел,0)),"",INDIRECT(ADDRESS(MATCH(C945,Код_Раздел,0)+1,2,,,"Раздел")))</f>
        <v>Образование</v>
      </c>
      <c r="B945" s="31" t="s">
        <v>87</v>
      </c>
      <c r="C945" s="6" t="s">
        <v>170</v>
      </c>
      <c r="D945" s="1"/>
      <c r="E945" s="79"/>
      <c r="F945" s="58">
        <f aca="true" t="shared" si="312" ref="F945:G947">F946</f>
        <v>0</v>
      </c>
      <c r="G945" s="58">
        <f t="shared" si="312"/>
        <v>0</v>
      </c>
    </row>
    <row r="946" spans="1:7" ht="18.75" customHeight="1" hidden="1">
      <c r="A946" s="59" t="s">
        <v>221</v>
      </c>
      <c r="B946" s="31" t="s">
        <v>87</v>
      </c>
      <c r="C946" s="6" t="s">
        <v>170</v>
      </c>
      <c r="D946" s="1" t="s">
        <v>193</v>
      </c>
      <c r="E946" s="79"/>
      <c r="F946" s="58">
        <f t="shared" si="312"/>
        <v>0</v>
      </c>
      <c r="G946" s="58">
        <f t="shared" si="312"/>
        <v>0</v>
      </c>
    </row>
    <row r="947" spans="1:7" ht="38.25" customHeight="1" hidden="1">
      <c r="A947" s="55" t="str">
        <f ca="1">IF(ISERROR(MATCH(E947,Код_КВР,0)),"",INDIRECT(ADDRESS(MATCH(E947,Код_КВР,0)+1,2,,,"КВР")))</f>
        <v>Предоставление субсидий бюджетным, автономным учреждениям и иным некоммерческим организациям</v>
      </c>
      <c r="B947" s="31" t="s">
        <v>87</v>
      </c>
      <c r="C947" s="6" t="s">
        <v>170</v>
      </c>
      <c r="D947" s="1" t="s">
        <v>193</v>
      </c>
      <c r="E947" s="79">
        <v>600</v>
      </c>
      <c r="F947" s="58">
        <f t="shared" si="312"/>
        <v>0</v>
      </c>
      <c r="G947" s="58">
        <f t="shared" si="312"/>
        <v>0</v>
      </c>
    </row>
    <row r="948" spans="1:7" ht="18.75" customHeight="1" hidden="1">
      <c r="A948" s="55" t="str">
        <f ca="1">IF(ISERROR(MATCH(E948,Код_КВР,0)),"",INDIRECT(ADDRESS(MATCH(E948,Код_КВР,0)+1,2,,,"КВР")))</f>
        <v>Субсидии бюджетным учреждениям</v>
      </c>
      <c r="B948" s="31" t="s">
        <v>87</v>
      </c>
      <c r="C948" s="6" t="s">
        <v>170</v>
      </c>
      <c r="D948" s="1" t="s">
        <v>193</v>
      </c>
      <c r="E948" s="79">
        <v>610</v>
      </c>
      <c r="F948" s="58">
        <f>'прил.16'!G607</f>
        <v>0</v>
      </c>
      <c r="G948" s="58">
        <f>'прил.16'!H607</f>
        <v>0</v>
      </c>
    </row>
    <row r="949" spans="1:7" ht="18.75" customHeight="1">
      <c r="A949" s="55" t="str">
        <f ca="1">IF(ISERROR(MATCH(C949,Код_Раздел,0)),"",INDIRECT(ADDRESS(MATCH(C949,Код_Раздел,0)+1,2,,,"Раздел")))</f>
        <v>Культура, кинематография</v>
      </c>
      <c r="B949" s="31" t="s">
        <v>87</v>
      </c>
      <c r="C949" s="6" t="s">
        <v>196</v>
      </c>
      <c r="D949" s="1"/>
      <c r="E949" s="79"/>
      <c r="F949" s="58">
        <f aca="true" t="shared" si="313" ref="F949:G949">F950</f>
        <v>61</v>
      </c>
      <c r="G949" s="58">
        <f t="shared" si="313"/>
        <v>0</v>
      </c>
    </row>
    <row r="950" spans="1:7" ht="22.5" customHeight="1">
      <c r="A950" s="59" t="s">
        <v>139</v>
      </c>
      <c r="B950" s="31" t="s">
        <v>87</v>
      </c>
      <c r="C950" s="6" t="s">
        <v>196</v>
      </c>
      <c r="D950" s="1" t="s">
        <v>190</v>
      </c>
      <c r="E950" s="79"/>
      <c r="F950" s="58">
        <f aca="true" t="shared" si="314" ref="F950:G950">F951</f>
        <v>61</v>
      </c>
      <c r="G950" s="58">
        <f t="shared" si="314"/>
        <v>0</v>
      </c>
    </row>
    <row r="951" spans="1:7" ht="37.5" customHeight="1">
      <c r="A951" s="55" t="str">
        <f ca="1">IF(ISERROR(MATCH(E951,Код_КВР,0)),"",INDIRECT(ADDRESS(MATCH(E951,Код_КВР,0)+1,2,,,"КВР")))</f>
        <v>Предоставление субсидий бюджетным, автономным учреждениям и иным некоммерческим организациям</v>
      </c>
      <c r="B951" s="31" t="s">
        <v>87</v>
      </c>
      <c r="C951" s="6" t="s">
        <v>196</v>
      </c>
      <c r="D951" s="1" t="s">
        <v>190</v>
      </c>
      <c r="E951" s="79">
        <v>600</v>
      </c>
      <c r="F951" s="58">
        <f aca="true" t="shared" si="315" ref="F951:G951">F952</f>
        <v>61</v>
      </c>
      <c r="G951" s="58">
        <f t="shared" si="315"/>
        <v>0</v>
      </c>
    </row>
    <row r="952" spans="1:7" ht="18.75" customHeight="1">
      <c r="A952" s="55" t="str">
        <f ca="1">IF(ISERROR(MATCH(E952,Код_КВР,0)),"",INDIRECT(ADDRESS(MATCH(E952,Код_КВР,0)+1,2,,,"КВР")))</f>
        <v>Субсидии бюджетным учреждениям</v>
      </c>
      <c r="B952" s="31" t="s">
        <v>87</v>
      </c>
      <c r="C952" s="6" t="s">
        <v>196</v>
      </c>
      <c r="D952" s="1" t="s">
        <v>190</v>
      </c>
      <c r="E952" s="79">
        <v>610</v>
      </c>
      <c r="F952" s="58">
        <f>'прил.16'!G827</f>
        <v>61</v>
      </c>
      <c r="G952" s="58">
        <f>'прил.16'!H827</f>
        <v>0</v>
      </c>
    </row>
    <row r="953" spans="1:7" ht="41.25" customHeight="1" hidden="1">
      <c r="A953" s="55" t="str">
        <f ca="1">IF(ISERROR(MATCH(B953,Код_КЦСР,0)),"",INDIRECT(ADDRESS(MATCH(B953,Код_КЦСР,0)+1,2,,,"КЦСР")))</f>
        <v>Комплектование, ремонт и испытание внутреннего противопожарного водоснабжения зданий (ПК)</v>
      </c>
      <c r="B953" s="31" t="s">
        <v>89</v>
      </c>
      <c r="C953" s="6"/>
      <c r="D953" s="1"/>
      <c r="E953" s="79"/>
      <c r="F953" s="58">
        <f aca="true" t="shared" si="316" ref="F953:G953">F958+F954</f>
        <v>0</v>
      </c>
      <c r="G953" s="58">
        <f t="shared" si="316"/>
        <v>0</v>
      </c>
    </row>
    <row r="954" spans="1:7" ht="18.75" customHeight="1" hidden="1">
      <c r="A954" s="55" t="str">
        <f ca="1">IF(ISERROR(MATCH(C954,Код_Раздел,0)),"",INDIRECT(ADDRESS(MATCH(C954,Код_Раздел,0)+1,2,,,"Раздел")))</f>
        <v>Общегосударственные  вопросы</v>
      </c>
      <c r="B954" s="31" t="s">
        <v>89</v>
      </c>
      <c r="C954" s="6" t="s">
        <v>187</v>
      </c>
      <c r="D954" s="1"/>
      <c r="E954" s="92"/>
      <c r="F954" s="58">
        <f aca="true" t="shared" si="317" ref="F954:G954">F955</f>
        <v>0</v>
      </c>
      <c r="G954" s="58">
        <f t="shared" si="317"/>
        <v>0</v>
      </c>
    </row>
    <row r="955" spans="1:7" ht="18.75" customHeight="1" hidden="1">
      <c r="A955" s="59" t="s">
        <v>209</v>
      </c>
      <c r="B955" s="31" t="s">
        <v>89</v>
      </c>
      <c r="C955" s="6" t="s">
        <v>187</v>
      </c>
      <c r="D955" s="1" t="s">
        <v>165</v>
      </c>
      <c r="E955" s="92"/>
      <c r="F955" s="58">
        <f aca="true" t="shared" si="318" ref="F955:G955">F956</f>
        <v>0</v>
      </c>
      <c r="G955" s="58">
        <f t="shared" si="318"/>
        <v>0</v>
      </c>
    </row>
    <row r="956" spans="1:7" ht="21.75" customHeight="1" hidden="1">
      <c r="A956" s="55" t="str">
        <f ca="1">IF(ISERROR(MATCH(E956,Код_КВР,0)),"",INDIRECT(ADDRESS(MATCH(E956,Код_КВР,0)+1,2,,,"КВР")))</f>
        <v>Закупка товаров, работ и услуг для муниципальных нужд</v>
      </c>
      <c r="B956" s="31" t="s">
        <v>89</v>
      </c>
      <c r="C956" s="6" t="s">
        <v>187</v>
      </c>
      <c r="D956" s="1" t="s">
        <v>165</v>
      </c>
      <c r="E956" s="92">
        <v>200</v>
      </c>
      <c r="F956" s="58">
        <f aca="true" t="shared" si="319" ref="F956:G956">F957</f>
        <v>0</v>
      </c>
      <c r="G956" s="58">
        <f t="shared" si="319"/>
        <v>0</v>
      </c>
    </row>
    <row r="957" spans="1:7" ht="36" customHeight="1" hidden="1">
      <c r="A957" s="55" t="str">
        <f ca="1">IF(ISERROR(MATCH(E957,Код_КВР,0)),"",INDIRECT(ADDRESS(MATCH(E957,Код_КВР,0)+1,2,,,"КВР")))</f>
        <v>Иные закупки товаров, работ и услуг для обеспечения муниципальных нужд</v>
      </c>
      <c r="B957" s="31" t="s">
        <v>89</v>
      </c>
      <c r="C957" s="6" t="s">
        <v>187</v>
      </c>
      <c r="D957" s="1" t="s">
        <v>165</v>
      </c>
      <c r="E957" s="92">
        <v>240</v>
      </c>
      <c r="F957" s="58">
        <f>'прил.16'!G95</f>
        <v>0</v>
      </c>
      <c r="G957" s="58">
        <f>'прил.16'!H95</f>
        <v>0</v>
      </c>
    </row>
    <row r="958" spans="1:7" ht="18.75" customHeight="1" hidden="1">
      <c r="A958" s="55" t="str">
        <f ca="1">IF(ISERROR(MATCH(C958,Код_Раздел,0)),"",INDIRECT(ADDRESS(MATCH(C958,Код_Раздел,0)+1,2,,,"Раздел")))</f>
        <v>Образование</v>
      </c>
      <c r="B958" s="31" t="s">
        <v>89</v>
      </c>
      <c r="C958" s="6" t="s">
        <v>170</v>
      </c>
      <c r="D958" s="1"/>
      <c r="E958" s="79"/>
      <c r="F958" s="58">
        <f aca="true" t="shared" si="320" ref="F958:G960">F959</f>
        <v>0</v>
      </c>
      <c r="G958" s="58">
        <f t="shared" si="320"/>
        <v>0</v>
      </c>
    </row>
    <row r="959" spans="1:7" ht="23.25" customHeight="1" hidden="1">
      <c r="A959" s="59" t="s">
        <v>221</v>
      </c>
      <c r="B959" s="31" t="s">
        <v>89</v>
      </c>
      <c r="C959" s="6" t="s">
        <v>170</v>
      </c>
      <c r="D959" s="1" t="s">
        <v>193</v>
      </c>
      <c r="E959" s="79"/>
      <c r="F959" s="58">
        <f t="shared" si="320"/>
        <v>0</v>
      </c>
      <c r="G959" s="58">
        <f t="shared" si="320"/>
        <v>0</v>
      </c>
    </row>
    <row r="960" spans="1:7" ht="36.75" customHeight="1" hidden="1">
      <c r="A960" s="55" t="str">
        <f ca="1">IF(ISERROR(MATCH(E960,Код_КВР,0)),"",INDIRECT(ADDRESS(MATCH(E960,Код_КВР,0)+1,2,,,"КВР")))</f>
        <v>Предоставление субсидий бюджетным, автономным учреждениям и иным некоммерческим организациям</v>
      </c>
      <c r="B960" s="31" t="s">
        <v>89</v>
      </c>
      <c r="C960" s="6" t="s">
        <v>170</v>
      </c>
      <c r="D960" s="1" t="s">
        <v>193</v>
      </c>
      <c r="E960" s="79">
        <v>600</v>
      </c>
      <c r="F960" s="58">
        <f t="shared" si="320"/>
        <v>0</v>
      </c>
      <c r="G960" s="58">
        <f t="shared" si="320"/>
        <v>0</v>
      </c>
    </row>
    <row r="961" spans="1:7" ht="23.25" customHeight="1" hidden="1">
      <c r="A961" s="55" t="str">
        <f ca="1">IF(ISERROR(MATCH(E961,Код_КВР,0)),"",INDIRECT(ADDRESS(MATCH(E961,Код_КВР,0)+1,2,,,"КВР")))</f>
        <v>Субсидии бюджетным учреждениям</v>
      </c>
      <c r="B961" s="31" t="s">
        <v>89</v>
      </c>
      <c r="C961" s="6" t="s">
        <v>170</v>
      </c>
      <c r="D961" s="1" t="s">
        <v>193</v>
      </c>
      <c r="E961" s="79">
        <v>610</v>
      </c>
      <c r="F961" s="58">
        <f>'прил.16'!G610</f>
        <v>0</v>
      </c>
      <c r="G961" s="58">
        <f>'прил.16'!H610</f>
        <v>0</v>
      </c>
    </row>
    <row r="962" spans="1:7" ht="51.75" customHeight="1">
      <c r="A962" s="55" t="str">
        <f ca="1">IF(ISERROR(MATCH(B962,Код_КЦСР,0)),"",INDIRECT(ADDRESS(MATCH(B962,Код_КЦСР,0)+1,2,,,"КЦСР")))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62" s="31" t="s">
        <v>91</v>
      </c>
      <c r="C962" s="6"/>
      <c r="D962" s="1"/>
      <c r="E962" s="79"/>
      <c r="F962" s="58">
        <f aca="true" t="shared" si="321" ref="F962:G962">F971+F967+F963</f>
        <v>0</v>
      </c>
      <c r="G962" s="58">
        <f t="shared" si="321"/>
        <v>245</v>
      </c>
    </row>
    <row r="963" spans="1:7" ht="18.75" customHeight="1" hidden="1">
      <c r="A963" s="55" t="str">
        <f ca="1">IF(ISERROR(MATCH(C963,Код_Раздел,0)),"",INDIRECT(ADDRESS(MATCH(C963,Код_Раздел,0)+1,2,,,"Раздел")))</f>
        <v>Общегосударственные  вопросы</v>
      </c>
      <c r="B963" s="31" t="s">
        <v>91</v>
      </c>
      <c r="C963" s="6" t="s">
        <v>187</v>
      </c>
      <c r="D963" s="1"/>
      <c r="E963" s="92"/>
      <c r="F963" s="58">
        <f aca="true" t="shared" si="322" ref="F963:G963">F964</f>
        <v>0</v>
      </c>
      <c r="G963" s="58">
        <f t="shared" si="322"/>
        <v>0</v>
      </c>
    </row>
    <row r="964" spans="1:7" ht="18.75" customHeight="1" hidden="1">
      <c r="A964" s="59" t="s">
        <v>209</v>
      </c>
      <c r="B964" s="31" t="s">
        <v>91</v>
      </c>
      <c r="C964" s="6" t="s">
        <v>187</v>
      </c>
      <c r="D964" s="1" t="s">
        <v>165</v>
      </c>
      <c r="E964" s="92"/>
      <c r="F964" s="58">
        <f aca="true" t="shared" si="323" ref="F964:G964">F965</f>
        <v>0</v>
      </c>
      <c r="G964" s="58">
        <f t="shared" si="323"/>
        <v>0</v>
      </c>
    </row>
    <row r="965" spans="1:7" ht="18.75" customHeight="1" hidden="1">
      <c r="A965" s="55" t="str">
        <f ca="1">IF(ISERROR(MATCH(E965,Код_КВР,0)),"",INDIRECT(ADDRESS(MATCH(E965,Код_КВР,0)+1,2,,,"КВР")))</f>
        <v>Закупка товаров, работ и услуг для муниципальных нужд</v>
      </c>
      <c r="B965" s="31" t="s">
        <v>91</v>
      </c>
      <c r="C965" s="6" t="s">
        <v>187</v>
      </c>
      <c r="D965" s="1" t="s">
        <v>165</v>
      </c>
      <c r="E965" s="92">
        <v>200</v>
      </c>
      <c r="F965" s="58">
        <f aca="true" t="shared" si="324" ref="F965:G965">F966</f>
        <v>0</v>
      </c>
      <c r="G965" s="58">
        <f t="shared" si="324"/>
        <v>0</v>
      </c>
    </row>
    <row r="966" spans="1:7" ht="38.25" customHeight="1" hidden="1">
      <c r="A966" s="55" t="str">
        <f ca="1">IF(ISERROR(MATCH(E966,Код_КВР,0)),"",INDIRECT(ADDRESS(MATCH(E966,Код_КВР,0)+1,2,,,"КВР")))</f>
        <v>Иные закупки товаров, работ и услуг для обеспечения муниципальных нужд</v>
      </c>
      <c r="B966" s="31" t="s">
        <v>91</v>
      </c>
      <c r="C966" s="6" t="s">
        <v>187</v>
      </c>
      <c r="D966" s="1" t="s">
        <v>165</v>
      </c>
      <c r="E966" s="92">
        <v>240</v>
      </c>
      <c r="F966" s="58">
        <f>'прил.16'!G98</f>
        <v>0</v>
      </c>
      <c r="G966" s="58">
        <f>'прил.16'!H98</f>
        <v>0</v>
      </c>
    </row>
    <row r="967" spans="1:7" ht="18.75" customHeight="1" hidden="1">
      <c r="A967" s="55" t="str">
        <f ca="1">IF(ISERROR(MATCH(C967,Код_Раздел,0)),"",INDIRECT(ADDRESS(MATCH(C967,Код_Раздел,0)+1,2,,,"Раздел")))</f>
        <v>Образование</v>
      </c>
      <c r="B967" s="31" t="s">
        <v>91</v>
      </c>
      <c r="C967" s="6" t="s">
        <v>170</v>
      </c>
      <c r="D967" s="1"/>
      <c r="E967" s="79"/>
      <c r="F967" s="58">
        <f aca="true" t="shared" si="325" ref="F967:G969">F968</f>
        <v>0</v>
      </c>
      <c r="G967" s="58">
        <f t="shared" si="325"/>
        <v>0</v>
      </c>
    </row>
    <row r="968" spans="1:7" ht="18.75" customHeight="1" hidden="1">
      <c r="A968" s="59" t="s">
        <v>221</v>
      </c>
      <c r="B968" s="31" t="s">
        <v>91</v>
      </c>
      <c r="C968" s="6" t="s">
        <v>170</v>
      </c>
      <c r="D968" s="1" t="s">
        <v>193</v>
      </c>
      <c r="E968" s="79"/>
      <c r="F968" s="58">
        <f t="shared" si="325"/>
        <v>0</v>
      </c>
      <c r="G968" s="58">
        <f t="shared" si="325"/>
        <v>0</v>
      </c>
    </row>
    <row r="969" spans="1:7" ht="36.75" customHeight="1" hidden="1">
      <c r="A969" s="55" t="str">
        <f ca="1">IF(ISERROR(MATCH(E969,Код_КВР,0)),"",INDIRECT(ADDRESS(MATCH(E969,Код_КВР,0)+1,2,,,"КВР")))</f>
        <v>Предоставление субсидий бюджетным, автономным учреждениям и иным некоммерческим организациям</v>
      </c>
      <c r="B969" s="31" t="s">
        <v>91</v>
      </c>
      <c r="C969" s="6" t="s">
        <v>170</v>
      </c>
      <c r="D969" s="1" t="s">
        <v>193</v>
      </c>
      <c r="E969" s="79">
        <v>600</v>
      </c>
      <c r="F969" s="58">
        <f t="shared" si="325"/>
        <v>0</v>
      </c>
      <c r="G969" s="58">
        <f t="shared" si="325"/>
        <v>0</v>
      </c>
    </row>
    <row r="970" spans="1:7" ht="18.75" customHeight="1" hidden="1">
      <c r="A970" s="55" t="str">
        <f ca="1">IF(ISERROR(MATCH(E970,Код_КВР,0)),"",INDIRECT(ADDRESS(MATCH(E970,Код_КВР,0)+1,2,,,"КВР")))</f>
        <v>Субсидии бюджетным учреждениям</v>
      </c>
      <c r="B970" s="31" t="s">
        <v>91</v>
      </c>
      <c r="C970" s="6" t="s">
        <v>170</v>
      </c>
      <c r="D970" s="1" t="s">
        <v>193</v>
      </c>
      <c r="E970" s="79">
        <v>610</v>
      </c>
      <c r="F970" s="58">
        <f>'прил.16'!G613</f>
        <v>0</v>
      </c>
      <c r="G970" s="58">
        <f>'прил.16'!H613</f>
        <v>0</v>
      </c>
    </row>
    <row r="971" spans="1:7" ht="18.75" customHeight="1">
      <c r="A971" s="55" t="str">
        <f ca="1">IF(ISERROR(MATCH(C971,Код_Раздел,0)),"",INDIRECT(ADDRESS(MATCH(C971,Код_Раздел,0)+1,2,,,"Раздел")))</f>
        <v>Культура, кинематография</v>
      </c>
      <c r="B971" s="31" t="s">
        <v>91</v>
      </c>
      <c r="C971" s="6" t="s">
        <v>196</v>
      </c>
      <c r="D971" s="1"/>
      <c r="E971" s="79"/>
      <c r="F971" s="58">
        <f aca="true" t="shared" si="326" ref="F971:G971">F972</f>
        <v>0</v>
      </c>
      <c r="G971" s="58">
        <f t="shared" si="326"/>
        <v>245</v>
      </c>
    </row>
    <row r="972" spans="1:7" ht="18.75" customHeight="1">
      <c r="A972" s="59" t="s">
        <v>139</v>
      </c>
      <c r="B972" s="31" t="s">
        <v>91</v>
      </c>
      <c r="C972" s="6" t="s">
        <v>196</v>
      </c>
      <c r="D972" s="1" t="s">
        <v>190</v>
      </c>
      <c r="E972" s="79"/>
      <c r="F972" s="58">
        <f aca="true" t="shared" si="327" ref="F972:G972">F973</f>
        <v>0</v>
      </c>
      <c r="G972" s="58">
        <f t="shared" si="327"/>
        <v>245</v>
      </c>
    </row>
    <row r="973" spans="1:7" ht="39" customHeight="1">
      <c r="A973" s="55" t="str">
        <f ca="1">IF(ISERROR(MATCH(E973,Код_КВР,0)),"",INDIRECT(ADDRESS(MATCH(E973,Код_КВР,0)+1,2,,,"КВР")))</f>
        <v>Предоставление субсидий бюджетным, автономным учреждениям и иным некоммерческим организациям</v>
      </c>
      <c r="B973" s="31" t="s">
        <v>91</v>
      </c>
      <c r="C973" s="6" t="s">
        <v>196</v>
      </c>
      <c r="D973" s="1" t="s">
        <v>190</v>
      </c>
      <c r="E973" s="79">
        <v>600</v>
      </c>
      <c r="F973" s="58">
        <f aca="true" t="shared" si="328" ref="F973:G973">F974</f>
        <v>0</v>
      </c>
      <c r="G973" s="58">
        <f t="shared" si="328"/>
        <v>245</v>
      </c>
    </row>
    <row r="974" spans="1:7" ht="23.25" customHeight="1">
      <c r="A974" s="55" t="str">
        <f ca="1">IF(ISERROR(MATCH(E974,Код_КВР,0)),"",INDIRECT(ADDRESS(MATCH(E974,Код_КВР,0)+1,2,,,"КВР")))</f>
        <v>Субсидии бюджетным учреждениям</v>
      </c>
      <c r="B974" s="31" t="s">
        <v>91</v>
      </c>
      <c r="C974" s="6" t="s">
        <v>196</v>
      </c>
      <c r="D974" s="1" t="s">
        <v>190</v>
      </c>
      <c r="E974" s="79">
        <v>610</v>
      </c>
      <c r="F974" s="58">
        <f>'прил.16'!G830</f>
        <v>0</v>
      </c>
      <c r="G974" s="58">
        <f>'прил.16'!H830</f>
        <v>245</v>
      </c>
    </row>
    <row r="975" spans="1:7" ht="22.5" customHeight="1">
      <c r="A975" s="55" t="str">
        <f ca="1">IF(ISERROR(MATCH(B975,Код_КЦСР,0)),"",INDIRECT(ADDRESS(MATCH(B975,Код_КЦСР,0)+1,2,,,"КЦСР")))</f>
        <v>Обучение по программе пожарно-технического минимума</v>
      </c>
      <c r="B975" s="31" t="s">
        <v>93</v>
      </c>
      <c r="C975" s="6"/>
      <c r="D975" s="1"/>
      <c r="E975" s="79"/>
      <c r="F975" s="58">
        <f aca="true" t="shared" si="329" ref="F975:G975">F976</f>
        <v>0</v>
      </c>
      <c r="G975" s="58">
        <f t="shared" si="329"/>
        <v>1</v>
      </c>
    </row>
    <row r="976" spans="1:7" ht="12.75">
      <c r="A976" s="55" t="str">
        <f ca="1">IF(ISERROR(MATCH(C976,Код_Раздел,0)),"",INDIRECT(ADDRESS(MATCH(C976,Код_Раздел,0)+1,2,,,"Раздел")))</f>
        <v>Образование</v>
      </c>
      <c r="B976" s="31" t="s">
        <v>93</v>
      </c>
      <c r="C976" s="6" t="s">
        <v>170</v>
      </c>
      <c r="D976" s="1"/>
      <c r="E976" s="79"/>
      <c r="F976" s="58">
        <f aca="true" t="shared" si="330" ref="F976:G976">F977</f>
        <v>0</v>
      </c>
      <c r="G976" s="58">
        <f t="shared" si="330"/>
        <v>1</v>
      </c>
    </row>
    <row r="977" spans="1:7" ht="12.75">
      <c r="A977" s="59" t="s">
        <v>221</v>
      </c>
      <c r="B977" s="31" t="s">
        <v>93</v>
      </c>
      <c r="C977" s="6" t="s">
        <v>170</v>
      </c>
      <c r="D977" s="1" t="s">
        <v>193</v>
      </c>
      <c r="E977" s="79"/>
      <c r="F977" s="58">
        <f aca="true" t="shared" si="331" ref="F977:G977">F978</f>
        <v>0</v>
      </c>
      <c r="G977" s="58">
        <f t="shared" si="331"/>
        <v>1</v>
      </c>
    </row>
    <row r="978" spans="1:7" ht="35.25" customHeight="1">
      <c r="A978" s="55" t="str">
        <f ca="1">IF(ISERROR(MATCH(E978,Код_КВР,0)),"",INDIRECT(ADDRESS(MATCH(E978,Код_КВР,0)+1,2,,,"КВР")))</f>
        <v>Предоставление субсидий бюджетным, автономным учреждениям и иным некоммерческим организациям</v>
      </c>
      <c r="B978" s="31" t="s">
        <v>93</v>
      </c>
      <c r="C978" s="6" t="s">
        <v>170</v>
      </c>
      <c r="D978" s="1" t="s">
        <v>193</v>
      </c>
      <c r="E978" s="79">
        <v>600</v>
      </c>
      <c r="F978" s="58">
        <f aca="true" t="shared" si="332" ref="F978:G978">F979</f>
        <v>0</v>
      </c>
      <c r="G978" s="58">
        <f t="shared" si="332"/>
        <v>1</v>
      </c>
    </row>
    <row r="979" spans="1:7" ht="12.75">
      <c r="A979" s="55" t="str">
        <f ca="1">IF(ISERROR(MATCH(E979,Код_КВР,0)),"",INDIRECT(ADDRESS(MATCH(E979,Код_КВР,0)+1,2,,,"КВР")))</f>
        <v>Субсидии бюджетным учреждениям</v>
      </c>
      <c r="B979" s="31" t="s">
        <v>93</v>
      </c>
      <c r="C979" s="6" t="s">
        <v>170</v>
      </c>
      <c r="D979" s="1" t="s">
        <v>193</v>
      </c>
      <c r="E979" s="79">
        <v>610</v>
      </c>
      <c r="F979" s="58">
        <f>'прил.16'!G697</f>
        <v>0</v>
      </c>
      <c r="G979" s="58">
        <f>'прил.16'!H697</f>
        <v>1</v>
      </c>
    </row>
    <row r="980" spans="1:7" ht="39.75" customHeight="1">
      <c r="A980" s="55" t="str">
        <f ca="1">IF(ISERROR(MATCH(B980,Код_КЦСР,0)),"",INDIRECT(ADDRESS(MATCH(B980,Код_КЦСР,0)+1,2,,,"КЦСР")))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980" s="31" t="s">
        <v>95</v>
      </c>
      <c r="C980" s="6"/>
      <c r="D980" s="1"/>
      <c r="E980" s="69"/>
      <c r="F980" s="58">
        <f aca="true" t="shared" si="333" ref="F980:G980">F981+F986+F993</f>
        <v>45919.90000000001</v>
      </c>
      <c r="G980" s="58">
        <f t="shared" si="333"/>
        <v>45964.600000000006</v>
      </c>
    </row>
    <row r="981" spans="1:7" ht="57" customHeight="1" hidden="1">
      <c r="A981" s="55" t="str">
        <f ca="1">IF(ISERROR(MATCH(B981,Код_КЦСР,0)),"",INDIRECT(ADDRESS(MATCH(B981,Код_КЦСР,0)+1,2,,,"КЦСР")))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981" s="31" t="s">
        <v>97</v>
      </c>
      <c r="C981" s="6"/>
      <c r="D981" s="1"/>
      <c r="E981" s="69"/>
      <c r="F981" s="58">
        <f aca="true" t="shared" si="334" ref="F981:G983">F982</f>
        <v>0</v>
      </c>
      <c r="G981" s="58">
        <f t="shared" si="334"/>
        <v>0</v>
      </c>
    </row>
    <row r="982" spans="1:7" ht="12.75" hidden="1">
      <c r="A982" s="55" t="str">
        <f ca="1">IF(ISERROR(MATCH(C982,Код_Раздел,0)),"",INDIRECT(ADDRESS(MATCH(C982,Код_Раздел,0)+1,2,,,"Раздел")))</f>
        <v>Национальная безопасность и правоохранительная  деятельность</v>
      </c>
      <c r="B982" s="31" t="s">
        <v>97</v>
      </c>
      <c r="C982" s="6" t="s">
        <v>189</v>
      </c>
      <c r="D982" s="1"/>
      <c r="E982" s="69"/>
      <c r="F982" s="58">
        <f t="shared" si="334"/>
        <v>0</v>
      </c>
      <c r="G982" s="58">
        <f t="shared" si="334"/>
        <v>0</v>
      </c>
    </row>
    <row r="983" spans="1:7" ht="33" hidden="1">
      <c r="A983" s="59" t="s">
        <v>231</v>
      </c>
      <c r="B983" s="31" t="s">
        <v>97</v>
      </c>
      <c r="C983" s="6" t="s">
        <v>189</v>
      </c>
      <c r="D983" s="1" t="s">
        <v>193</v>
      </c>
      <c r="E983" s="69"/>
      <c r="F983" s="58">
        <f t="shared" si="334"/>
        <v>0</v>
      </c>
      <c r="G983" s="58">
        <f t="shared" si="334"/>
        <v>0</v>
      </c>
    </row>
    <row r="984" spans="1:7" ht="33" hidden="1">
      <c r="A984" s="55" t="str">
        <f aca="true" t="shared" si="335" ref="A984:A985">IF(ISERROR(MATCH(E984,Код_КВР,0)),"",INDIRECT(ADDRESS(MATCH(E984,Код_КВР,0)+1,2,,,"КВР")))</f>
        <v>Предоставление субсидий бюджетным, автономным учреждениям и иным некоммерческим организациям</v>
      </c>
      <c r="B984" s="31" t="s">
        <v>97</v>
      </c>
      <c r="C984" s="6" t="s">
        <v>189</v>
      </c>
      <c r="D984" s="1" t="s">
        <v>193</v>
      </c>
      <c r="E984" s="69">
        <v>600</v>
      </c>
      <c r="F984" s="58">
        <f aca="true" t="shared" si="336" ref="F984:G984">F985</f>
        <v>0</v>
      </c>
      <c r="G984" s="58">
        <f t="shared" si="336"/>
        <v>0</v>
      </c>
    </row>
    <row r="985" spans="1:7" ht="12.75" hidden="1">
      <c r="A985" s="55" t="str">
        <f ca="1" t="shared" si="335"/>
        <v>Субсидии бюджетным учреждениям</v>
      </c>
      <c r="B985" s="31" t="s">
        <v>97</v>
      </c>
      <c r="C985" s="6" t="s">
        <v>189</v>
      </c>
      <c r="D985" s="1" t="s">
        <v>193</v>
      </c>
      <c r="E985" s="69">
        <v>610</v>
      </c>
      <c r="F985" s="58">
        <f>'прил.16'!G178</f>
        <v>0</v>
      </c>
      <c r="G985" s="58">
        <f>'прил.16'!H178</f>
        <v>0</v>
      </c>
    </row>
    <row r="986" spans="1:7" ht="33">
      <c r="A986" s="55" t="str">
        <f ca="1">IF(ISERROR(MATCH(B986,Код_КЦСР,0)),"",INDIRECT(ADDRESS(MATCH(B986,Код_КЦСР,0)+1,2,,,"КЦСР")))</f>
        <v>Организация и проведение обучения должностных лиц и специалистов ГО и ЧС</v>
      </c>
      <c r="B986" s="31" t="s">
        <v>102</v>
      </c>
      <c r="C986" s="6"/>
      <c r="D986" s="1"/>
      <c r="E986" s="69"/>
      <c r="F986" s="58">
        <f>F987</f>
        <v>1762.8</v>
      </c>
      <c r="G986" s="58">
        <f>G987</f>
        <v>1762.8</v>
      </c>
    </row>
    <row r="987" spans="1:7" ht="27" customHeight="1">
      <c r="A987" s="55" t="str">
        <f ca="1">IF(ISERROR(MATCH(C987,Код_Раздел,0)),"",INDIRECT(ADDRESS(MATCH(C987,Код_Раздел,0)+1,2,,,"Раздел")))</f>
        <v>Национальная безопасность и правоохранительная  деятельность</v>
      </c>
      <c r="B987" s="31" t="s">
        <v>102</v>
      </c>
      <c r="C987" s="6" t="s">
        <v>189</v>
      </c>
      <c r="D987" s="1"/>
      <c r="E987" s="69"/>
      <c r="F987" s="58">
        <f aca="true" t="shared" si="337" ref="F987:G989">F988</f>
        <v>1762.8</v>
      </c>
      <c r="G987" s="58">
        <f t="shared" si="337"/>
        <v>1762.8</v>
      </c>
    </row>
    <row r="988" spans="1:7" ht="38.25" customHeight="1">
      <c r="A988" s="59" t="s">
        <v>231</v>
      </c>
      <c r="B988" s="31" t="s">
        <v>102</v>
      </c>
      <c r="C988" s="6" t="s">
        <v>189</v>
      </c>
      <c r="D988" s="1" t="s">
        <v>193</v>
      </c>
      <c r="E988" s="69"/>
      <c r="F988" s="58">
        <f aca="true" t="shared" si="338" ref="F988:G988">F989+F991</f>
        <v>1762.8</v>
      </c>
      <c r="G988" s="58">
        <f t="shared" si="338"/>
        <v>1762.8</v>
      </c>
    </row>
    <row r="989" spans="1:7" ht="42.75" customHeight="1">
      <c r="A989" s="55" t="str">
        <f ca="1">IF(ISERROR(MATCH(E989,Код_КВР,0)),"",INDIRECT(ADDRESS(MATCH(E989,Код_КВР,0)+1,2,,,"КВР")))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9" s="31" t="s">
        <v>102</v>
      </c>
      <c r="C989" s="6" t="s">
        <v>189</v>
      </c>
      <c r="D989" s="1" t="s">
        <v>193</v>
      </c>
      <c r="E989" s="69">
        <v>100</v>
      </c>
      <c r="F989" s="58">
        <f t="shared" si="337"/>
        <v>1707.8</v>
      </c>
      <c r="G989" s="58">
        <f t="shared" si="337"/>
        <v>1707.8</v>
      </c>
    </row>
    <row r="990" spans="1:7" ht="19.5" customHeight="1">
      <c r="A990" s="55" t="str">
        <f ca="1">IF(ISERROR(MATCH(E990,Код_КВР,0)),"",INDIRECT(ADDRESS(MATCH(E990,Код_КВР,0)+1,2,,,"КВР")))</f>
        <v>Расходы на выплаты персоналу казенных учреждений</v>
      </c>
      <c r="B990" s="31" t="s">
        <v>102</v>
      </c>
      <c r="C990" s="6" t="s">
        <v>189</v>
      </c>
      <c r="D990" s="1" t="s">
        <v>193</v>
      </c>
      <c r="E990" s="69">
        <v>110</v>
      </c>
      <c r="F990" s="58">
        <f>'прил.16'!G181</f>
        <v>1707.8</v>
      </c>
      <c r="G990" s="58">
        <f>'прил.16'!H181</f>
        <v>1707.8</v>
      </c>
    </row>
    <row r="991" spans="1:7" ht="27" customHeight="1">
      <c r="A991" s="55" t="str">
        <f ca="1">IF(ISERROR(MATCH(E991,Код_КВР,0)),"",INDIRECT(ADDRESS(MATCH(E991,Код_КВР,0)+1,2,,,"КВР")))</f>
        <v>Закупка товаров, работ и услуг для муниципальных нужд</v>
      </c>
      <c r="B991" s="31" t="s">
        <v>102</v>
      </c>
      <c r="C991" s="6" t="s">
        <v>189</v>
      </c>
      <c r="D991" s="1" t="s">
        <v>193</v>
      </c>
      <c r="E991" s="92">
        <v>200</v>
      </c>
      <c r="F991" s="58">
        <f aca="true" t="shared" si="339" ref="F991:G991">F992</f>
        <v>55</v>
      </c>
      <c r="G991" s="58">
        <f t="shared" si="339"/>
        <v>55</v>
      </c>
    </row>
    <row r="992" spans="1:7" ht="33">
      <c r="A992" s="55" t="str">
        <f ca="1">IF(ISERROR(MATCH(E992,Код_КВР,0)),"",INDIRECT(ADDRESS(MATCH(E992,Код_КВР,0)+1,2,,,"КВР")))</f>
        <v>Иные закупки товаров, работ и услуг для обеспечения муниципальных нужд</v>
      </c>
      <c r="B992" s="31" t="s">
        <v>102</v>
      </c>
      <c r="C992" s="6" t="s">
        <v>189</v>
      </c>
      <c r="D992" s="1" t="s">
        <v>193</v>
      </c>
      <c r="E992" s="92">
        <v>240</v>
      </c>
      <c r="F992" s="58">
        <f>'прил.16'!G183</f>
        <v>55</v>
      </c>
      <c r="G992" s="58">
        <f>'прил.16'!H183</f>
        <v>55</v>
      </c>
    </row>
    <row r="993" spans="1:7" ht="23.25" customHeight="1">
      <c r="A993" s="55" t="str">
        <f ca="1">IF(ISERROR(MATCH(B993,Код_КЦСР,0)),"",INDIRECT(ADDRESS(MATCH(B993,Код_КЦСР,0)+1,2,,,"КЦСР")))</f>
        <v xml:space="preserve">Обеспечение создания условий для реализации подпрограммы 2 </v>
      </c>
      <c r="B993" s="31" t="s">
        <v>103</v>
      </c>
      <c r="C993" s="6"/>
      <c r="D993" s="1"/>
      <c r="E993" s="69"/>
      <c r="F993" s="58">
        <f aca="true" t="shared" si="340" ref="F993:G994">F994</f>
        <v>44157.100000000006</v>
      </c>
      <c r="G993" s="58">
        <f t="shared" si="340"/>
        <v>44201.8</v>
      </c>
    </row>
    <row r="994" spans="1:7" ht="21.75" customHeight="1">
      <c r="A994" s="55" t="str">
        <f ca="1">IF(ISERROR(MATCH(C994,Код_Раздел,0)),"",INDIRECT(ADDRESS(MATCH(C994,Код_Раздел,0)+1,2,,,"Раздел")))</f>
        <v>Национальная безопасность и правоохранительная  деятельность</v>
      </c>
      <c r="B994" s="31" t="s">
        <v>103</v>
      </c>
      <c r="C994" s="6" t="s">
        <v>189</v>
      </c>
      <c r="D994" s="1"/>
      <c r="E994" s="69"/>
      <c r="F994" s="58">
        <f t="shared" si="340"/>
        <v>44157.100000000006</v>
      </c>
      <c r="G994" s="58">
        <f t="shared" si="340"/>
        <v>44201.8</v>
      </c>
    </row>
    <row r="995" spans="1:7" ht="43.5" customHeight="1">
      <c r="A995" s="59" t="s">
        <v>231</v>
      </c>
      <c r="B995" s="31" t="s">
        <v>103</v>
      </c>
      <c r="C995" s="6" t="s">
        <v>189</v>
      </c>
      <c r="D995" s="1" t="s">
        <v>193</v>
      </c>
      <c r="E995" s="69"/>
      <c r="F995" s="58">
        <f>F996+F998+F1000+F1002</f>
        <v>44157.100000000006</v>
      </c>
      <c r="G995" s="58">
        <f>G996+G998+G1000+G1002</f>
        <v>44201.8</v>
      </c>
    </row>
    <row r="996" spans="1:7" ht="39.75" customHeight="1">
      <c r="A996" s="55" t="str">
        <f aca="true" t="shared" si="341" ref="A996:A1003">IF(ISERROR(MATCH(E996,Код_КВР,0)),"",INDIRECT(ADDRESS(MATCH(E996,Код_КВР,0)+1,2,,,"КВР")))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6" s="31" t="s">
        <v>103</v>
      </c>
      <c r="C996" s="6" t="s">
        <v>189</v>
      </c>
      <c r="D996" s="1" t="s">
        <v>193</v>
      </c>
      <c r="E996" s="69">
        <v>100</v>
      </c>
      <c r="F996" s="58">
        <f>F997</f>
        <v>20046.100000000002</v>
      </c>
      <c r="G996" s="58">
        <f>G997</f>
        <v>20046.100000000002</v>
      </c>
    </row>
    <row r="997" spans="1:7" ht="18.75" customHeight="1">
      <c r="A997" s="55" t="str">
        <f ca="1" t="shared" si="341"/>
        <v>Расходы на выплаты персоналу казенных учреждений</v>
      </c>
      <c r="B997" s="31" t="s">
        <v>103</v>
      </c>
      <c r="C997" s="6" t="s">
        <v>189</v>
      </c>
      <c r="D997" s="1" t="s">
        <v>193</v>
      </c>
      <c r="E997" s="69">
        <v>110</v>
      </c>
      <c r="F997" s="58">
        <f>'прил.16'!G186</f>
        <v>20046.100000000002</v>
      </c>
      <c r="G997" s="58">
        <f>'прил.16'!H186</f>
        <v>20046.100000000002</v>
      </c>
    </row>
    <row r="998" spans="1:7" ht="24" customHeight="1">
      <c r="A998" s="55" t="str">
        <f ca="1" t="shared" si="341"/>
        <v>Закупка товаров, работ и услуг для муниципальных нужд</v>
      </c>
      <c r="B998" s="31" t="s">
        <v>103</v>
      </c>
      <c r="C998" s="6" t="s">
        <v>189</v>
      </c>
      <c r="D998" s="1" t="s">
        <v>193</v>
      </c>
      <c r="E998" s="69">
        <v>200</v>
      </c>
      <c r="F998" s="58">
        <f>F999</f>
        <v>2798.4</v>
      </c>
      <c r="G998" s="58">
        <f>G999</f>
        <v>2849.7</v>
      </c>
    </row>
    <row r="999" spans="1:7" ht="33">
      <c r="A999" s="55" t="str">
        <f ca="1" t="shared" si="341"/>
        <v>Иные закупки товаров, работ и услуг для обеспечения муниципальных нужд</v>
      </c>
      <c r="B999" s="31" t="s">
        <v>103</v>
      </c>
      <c r="C999" s="6" t="s">
        <v>189</v>
      </c>
      <c r="D999" s="1" t="s">
        <v>193</v>
      </c>
      <c r="E999" s="69">
        <v>240</v>
      </c>
      <c r="F999" s="58">
        <f>'прил.16'!G188</f>
        <v>2798.4</v>
      </c>
      <c r="G999" s="58">
        <f>'прил.16'!H188</f>
        <v>2849.7</v>
      </c>
    </row>
    <row r="1000" spans="1:7" ht="33">
      <c r="A1000" s="55" t="str">
        <f aca="true" t="shared" si="342" ref="A1000:A1001">IF(ISERROR(MATCH(E1000,Код_КВР,0)),"",INDIRECT(ADDRESS(MATCH(E1000,Код_КВР,0)+1,2,,,"КВР")))</f>
        <v>Предоставление субсидий бюджетным, автономным учреждениям и иным некоммерческим организациям</v>
      </c>
      <c r="B1000" s="31" t="s">
        <v>103</v>
      </c>
      <c r="C1000" s="6" t="s">
        <v>189</v>
      </c>
      <c r="D1000" s="1" t="s">
        <v>193</v>
      </c>
      <c r="E1000" s="69">
        <v>600</v>
      </c>
      <c r="F1000" s="58">
        <f>F1001</f>
        <v>20964.3</v>
      </c>
      <c r="G1000" s="58">
        <f>G1001</f>
        <v>20980.5</v>
      </c>
    </row>
    <row r="1001" spans="1:7" ht="12.75">
      <c r="A1001" s="55" t="str">
        <f ca="1" t="shared" si="342"/>
        <v>Субсидии бюджетным учреждениям</v>
      </c>
      <c r="B1001" s="31" t="s">
        <v>103</v>
      </c>
      <c r="C1001" s="6" t="s">
        <v>189</v>
      </c>
      <c r="D1001" s="1" t="s">
        <v>193</v>
      </c>
      <c r="E1001" s="69">
        <v>610</v>
      </c>
      <c r="F1001" s="58">
        <f>'прил.16'!G190</f>
        <v>20964.3</v>
      </c>
      <c r="G1001" s="58">
        <f>'прил.16'!H190</f>
        <v>20980.5</v>
      </c>
    </row>
    <row r="1002" spans="1:7" ht="12.75">
      <c r="A1002" s="55" t="str">
        <f ca="1" t="shared" si="341"/>
        <v>Иные бюджетные ассигнования</v>
      </c>
      <c r="B1002" s="31" t="s">
        <v>103</v>
      </c>
      <c r="C1002" s="6" t="s">
        <v>189</v>
      </c>
      <c r="D1002" s="1" t="s">
        <v>193</v>
      </c>
      <c r="E1002" s="69">
        <v>800</v>
      </c>
      <c r="F1002" s="58">
        <f>F1003</f>
        <v>348.3</v>
      </c>
      <c r="G1002" s="58">
        <f>G1003</f>
        <v>325.5</v>
      </c>
    </row>
    <row r="1003" spans="1:7" ht="12.75">
      <c r="A1003" s="55" t="str">
        <f ca="1" t="shared" si="341"/>
        <v>Уплата налогов, сборов и иных платежей</v>
      </c>
      <c r="B1003" s="31" t="s">
        <v>103</v>
      </c>
      <c r="C1003" s="6" t="s">
        <v>189</v>
      </c>
      <c r="D1003" s="1" t="s">
        <v>193</v>
      </c>
      <c r="E1003" s="69">
        <v>850</v>
      </c>
      <c r="F1003" s="58">
        <f>'прил.16'!G192</f>
        <v>348.3</v>
      </c>
      <c r="G1003" s="58">
        <f>'прил.16'!H192</f>
        <v>325.5</v>
      </c>
    </row>
    <row r="1004" spans="1:7" ht="33">
      <c r="A1004" s="55" t="str">
        <f ca="1">IF(ISERROR(MATCH(B1004,Код_КЦСР,0)),"",INDIRECT(ADDRESS(MATCH(B1004,Код_КЦСР,0)+1,2,,,"КЦСР")))</f>
        <v>Муниципальная программа «Совершенствование муниципального управления в городе Череповце» на 2014-2018 годы</v>
      </c>
      <c r="B1004" s="31" t="s">
        <v>104</v>
      </c>
      <c r="C1004" s="6"/>
      <c r="D1004" s="1"/>
      <c r="E1004" s="69"/>
      <c r="F1004" s="58">
        <f aca="true" t="shared" si="343" ref="F1004:G1004">F1005+F1020+F1031</f>
        <v>157612.6</v>
      </c>
      <c r="G1004" s="58">
        <f t="shared" si="343"/>
        <v>158119.4</v>
      </c>
    </row>
    <row r="1005" spans="1:7" ht="33">
      <c r="A1005" s="55" t="str">
        <f ca="1">IF(ISERROR(MATCH(B1005,Код_КЦСР,0)),"",INDIRECT(ADDRESS(MATCH(B1005,Код_КЦСР,0)+1,2,,,"КЦСР")))</f>
        <v>Создание условий для обеспечения выполнения органами муниципальной власти своих полномочий</v>
      </c>
      <c r="B1005" s="31" t="s">
        <v>105</v>
      </c>
      <c r="C1005" s="6"/>
      <c r="D1005" s="1"/>
      <c r="E1005" s="69"/>
      <c r="F1005" s="58">
        <f>F1006+F1012</f>
        <v>74104.6</v>
      </c>
      <c r="G1005" s="58">
        <f>G1006+G1012</f>
        <v>74611.4</v>
      </c>
    </row>
    <row r="1006" spans="1:7" ht="12.75" hidden="1">
      <c r="A1006" s="55" t="str">
        <f ca="1">IF(ISERROR(MATCH(B1006,Код_КЦСР,0)),"",INDIRECT(ADDRESS(MATCH(B1006,Код_КЦСР,0)+1,2,,,"КЦСР")))</f>
        <v>Обеспечение работы СЭД «Летограф»</v>
      </c>
      <c r="B1006" s="31" t="s">
        <v>107</v>
      </c>
      <c r="C1006" s="6"/>
      <c r="D1006" s="1"/>
      <c r="E1006" s="69"/>
      <c r="F1006" s="58">
        <f aca="true" t="shared" si="344" ref="F1006:G1009">F1007</f>
        <v>0</v>
      </c>
      <c r="G1006" s="58">
        <f t="shared" si="344"/>
        <v>0</v>
      </c>
    </row>
    <row r="1007" spans="1:7" ht="12.75" hidden="1">
      <c r="A1007" s="55" t="str">
        <f ca="1">IF(ISERROR(MATCH(C1007,Код_Раздел,0)),"",INDIRECT(ADDRESS(MATCH(C1007,Код_Раздел,0)+1,2,,,"Раздел")))</f>
        <v>Национальная экономика</v>
      </c>
      <c r="B1007" s="31" t="s">
        <v>107</v>
      </c>
      <c r="C1007" s="6" t="s">
        <v>190</v>
      </c>
      <c r="D1007" s="1"/>
      <c r="E1007" s="69"/>
      <c r="F1007" s="58">
        <f t="shared" si="344"/>
        <v>0</v>
      </c>
      <c r="G1007" s="58">
        <f t="shared" si="344"/>
        <v>0</v>
      </c>
    </row>
    <row r="1008" spans="1:7" ht="12.75" hidden="1">
      <c r="A1008" s="59" t="s">
        <v>204</v>
      </c>
      <c r="B1008" s="31" t="s">
        <v>107</v>
      </c>
      <c r="C1008" s="6" t="s">
        <v>190</v>
      </c>
      <c r="D1008" s="1" t="s">
        <v>163</v>
      </c>
      <c r="E1008" s="69"/>
      <c r="F1008" s="58">
        <f t="shared" si="344"/>
        <v>0</v>
      </c>
      <c r="G1008" s="58">
        <f t="shared" si="344"/>
        <v>0</v>
      </c>
    </row>
    <row r="1009" spans="1:7" ht="33" hidden="1">
      <c r="A1009" s="55" t="str">
        <f ca="1">IF(ISERROR(MATCH(E1009,Код_КВР,0)),"",INDIRECT(ADDRESS(MATCH(E1009,Код_КВР,0)+1,2,,,"КВР")))</f>
        <v>Предоставление субсидий бюджетным, автономным учреждениям и иным некоммерческим организациям</v>
      </c>
      <c r="B1009" s="31" t="s">
        <v>107</v>
      </c>
      <c r="C1009" s="6" t="s">
        <v>190</v>
      </c>
      <c r="D1009" s="1" t="s">
        <v>163</v>
      </c>
      <c r="E1009" s="69">
        <v>600</v>
      </c>
      <c r="F1009" s="58">
        <f t="shared" si="344"/>
        <v>0</v>
      </c>
      <c r="G1009" s="58">
        <f t="shared" si="344"/>
        <v>0</v>
      </c>
    </row>
    <row r="1010" spans="1:7" ht="12.75" hidden="1">
      <c r="A1010" s="55" t="str">
        <f ca="1">IF(ISERROR(MATCH(E1010,Код_КВР,0)),"",INDIRECT(ADDRESS(MATCH(E1010,Код_КВР,0)+1,2,,,"КВР")))</f>
        <v>Субсидии бюджетным учреждениям</v>
      </c>
      <c r="B1010" s="31" t="s">
        <v>107</v>
      </c>
      <c r="C1010" s="6" t="s">
        <v>190</v>
      </c>
      <c r="D1010" s="1" t="s">
        <v>163</v>
      </c>
      <c r="E1010" s="69">
        <v>610</v>
      </c>
      <c r="F1010" s="58"/>
      <c r="G1010" s="58"/>
    </row>
    <row r="1011" spans="1:7" ht="33">
      <c r="A1011" s="55" t="str">
        <f ca="1">IF(ISERROR(MATCH(B1011,Код_КЦСР,0)),"",INDIRECT(ADDRESS(MATCH(B1011,Код_КЦСР,0)+1,2,,,"КЦСР")))</f>
        <v>Материально-техническое обеспечение деятельности работников местного самоуправления</v>
      </c>
      <c r="B1011" s="31" t="s">
        <v>109</v>
      </c>
      <c r="C1011" s="6"/>
      <c r="D1011" s="1"/>
      <c r="E1011" s="69"/>
      <c r="F1011" s="58">
        <f aca="true" t="shared" si="345" ref="F1011:G1012">F1012</f>
        <v>74104.6</v>
      </c>
      <c r="G1011" s="58">
        <f t="shared" si="345"/>
        <v>74611.4</v>
      </c>
    </row>
    <row r="1012" spans="1:7" ht="12.75">
      <c r="A1012" s="55" t="str">
        <f ca="1">IF(ISERROR(MATCH(C1012,Код_Раздел,0)),"",INDIRECT(ADDRESS(MATCH(C1012,Код_Раздел,0)+1,2,,,"Раздел")))</f>
        <v>Общегосударственные  вопросы</v>
      </c>
      <c r="B1012" s="31" t="s">
        <v>109</v>
      </c>
      <c r="C1012" s="6" t="s">
        <v>187</v>
      </c>
      <c r="D1012" s="1"/>
      <c r="E1012" s="69"/>
      <c r="F1012" s="58">
        <f t="shared" si="345"/>
        <v>74104.6</v>
      </c>
      <c r="G1012" s="58">
        <f t="shared" si="345"/>
        <v>74611.4</v>
      </c>
    </row>
    <row r="1013" spans="1:7" ht="12.75">
      <c r="A1013" s="59" t="s">
        <v>209</v>
      </c>
      <c r="B1013" s="31" t="s">
        <v>109</v>
      </c>
      <c r="C1013" s="6" t="s">
        <v>187</v>
      </c>
      <c r="D1013" s="1" t="s">
        <v>165</v>
      </c>
      <c r="E1013" s="69"/>
      <c r="F1013" s="58">
        <f>F1014+F1016+F1018</f>
        <v>74104.6</v>
      </c>
      <c r="G1013" s="58">
        <f>G1014+G1016+G1018</f>
        <v>74611.4</v>
      </c>
    </row>
    <row r="1014" spans="1:7" ht="36" customHeight="1">
      <c r="A1014" s="55" t="str">
        <f aca="true" t="shared" si="346" ref="A1014:A1019">IF(ISERROR(MATCH(E1014,Код_КВР,0)),"",INDIRECT(ADDRESS(MATCH(E1014,Код_КВР,0)+1,2,,,"КВР")))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4" s="31" t="s">
        <v>109</v>
      </c>
      <c r="C1014" s="6" t="s">
        <v>187</v>
      </c>
      <c r="D1014" s="1" t="s">
        <v>165</v>
      </c>
      <c r="E1014" s="69">
        <v>100</v>
      </c>
      <c r="F1014" s="58">
        <f>F1015</f>
        <v>37425.5</v>
      </c>
      <c r="G1014" s="58">
        <f>G1015</f>
        <v>37425.5</v>
      </c>
    </row>
    <row r="1015" spans="1:7" ht="21" customHeight="1">
      <c r="A1015" s="55" t="str">
        <f ca="1" t="shared" si="346"/>
        <v>Расходы на выплаты персоналу казенных учреждений</v>
      </c>
      <c r="B1015" s="31" t="s">
        <v>109</v>
      </c>
      <c r="C1015" s="6" t="s">
        <v>187</v>
      </c>
      <c r="D1015" s="1" t="s">
        <v>165</v>
      </c>
      <c r="E1015" s="69">
        <v>110</v>
      </c>
      <c r="F1015" s="58">
        <f>'прил.16'!G103</f>
        <v>37425.5</v>
      </c>
      <c r="G1015" s="58">
        <f>'прил.16'!H103</f>
        <v>37425.5</v>
      </c>
    </row>
    <row r="1016" spans="1:7" ht="20.25" customHeight="1">
      <c r="A1016" s="55" t="str">
        <f ca="1" t="shared" si="346"/>
        <v>Закупка товаров, работ и услуг для муниципальных нужд</v>
      </c>
      <c r="B1016" s="31" t="s">
        <v>109</v>
      </c>
      <c r="C1016" s="6" t="s">
        <v>187</v>
      </c>
      <c r="D1016" s="1" t="s">
        <v>165</v>
      </c>
      <c r="E1016" s="69">
        <v>200</v>
      </c>
      <c r="F1016" s="58">
        <f>F1017</f>
        <v>33720.8</v>
      </c>
      <c r="G1016" s="58">
        <f>G1017</f>
        <v>34328</v>
      </c>
    </row>
    <row r="1017" spans="1:7" ht="33">
      <c r="A1017" s="55" t="str">
        <f ca="1" t="shared" si="346"/>
        <v>Иные закупки товаров, работ и услуг для обеспечения муниципальных нужд</v>
      </c>
      <c r="B1017" s="31" t="s">
        <v>109</v>
      </c>
      <c r="C1017" s="6" t="s">
        <v>187</v>
      </c>
      <c r="D1017" s="1" t="s">
        <v>165</v>
      </c>
      <c r="E1017" s="69">
        <v>240</v>
      </c>
      <c r="F1017" s="58">
        <f>'прил.16'!G105</f>
        <v>33720.8</v>
      </c>
      <c r="G1017" s="58">
        <f>'прил.16'!H105</f>
        <v>34328</v>
      </c>
    </row>
    <row r="1018" spans="1:7" ht="12.75">
      <c r="A1018" s="55" t="str">
        <f ca="1" t="shared" si="346"/>
        <v>Иные бюджетные ассигнования</v>
      </c>
      <c r="B1018" s="31" t="s">
        <v>109</v>
      </c>
      <c r="C1018" s="6" t="s">
        <v>187</v>
      </c>
      <c r="D1018" s="1" t="s">
        <v>165</v>
      </c>
      <c r="E1018" s="69">
        <v>800</v>
      </c>
      <c r="F1018" s="58">
        <f>F1019</f>
        <v>2958.2999999999997</v>
      </c>
      <c r="G1018" s="58">
        <f>G1019</f>
        <v>2857.8999999999996</v>
      </c>
    </row>
    <row r="1019" spans="1:7" ht="12.75">
      <c r="A1019" s="55" t="str">
        <f ca="1" t="shared" si="346"/>
        <v>Уплата налогов, сборов и иных платежей</v>
      </c>
      <c r="B1019" s="31" t="s">
        <v>109</v>
      </c>
      <c r="C1019" s="6" t="s">
        <v>187</v>
      </c>
      <c r="D1019" s="1" t="s">
        <v>165</v>
      </c>
      <c r="E1019" s="69">
        <v>850</v>
      </c>
      <c r="F1019" s="58">
        <f>'прил.16'!G107</f>
        <v>2958.2999999999997</v>
      </c>
      <c r="G1019" s="58">
        <f>'прил.16'!H107</f>
        <v>2857.8999999999996</v>
      </c>
    </row>
    <row r="1020" spans="1:7" ht="19.5" customHeight="1">
      <c r="A1020" s="55" t="str">
        <f ca="1">IF(ISERROR(MATCH(B1020,Код_КЦСР,0)),"",INDIRECT(ADDRESS(MATCH(B1020,Код_КЦСР,0)+1,2,,,"КЦСР")))</f>
        <v>Развитие муниципальной службы в мэрии города Череповца</v>
      </c>
      <c r="B1020" s="31" t="s">
        <v>111</v>
      </c>
      <c r="C1020" s="6"/>
      <c r="D1020" s="1"/>
      <c r="E1020" s="69"/>
      <c r="F1020" s="58">
        <f>F1021+F1026</f>
        <v>16574.3</v>
      </c>
      <c r="G1020" s="58">
        <f>G1021+G1026</f>
        <v>16574.3</v>
      </c>
    </row>
    <row r="1021" spans="1:7" ht="49.5">
      <c r="A1021" s="55" t="str">
        <f ca="1">IF(ISERROR(MATCH(B1021,Код_КЦСР,0)),"",INDIRECT(ADDRESS(MATCH(B1021,Код_КЦСР,0)+1,2,,,"КЦСР")))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21" s="31" t="s">
        <v>113</v>
      </c>
      <c r="C1021" s="6"/>
      <c r="D1021" s="1"/>
      <c r="E1021" s="69"/>
      <c r="F1021" s="58">
        <f aca="true" t="shared" si="347" ref="F1021:G1024">F1022</f>
        <v>273</v>
      </c>
      <c r="G1021" s="58">
        <f t="shared" si="347"/>
        <v>273</v>
      </c>
    </row>
    <row r="1022" spans="1:7" ht="12.75">
      <c r="A1022" s="55" t="str">
        <f ca="1">IF(ISERROR(MATCH(C1022,Код_Раздел,0)),"",INDIRECT(ADDRESS(MATCH(C1022,Код_Раздел,0)+1,2,,,"Раздел")))</f>
        <v>Общегосударственные  вопросы</v>
      </c>
      <c r="B1022" s="31" t="s">
        <v>113</v>
      </c>
      <c r="C1022" s="6" t="s">
        <v>187</v>
      </c>
      <c r="D1022" s="1"/>
      <c r="E1022" s="69"/>
      <c r="F1022" s="58">
        <f t="shared" si="347"/>
        <v>273</v>
      </c>
      <c r="G1022" s="58">
        <f t="shared" si="347"/>
        <v>273</v>
      </c>
    </row>
    <row r="1023" spans="1:7" ht="23.25" customHeight="1">
      <c r="A1023" s="59" t="s">
        <v>209</v>
      </c>
      <c r="B1023" s="31" t="s">
        <v>113</v>
      </c>
      <c r="C1023" s="6" t="s">
        <v>187</v>
      </c>
      <c r="D1023" s="1" t="s">
        <v>165</v>
      </c>
      <c r="E1023" s="69"/>
      <c r="F1023" s="58">
        <f t="shared" si="347"/>
        <v>273</v>
      </c>
      <c r="G1023" s="58">
        <f t="shared" si="347"/>
        <v>273</v>
      </c>
    </row>
    <row r="1024" spans="1:7" ht="12.75">
      <c r="A1024" s="55" t="str">
        <f ca="1">IF(ISERROR(MATCH(E1024,Код_КВР,0)),"",INDIRECT(ADDRESS(MATCH(E1024,Код_КВР,0)+1,2,,,"КВР")))</f>
        <v>Закупка товаров, работ и услуг для муниципальных нужд</v>
      </c>
      <c r="B1024" s="31" t="s">
        <v>113</v>
      </c>
      <c r="C1024" s="6" t="s">
        <v>187</v>
      </c>
      <c r="D1024" s="1" t="s">
        <v>165</v>
      </c>
      <c r="E1024" s="69">
        <v>200</v>
      </c>
      <c r="F1024" s="58">
        <f t="shared" si="347"/>
        <v>273</v>
      </c>
      <c r="G1024" s="58">
        <f t="shared" si="347"/>
        <v>273</v>
      </c>
    </row>
    <row r="1025" spans="1:7" ht="33">
      <c r="A1025" s="55" t="str">
        <f ca="1">IF(ISERROR(MATCH(E1025,Код_КВР,0)),"",INDIRECT(ADDRESS(MATCH(E1025,Код_КВР,0)+1,2,,,"КВР")))</f>
        <v>Иные закупки товаров, работ и услуг для обеспечения муниципальных нужд</v>
      </c>
      <c r="B1025" s="31" t="s">
        <v>113</v>
      </c>
      <c r="C1025" s="6" t="s">
        <v>187</v>
      </c>
      <c r="D1025" s="1" t="s">
        <v>165</v>
      </c>
      <c r="E1025" s="69">
        <v>240</v>
      </c>
      <c r="F1025" s="58">
        <f>'прил.16'!G111</f>
        <v>273</v>
      </c>
      <c r="G1025" s="58">
        <f>'прил.16'!H111</f>
        <v>273</v>
      </c>
    </row>
    <row r="1026" spans="1:7" ht="26.25" customHeight="1">
      <c r="A1026" s="55" t="str">
        <f ca="1">IF(ISERROR(MATCH(B1026,Код_КЦСР,0)),"",INDIRECT(ADDRESS(MATCH(B1026,Код_КЦСР,0)+1,2,,,"КЦСР")))</f>
        <v>Повышение престижа муниципальной службы в городе</v>
      </c>
      <c r="B1026" s="31" t="s">
        <v>114</v>
      </c>
      <c r="C1026" s="6"/>
      <c r="D1026" s="1"/>
      <c r="E1026" s="69"/>
      <c r="F1026" s="58">
        <f>F1027</f>
        <v>16301.3</v>
      </c>
      <c r="G1026" s="58">
        <f>G1027</f>
        <v>16301.3</v>
      </c>
    </row>
    <row r="1027" spans="1:7" ht="12.75">
      <c r="A1027" s="55" t="str">
        <f ca="1">IF(ISERROR(MATCH(C1027,Код_Раздел,0)),"",INDIRECT(ADDRESS(MATCH(C1027,Код_Раздел,0)+1,2,,,"Раздел")))</f>
        <v>Социальная политика</v>
      </c>
      <c r="B1027" s="31" t="s">
        <v>114</v>
      </c>
      <c r="C1027" s="6" t="s">
        <v>163</v>
      </c>
      <c r="D1027" s="1"/>
      <c r="E1027" s="69"/>
      <c r="F1027" s="58">
        <f aca="true" t="shared" si="348" ref="F1027:G1029">F1028</f>
        <v>16301.3</v>
      </c>
      <c r="G1027" s="58">
        <f t="shared" si="348"/>
        <v>16301.3</v>
      </c>
    </row>
    <row r="1028" spans="1:7" ht="12.75">
      <c r="A1028" s="59" t="s">
        <v>160</v>
      </c>
      <c r="B1028" s="31" t="s">
        <v>114</v>
      </c>
      <c r="C1028" s="6" t="s">
        <v>163</v>
      </c>
      <c r="D1028" s="1" t="s">
        <v>187</v>
      </c>
      <c r="E1028" s="69"/>
      <c r="F1028" s="58">
        <f t="shared" si="348"/>
        <v>16301.3</v>
      </c>
      <c r="G1028" s="58">
        <f t="shared" si="348"/>
        <v>16301.3</v>
      </c>
    </row>
    <row r="1029" spans="1:7" ht="21" customHeight="1">
      <c r="A1029" s="55" t="str">
        <f ca="1">IF(ISERROR(MATCH(E1029,Код_КВР,0)),"",INDIRECT(ADDRESS(MATCH(E1029,Код_КВР,0)+1,2,,,"КВР")))</f>
        <v>Социальное обеспечение и иные выплаты населению</v>
      </c>
      <c r="B1029" s="31" t="s">
        <v>114</v>
      </c>
      <c r="C1029" s="6" t="s">
        <v>163</v>
      </c>
      <c r="D1029" s="1" t="s">
        <v>187</v>
      </c>
      <c r="E1029" s="69">
        <v>300</v>
      </c>
      <c r="F1029" s="58">
        <f t="shared" si="348"/>
        <v>16301.3</v>
      </c>
      <c r="G1029" s="58">
        <f t="shared" si="348"/>
        <v>16301.3</v>
      </c>
    </row>
    <row r="1030" spans="1:7" ht="12.75">
      <c r="A1030" s="55" t="str">
        <f ca="1">IF(ISERROR(MATCH(E1030,Код_КВР,0)),"",INDIRECT(ADDRESS(MATCH(E1030,Код_КВР,0)+1,2,,,"КВР")))</f>
        <v>Иные выплаты населению</v>
      </c>
      <c r="B1030" s="31" t="s">
        <v>114</v>
      </c>
      <c r="C1030" s="6" t="s">
        <v>163</v>
      </c>
      <c r="D1030" s="1" t="s">
        <v>187</v>
      </c>
      <c r="E1030" s="69">
        <v>360</v>
      </c>
      <c r="F1030" s="58">
        <f>'прил.16'!G285</f>
        <v>16301.3</v>
      </c>
      <c r="G1030" s="58">
        <f>'прил.16'!H285</f>
        <v>16301.3</v>
      </c>
    </row>
    <row r="1031" spans="1:7" ht="74.25" customHeight="1">
      <c r="A1031" s="55" t="str">
        <f ca="1">IF(ISERROR(MATCH(B1031,Код_КЦСР,0)),"",INDIRECT(ADDRESS(MATCH(B1031,Код_КЦСР,0)+1,2,,,"КЦСР")))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31" s="31" t="s">
        <v>116</v>
      </c>
      <c r="C1031" s="6"/>
      <c r="D1031" s="1"/>
      <c r="E1031" s="69"/>
      <c r="F1031" s="58">
        <f>F1032+F1037+F1042+F1054</f>
        <v>66933.7</v>
      </c>
      <c r="G1031" s="58">
        <f>G1032+G1037+G1042+G1054</f>
        <v>66933.7</v>
      </c>
    </row>
    <row r="1032" spans="1:7" ht="12.75" hidden="1">
      <c r="A1032" s="55" t="str">
        <f ca="1">IF(ISERROR(MATCH(B1032,Код_КЦСР,0)),"",INDIRECT(ADDRESS(MATCH(B1032,Код_КЦСР,0)+1,2,,,"КЦСР")))</f>
        <v>Совершенствование предоставления муниципальных услуг</v>
      </c>
      <c r="B1032" s="31" t="s">
        <v>118</v>
      </c>
      <c r="C1032" s="6"/>
      <c r="D1032" s="1"/>
      <c r="E1032" s="69"/>
      <c r="F1032" s="58">
        <f aca="true" t="shared" si="349" ref="F1032:G1035">F1033</f>
        <v>0</v>
      </c>
      <c r="G1032" s="58">
        <f t="shared" si="349"/>
        <v>0</v>
      </c>
    </row>
    <row r="1033" spans="1:7" ht="12.75" hidden="1">
      <c r="A1033" s="55" t="str">
        <f ca="1">IF(ISERROR(MATCH(C1033,Код_Раздел,0)),"",INDIRECT(ADDRESS(MATCH(C1033,Код_Раздел,0)+1,2,,,"Раздел")))</f>
        <v>Национальная экономика</v>
      </c>
      <c r="B1033" s="31" t="s">
        <v>118</v>
      </c>
      <c r="C1033" s="6" t="s">
        <v>190</v>
      </c>
      <c r="D1033" s="1"/>
      <c r="E1033" s="69"/>
      <c r="F1033" s="58">
        <f t="shared" si="349"/>
        <v>0</v>
      </c>
      <c r="G1033" s="58">
        <f t="shared" si="349"/>
        <v>0</v>
      </c>
    </row>
    <row r="1034" spans="1:7" ht="12.75" hidden="1">
      <c r="A1034" s="59" t="s">
        <v>204</v>
      </c>
      <c r="B1034" s="31" t="s">
        <v>118</v>
      </c>
      <c r="C1034" s="6" t="s">
        <v>190</v>
      </c>
      <c r="D1034" s="6" t="s">
        <v>163</v>
      </c>
      <c r="E1034" s="69"/>
      <c r="F1034" s="58">
        <f t="shared" si="349"/>
        <v>0</v>
      </c>
      <c r="G1034" s="58">
        <f t="shared" si="349"/>
        <v>0</v>
      </c>
    </row>
    <row r="1035" spans="1:7" ht="33" hidden="1">
      <c r="A1035" s="55" t="str">
        <f ca="1">IF(ISERROR(MATCH(E1035,Код_КВР,0)),"",INDIRECT(ADDRESS(MATCH(E1035,Код_КВР,0)+1,2,,,"КВР")))</f>
        <v>Предоставление субсидий бюджетным, автономным учреждениям и иным некоммерческим организациям</v>
      </c>
      <c r="B1035" s="31" t="s">
        <v>118</v>
      </c>
      <c r="C1035" s="6" t="s">
        <v>190</v>
      </c>
      <c r="D1035" s="6" t="s">
        <v>163</v>
      </c>
      <c r="E1035" s="69">
        <v>600</v>
      </c>
      <c r="F1035" s="58">
        <f t="shared" si="349"/>
        <v>0</v>
      </c>
      <c r="G1035" s="58">
        <f t="shared" si="349"/>
        <v>0</v>
      </c>
    </row>
    <row r="1036" spans="1:7" ht="12.75" hidden="1">
      <c r="A1036" s="55" t="str">
        <f ca="1">IF(ISERROR(MATCH(E1036,Код_КВР,0)),"",INDIRECT(ADDRESS(MATCH(E1036,Код_КВР,0)+1,2,,,"КВР")))</f>
        <v>Субсидии бюджетным учреждениям</v>
      </c>
      <c r="B1036" s="31" t="s">
        <v>118</v>
      </c>
      <c r="C1036" s="6" t="s">
        <v>190</v>
      </c>
      <c r="D1036" s="6" t="s">
        <v>163</v>
      </c>
      <c r="E1036" s="69">
        <v>610</v>
      </c>
      <c r="F1036" s="58"/>
      <c r="G1036" s="58"/>
    </row>
    <row r="1037" spans="1:7" ht="49.5">
      <c r="A1037" s="55" t="str">
        <f ca="1">IF(ISERROR(MATCH(B1037,Код_КЦСР,0)),"",INDIRECT(ADDRESS(MATCH(B1037,Код_КЦСР,0)+1,2,,,"КЦСР")))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037" s="31" t="s">
        <v>120</v>
      </c>
      <c r="C1037" s="6"/>
      <c r="D1037" s="1"/>
      <c r="E1037" s="69"/>
      <c r="F1037" s="58">
        <f>F1038</f>
        <v>38425.5</v>
      </c>
      <c r="G1037" s="58">
        <f>G1038</f>
        <v>38425.5</v>
      </c>
    </row>
    <row r="1038" spans="1:7" ht="12.75">
      <c r="A1038" s="55" t="str">
        <f ca="1">IF(ISERROR(MATCH(C1038,Код_Раздел,0)),"",INDIRECT(ADDRESS(MATCH(C1038,Код_Раздел,0)+1,2,,,"Раздел")))</f>
        <v>Общегосударственные  вопросы</v>
      </c>
      <c r="B1038" s="31" t="s">
        <v>120</v>
      </c>
      <c r="C1038" s="6" t="s">
        <v>187</v>
      </c>
      <c r="D1038" s="1"/>
      <c r="E1038" s="69"/>
      <c r="F1038" s="58">
        <f aca="true" t="shared" si="350" ref="F1038:G1040">F1039</f>
        <v>38425.5</v>
      </c>
      <c r="G1038" s="58">
        <f t="shared" si="350"/>
        <v>38425.5</v>
      </c>
    </row>
    <row r="1039" spans="1:7" ht="12.75">
      <c r="A1039" s="59" t="s">
        <v>209</v>
      </c>
      <c r="B1039" s="31" t="s">
        <v>120</v>
      </c>
      <c r="C1039" s="6" t="s">
        <v>187</v>
      </c>
      <c r="D1039" s="1" t="s">
        <v>165</v>
      </c>
      <c r="E1039" s="69"/>
      <c r="F1039" s="58">
        <f t="shared" si="350"/>
        <v>38425.5</v>
      </c>
      <c r="G1039" s="58">
        <f t="shared" si="350"/>
        <v>38425.5</v>
      </c>
    </row>
    <row r="1040" spans="1:7" ht="36" customHeight="1">
      <c r="A1040" s="55" t="str">
        <f ca="1">IF(ISERROR(MATCH(E1040,Код_КВР,0)),"",INDIRECT(ADDRESS(MATCH(E1040,Код_КВР,0)+1,2,,,"КВР")))</f>
        <v>Предоставление субсидий бюджетным, автономным учреждениям и иным некоммерческим организациям</v>
      </c>
      <c r="B1040" s="31" t="s">
        <v>120</v>
      </c>
      <c r="C1040" s="6" t="s">
        <v>187</v>
      </c>
      <c r="D1040" s="1" t="s">
        <v>165</v>
      </c>
      <c r="E1040" s="69">
        <v>600</v>
      </c>
      <c r="F1040" s="58">
        <f t="shared" si="350"/>
        <v>38425.5</v>
      </c>
      <c r="G1040" s="58">
        <f t="shared" si="350"/>
        <v>38425.5</v>
      </c>
    </row>
    <row r="1041" spans="1:7" ht="12.75">
      <c r="A1041" s="55" t="str">
        <f ca="1">IF(ISERROR(MATCH(E1041,Код_КВР,0)),"",INDIRECT(ADDRESS(MATCH(E1041,Код_КВР,0)+1,2,,,"КВР")))</f>
        <v>Субсидии бюджетным учреждениям</v>
      </c>
      <c r="B1041" s="31" t="s">
        <v>120</v>
      </c>
      <c r="C1041" s="6" t="s">
        <v>187</v>
      </c>
      <c r="D1041" s="1" t="s">
        <v>165</v>
      </c>
      <c r="E1041" s="69">
        <v>610</v>
      </c>
      <c r="F1041" s="58">
        <v>38425.5</v>
      </c>
      <c r="G1041" s="58">
        <v>38425.5</v>
      </c>
    </row>
    <row r="1042" spans="1:7" ht="23.65" customHeight="1" hidden="1">
      <c r="A1042" s="55" t="str">
        <f ca="1">IF(ISERROR(MATCH(B1042,Код_КЦСР,0)),"",INDIRECT(ADDRESS(MATCH(B1042,Код_КЦСР,0)+1,2,,,"КЦСР")))</f>
        <v>Реализация проекта «Электронный гражданин»</v>
      </c>
      <c r="B1042" s="31" t="s">
        <v>561</v>
      </c>
      <c r="C1042" s="6"/>
      <c r="D1042" s="1"/>
      <c r="E1042" s="91"/>
      <c r="F1042" s="58"/>
      <c r="G1042" s="58"/>
    </row>
    <row r="1043" spans="1:7" ht="12.75" hidden="1">
      <c r="A1043" s="55" t="str">
        <f ca="1">IF(ISERROR(MATCH(C1043,Код_Раздел,0)),"",INDIRECT(ADDRESS(MATCH(C1043,Код_Раздел,0)+1,2,,,"Раздел")))</f>
        <v>Общегосударственные  вопросы</v>
      </c>
      <c r="B1043" s="31" t="s">
        <v>561</v>
      </c>
      <c r="C1043" s="6" t="s">
        <v>187</v>
      </c>
      <c r="D1043" s="1"/>
      <c r="E1043" s="91"/>
      <c r="F1043" s="58"/>
      <c r="G1043" s="58"/>
    </row>
    <row r="1044" spans="1:7" ht="12.75" hidden="1">
      <c r="A1044" s="59" t="s">
        <v>209</v>
      </c>
      <c r="B1044" s="31" t="s">
        <v>561</v>
      </c>
      <c r="C1044" s="6" t="s">
        <v>187</v>
      </c>
      <c r="D1044" s="1" t="s">
        <v>165</v>
      </c>
      <c r="E1044" s="91"/>
      <c r="F1044" s="58"/>
      <c r="G1044" s="58"/>
    </row>
    <row r="1045" spans="1:7" ht="33" hidden="1">
      <c r="A1045" s="55" t="str">
        <f ca="1">IF(ISERROR(MATCH(E1045,Код_КВР,0)),"",INDIRECT(ADDRESS(MATCH(E1045,Код_КВР,0)+1,2,,,"КВР")))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5" s="31" t="s">
        <v>561</v>
      </c>
      <c r="C1045" s="6" t="s">
        <v>187</v>
      </c>
      <c r="D1045" s="1" t="s">
        <v>165</v>
      </c>
      <c r="E1045" s="91">
        <v>100</v>
      </c>
      <c r="F1045" s="58"/>
      <c r="G1045" s="58"/>
    </row>
    <row r="1046" spans="1:7" ht="12.75" hidden="1">
      <c r="A1046" s="55" t="str">
        <f ca="1">IF(ISERROR(MATCH(E1046,Код_КВР,0)),"",INDIRECT(ADDRESS(MATCH(E1046,Код_КВР,0)+1,2,,,"КВР")))</f>
        <v>Расходы на выплаты персоналу казенных учреждений</v>
      </c>
      <c r="B1046" s="31" t="s">
        <v>561</v>
      </c>
      <c r="C1046" s="6" t="s">
        <v>187</v>
      </c>
      <c r="D1046" s="1" t="s">
        <v>165</v>
      </c>
      <c r="E1046" s="91">
        <v>110</v>
      </c>
      <c r="F1046" s="58"/>
      <c r="G1046" s="58"/>
    </row>
    <row r="1047" spans="1:7" ht="12.75" hidden="1">
      <c r="A1047" s="55" t="str">
        <f ca="1">IF(ISERROR(MATCH(E1047,Код_КВР,0)),"",INDIRECT(ADDRESS(MATCH(E1047,Код_КВР,0)+1,2,,,"КВР")))</f>
        <v>Закупка товаров, работ и услуг для муниципальных нужд</v>
      </c>
      <c r="B1047" s="31" t="s">
        <v>561</v>
      </c>
      <c r="C1047" s="6" t="s">
        <v>187</v>
      </c>
      <c r="D1047" s="1" t="s">
        <v>165</v>
      </c>
      <c r="E1047" s="91">
        <v>200</v>
      </c>
      <c r="F1047" s="58"/>
      <c r="G1047" s="58"/>
    </row>
    <row r="1048" spans="1:7" ht="33" hidden="1">
      <c r="A1048" s="55" t="str">
        <f ca="1">IF(ISERROR(MATCH(E1048,Код_КВР,0)),"",INDIRECT(ADDRESS(MATCH(E1048,Код_КВР,0)+1,2,,,"КВР")))</f>
        <v>Иные закупки товаров, работ и услуг для обеспечения муниципальных нужд</v>
      </c>
      <c r="B1048" s="31" t="s">
        <v>561</v>
      </c>
      <c r="C1048" s="6" t="s">
        <v>187</v>
      </c>
      <c r="D1048" s="1" t="s">
        <v>165</v>
      </c>
      <c r="E1048" s="91">
        <v>240</v>
      </c>
      <c r="F1048" s="58"/>
      <c r="G1048" s="58"/>
    </row>
    <row r="1049" spans="1:7" ht="12.75" hidden="1">
      <c r="A1049" s="55" t="str">
        <f ca="1">IF(ISERROR(MATCH(C1049,Код_Раздел,0)),"",INDIRECT(ADDRESS(MATCH(C1049,Код_Раздел,0)+1,2,,,"Раздел")))</f>
        <v>Национальная экономика</v>
      </c>
      <c r="B1049" s="31" t="s">
        <v>561</v>
      </c>
      <c r="C1049" s="6" t="s">
        <v>190</v>
      </c>
      <c r="D1049" s="1"/>
      <c r="E1049" s="91"/>
      <c r="F1049" s="58"/>
      <c r="G1049" s="58"/>
    </row>
    <row r="1050" spans="1:7" ht="12.75" hidden="1">
      <c r="A1050" s="59" t="s">
        <v>204</v>
      </c>
      <c r="B1050" s="31" t="s">
        <v>561</v>
      </c>
      <c r="C1050" s="6" t="s">
        <v>190</v>
      </c>
      <c r="D1050" s="1" t="s">
        <v>163</v>
      </c>
      <c r="E1050" s="91"/>
      <c r="F1050" s="58"/>
      <c r="G1050" s="58"/>
    </row>
    <row r="1051" spans="1:7" ht="33" hidden="1">
      <c r="A1051" s="55" t="str">
        <f ca="1">IF(ISERROR(MATCH(E1051,Код_КВР,0)),"",INDIRECT(ADDRESS(MATCH(E1051,Код_КВР,0)+1,2,,,"КВР")))</f>
        <v>Предоставление субсидий бюджетным, автономным учреждениям и иным некоммерческим организациям</v>
      </c>
      <c r="B1051" s="31" t="s">
        <v>561</v>
      </c>
      <c r="C1051" s="6" t="s">
        <v>190</v>
      </c>
      <c r="D1051" s="1" t="s">
        <v>163</v>
      </c>
      <c r="E1051" s="91">
        <v>600</v>
      </c>
      <c r="F1051" s="58"/>
      <c r="G1051" s="58"/>
    </row>
    <row r="1052" spans="1:7" ht="12.75" hidden="1">
      <c r="A1052" s="55" t="str">
        <f ca="1">IF(ISERROR(MATCH(E1052,Код_КВР,0)),"",INDIRECT(ADDRESS(MATCH(E1052,Код_КВР,0)+1,2,,,"КВР")))</f>
        <v>Субсидии бюджетным учреждениям</v>
      </c>
      <c r="B1052" s="31" t="s">
        <v>561</v>
      </c>
      <c r="C1052" s="6" t="s">
        <v>190</v>
      </c>
      <c r="D1052" s="1" t="s">
        <v>163</v>
      </c>
      <c r="E1052" s="91">
        <v>610</v>
      </c>
      <c r="F1052" s="58"/>
      <c r="G1052" s="58"/>
    </row>
    <row r="1053" spans="1:7" ht="87" customHeight="1">
      <c r="A1053" s="55" t="str">
        <f ca="1">IF(ISERROR(MATCH(B1053,Код_КЦСР,0)),"",INDIRECT(ADDRESS(MATCH(B1053,Код_КЦСР,0)+1,2,,,"КЦСР")))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053" s="31" t="s">
        <v>587</v>
      </c>
      <c r="C1053" s="6"/>
      <c r="D1053" s="1"/>
      <c r="E1053" s="99"/>
      <c r="F1053" s="58">
        <f aca="true" t="shared" si="351" ref="F1053:G1053">F1054</f>
        <v>28508.2</v>
      </c>
      <c r="G1053" s="58">
        <f t="shared" si="351"/>
        <v>28508.2</v>
      </c>
    </row>
    <row r="1054" spans="1:7" ht="12.75">
      <c r="A1054" s="55" t="str">
        <f ca="1">IF(ISERROR(MATCH(C1054,Код_Раздел,0)),"",INDIRECT(ADDRESS(MATCH(C1054,Код_Раздел,0)+1,2,,,"Раздел")))</f>
        <v>Общегосударственные  вопросы</v>
      </c>
      <c r="B1054" s="31" t="s">
        <v>587</v>
      </c>
      <c r="C1054" s="6" t="s">
        <v>187</v>
      </c>
      <c r="D1054" s="1"/>
      <c r="E1054" s="99"/>
      <c r="F1054" s="58">
        <f aca="true" t="shared" si="352" ref="F1054:G1056">F1055</f>
        <v>28508.2</v>
      </c>
      <c r="G1054" s="58">
        <f t="shared" si="352"/>
        <v>28508.2</v>
      </c>
    </row>
    <row r="1055" spans="1:7" ht="12.75">
      <c r="A1055" s="59" t="s">
        <v>209</v>
      </c>
      <c r="B1055" s="31" t="s">
        <v>587</v>
      </c>
      <c r="C1055" s="6" t="s">
        <v>187</v>
      </c>
      <c r="D1055" s="1" t="s">
        <v>165</v>
      </c>
      <c r="E1055" s="99"/>
      <c r="F1055" s="58">
        <f t="shared" si="352"/>
        <v>28508.2</v>
      </c>
      <c r="G1055" s="58">
        <f t="shared" si="352"/>
        <v>28508.2</v>
      </c>
    </row>
    <row r="1056" spans="1:7" ht="33">
      <c r="A1056" s="55" t="str">
        <f ca="1">IF(ISERROR(MATCH(E1056,Код_КВР,0)),"",INDIRECT(ADDRESS(MATCH(E1056,Код_КВР,0)+1,2,,,"КВР")))</f>
        <v>Предоставление субсидий бюджетным, автономным учреждениям и иным некоммерческим организациям</v>
      </c>
      <c r="B1056" s="31" t="s">
        <v>587</v>
      </c>
      <c r="C1056" s="6" t="s">
        <v>187</v>
      </c>
      <c r="D1056" s="1" t="s">
        <v>165</v>
      </c>
      <c r="E1056" s="99">
        <v>600</v>
      </c>
      <c r="F1056" s="58">
        <f t="shared" si="352"/>
        <v>28508.2</v>
      </c>
      <c r="G1056" s="58">
        <f t="shared" si="352"/>
        <v>28508.2</v>
      </c>
    </row>
    <row r="1057" spans="1:7" ht="12.75">
      <c r="A1057" s="55" t="str">
        <f ca="1">IF(ISERROR(MATCH(E1057,Код_КВР,0)),"",INDIRECT(ADDRESS(MATCH(E1057,Код_КВР,0)+1,2,,,"КВР")))</f>
        <v>Субсидии бюджетным учреждениям</v>
      </c>
      <c r="B1057" s="31" t="s">
        <v>587</v>
      </c>
      <c r="C1057" s="6" t="s">
        <v>187</v>
      </c>
      <c r="D1057" s="1" t="s">
        <v>165</v>
      </c>
      <c r="E1057" s="99">
        <v>610</v>
      </c>
      <c r="F1057" s="58">
        <f>'прил.16'!G126</f>
        <v>28508.2</v>
      </c>
      <c r="G1057" s="58">
        <f>'прил.16'!H126</f>
        <v>28508.2</v>
      </c>
    </row>
    <row r="1058" spans="1:7" ht="58.5" customHeight="1">
      <c r="A1058" s="55" t="str">
        <f ca="1">IF(ISERROR(MATCH(B1058,Код_КЦСР,0)),"",INDIRECT(ADDRESS(MATCH(B1058,Код_КЦСР,0)+1,2,,,"КЦСР")))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058" s="31" t="s">
        <v>121</v>
      </c>
      <c r="C1058" s="6"/>
      <c r="D1058" s="1"/>
      <c r="E1058" s="69"/>
      <c r="F1058" s="58">
        <f aca="true" t="shared" si="353" ref="F1058:G1058">F1059+F1064+F1073+F1078+F1083+F1092</f>
        <v>46016</v>
      </c>
      <c r="G1058" s="58">
        <f t="shared" si="353"/>
        <v>46048.8</v>
      </c>
    </row>
    <row r="1059" spans="1:7" ht="49.5" hidden="1">
      <c r="A1059" s="55" t="str">
        <f ca="1">IF(ISERROR(MATCH(B1059,Код_КЦСР,0)),"",INDIRECT(ADDRESS(MATCH(B1059,Код_КЦСР,0)+1,2,,,"КЦСР")))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059" s="31" t="s">
        <v>122</v>
      </c>
      <c r="C1059" s="6"/>
      <c r="D1059" s="1"/>
      <c r="E1059" s="69"/>
      <c r="F1059" s="58">
        <f aca="true" t="shared" si="354" ref="F1059:G1062">F1060</f>
        <v>0</v>
      </c>
      <c r="G1059" s="58">
        <f t="shared" si="354"/>
        <v>0</v>
      </c>
    </row>
    <row r="1060" spans="1:7" ht="12.75" hidden="1">
      <c r="A1060" s="55" t="str">
        <f ca="1">IF(ISERROR(MATCH(C1060,Код_Раздел,0)),"",INDIRECT(ADDRESS(MATCH(C1060,Код_Раздел,0)+1,2,,,"Раздел")))</f>
        <v>Общегосударственные  вопросы</v>
      </c>
      <c r="B1060" s="31" t="s">
        <v>122</v>
      </c>
      <c r="C1060" s="6" t="s">
        <v>187</v>
      </c>
      <c r="D1060" s="1"/>
      <c r="E1060" s="69"/>
      <c r="F1060" s="58">
        <f t="shared" si="354"/>
        <v>0</v>
      </c>
      <c r="G1060" s="58">
        <f t="shared" si="354"/>
        <v>0</v>
      </c>
    </row>
    <row r="1061" spans="1:7" ht="12.75" hidden="1">
      <c r="A1061" s="59" t="s">
        <v>209</v>
      </c>
      <c r="B1061" s="31" t="s">
        <v>122</v>
      </c>
      <c r="C1061" s="6" t="s">
        <v>187</v>
      </c>
      <c r="D1061" s="1" t="s">
        <v>165</v>
      </c>
      <c r="E1061" s="69"/>
      <c r="F1061" s="58">
        <f t="shared" si="354"/>
        <v>0</v>
      </c>
      <c r="G1061" s="58">
        <f t="shared" si="354"/>
        <v>0</v>
      </c>
    </row>
    <row r="1062" spans="1:7" ht="12.75" hidden="1">
      <c r="A1062" s="55" t="str">
        <f ca="1">IF(ISERROR(MATCH(E1062,Код_КВР,0)),"",INDIRECT(ADDRESS(MATCH(E1062,Код_КВР,0)+1,2,,,"КВР")))</f>
        <v>Закупка товаров, работ и услуг для муниципальных нужд</v>
      </c>
      <c r="B1062" s="31" t="s">
        <v>122</v>
      </c>
      <c r="C1062" s="6" t="s">
        <v>187</v>
      </c>
      <c r="D1062" s="1" t="s">
        <v>165</v>
      </c>
      <c r="E1062" s="69">
        <v>200</v>
      </c>
      <c r="F1062" s="58">
        <f t="shared" si="354"/>
        <v>0</v>
      </c>
      <c r="G1062" s="58">
        <f t="shared" si="354"/>
        <v>0</v>
      </c>
    </row>
    <row r="1063" spans="1:7" ht="33" hidden="1">
      <c r="A1063" s="55" t="str">
        <f ca="1">IF(ISERROR(MATCH(E1063,Код_КВР,0)),"",INDIRECT(ADDRESS(MATCH(E1063,Код_КВР,0)+1,2,,,"КВР")))</f>
        <v>Иные закупки товаров, работ и услуг для обеспечения муниципальных нужд</v>
      </c>
      <c r="B1063" s="31" t="s">
        <v>122</v>
      </c>
      <c r="C1063" s="6" t="s">
        <v>187</v>
      </c>
      <c r="D1063" s="1" t="s">
        <v>165</v>
      </c>
      <c r="E1063" s="69">
        <v>240</v>
      </c>
      <c r="F1063" s="58"/>
      <c r="G1063" s="58"/>
    </row>
    <row r="1064" spans="1:7" ht="66">
      <c r="A1064" s="55" t="str">
        <f ca="1">IF(ISERROR(MATCH(B1064,Код_КЦСР,0)),"",INDIRECT(ADDRESS(MATCH(B1064,Код_КЦСР,0)+1,2,,,"КЦСР")))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064" s="31" t="s">
        <v>123</v>
      </c>
      <c r="C1064" s="6"/>
      <c r="D1064" s="1"/>
      <c r="E1064" s="69"/>
      <c r="F1064" s="58">
        <f aca="true" t="shared" si="355" ref="F1064:G1064">F1065+F1069</f>
        <v>462.7</v>
      </c>
      <c r="G1064" s="58">
        <f t="shared" si="355"/>
        <v>462.7</v>
      </c>
    </row>
    <row r="1065" spans="1:7" ht="12.75">
      <c r="A1065" s="55" t="str">
        <f ca="1">IF(ISERROR(MATCH(C1065,Код_Раздел,0)),"",INDIRECT(ADDRESS(MATCH(C1065,Код_Раздел,0)+1,2,,,"Раздел")))</f>
        <v>Общегосударственные  вопросы</v>
      </c>
      <c r="B1065" s="31" t="s">
        <v>123</v>
      </c>
      <c r="C1065" s="6" t="s">
        <v>187</v>
      </c>
      <c r="D1065" s="1"/>
      <c r="E1065" s="69"/>
      <c r="F1065" s="58">
        <f aca="true" t="shared" si="356" ref="F1065:G1067">F1066</f>
        <v>378.5</v>
      </c>
      <c r="G1065" s="58">
        <f t="shared" si="356"/>
        <v>378.5</v>
      </c>
    </row>
    <row r="1066" spans="1:7" ht="12.75">
      <c r="A1066" s="59" t="s">
        <v>209</v>
      </c>
      <c r="B1066" s="31" t="s">
        <v>123</v>
      </c>
      <c r="C1066" s="6" t="s">
        <v>187</v>
      </c>
      <c r="D1066" s="1" t="s">
        <v>165</v>
      </c>
      <c r="E1066" s="69"/>
      <c r="F1066" s="58">
        <f t="shared" si="356"/>
        <v>378.5</v>
      </c>
      <c r="G1066" s="58">
        <f t="shared" si="356"/>
        <v>378.5</v>
      </c>
    </row>
    <row r="1067" spans="1:7" ht="12.75">
      <c r="A1067" s="55" t="str">
        <f ca="1">IF(ISERROR(MATCH(E1067,Код_КВР,0)),"",INDIRECT(ADDRESS(MATCH(E1067,Код_КВР,0)+1,2,,,"КВР")))</f>
        <v>Закупка товаров, работ и услуг для муниципальных нужд</v>
      </c>
      <c r="B1067" s="31" t="s">
        <v>123</v>
      </c>
      <c r="C1067" s="6" t="s">
        <v>187</v>
      </c>
      <c r="D1067" s="1" t="s">
        <v>165</v>
      </c>
      <c r="E1067" s="69">
        <v>200</v>
      </c>
      <c r="F1067" s="58">
        <f t="shared" si="356"/>
        <v>378.5</v>
      </c>
      <c r="G1067" s="58">
        <f t="shared" si="356"/>
        <v>378.5</v>
      </c>
    </row>
    <row r="1068" spans="1:7" ht="33">
      <c r="A1068" s="55" t="str">
        <f ca="1">IF(ISERROR(MATCH(E1068,Код_КВР,0)),"",INDIRECT(ADDRESS(MATCH(E1068,Код_КВР,0)+1,2,,,"КВР")))</f>
        <v>Иные закупки товаров, работ и услуг для обеспечения муниципальных нужд</v>
      </c>
      <c r="B1068" s="31" t="s">
        <v>123</v>
      </c>
      <c r="C1068" s="6" t="s">
        <v>187</v>
      </c>
      <c r="D1068" s="1" t="s">
        <v>165</v>
      </c>
      <c r="E1068" s="69">
        <v>240</v>
      </c>
      <c r="F1068" s="58">
        <f>'прил.16'!G133</f>
        <v>378.5</v>
      </c>
      <c r="G1068" s="58">
        <f>'прил.16'!H133</f>
        <v>378.5</v>
      </c>
    </row>
    <row r="1069" spans="1:7" ht="12.75">
      <c r="A1069" s="55" t="str">
        <f ca="1">IF(ISERROR(MATCH(C1069,Код_Раздел,0)),"",INDIRECT(ADDRESS(MATCH(C1069,Код_Раздел,0)+1,2,,,"Раздел")))</f>
        <v>Жилищно-коммунальное хозяйство</v>
      </c>
      <c r="B1069" s="31" t="s">
        <v>123</v>
      </c>
      <c r="C1069" s="6" t="s">
        <v>195</v>
      </c>
      <c r="D1069" s="1"/>
      <c r="E1069" s="69"/>
      <c r="F1069" s="58">
        <f>F1070</f>
        <v>84.2</v>
      </c>
      <c r="G1069" s="58">
        <f>G1070</f>
        <v>84.2</v>
      </c>
    </row>
    <row r="1070" spans="1:7" ht="12.75">
      <c r="A1070" s="55" t="s">
        <v>222</v>
      </c>
      <c r="B1070" s="31" t="s">
        <v>123</v>
      </c>
      <c r="C1070" s="6" t="s">
        <v>195</v>
      </c>
      <c r="D1070" s="6" t="s">
        <v>189</v>
      </c>
      <c r="E1070" s="69"/>
      <c r="F1070" s="58">
        <f aca="true" t="shared" si="357" ref="F1070:G1071">F1071</f>
        <v>84.2</v>
      </c>
      <c r="G1070" s="58">
        <f t="shared" si="357"/>
        <v>84.2</v>
      </c>
    </row>
    <row r="1071" spans="1:7" ht="20.25" customHeight="1">
      <c r="A1071" s="55" t="str">
        <f ca="1">IF(ISERROR(MATCH(E1071,Код_КВР,0)),"",INDIRECT(ADDRESS(MATCH(E1071,Код_КВР,0)+1,2,,,"КВР")))</f>
        <v>Закупка товаров, работ и услуг для муниципальных нужд</v>
      </c>
      <c r="B1071" s="31" t="s">
        <v>123</v>
      </c>
      <c r="C1071" s="6" t="s">
        <v>195</v>
      </c>
      <c r="D1071" s="6" t="s">
        <v>189</v>
      </c>
      <c r="E1071" s="69">
        <v>200</v>
      </c>
      <c r="F1071" s="58">
        <f t="shared" si="357"/>
        <v>84.2</v>
      </c>
      <c r="G1071" s="58">
        <f t="shared" si="357"/>
        <v>84.2</v>
      </c>
    </row>
    <row r="1072" spans="1:7" ht="33">
      <c r="A1072" s="55" t="str">
        <f ca="1">IF(ISERROR(MATCH(E1072,Код_КВР,0)),"",INDIRECT(ADDRESS(MATCH(E1072,Код_КВР,0)+1,2,,,"КВР")))</f>
        <v>Иные закупки товаров, работ и услуг для обеспечения муниципальных нужд</v>
      </c>
      <c r="B1072" s="31" t="s">
        <v>123</v>
      </c>
      <c r="C1072" s="6" t="s">
        <v>195</v>
      </c>
      <c r="D1072" s="6" t="s">
        <v>189</v>
      </c>
      <c r="E1072" s="69">
        <v>240</v>
      </c>
      <c r="F1072" s="58">
        <f>'прил.16'!G424</f>
        <v>84.2</v>
      </c>
      <c r="G1072" s="58">
        <f>'прил.16'!H424</f>
        <v>84.2</v>
      </c>
    </row>
    <row r="1073" spans="1:7" ht="66" hidden="1">
      <c r="A1073" s="55" t="str">
        <f ca="1">IF(ISERROR(MATCH(B1073,Код_КЦСР,0)),"",INDIRECT(ADDRESS(MATCH(B1073,Код_КЦСР,0)+1,2,,,"КЦСР")))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073" s="31" t="s">
        <v>124</v>
      </c>
      <c r="C1073" s="6"/>
      <c r="D1073" s="1"/>
      <c r="E1073" s="69"/>
      <c r="F1073" s="58">
        <f>F1074</f>
        <v>0</v>
      </c>
      <c r="G1073" s="58">
        <f>G1074</f>
        <v>0</v>
      </c>
    </row>
    <row r="1074" spans="1:7" ht="12.75" hidden="1">
      <c r="A1074" s="55" t="str">
        <f ca="1">IF(ISERROR(MATCH(C1074,Код_Раздел,0)),"",INDIRECT(ADDRESS(MATCH(C1074,Код_Раздел,0)+1,2,,,"Раздел")))</f>
        <v>Общегосударственные  вопросы</v>
      </c>
      <c r="B1074" s="31" t="s">
        <v>124</v>
      </c>
      <c r="C1074" s="6" t="s">
        <v>187</v>
      </c>
      <c r="D1074" s="1"/>
      <c r="E1074" s="69"/>
      <c r="F1074" s="58">
        <f aca="true" t="shared" si="358" ref="F1074:G1076">F1075</f>
        <v>0</v>
      </c>
      <c r="G1074" s="58">
        <f t="shared" si="358"/>
        <v>0</v>
      </c>
    </row>
    <row r="1075" spans="1:7" ht="12.75" hidden="1">
      <c r="A1075" s="59" t="s">
        <v>209</v>
      </c>
      <c r="B1075" s="31" t="s">
        <v>124</v>
      </c>
      <c r="C1075" s="6" t="s">
        <v>187</v>
      </c>
      <c r="D1075" s="1" t="s">
        <v>165</v>
      </c>
      <c r="E1075" s="69"/>
      <c r="F1075" s="58">
        <f t="shared" si="358"/>
        <v>0</v>
      </c>
      <c r="G1075" s="58">
        <f t="shared" si="358"/>
        <v>0</v>
      </c>
    </row>
    <row r="1076" spans="1:7" ht="12.75" hidden="1">
      <c r="A1076" s="55" t="str">
        <f ca="1">IF(ISERROR(MATCH(E1076,Код_КВР,0)),"",INDIRECT(ADDRESS(MATCH(E1076,Код_КВР,0)+1,2,,,"КВР")))</f>
        <v>Закупка товаров, работ и услуг для муниципальных нужд</v>
      </c>
      <c r="B1076" s="31" t="s">
        <v>124</v>
      </c>
      <c r="C1076" s="6" t="s">
        <v>187</v>
      </c>
      <c r="D1076" s="1" t="s">
        <v>165</v>
      </c>
      <c r="E1076" s="69">
        <v>200</v>
      </c>
      <c r="F1076" s="58">
        <f t="shared" si="358"/>
        <v>0</v>
      </c>
      <c r="G1076" s="58">
        <f t="shared" si="358"/>
        <v>0</v>
      </c>
    </row>
    <row r="1077" spans="1:7" ht="33" hidden="1">
      <c r="A1077" s="55" t="str">
        <f ca="1">IF(ISERROR(MATCH(E1077,Код_КВР,0)),"",INDIRECT(ADDRESS(MATCH(E1077,Код_КВР,0)+1,2,,,"КВР")))</f>
        <v>Иные закупки товаров, работ и услуг для обеспечения муниципальных нужд</v>
      </c>
      <c r="B1077" s="31" t="s">
        <v>124</v>
      </c>
      <c r="C1077" s="6" t="s">
        <v>187</v>
      </c>
      <c r="D1077" s="1" t="s">
        <v>165</v>
      </c>
      <c r="E1077" s="69">
        <v>240</v>
      </c>
      <c r="F1077" s="58"/>
      <c r="G1077" s="58"/>
    </row>
    <row r="1078" spans="1:7" ht="49.5">
      <c r="A1078" s="55" t="str">
        <f ca="1">IF(ISERROR(MATCH(B1078,Код_КЦСР,0)),"",INDIRECT(ADDRESS(MATCH(B1078,Код_КЦСР,0)+1,2,,,"КЦСР")))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078" s="31" t="s">
        <v>125</v>
      </c>
      <c r="C1078" s="6"/>
      <c r="D1078" s="1"/>
      <c r="E1078" s="69"/>
      <c r="F1078" s="58">
        <f>F1079</f>
        <v>479.7</v>
      </c>
      <c r="G1078" s="58">
        <f>G1079</f>
        <v>479.7</v>
      </c>
    </row>
    <row r="1079" spans="1:7" ht="12.75">
      <c r="A1079" s="55" t="str">
        <f ca="1">IF(ISERROR(MATCH(C1079,Код_Раздел,0)),"",INDIRECT(ADDRESS(MATCH(C1079,Код_Раздел,0)+1,2,,,"Раздел")))</f>
        <v>Общегосударственные  вопросы</v>
      </c>
      <c r="B1079" s="31" t="s">
        <v>125</v>
      </c>
      <c r="C1079" s="6" t="s">
        <v>187</v>
      </c>
      <c r="D1079" s="1"/>
      <c r="E1079" s="69"/>
      <c r="F1079" s="58">
        <f aca="true" t="shared" si="359" ref="F1079:G1081">F1080</f>
        <v>479.7</v>
      </c>
      <c r="G1079" s="58">
        <f t="shared" si="359"/>
        <v>479.7</v>
      </c>
    </row>
    <row r="1080" spans="1:7" ht="12.75">
      <c r="A1080" s="59" t="s">
        <v>209</v>
      </c>
      <c r="B1080" s="31" t="s">
        <v>125</v>
      </c>
      <c r="C1080" s="6" t="s">
        <v>187</v>
      </c>
      <c r="D1080" s="1" t="s">
        <v>165</v>
      </c>
      <c r="E1080" s="69"/>
      <c r="F1080" s="58">
        <f t="shared" si="359"/>
        <v>479.7</v>
      </c>
      <c r="G1080" s="58">
        <f t="shared" si="359"/>
        <v>479.7</v>
      </c>
    </row>
    <row r="1081" spans="1:7" ht="12.75">
      <c r="A1081" s="55" t="str">
        <f ca="1">IF(ISERROR(MATCH(E1081,Код_КВР,0)),"",INDIRECT(ADDRESS(MATCH(E1081,Код_КВР,0)+1,2,,,"КВР")))</f>
        <v>Иные бюджетные ассигнования</v>
      </c>
      <c r="B1081" s="31" t="s">
        <v>125</v>
      </c>
      <c r="C1081" s="6" t="s">
        <v>187</v>
      </c>
      <c r="D1081" s="1" t="s">
        <v>165</v>
      </c>
      <c r="E1081" s="69">
        <v>800</v>
      </c>
      <c r="F1081" s="58">
        <f t="shared" si="359"/>
        <v>479.7</v>
      </c>
      <c r="G1081" s="58">
        <f t="shared" si="359"/>
        <v>479.7</v>
      </c>
    </row>
    <row r="1082" spans="1:7" ht="12.75">
      <c r="A1082" s="55" t="str">
        <f ca="1">IF(ISERROR(MATCH(E1082,Код_КВР,0)),"",INDIRECT(ADDRESS(MATCH(E1082,Код_КВР,0)+1,2,,,"КВР")))</f>
        <v>Уплата налогов, сборов и иных платежей</v>
      </c>
      <c r="B1082" s="31" t="s">
        <v>125</v>
      </c>
      <c r="C1082" s="6" t="s">
        <v>187</v>
      </c>
      <c r="D1082" s="1" t="s">
        <v>165</v>
      </c>
      <c r="E1082" s="69">
        <v>850</v>
      </c>
      <c r="F1082" s="58">
        <f>'прил.16'!G139</f>
        <v>479.7</v>
      </c>
      <c r="G1082" s="58">
        <f>'прил.16'!H139</f>
        <v>479.7</v>
      </c>
    </row>
    <row r="1083" spans="1:7" ht="69.75" customHeight="1">
      <c r="A1083" s="55" t="str">
        <f ca="1">IF(ISERROR(MATCH(B1083,Код_КЦСР,0)),"",INDIRECT(ADDRESS(MATCH(B1083,Код_КЦСР,0)+1,2,,,"КЦСР")))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1083" s="31" t="s">
        <v>126</v>
      </c>
      <c r="C1083" s="6"/>
      <c r="D1083" s="1"/>
      <c r="E1083" s="69"/>
      <c r="F1083" s="58">
        <f aca="true" t="shared" si="360" ref="F1083:G1084">F1084</f>
        <v>24168.8</v>
      </c>
      <c r="G1083" s="58">
        <f t="shared" si="360"/>
        <v>24201.6</v>
      </c>
    </row>
    <row r="1084" spans="1:7" ht="12.75">
      <c r="A1084" s="55" t="str">
        <f ca="1">IF(ISERROR(MATCH(C1084,Код_Раздел,0)),"",INDIRECT(ADDRESS(MATCH(C1084,Код_Раздел,0)+1,2,,,"Раздел")))</f>
        <v>Средства массовой информации</v>
      </c>
      <c r="B1084" s="31" t="s">
        <v>126</v>
      </c>
      <c r="C1084" s="6" t="s">
        <v>171</v>
      </c>
      <c r="D1084" s="1"/>
      <c r="E1084" s="69"/>
      <c r="F1084" s="58">
        <f t="shared" si="360"/>
        <v>24168.8</v>
      </c>
      <c r="G1084" s="58">
        <f t="shared" si="360"/>
        <v>24201.6</v>
      </c>
    </row>
    <row r="1085" spans="1:7" ht="12.75">
      <c r="A1085" s="59" t="s">
        <v>173</v>
      </c>
      <c r="B1085" s="31" t="s">
        <v>126</v>
      </c>
      <c r="C1085" s="6" t="s">
        <v>171</v>
      </c>
      <c r="D1085" s="1" t="s">
        <v>188</v>
      </c>
      <c r="E1085" s="69"/>
      <c r="F1085" s="58">
        <f>F1086+F1088+F1090</f>
        <v>24168.8</v>
      </c>
      <c r="G1085" s="58">
        <f>G1086+G1088+G1090</f>
        <v>24201.6</v>
      </c>
    </row>
    <row r="1086" spans="1:7" ht="41.25" customHeight="1">
      <c r="A1086" s="55" t="str">
        <f aca="true" t="shared" si="361" ref="A1086:A1091">IF(ISERROR(MATCH(E1086,Код_КВР,0)),"",INDIRECT(ADDRESS(MATCH(E1086,Код_КВР,0)+1,2,,,"КВР")))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86" s="31" t="s">
        <v>126</v>
      </c>
      <c r="C1086" s="6" t="s">
        <v>171</v>
      </c>
      <c r="D1086" s="1" t="s">
        <v>188</v>
      </c>
      <c r="E1086" s="69">
        <v>100</v>
      </c>
      <c r="F1086" s="58">
        <f>F1087</f>
        <v>19153.1</v>
      </c>
      <c r="G1086" s="58">
        <f>G1087</f>
        <v>19153.1</v>
      </c>
    </row>
    <row r="1087" spans="1:7" ht="12.75">
      <c r="A1087" s="55" t="str">
        <f ca="1" t="shared" si="361"/>
        <v>Расходы на выплаты персоналу казенных учреждений</v>
      </c>
      <c r="B1087" s="31" t="s">
        <v>126</v>
      </c>
      <c r="C1087" s="6" t="s">
        <v>171</v>
      </c>
      <c r="D1087" s="1" t="s">
        <v>188</v>
      </c>
      <c r="E1087" s="69">
        <v>110</v>
      </c>
      <c r="F1087" s="58">
        <f>'прил.16'!G317</f>
        <v>19153.1</v>
      </c>
      <c r="G1087" s="58">
        <f>'прил.16'!H317</f>
        <v>19153.1</v>
      </c>
    </row>
    <row r="1088" spans="1:7" ht="12.75">
      <c r="A1088" s="55" t="str">
        <f ca="1" t="shared" si="361"/>
        <v>Закупка товаров, работ и услуг для муниципальных нужд</v>
      </c>
      <c r="B1088" s="31" t="s">
        <v>126</v>
      </c>
      <c r="C1088" s="6" t="s">
        <v>171</v>
      </c>
      <c r="D1088" s="1" t="s">
        <v>188</v>
      </c>
      <c r="E1088" s="69">
        <v>200</v>
      </c>
      <c r="F1088" s="58">
        <f>F1089</f>
        <v>4432.5</v>
      </c>
      <c r="G1088" s="58">
        <f>G1089</f>
        <v>4471.1</v>
      </c>
    </row>
    <row r="1089" spans="1:7" ht="33">
      <c r="A1089" s="55" t="str">
        <f ca="1" t="shared" si="361"/>
        <v>Иные закупки товаров, работ и услуг для обеспечения муниципальных нужд</v>
      </c>
      <c r="B1089" s="31" t="s">
        <v>126</v>
      </c>
      <c r="C1089" s="6" t="s">
        <v>171</v>
      </c>
      <c r="D1089" s="1" t="s">
        <v>188</v>
      </c>
      <c r="E1089" s="69">
        <v>240</v>
      </c>
      <c r="F1089" s="58">
        <f>'прил.16'!G319</f>
        <v>4432.5</v>
      </c>
      <c r="G1089" s="58">
        <f>'прил.16'!H319</f>
        <v>4471.1</v>
      </c>
    </row>
    <row r="1090" spans="1:7" ht="12.75">
      <c r="A1090" s="55" t="str">
        <f ca="1" t="shared" si="361"/>
        <v>Иные бюджетные ассигнования</v>
      </c>
      <c r="B1090" s="31" t="s">
        <v>126</v>
      </c>
      <c r="C1090" s="6" t="s">
        <v>171</v>
      </c>
      <c r="D1090" s="1" t="s">
        <v>188</v>
      </c>
      <c r="E1090" s="69">
        <v>800</v>
      </c>
      <c r="F1090" s="58">
        <f>F1091</f>
        <v>583.2</v>
      </c>
      <c r="G1090" s="58">
        <f>G1091</f>
        <v>577.4</v>
      </c>
    </row>
    <row r="1091" spans="1:7" ht="12.75">
      <c r="A1091" s="55" t="str">
        <f ca="1" t="shared" si="361"/>
        <v>Уплата налогов, сборов и иных платежей</v>
      </c>
      <c r="B1091" s="31" t="s">
        <v>126</v>
      </c>
      <c r="C1091" s="6" t="s">
        <v>171</v>
      </c>
      <c r="D1091" s="1" t="s">
        <v>188</v>
      </c>
      <c r="E1091" s="69">
        <v>850</v>
      </c>
      <c r="F1091" s="58">
        <f>'прил.16'!G321</f>
        <v>583.2</v>
      </c>
      <c r="G1091" s="58">
        <f>'прил.16'!H321</f>
        <v>577.4</v>
      </c>
    </row>
    <row r="1092" spans="1:7" ht="68.25" customHeight="1">
      <c r="A1092" s="55" t="str">
        <f ca="1">IF(ISERROR(MATCH(B1092,Код_КЦСР,0)),"",INDIRECT(ADDRESS(MATCH(B1092,Код_КЦСР,0)+1,2,,,"КЦСР")))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092" s="31" t="s">
        <v>127</v>
      </c>
      <c r="C1092" s="6"/>
      <c r="D1092" s="1"/>
      <c r="E1092" s="69"/>
      <c r="F1092" s="58">
        <f>F1093</f>
        <v>20904.8</v>
      </c>
      <c r="G1092" s="58">
        <f>G1093</f>
        <v>20904.8</v>
      </c>
    </row>
    <row r="1093" spans="1:7" ht="20.25" customHeight="1">
      <c r="A1093" s="55" t="str">
        <f ca="1">IF(ISERROR(MATCH(C1093,Код_Раздел,0)),"",INDIRECT(ADDRESS(MATCH(C1093,Код_Раздел,0)+1,2,,,"Раздел")))</f>
        <v>Средства массовой информации</v>
      </c>
      <c r="B1093" s="31" t="s">
        <v>127</v>
      </c>
      <c r="C1093" s="6" t="s">
        <v>171</v>
      </c>
      <c r="D1093" s="1"/>
      <c r="E1093" s="69"/>
      <c r="F1093" s="58">
        <f aca="true" t="shared" si="362" ref="F1093:G1095">F1094</f>
        <v>20904.8</v>
      </c>
      <c r="G1093" s="58">
        <f t="shared" si="362"/>
        <v>20904.8</v>
      </c>
    </row>
    <row r="1094" spans="1:7" ht="20.25" customHeight="1">
      <c r="A1094" s="59" t="s">
        <v>173</v>
      </c>
      <c r="B1094" s="31" t="s">
        <v>127</v>
      </c>
      <c r="C1094" s="6" t="s">
        <v>171</v>
      </c>
      <c r="D1094" s="1" t="s">
        <v>188</v>
      </c>
      <c r="E1094" s="69"/>
      <c r="F1094" s="58">
        <f t="shared" si="362"/>
        <v>20904.8</v>
      </c>
      <c r="G1094" s="58">
        <f t="shared" si="362"/>
        <v>20904.8</v>
      </c>
    </row>
    <row r="1095" spans="1:7" ht="18.75" customHeight="1">
      <c r="A1095" s="55" t="str">
        <f ca="1">IF(ISERROR(MATCH(E1095,Код_КВР,0)),"",INDIRECT(ADDRESS(MATCH(E1095,Код_КВР,0)+1,2,,,"КВР")))</f>
        <v>Закупка товаров, работ и услуг для муниципальных нужд</v>
      </c>
      <c r="B1095" s="31" t="s">
        <v>127</v>
      </c>
      <c r="C1095" s="6" t="s">
        <v>171</v>
      </c>
      <c r="D1095" s="1" t="s">
        <v>188</v>
      </c>
      <c r="E1095" s="69">
        <v>200</v>
      </c>
      <c r="F1095" s="58">
        <f t="shared" si="362"/>
        <v>20904.8</v>
      </c>
      <c r="G1095" s="58">
        <f t="shared" si="362"/>
        <v>20904.8</v>
      </c>
    </row>
    <row r="1096" spans="1:7" ht="40.5" customHeight="1">
      <c r="A1096" s="55" t="str">
        <f ca="1">IF(ISERROR(MATCH(E1096,Код_КВР,0)),"",INDIRECT(ADDRESS(MATCH(E1096,Код_КВР,0)+1,2,,,"КВР")))</f>
        <v>Иные закупки товаров, работ и услуг для обеспечения муниципальных нужд</v>
      </c>
      <c r="B1096" s="31" t="s">
        <v>127</v>
      </c>
      <c r="C1096" s="6" t="s">
        <v>171</v>
      </c>
      <c r="D1096" s="1" t="s">
        <v>188</v>
      </c>
      <c r="E1096" s="69">
        <v>240</v>
      </c>
      <c r="F1096" s="58">
        <f>'прил.16'!G324</f>
        <v>20904.8</v>
      </c>
      <c r="G1096" s="58">
        <f>'прил.16'!H324</f>
        <v>20904.8</v>
      </c>
    </row>
    <row r="1097" spans="1:7" ht="54" customHeight="1">
      <c r="A1097" s="55" t="str">
        <f ca="1">IF(ISERROR(MATCH(B1097,Код_КЦСР,0)),"",INDIRECT(ADDRESS(MATCH(B1097,Код_КЦСР,0)+1,2,,,"КЦСР")))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097" s="31" t="s">
        <v>129</v>
      </c>
      <c r="C1097" s="6"/>
      <c r="D1097" s="1"/>
      <c r="E1097" s="69"/>
      <c r="F1097" s="58">
        <f>F1098+F1116</f>
        <v>9363.4</v>
      </c>
      <c r="G1097" s="58">
        <f>G1098+G1116</f>
        <v>9423.099999999999</v>
      </c>
    </row>
    <row r="1098" spans="1:7" ht="35.25" customHeight="1">
      <c r="A1098" s="55" t="str">
        <f ca="1">IF(ISERROR(MATCH(B1098,Код_КЦСР,0)),"",INDIRECT(ADDRESS(MATCH(B1098,Код_КЦСР,0)+1,2,,,"КЦСР")))</f>
        <v>Профилактика преступлений и иных правонарушений в городе Череповце</v>
      </c>
      <c r="B1098" s="31" t="s">
        <v>131</v>
      </c>
      <c r="C1098" s="6"/>
      <c r="D1098" s="1"/>
      <c r="E1098" s="69"/>
      <c r="F1098" s="58">
        <f aca="true" t="shared" si="363" ref="F1098:G1098">F1099</f>
        <v>9363.4</v>
      </c>
      <c r="G1098" s="58">
        <f t="shared" si="363"/>
        <v>9423.099999999999</v>
      </c>
    </row>
    <row r="1099" spans="1:7" ht="21" customHeight="1">
      <c r="A1099" s="55" t="str">
        <f ca="1">IF(ISERROR(MATCH(B1099,Код_КЦСР,0)),"",INDIRECT(ADDRESS(MATCH(B1099,Код_КЦСР,0)+1,2,,,"КЦСР")))</f>
        <v>Привлечение общественности к охране общественного порядка</v>
      </c>
      <c r="B1099" s="31" t="s">
        <v>133</v>
      </c>
      <c r="C1099" s="6"/>
      <c r="D1099" s="1"/>
      <c r="E1099" s="69"/>
      <c r="F1099" s="58">
        <f>F1100+F1104+F1112</f>
        <v>9363.4</v>
      </c>
      <c r="G1099" s="58">
        <f>G1100+G1104+G1112</f>
        <v>9423.099999999999</v>
      </c>
    </row>
    <row r="1100" spans="1:7" ht="20.25" customHeight="1">
      <c r="A1100" s="55" t="str">
        <f ca="1">IF(ISERROR(MATCH(C1100,Код_Раздел,0)),"",INDIRECT(ADDRESS(MATCH(C1100,Код_Раздел,0)+1,2,,,"Раздел")))</f>
        <v>Общегосударственные  вопросы</v>
      </c>
      <c r="B1100" s="31" t="s">
        <v>133</v>
      </c>
      <c r="C1100" s="6" t="s">
        <v>187</v>
      </c>
      <c r="D1100" s="1"/>
      <c r="E1100" s="69"/>
      <c r="F1100" s="58">
        <f aca="true" t="shared" si="364" ref="F1100:G1102">F1101</f>
        <v>20</v>
      </c>
      <c r="G1100" s="58">
        <f t="shared" si="364"/>
        <v>20</v>
      </c>
    </row>
    <row r="1101" spans="1:7" ht="21" customHeight="1">
      <c r="A1101" s="59" t="s">
        <v>209</v>
      </c>
      <c r="B1101" s="31" t="s">
        <v>133</v>
      </c>
      <c r="C1101" s="6" t="s">
        <v>187</v>
      </c>
      <c r="D1101" s="1" t="s">
        <v>165</v>
      </c>
      <c r="E1101" s="69"/>
      <c r="F1101" s="58">
        <f t="shared" si="364"/>
        <v>20</v>
      </c>
      <c r="G1101" s="58">
        <f t="shared" si="364"/>
        <v>20</v>
      </c>
    </row>
    <row r="1102" spans="1:7" ht="21" customHeight="1">
      <c r="A1102" s="55" t="str">
        <f ca="1">IF(ISERROR(MATCH(E1102,Код_КВР,0)),"",INDIRECT(ADDRESS(MATCH(E1102,Код_КВР,0)+1,2,,,"КВР")))</f>
        <v>Закупка товаров, работ и услуг для муниципальных нужд</v>
      </c>
      <c r="B1102" s="31" t="s">
        <v>133</v>
      </c>
      <c r="C1102" s="6" t="s">
        <v>187</v>
      </c>
      <c r="D1102" s="1" t="s">
        <v>165</v>
      </c>
      <c r="E1102" s="69">
        <v>200</v>
      </c>
      <c r="F1102" s="58">
        <f t="shared" si="364"/>
        <v>20</v>
      </c>
      <c r="G1102" s="58">
        <f t="shared" si="364"/>
        <v>20</v>
      </c>
    </row>
    <row r="1103" spans="1:7" ht="39" customHeight="1">
      <c r="A1103" s="55" t="str">
        <f ca="1">IF(ISERROR(MATCH(E1103,Код_КВР,0)),"",INDIRECT(ADDRESS(MATCH(E1103,Код_КВР,0)+1,2,,,"КВР")))</f>
        <v>Иные закупки товаров, работ и услуг для обеспечения муниципальных нужд</v>
      </c>
      <c r="B1103" s="31" t="s">
        <v>133</v>
      </c>
      <c r="C1103" s="6" t="s">
        <v>187</v>
      </c>
      <c r="D1103" s="1" t="s">
        <v>165</v>
      </c>
      <c r="E1103" s="69">
        <v>240</v>
      </c>
      <c r="F1103" s="58">
        <f>'прил.16'!G144</f>
        <v>20</v>
      </c>
      <c r="G1103" s="58">
        <f>'прил.16'!H144</f>
        <v>20</v>
      </c>
    </row>
    <row r="1104" spans="1:7" ht="24.75" customHeight="1">
      <c r="A1104" s="55" t="str">
        <f ca="1">IF(ISERROR(MATCH(C1104,Код_Раздел,0)),"",INDIRECT(ADDRESS(MATCH(C1104,Код_Раздел,0)+1,2,,,"Раздел")))</f>
        <v>Национальная безопасность и правоохранительная  деятельность</v>
      </c>
      <c r="B1104" s="31" t="s">
        <v>133</v>
      </c>
      <c r="C1104" s="6" t="s">
        <v>189</v>
      </c>
      <c r="D1104" s="1"/>
      <c r="E1104" s="69"/>
      <c r="F1104" s="58">
        <f>F1105</f>
        <v>9293.4</v>
      </c>
      <c r="G1104" s="58">
        <f>G1105</f>
        <v>9353.099999999999</v>
      </c>
    </row>
    <row r="1105" spans="1:7" ht="41.25" customHeight="1">
      <c r="A1105" s="59" t="s">
        <v>231</v>
      </c>
      <c r="B1105" s="31" t="s">
        <v>133</v>
      </c>
      <c r="C1105" s="6" t="s">
        <v>189</v>
      </c>
      <c r="D1105" s="1" t="s">
        <v>193</v>
      </c>
      <c r="E1105" s="69"/>
      <c r="F1105" s="58">
        <f>F1106+F1108+F1110</f>
        <v>9293.4</v>
      </c>
      <c r="G1105" s="58">
        <f>G1106+G1108+G1110</f>
        <v>9353.099999999999</v>
      </c>
    </row>
    <row r="1106" spans="1:7" ht="45.75" customHeight="1">
      <c r="A1106" s="55" t="str">
        <f aca="true" t="shared" si="365" ref="A1106:A1111">IF(ISERROR(MATCH(E1106,Код_КВР,0)),"",INDIRECT(ADDRESS(MATCH(E1106,Код_КВР,0)+1,2,,,"КВР")))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06" s="31" t="s">
        <v>133</v>
      </c>
      <c r="C1106" s="6" t="s">
        <v>189</v>
      </c>
      <c r="D1106" s="1" t="s">
        <v>193</v>
      </c>
      <c r="E1106" s="69">
        <v>100</v>
      </c>
      <c r="F1106" s="58">
        <f>F1107</f>
        <v>7353.7</v>
      </c>
      <c r="G1106" s="58">
        <f>G1107</f>
        <v>7353.7</v>
      </c>
    </row>
    <row r="1107" spans="1:7" ht="21" customHeight="1">
      <c r="A1107" s="55" t="str">
        <f ca="1" t="shared" si="365"/>
        <v>Расходы на выплаты персоналу казенных учреждений</v>
      </c>
      <c r="B1107" s="31" t="s">
        <v>133</v>
      </c>
      <c r="C1107" s="6" t="s">
        <v>189</v>
      </c>
      <c r="D1107" s="1" t="s">
        <v>193</v>
      </c>
      <c r="E1107" s="69">
        <v>110</v>
      </c>
      <c r="F1107" s="58">
        <f>'прил.16'!G197</f>
        <v>7353.7</v>
      </c>
      <c r="G1107" s="58">
        <f>'прил.16'!H197</f>
        <v>7353.7</v>
      </c>
    </row>
    <row r="1108" spans="1:7" ht="21" customHeight="1">
      <c r="A1108" s="55" t="str">
        <f ca="1" t="shared" si="365"/>
        <v>Закупка товаров, работ и услуг для муниципальных нужд</v>
      </c>
      <c r="B1108" s="31" t="s">
        <v>133</v>
      </c>
      <c r="C1108" s="6" t="s">
        <v>189</v>
      </c>
      <c r="D1108" s="1" t="s">
        <v>193</v>
      </c>
      <c r="E1108" s="69">
        <v>200</v>
      </c>
      <c r="F1108" s="58">
        <f>F1109</f>
        <v>1688.7</v>
      </c>
      <c r="G1108" s="58">
        <f>G1109</f>
        <v>1751.1</v>
      </c>
    </row>
    <row r="1109" spans="1:7" ht="33">
      <c r="A1109" s="55" t="str">
        <f ca="1" t="shared" si="365"/>
        <v>Иные закупки товаров, работ и услуг для обеспечения муниципальных нужд</v>
      </c>
      <c r="B1109" s="31" t="s">
        <v>133</v>
      </c>
      <c r="C1109" s="6" t="s">
        <v>189</v>
      </c>
      <c r="D1109" s="1" t="s">
        <v>193</v>
      </c>
      <c r="E1109" s="69">
        <v>240</v>
      </c>
      <c r="F1109" s="58">
        <f>'прил.16'!G199</f>
        <v>1688.7</v>
      </c>
      <c r="G1109" s="58">
        <f>'прил.16'!H199</f>
        <v>1751.1</v>
      </c>
    </row>
    <row r="1110" spans="1:7" ht="12.75">
      <c r="A1110" s="55" t="str">
        <f ca="1" t="shared" si="365"/>
        <v>Иные бюджетные ассигнования</v>
      </c>
      <c r="B1110" s="31" t="s">
        <v>133</v>
      </c>
      <c r="C1110" s="6" t="s">
        <v>189</v>
      </c>
      <c r="D1110" s="1" t="s">
        <v>193</v>
      </c>
      <c r="E1110" s="69">
        <v>800</v>
      </c>
      <c r="F1110" s="58">
        <f>F1111</f>
        <v>251</v>
      </c>
      <c r="G1110" s="58">
        <f>G1111</f>
        <v>248.3</v>
      </c>
    </row>
    <row r="1111" spans="1:7" ht="12.75">
      <c r="A1111" s="55" t="str">
        <f ca="1" t="shared" si="365"/>
        <v>Уплата налогов, сборов и иных платежей</v>
      </c>
      <c r="B1111" s="31" t="s">
        <v>133</v>
      </c>
      <c r="C1111" s="6" t="s">
        <v>189</v>
      </c>
      <c r="D1111" s="1" t="s">
        <v>193</v>
      </c>
      <c r="E1111" s="69">
        <v>850</v>
      </c>
      <c r="F1111" s="58">
        <f>'прил.16'!G201</f>
        <v>251</v>
      </c>
      <c r="G1111" s="58">
        <f>'прил.16'!H201</f>
        <v>248.3</v>
      </c>
    </row>
    <row r="1112" spans="1:7" ht="12.75">
      <c r="A1112" s="55" t="str">
        <f ca="1">IF(ISERROR(MATCH(C1112,Код_Раздел,0)),"",INDIRECT(ADDRESS(MATCH(C1112,Код_Раздел,0)+1,2,,,"Раздел")))</f>
        <v>Социальная политика</v>
      </c>
      <c r="B1112" s="31" t="s">
        <v>133</v>
      </c>
      <c r="C1112" s="6" t="s">
        <v>163</v>
      </c>
      <c r="D1112" s="1"/>
      <c r="E1112" s="69"/>
      <c r="F1112" s="58">
        <f>F1113</f>
        <v>50</v>
      </c>
      <c r="G1112" s="58">
        <f>G1113</f>
        <v>50</v>
      </c>
    </row>
    <row r="1113" spans="1:7" ht="12.75">
      <c r="A1113" s="59" t="s">
        <v>154</v>
      </c>
      <c r="B1113" s="31" t="s">
        <v>133</v>
      </c>
      <c r="C1113" s="6" t="s">
        <v>163</v>
      </c>
      <c r="D1113" s="1" t="s">
        <v>189</v>
      </c>
      <c r="E1113" s="69"/>
      <c r="F1113" s="58">
        <f aca="true" t="shared" si="366" ref="F1113:G1114">F1114</f>
        <v>50</v>
      </c>
      <c r="G1113" s="58">
        <f t="shared" si="366"/>
        <v>50</v>
      </c>
    </row>
    <row r="1114" spans="1:7" ht="12.75">
      <c r="A1114" s="55" t="str">
        <f ca="1">IF(ISERROR(MATCH(E1114,Код_КВР,0)),"",INDIRECT(ADDRESS(MATCH(E1114,Код_КВР,0)+1,2,,,"КВР")))</f>
        <v>Социальное обеспечение и иные выплаты населению</v>
      </c>
      <c r="B1114" s="31" t="s">
        <v>133</v>
      </c>
      <c r="C1114" s="6" t="s">
        <v>163</v>
      </c>
      <c r="D1114" s="1" t="s">
        <v>189</v>
      </c>
      <c r="E1114" s="69">
        <v>300</v>
      </c>
      <c r="F1114" s="58">
        <f t="shared" si="366"/>
        <v>50</v>
      </c>
      <c r="G1114" s="58">
        <f t="shared" si="366"/>
        <v>50</v>
      </c>
    </row>
    <row r="1115" spans="1:7" ht="12.75">
      <c r="A1115" s="55" t="str">
        <f ca="1">IF(ISERROR(MATCH(E1115,Код_КВР,0)),"",INDIRECT(ADDRESS(MATCH(E1115,Код_КВР,0)+1,2,,,"КВР")))</f>
        <v>Иные выплаты населению</v>
      </c>
      <c r="B1115" s="31" t="s">
        <v>133</v>
      </c>
      <c r="C1115" s="6" t="s">
        <v>163</v>
      </c>
      <c r="D1115" s="1" t="s">
        <v>189</v>
      </c>
      <c r="E1115" s="69">
        <v>360</v>
      </c>
      <c r="F1115" s="58">
        <f>'прил.16'!G306</f>
        <v>50</v>
      </c>
      <c r="G1115" s="58">
        <f>'прил.16'!H306</f>
        <v>50</v>
      </c>
    </row>
    <row r="1116" spans="1:7" ht="16.7" customHeight="1" hidden="1">
      <c r="A1116" s="55" t="str">
        <f ca="1">IF(ISERROR(MATCH(B1116,Код_КЦСР,0)),"",INDIRECT(ADDRESS(MATCH(B1116,Код_КЦСР,0)+1,2,,,"КЦСР")))</f>
        <v/>
      </c>
      <c r="B1116" s="99" t="s">
        <v>135</v>
      </c>
      <c r="C1116" s="6"/>
      <c r="D1116" s="1"/>
      <c r="E1116" s="99"/>
      <c r="F1116" s="58">
        <f aca="true" t="shared" si="367" ref="F1116:G1119">F1117</f>
        <v>0</v>
      </c>
      <c r="G1116" s="58">
        <f t="shared" si="367"/>
        <v>0</v>
      </c>
    </row>
    <row r="1117" spans="1:7" ht="12.75" hidden="1">
      <c r="A1117" s="55" t="str">
        <f ca="1">IF(ISERROR(MATCH(C1117,Код_Раздел,0)),"",INDIRECT(ADDRESS(MATCH(C1117,Код_Раздел,0)+1,2,,,"Раздел")))</f>
        <v>Национальная экономика</v>
      </c>
      <c r="B1117" s="99" t="s">
        <v>589</v>
      </c>
      <c r="C1117" s="6" t="s">
        <v>190</v>
      </c>
      <c r="D1117" s="1"/>
      <c r="E1117" s="99"/>
      <c r="F1117" s="58">
        <f t="shared" si="367"/>
        <v>0</v>
      </c>
      <c r="G1117" s="58">
        <f t="shared" si="367"/>
        <v>0</v>
      </c>
    </row>
    <row r="1118" spans="1:7" ht="12.75" hidden="1">
      <c r="A1118" s="59" t="s">
        <v>204</v>
      </c>
      <c r="B1118" s="99" t="s">
        <v>589</v>
      </c>
      <c r="C1118" s="6" t="s">
        <v>190</v>
      </c>
      <c r="D1118" s="1" t="s">
        <v>163</v>
      </c>
      <c r="E1118" s="99"/>
      <c r="F1118" s="58">
        <f t="shared" si="367"/>
        <v>0</v>
      </c>
      <c r="G1118" s="58">
        <f t="shared" si="367"/>
        <v>0</v>
      </c>
    </row>
    <row r="1119" spans="1:7" ht="33" hidden="1">
      <c r="A1119" s="55" t="str">
        <f ca="1">IF(ISERROR(MATCH(E1119,Код_КВР,0)),"",INDIRECT(ADDRESS(MATCH(E1119,Код_КВР,0)+1,2,,,"КВР")))</f>
        <v>Предоставление субсидий бюджетным, автономным учреждениям и иным некоммерческим организациям</v>
      </c>
      <c r="B1119" s="99" t="s">
        <v>589</v>
      </c>
      <c r="C1119" s="6" t="s">
        <v>190</v>
      </c>
      <c r="D1119" s="1" t="s">
        <v>163</v>
      </c>
      <c r="E1119" s="99">
        <v>600</v>
      </c>
      <c r="F1119" s="58">
        <f t="shared" si="367"/>
        <v>0</v>
      </c>
      <c r="G1119" s="58">
        <f t="shared" si="367"/>
        <v>0</v>
      </c>
    </row>
    <row r="1120" spans="1:7" ht="12.75" hidden="1">
      <c r="A1120" s="55" t="str">
        <f ca="1">IF(ISERROR(MATCH(E1120,Код_КВР,0)),"",INDIRECT(ADDRESS(MATCH(E1120,Код_КВР,0)+1,2,,,"КВР")))</f>
        <v>Субсидии бюджетным учреждениям</v>
      </c>
      <c r="B1120" s="99" t="s">
        <v>589</v>
      </c>
      <c r="C1120" s="6" t="s">
        <v>190</v>
      </c>
      <c r="D1120" s="1" t="s">
        <v>163</v>
      </c>
      <c r="E1120" s="99">
        <v>610</v>
      </c>
      <c r="F1120" s="58">
        <f>'прил.16'!G240</f>
        <v>0</v>
      </c>
      <c r="G1120" s="58">
        <f>'прил.16'!H240</f>
        <v>0</v>
      </c>
    </row>
    <row r="1121" spans="1:7" ht="33">
      <c r="A1121" s="55" t="str">
        <f aca="true" t="shared" si="368" ref="A1121:A1124">IF(ISERROR(MATCH(B1121,Код_КЦСР,0)),"",INDIRECT(ADDRESS(MATCH(B1121,Код_КЦСР,0)+1,2,,,"КЦСР")))</f>
        <v>Непрограммные направления деятельности органов местного самоуправления</v>
      </c>
      <c r="B1121" s="29" t="s">
        <v>264</v>
      </c>
      <c r="C1121" s="6"/>
      <c r="D1121" s="1"/>
      <c r="E1121" s="69"/>
      <c r="F1121" s="58">
        <f>F1122</f>
        <v>396429.7</v>
      </c>
      <c r="G1121" s="58">
        <f>G1122</f>
        <v>426539.4</v>
      </c>
    </row>
    <row r="1122" spans="1:7" ht="33">
      <c r="A1122" s="55" t="str">
        <f ca="1" t="shared" si="368"/>
        <v>Расходы, не включенные в муниципальные программы города Череповца</v>
      </c>
      <c r="B1122" s="29" t="s">
        <v>266</v>
      </c>
      <c r="C1122" s="6"/>
      <c r="D1122" s="1"/>
      <c r="E1122" s="69"/>
      <c r="F1122" s="58">
        <f>F1123+F1162+F1173+F1179+F1184+F1189+F1196+F1203+F1213+F1208</f>
        <v>396429.7</v>
      </c>
      <c r="G1122" s="58">
        <f>G1123+G1162+G1173+G1179+G1184+G1189+G1196+G1203+G1213+G1208</f>
        <v>426539.4</v>
      </c>
    </row>
    <row r="1123" spans="1:7" ht="33">
      <c r="A1123" s="55" t="str">
        <f ca="1" t="shared" si="368"/>
        <v>Руководство и управление в сфере установленных функций органов местного самоуправления</v>
      </c>
      <c r="B1123" s="29" t="s">
        <v>268</v>
      </c>
      <c r="C1123" s="6"/>
      <c r="D1123" s="1"/>
      <c r="E1123" s="69"/>
      <c r="F1123" s="58">
        <f>F1124++F1129+F1152+F1157</f>
        <v>196192.4</v>
      </c>
      <c r="G1123" s="58">
        <f>G1124++G1129+G1152+G1157</f>
        <v>196132.4</v>
      </c>
    </row>
    <row r="1124" spans="1:7" ht="21" customHeight="1">
      <c r="A1124" s="55" t="str">
        <f ca="1" t="shared" si="368"/>
        <v>Глава муниципального образования</v>
      </c>
      <c r="B1124" s="29" t="s">
        <v>270</v>
      </c>
      <c r="C1124" s="6"/>
      <c r="D1124" s="1"/>
      <c r="E1124" s="69"/>
      <c r="F1124" s="58">
        <f aca="true" t="shared" si="369" ref="F1124:G1127">F1125</f>
        <v>3042.9</v>
      </c>
      <c r="G1124" s="58">
        <f t="shared" si="369"/>
        <v>3042.9</v>
      </c>
    </row>
    <row r="1125" spans="1:7" ht="22.5" customHeight="1">
      <c r="A1125" s="55" t="str">
        <f ca="1">IF(ISERROR(MATCH(C1125,Код_Раздел,0)),"",INDIRECT(ADDRESS(MATCH(C1125,Код_Раздел,0)+1,2,,,"Раздел")))</f>
        <v>Общегосударственные  вопросы</v>
      </c>
      <c r="B1125" s="29" t="s">
        <v>270</v>
      </c>
      <c r="C1125" s="6" t="s">
        <v>187</v>
      </c>
      <c r="D1125" s="1"/>
      <c r="E1125" s="69"/>
      <c r="F1125" s="58">
        <f t="shared" si="369"/>
        <v>3042.9</v>
      </c>
      <c r="G1125" s="58">
        <f t="shared" si="369"/>
        <v>3042.9</v>
      </c>
    </row>
    <row r="1126" spans="1:7" ht="35.25" customHeight="1">
      <c r="A1126" s="86" t="s">
        <v>205</v>
      </c>
      <c r="B1126" s="29" t="s">
        <v>270</v>
      </c>
      <c r="C1126" s="6" t="s">
        <v>187</v>
      </c>
      <c r="D1126" s="1" t="s">
        <v>188</v>
      </c>
      <c r="E1126" s="69"/>
      <c r="F1126" s="58">
        <f t="shared" si="369"/>
        <v>3042.9</v>
      </c>
      <c r="G1126" s="58">
        <f t="shared" si="369"/>
        <v>3042.9</v>
      </c>
    </row>
    <row r="1127" spans="1:7" ht="39" customHeight="1">
      <c r="A1127" s="55" t="str">
        <f ca="1">IF(ISERROR(MATCH(E1127,Код_КВР,0)),"",INDIRECT(ADDRESS(MATCH(E1127,Код_КВР,0)+1,2,,,"КВР")))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7" s="29" t="s">
        <v>270</v>
      </c>
      <c r="C1127" s="6" t="s">
        <v>187</v>
      </c>
      <c r="D1127" s="6" t="s">
        <v>188</v>
      </c>
      <c r="E1127" s="69">
        <v>100</v>
      </c>
      <c r="F1127" s="58">
        <f t="shared" si="369"/>
        <v>3042.9</v>
      </c>
      <c r="G1127" s="58">
        <f t="shared" si="369"/>
        <v>3042.9</v>
      </c>
    </row>
    <row r="1128" spans="1:7" ht="18.75" customHeight="1">
      <c r="A1128" s="55" t="str">
        <f ca="1">IF(ISERROR(MATCH(E1128,Код_КВР,0)),"",INDIRECT(ADDRESS(MATCH(E1128,Код_КВР,0)+1,2,,,"КВР")))</f>
        <v>Расходы на выплаты персоналу муниципальных органов</v>
      </c>
      <c r="B1128" s="29" t="s">
        <v>270</v>
      </c>
      <c r="C1128" s="6" t="s">
        <v>187</v>
      </c>
      <c r="D1128" s="6" t="s">
        <v>188</v>
      </c>
      <c r="E1128" s="69">
        <v>120</v>
      </c>
      <c r="F1128" s="58">
        <f>'прил.16'!G22</f>
        <v>3042.9</v>
      </c>
      <c r="G1128" s="58">
        <f>'прил.16'!H22</f>
        <v>3042.9</v>
      </c>
    </row>
    <row r="1129" spans="1:7" ht="21" customHeight="1">
      <c r="A1129" s="55" t="str">
        <f ca="1">IF(ISERROR(MATCH(B1129,Код_КЦСР,0)),"",INDIRECT(ADDRESS(MATCH(B1129,Код_КЦСР,0)+1,2,,,"КЦСР")))</f>
        <v>Центральный аппарат</v>
      </c>
      <c r="B1129" s="29" t="s">
        <v>271</v>
      </c>
      <c r="C1129" s="6"/>
      <c r="D1129" s="1"/>
      <c r="E1129" s="69"/>
      <c r="F1129" s="58">
        <f>F1130</f>
        <v>187173.2</v>
      </c>
      <c r="G1129" s="58">
        <f>G1130</f>
        <v>187113.2</v>
      </c>
    </row>
    <row r="1130" spans="1:7" ht="12.75">
      <c r="A1130" s="55" t="str">
        <f ca="1">IF(ISERROR(MATCH(C1130,Код_Раздел,0)),"",INDIRECT(ADDRESS(MATCH(C1130,Код_Раздел,0)+1,2,,,"Раздел")))</f>
        <v>Общегосударственные  вопросы</v>
      </c>
      <c r="B1130" s="29" t="s">
        <v>271</v>
      </c>
      <c r="C1130" s="6" t="s">
        <v>187</v>
      </c>
      <c r="D1130" s="1"/>
      <c r="E1130" s="69"/>
      <c r="F1130" s="58">
        <f>F1131+F1138+F1145</f>
        <v>187173.2</v>
      </c>
      <c r="G1130" s="58">
        <f>G1131+G1138+G1145</f>
        <v>187113.2</v>
      </c>
    </row>
    <row r="1131" spans="1:7" ht="49.5">
      <c r="A1131" s="59" t="s">
        <v>144</v>
      </c>
      <c r="B1131" s="29" t="s">
        <v>271</v>
      </c>
      <c r="C1131" s="6" t="s">
        <v>187</v>
      </c>
      <c r="D1131" s="6" t="s">
        <v>189</v>
      </c>
      <c r="E1131" s="69"/>
      <c r="F1131" s="58">
        <f>F1132+F1134+F1136</f>
        <v>11794.199999999999</v>
      </c>
      <c r="G1131" s="58">
        <f>G1132+G1134+G1136</f>
        <v>11794.199999999999</v>
      </c>
    </row>
    <row r="1132" spans="1:7" ht="42.75" customHeight="1">
      <c r="A1132" s="55" t="str">
        <f aca="true" t="shared" si="370" ref="A1132:A1137">IF(ISERROR(MATCH(E1132,Код_КВР,0)),"",INDIRECT(ADDRESS(MATCH(E1132,Код_КВР,0)+1,2,,,"КВР")))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2" s="29" t="s">
        <v>271</v>
      </c>
      <c r="C1132" s="6" t="s">
        <v>187</v>
      </c>
      <c r="D1132" s="6" t="s">
        <v>189</v>
      </c>
      <c r="E1132" s="69">
        <v>100</v>
      </c>
      <c r="F1132" s="58">
        <f>F1133</f>
        <v>10877.8</v>
      </c>
      <c r="G1132" s="58">
        <f>G1133</f>
        <v>10877.8</v>
      </c>
    </row>
    <row r="1133" spans="1:7" ht="19.5" customHeight="1">
      <c r="A1133" s="55" t="str">
        <f ca="1" t="shared" si="370"/>
        <v>Расходы на выплаты персоналу муниципальных органов</v>
      </c>
      <c r="B1133" s="29" t="s">
        <v>271</v>
      </c>
      <c r="C1133" s="6" t="s">
        <v>187</v>
      </c>
      <c r="D1133" s="6" t="s">
        <v>189</v>
      </c>
      <c r="E1133" s="69">
        <v>120</v>
      </c>
      <c r="F1133" s="58">
        <f>'прил.16'!G333</f>
        <v>10877.8</v>
      </c>
      <c r="G1133" s="58">
        <f>'прил.16'!H333</f>
        <v>10877.8</v>
      </c>
    </row>
    <row r="1134" spans="1:7" ht="23.25" customHeight="1">
      <c r="A1134" s="55" t="str">
        <f ca="1" t="shared" si="370"/>
        <v>Закупка товаров, работ и услуг для муниципальных нужд</v>
      </c>
      <c r="B1134" s="29" t="s">
        <v>271</v>
      </c>
      <c r="C1134" s="6" t="s">
        <v>187</v>
      </c>
      <c r="D1134" s="6" t="s">
        <v>189</v>
      </c>
      <c r="E1134" s="69">
        <v>200</v>
      </c>
      <c r="F1134" s="58">
        <f>F1135</f>
        <v>914</v>
      </c>
      <c r="G1134" s="58">
        <f>G1135</f>
        <v>914</v>
      </c>
    </row>
    <row r="1135" spans="1:7" ht="33">
      <c r="A1135" s="55" t="str">
        <f ca="1" t="shared" si="370"/>
        <v>Иные закупки товаров, работ и услуг для обеспечения муниципальных нужд</v>
      </c>
      <c r="B1135" s="29" t="s">
        <v>271</v>
      </c>
      <c r="C1135" s="6" t="s">
        <v>187</v>
      </c>
      <c r="D1135" s="6" t="s">
        <v>189</v>
      </c>
      <c r="E1135" s="69">
        <v>240</v>
      </c>
      <c r="F1135" s="58">
        <f>'прил.16'!G335</f>
        <v>914</v>
      </c>
      <c r="G1135" s="58">
        <f>'прил.16'!H335</f>
        <v>914</v>
      </c>
    </row>
    <row r="1136" spans="1:7" ht="12.75">
      <c r="A1136" s="55" t="str">
        <f ca="1" t="shared" si="370"/>
        <v>Иные бюджетные ассигнования</v>
      </c>
      <c r="B1136" s="29" t="s">
        <v>271</v>
      </c>
      <c r="C1136" s="6" t="s">
        <v>187</v>
      </c>
      <c r="D1136" s="6" t="s">
        <v>189</v>
      </c>
      <c r="E1136" s="69">
        <v>800</v>
      </c>
      <c r="F1136" s="58">
        <f>F1137</f>
        <v>2.4</v>
      </c>
      <c r="G1136" s="58">
        <f>G1137</f>
        <v>2.4</v>
      </c>
    </row>
    <row r="1137" spans="1:7" ht="12.75">
      <c r="A1137" s="55" t="str">
        <f ca="1" t="shared" si="370"/>
        <v>Уплата налогов, сборов и иных платежей</v>
      </c>
      <c r="B1137" s="29" t="s">
        <v>271</v>
      </c>
      <c r="C1137" s="6" t="s">
        <v>187</v>
      </c>
      <c r="D1137" s="6" t="s">
        <v>189</v>
      </c>
      <c r="E1137" s="69">
        <v>850</v>
      </c>
      <c r="F1137" s="58">
        <f>'прил.16'!G337</f>
        <v>2.4</v>
      </c>
      <c r="G1137" s="58">
        <f>'прил.16'!H337</f>
        <v>2.4</v>
      </c>
    </row>
    <row r="1138" spans="1:7" ht="55.5" customHeight="1">
      <c r="A1138" s="60" t="s">
        <v>207</v>
      </c>
      <c r="B1138" s="56" t="s">
        <v>271</v>
      </c>
      <c r="C1138" s="57" t="s">
        <v>187</v>
      </c>
      <c r="D1138" s="57" t="s">
        <v>190</v>
      </c>
      <c r="E1138" s="54"/>
      <c r="F1138" s="58">
        <f>F1139+F1141+F1143</f>
        <v>128834.1</v>
      </c>
      <c r="G1138" s="58">
        <f>G1139+G1141+G1143</f>
        <v>128834.1</v>
      </c>
    </row>
    <row r="1139" spans="1:7" ht="40.5" customHeight="1">
      <c r="A1139" s="55" t="str">
        <f aca="true" t="shared" si="371" ref="A1139:A1144">IF(ISERROR(MATCH(E1139,Код_КВР,0)),"",INDIRECT(ADDRESS(MATCH(E1139,Код_КВР,0)+1,2,,,"КВР")))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9" s="56" t="s">
        <v>271</v>
      </c>
      <c r="C1139" s="57" t="s">
        <v>187</v>
      </c>
      <c r="D1139" s="57" t="s">
        <v>190</v>
      </c>
      <c r="E1139" s="54">
        <v>100</v>
      </c>
      <c r="F1139" s="58">
        <f>F1140</f>
        <v>125109.5</v>
      </c>
      <c r="G1139" s="58">
        <f>G1140</f>
        <v>125109.5</v>
      </c>
    </row>
    <row r="1140" spans="1:7" ht="12.75">
      <c r="A1140" s="55" t="str">
        <f ca="1" t="shared" si="371"/>
        <v>Расходы на выплаты персоналу муниципальных органов</v>
      </c>
      <c r="B1140" s="56" t="s">
        <v>271</v>
      </c>
      <c r="C1140" s="57" t="s">
        <v>187</v>
      </c>
      <c r="D1140" s="57" t="s">
        <v>190</v>
      </c>
      <c r="E1140" s="54">
        <v>120</v>
      </c>
      <c r="F1140" s="58">
        <f>'прил.16'!G29</f>
        <v>125109.5</v>
      </c>
      <c r="G1140" s="58">
        <f>'прил.16'!H29</f>
        <v>125109.5</v>
      </c>
    </row>
    <row r="1141" spans="1:7" ht="12.75">
      <c r="A1141" s="55" t="str">
        <f ca="1" t="shared" si="371"/>
        <v>Закупка товаров, работ и услуг для муниципальных нужд</v>
      </c>
      <c r="B1141" s="29" t="s">
        <v>271</v>
      </c>
      <c r="C1141" s="6" t="s">
        <v>187</v>
      </c>
      <c r="D1141" s="6" t="s">
        <v>190</v>
      </c>
      <c r="E1141" s="69">
        <v>200</v>
      </c>
      <c r="F1141" s="58">
        <f>F1142</f>
        <v>3722.6</v>
      </c>
      <c r="G1141" s="58">
        <f>G1142</f>
        <v>3722.6</v>
      </c>
    </row>
    <row r="1142" spans="1:7" ht="33">
      <c r="A1142" s="55" t="str">
        <f ca="1" t="shared" si="371"/>
        <v>Иные закупки товаров, работ и услуг для обеспечения муниципальных нужд</v>
      </c>
      <c r="B1142" s="29" t="s">
        <v>271</v>
      </c>
      <c r="C1142" s="6" t="s">
        <v>187</v>
      </c>
      <c r="D1142" s="6" t="s">
        <v>190</v>
      </c>
      <c r="E1142" s="69">
        <v>240</v>
      </c>
      <c r="F1142" s="58">
        <f>'прил.16'!G31</f>
        <v>3722.6</v>
      </c>
      <c r="G1142" s="58">
        <f>'прил.16'!H31</f>
        <v>3722.6</v>
      </c>
    </row>
    <row r="1143" spans="1:7" ht="12.75">
      <c r="A1143" s="55" t="str">
        <f ca="1" t="shared" si="371"/>
        <v>Иные бюджетные ассигнования</v>
      </c>
      <c r="B1143" s="56" t="s">
        <v>271</v>
      </c>
      <c r="C1143" s="57" t="s">
        <v>187</v>
      </c>
      <c r="D1143" s="57" t="s">
        <v>190</v>
      </c>
      <c r="E1143" s="54">
        <v>800</v>
      </c>
      <c r="F1143" s="58">
        <f>F1144</f>
        <v>2</v>
      </c>
      <c r="G1143" s="58">
        <f>G1144</f>
        <v>2</v>
      </c>
    </row>
    <row r="1144" spans="1:7" ht="22.5" customHeight="1">
      <c r="A1144" s="55" t="str">
        <f ca="1" t="shared" si="371"/>
        <v>Уплата налогов, сборов и иных платежей</v>
      </c>
      <c r="B1144" s="56" t="s">
        <v>271</v>
      </c>
      <c r="C1144" s="57" t="s">
        <v>187</v>
      </c>
      <c r="D1144" s="57" t="s">
        <v>190</v>
      </c>
      <c r="E1144" s="54">
        <v>850</v>
      </c>
      <c r="F1144" s="58">
        <f>'прил.16'!G33</f>
        <v>2</v>
      </c>
      <c r="G1144" s="58">
        <f>'прил.16'!H33</f>
        <v>2</v>
      </c>
    </row>
    <row r="1145" spans="1:7" ht="41.25" customHeight="1">
      <c r="A1145" s="59" t="s">
        <v>141</v>
      </c>
      <c r="B1145" s="29" t="s">
        <v>271</v>
      </c>
      <c r="C1145" s="6" t="s">
        <v>187</v>
      </c>
      <c r="D1145" s="6" t="s">
        <v>191</v>
      </c>
      <c r="E1145" s="69"/>
      <c r="F1145" s="58">
        <f>F1146+F1148+F1150</f>
        <v>46544.9</v>
      </c>
      <c r="G1145" s="58">
        <f>G1146+G1148+G1150</f>
        <v>46484.9</v>
      </c>
    </row>
    <row r="1146" spans="1:7" ht="42.75" customHeight="1">
      <c r="A1146" s="55" t="str">
        <f aca="true" t="shared" si="372" ref="A1146:A1151">IF(ISERROR(MATCH(E1146,Код_КВР,0)),"",INDIRECT(ADDRESS(MATCH(E1146,Код_КВР,0)+1,2,,,"КВР")))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6" s="29" t="s">
        <v>271</v>
      </c>
      <c r="C1146" s="6" t="s">
        <v>187</v>
      </c>
      <c r="D1146" s="6" t="s">
        <v>191</v>
      </c>
      <c r="E1146" s="69">
        <v>100</v>
      </c>
      <c r="F1146" s="58">
        <f>F1147</f>
        <v>46343.5</v>
      </c>
      <c r="G1146" s="58">
        <f>G1147</f>
        <v>46343.5</v>
      </c>
    </row>
    <row r="1147" spans="1:7" ht="12.75">
      <c r="A1147" s="55" t="str">
        <f ca="1" t="shared" si="372"/>
        <v>Расходы на выплаты персоналу муниципальных органов</v>
      </c>
      <c r="B1147" s="29" t="s">
        <v>271</v>
      </c>
      <c r="C1147" s="6" t="s">
        <v>187</v>
      </c>
      <c r="D1147" s="6" t="s">
        <v>191</v>
      </c>
      <c r="E1147" s="69">
        <v>120</v>
      </c>
      <c r="F1147" s="58">
        <f>'прил.16'!G649+'прил.16'!G1157</f>
        <v>46343.5</v>
      </c>
      <c r="G1147" s="58">
        <f>'прил.16'!H649+'прил.16'!H1157</f>
        <v>46343.5</v>
      </c>
    </row>
    <row r="1148" spans="1:7" ht="12.75">
      <c r="A1148" s="55" t="str">
        <f ca="1" t="shared" si="372"/>
        <v>Закупка товаров, работ и услуг для муниципальных нужд</v>
      </c>
      <c r="B1148" s="29" t="s">
        <v>271</v>
      </c>
      <c r="C1148" s="6" t="s">
        <v>187</v>
      </c>
      <c r="D1148" s="6" t="s">
        <v>191</v>
      </c>
      <c r="E1148" s="69">
        <v>200</v>
      </c>
      <c r="F1148" s="58">
        <f>F1149</f>
        <v>199.9</v>
      </c>
      <c r="G1148" s="58">
        <f>G1149</f>
        <v>139.89999999999998</v>
      </c>
    </row>
    <row r="1149" spans="1:7" ht="33">
      <c r="A1149" s="55" t="str">
        <f ca="1" t="shared" si="372"/>
        <v>Иные закупки товаров, работ и услуг для обеспечения муниципальных нужд</v>
      </c>
      <c r="B1149" s="29" t="s">
        <v>271</v>
      </c>
      <c r="C1149" s="6" t="s">
        <v>187</v>
      </c>
      <c r="D1149" s="6" t="s">
        <v>191</v>
      </c>
      <c r="E1149" s="69">
        <v>240</v>
      </c>
      <c r="F1149" s="58">
        <f>'прил.16'!G651+'прил.16'!G1159</f>
        <v>199.9</v>
      </c>
      <c r="G1149" s="58">
        <f>'прил.16'!H651+'прил.16'!H1159</f>
        <v>139.89999999999998</v>
      </c>
    </row>
    <row r="1150" spans="1:7" ht="12.75">
      <c r="A1150" s="55" t="str">
        <f ca="1" t="shared" si="372"/>
        <v>Иные бюджетные ассигнования</v>
      </c>
      <c r="B1150" s="29" t="s">
        <v>271</v>
      </c>
      <c r="C1150" s="6" t="s">
        <v>187</v>
      </c>
      <c r="D1150" s="6" t="s">
        <v>191</v>
      </c>
      <c r="E1150" s="69">
        <v>800</v>
      </c>
      <c r="F1150" s="58">
        <f>F1151</f>
        <v>1.5</v>
      </c>
      <c r="G1150" s="58">
        <f>G1151</f>
        <v>1.5</v>
      </c>
    </row>
    <row r="1151" spans="1:7" ht="12.75">
      <c r="A1151" s="55" t="str">
        <f ca="1" t="shared" si="372"/>
        <v>Уплата налогов, сборов и иных платежей</v>
      </c>
      <c r="B1151" s="29" t="s">
        <v>271</v>
      </c>
      <c r="C1151" s="6" t="s">
        <v>187</v>
      </c>
      <c r="D1151" s="6" t="s">
        <v>191</v>
      </c>
      <c r="E1151" s="69">
        <v>850</v>
      </c>
      <c r="F1151" s="58">
        <f>'прил.16'!G653+'прил.16'!G1161</f>
        <v>1.5</v>
      </c>
      <c r="G1151" s="58">
        <f>'прил.16'!H653+'прил.16'!H1161</f>
        <v>1.5</v>
      </c>
    </row>
    <row r="1152" spans="1:7" ht="33">
      <c r="A1152" s="55" t="str">
        <f ca="1">IF(ISERROR(MATCH(B1152,Код_КЦСР,0)),"",INDIRECT(ADDRESS(MATCH(B1152,Код_КЦСР,0)+1,2,,,"КЦСР")))</f>
        <v>Председатель представительного органа муниципального образования</v>
      </c>
      <c r="B1152" s="29" t="s">
        <v>272</v>
      </c>
      <c r="C1152" s="6"/>
      <c r="D1152" s="1"/>
      <c r="E1152" s="69"/>
      <c r="F1152" s="58">
        <f aca="true" t="shared" si="373" ref="F1152:G1155">F1153</f>
        <v>2239.4</v>
      </c>
      <c r="G1152" s="58">
        <f t="shared" si="373"/>
        <v>2239.4</v>
      </c>
    </row>
    <row r="1153" spans="1:7" ht="12.75">
      <c r="A1153" s="55" t="str">
        <f ca="1">IF(ISERROR(MATCH(C1153,Код_Раздел,0)),"",INDIRECT(ADDRESS(MATCH(C1153,Код_Раздел,0)+1,2,,,"Раздел")))</f>
        <v>Общегосударственные  вопросы</v>
      </c>
      <c r="B1153" s="29" t="s">
        <v>272</v>
      </c>
      <c r="C1153" s="6" t="s">
        <v>187</v>
      </c>
      <c r="D1153" s="1"/>
      <c r="E1153" s="69"/>
      <c r="F1153" s="58">
        <f t="shared" si="373"/>
        <v>2239.4</v>
      </c>
      <c r="G1153" s="58">
        <f t="shared" si="373"/>
        <v>2239.4</v>
      </c>
    </row>
    <row r="1154" spans="1:7" ht="53.25" customHeight="1">
      <c r="A1154" s="59" t="s">
        <v>144</v>
      </c>
      <c r="B1154" s="29" t="s">
        <v>272</v>
      </c>
      <c r="C1154" s="6" t="s">
        <v>187</v>
      </c>
      <c r="D1154" s="6" t="s">
        <v>189</v>
      </c>
      <c r="E1154" s="69"/>
      <c r="F1154" s="58">
        <f t="shared" si="373"/>
        <v>2239.4</v>
      </c>
      <c r="G1154" s="58">
        <f t="shared" si="373"/>
        <v>2239.4</v>
      </c>
    </row>
    <row r="1155" spans="1:7" ht="39.75" customHeight="1">
      <c r="A1155" s="55" t="str">
        <f ca="1">IF(ISERROR(MATCH(E1155,Код_КВР,0)),"",INDIRECT(ADDRESS(MATCH(E1155,Код_КВР,0)+1,2,,,"КВР")))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5" s="29" t="s">
        <v>272</v>
      </c>
      <c r="C1155" s="6" t="s">
        <v>187</v>
      </c>
      <c r="D1155" s="6" t="s">
        <v>189</v>
      </c>
      <c r="E1155" s="69">
        <v>100</v>
      </c>
      <c r="F1155" s="58">
        <f t="shared" si="373"/>
        <v>2239.4</v>
      </c>
      <c r="G1155" s="58">
        <f t="shared" si="373"/>
        <v>2239.4</v>
      </c>
    </row>
    <row r="1156" spans="1:7" ht="21" customHeight="1">
      <c r="A1156" s="55" t="str">
        <f ca="1">IF(ISERROR(MATCH(E1156,Код_КВР,0)),"",INDIRECT(ADDRESS(MATCH(E1156,Код_КВР,0)+1,2,,,"КВР")))</f>
        <v>Расходы на выплаты персоналу муниципальных органов</v>
      </c>
      <c r="B1156" s="29" t="s">
        <v>272</v>
      </c>
      <c r="C1156" s="6" t="s">
        <v>187</v>
      </c>
      <c r="D1156" s="6" t="s">
        <v>189</v>
      </c>
      <c r="E1156" s="69">
        <v>120</v>
      </c>
      <c r="F1156" s="58">
        <f>'прил.16'!G340</f>
        <v>2239.4</v>
      </c>
      <c r="G1156" s="58">
        <f>'прил.16'!H340</f>
        <v>2239.4</v>
      </c>
    </row>
    <row r="1157" spans="1:7" ht="27" customHeight="1">
      <c r="A1157" s="55" t="str">
        <f ca="1">IF(ISERROR(MATCH(B1157,Код_КЦСР,0)),"",INDIRECT(ADDRESS(MATCH(B1157,Код_КЦСР,0)+1,2,,,"КЦСР")))</f>
        <v>Депутаты представительного органа муниципального образования</v>
      </c>
      <c r="B1157" s="29" t="s">
        <v>273</v>
      </c>
      <c r="C1157" s="6"/>
      <c r="D1157" s="1"/>
      <c r="E1157" s="69"/>
      <c r="F1157" s="58">
        <f aca="true" t="shared" si="374" ref="F1157:G1160">F1158</f>
        <v>3736.9</v>
      </c>
      <c r="G1157" s="58">
        <f t="shared" si="374"/>
        <v>3736.9</v>
      </c>
    </row>
    <row r="1158" spans="1:7" ht="21" customHeight="1">
      <c r="A1158" s="55" t="str">
        <f ca="1">IF(ISERROR(MATCH(C1158,Код_Раздел,0)),"",INDIRECT(ADDRESS(MATCH(C1158,Код_Раздел,0)+1,2,,,"Раздел")))</f>
        <v>Общегосударственные  вопросы</v>
      </c>
      <c r="B1158" s="29" t="s">
        <v>273</v>
      </c>
      <c r="C1158" s="6" t="s">
        <v>187</v>
      </c>
      <c r="D1158" s="1"/>
      <c r="E1158" s="69"/>
      <c r="F1158" s="58">
        <f t="shared" si="374"/>
        <v>3736.9</v>
      </c>
      <c r="G1158" s="58">
        <f t="shared" si="374"/>
        <v>3736.9</v>
      </c>
    </row>
    <row r="1159" spans="1:7" ht="49.5">
      <c r="A1159" s="59" t="s">
        <v>144</v>
      </c>
      <c r="B1159" s="29" t="s">
        <v>273</v>
      </c>
      <c r="C1159" s="6" t="s">
        <v>187</v>
      </c>
      <c r="D1159" s="6" t="s">
        <v>189</v>
      </c>
      <c r="E1159" s="69"/>
      <c r="F1159" s="58">
        <f t="shared" si="374"/>
        <v>3736.9</v>
      </c>
      <c r="G1159" s="58">
        <f t="shared" si="374"/>
        <v>3736.9</v>
      </c>
    </row>
    <row r="1160" spans="1:7" ht="39" customHeight="1">
      <c r="A1160" s="55" t="str">
        <f ca="1">IF(ISERROR(MATCH(E1160,Код_КВР,0)),"",INDIRECT(ADDRESS(MATCH(E1160,Код_КВР,0)+1,2,,,"КВР")))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0" s="29" t="s">
        <v>273</v>
      </c>
      <c r="C1160" s="6" t="s">
        <v>187</v>
      </c>
      <c r="D1160" s="6" t="s">
        <v>189</v>
      </c>
      <c r="E1160" s="69">
        <v>100</v>
      </c>
      <c r="F1160" s="58">
        <f t="shared" si="374"/>
        <v>3736.9</v>
      </c>
      <c r="G1160" s="58">
        <f t="shared" si="374"/>
        <v>3736.9</v>
      </c>
    </row>
    <row r="1161" spans="1:7" ht="22.5" customHeight="1">
      <c r="A1161" s="55" t="str">
        <f ca="1">IF(ISERROR(MATCH(E1161,Код_КВР,0)),"",INDIRECT(ADDRESS(MATCH(E1161,Код_КВР,0)+1,2,,,"КВР")))</f>
        <v>Расходы на выплаты персоналу муниципальных органов</v>
      </c>
      <c r="B1161" s="29" t="s">
        <v>273</v>
      </c>
      <c r="C1161" s="6" t="s">
        <v>187</v>
      </c>
      <c r="D1161" s="6" t="s">
        <v>189</v>
      </c>
      <c r="E1161" s="69">
        <v>120</v>
      </c>
      <c r="F1161" s="58">
        <f>'прил.16'!G343</f>
        <v>3736.9</v>
      </c>
      <c r="G1161" s="58">
        <f>'прил.16'!H343</f>
        <v>3736.9</v>
      </c>
    </row>
    <row r="1162" spans="1:7" ht="36" customHeight="1">
      <c r="A1162" s="55" t="str">
        <f ca="1">IF(ISERROR(MATCH(B1162,Код_КЦСР,0)),"",INDIRECT(ADDRESS(MATCH(B1162,Код_КЦСР,0)+1,2,,,"КЦСР")))</f>
        <v>Реализация функций органов местного самоуправления города, связанных с общегородским управлением</v>
      </c>
      <c r="B1162" s="29" t="s">
        <v>274</v>
      </c>
      <c r="C1162" s="6"/>
      <c r="D1162" s="1"/>
      <c r="E1162" s="69"/>
      <c r="F1162" s="58">
        <f>F1163+F1168</f>
        <v>350.7</v>
      </c>
      <c r="G1162" s="58">
        <f>G1163+G1168</f>
        <v>350.7</v>
      </c>
    </row>
    <row r="1163" spans="1:7" ht="12.75">
      <c r="A1163" s="55" t="str">
        <f ca="1">IF(ISERROR(MATCH(B1163,Код_КЦСР,0)),"",INDIRECT(ADDRESS(MATCH(B1163,Код_КЦСР,0)+1,2,,,"КЦСР")))</f>
        <v>Расходы на судебные издержки и исполнение судебных решений</v>
      </c>
      <c r="B1163" s="29" t="s">
        <v>276</v>
      </c>
      <c r="C1163" s="6"/>
      <c r="D1163" s="1"/>
      <c r="E1163" s="69"/>
      <c r="F1163" s="58">
        <f aca="true" t="shared" si="375" ref="F1163:G1166">F1164</f>
        <v>350</v>
      </c>
      <c r="G1163" s="58">
        <f t="shared" si="375"/>
        <v>350</v>
      </c>
    </row>
    <row r="1164" spans="1:7" ht="12.75">
      <c r="A1164" s="55" t="str">
        <f ca="1">IF(ISERROR(MATCH(C1164,Код_Раздел,0)),"",INDIRECT(ADDRESS(MATCH(C1164,Код_Раздел,0)+1,2,,,"Раздел")))</f>
        <v>Общегосударственные  вопросы</v>
      </c>
      <c r="B1164" s="29" t="s">
        <v>276</v>
      </c>
      <c r="C1164" s="6" t="s">
        <v>187</v>
      </c>
      <c r="D1164" s="1"/>
      <c r="E1164" s="69"/>
      <c r="F1164" s="58">
        <f t="shared" si="375"/>
        <v>350</v>
      </c>
      <c r="G1164" s="58">
        <f t="shared" si="375"/>
        <v>350</v>
      </c>
    </row>
    <row r="1165" spans="1:7" ht="12.75">
      <c r="A1165" s="59" t="s">
        <v>209</v>
      </c>
      <c r="B1165" s="29" t="s">
        <v>276</v>
      </c>
      <c r="C1165" s="6" t="s">
        <v>187</v>
      </c>
      <c r="D1165" s="1" t="s">
        <v>165</v>
      </c>
      <c r="E1165" s="69"/>
      <c r="F1165" s="58">
        <f t="shared" si="375"/>
        <v>350</v>
      </c>
      <c r="G1165" s="58">
        <f t="shared" si="375"/>
        <v>350</v>
      </c>
    </row>
    <row r="1166" spans="1:7" ht="12.75">
      <c r="A1166" s="55" t="str">
        <f ca="1">IF(ISERROR(MATCH(E1166,Код_КВР,0)),"",INDIRECT(ADDRESS(MATCH(E1166,Код_КВР,0)+1,2,,,"КВР")))</f>
        <v>Иные бюджетные ассигнования</v>
      </c>
      <c r="B1166" s="29" t="s">
        <v>276</v>
      </c>
      <c r="C1166" s="6" t="s">
        <v>187</v>
      </c>
      <c r="D1166" s="1" t="s">
        <v>165</v>
      </c>
      <c r="E1166" s="69">
        <v>800</v>
      </c>
      <c r="F1166" s="58">
        <f t="shared" si="375"/>
        <v>350</v>
      </c>
      <c r="G1166" s="58">
        <f t="shared" si="375"/>
        <v>350</v>
      </c>
    </row>
    <row r="1167" spans="1:7" ht="12.75">
      <c r="A1167" s="55" t="str">
        <f ca="1">IF(ISERROR(MATCH(E1167,Код_КВР,0)),"",INDIRECT(ADDRESS(MATCH(E1167,Код_КВР,0)+1,2,,,"КВР")))</f>
        <v>Исполнение судебных актов</v>
      </c>
      <c r="B1167" s="29" t="s">
        <v>276</v>
      </c>
      <c r="C1167" s="6" t="s">
        <v>187</v>
      </c>
      <c r="D1167" s="1" t="s">
        <v>165</v>
      </c>
      <c r="E1167" s="69">
        <v>830</v>
      </c>
      <c r="F1167" s="58">
        <f>'прил.16'!G670+'прил.16'!G150</f>
        <v>350</v>
      </c>
      <c r="G1167" s="58">
        <f>'прил.16'!H670+'прил.16'!H150</f>
        <v>350</v>
      </c>
    </row>
    <row r="1168" spans="1:7" ht="17.25" customHeight="1">
      <c r="A1168" s="55" t="str">
        <f ca="1">IF(ISERROR(MATCH(B1168,Код_КЦСР,0)),"",INDIRECT(ADDRESS(MATCH(B1168,Код_КЦСР,0)+1,2,,,"КЦСР")))</f>
        <v>Выполнение других обязательств органов местного самоуправления</v>
      </c>
      <c r="B1168" s="29" t="s">
        <v>278</v>
      </c>
      <c r="C1168" s="6"/>
      <c r="D1168" s="1"/>
      <c r="E1168" s="69"/>
      <c r="F1168" s="58">
        <f aca="true" t="shared" si="376" ref="F1168:G1171">F1169</f>
        <v>0.7</v>
      </c>
      <c r="G1168" s="58">
        <f t="shared" si="376"/>
        <v>0.7</v>
      </c>
    </row>
    <row r="1169" spans="1:7" ht="12.75">
      <c r="A1169" s="55" t="str">
        <f ca="1">IF(ISERROR(MATCH(C1169,Код_Раздел,0)),"",INDIRECT(ADDRESS(MATCH(C1169,Код_Раздел,0)+1,2,,,"Раздел")))</f>
        <v>Общегосударственные  вопросы</v>
      </c>
      <c r="B1169" s="29" t="s">
        <v>278</v>
      </c>
      <c r="C1169" s="6" t="s">
        <v>187</v>
      </c>
      <c r="D1169" s="1"/>
      <c r="E1169" s="69"/>
      <c r="F1169" s="58">
        <f t="shared" si="376"/>
        <v>0.7</v>
      </c>
      <c r="G1169" s="58">
        <f t="shared" si="376"/>
        <v>0.7</v>
      </c>
    </row>
    <row r="1170" spans="1:7" ht="12.75">
      <c r="A1170" s="59" t="s">
        <v>209</v>
      </c>
      <c r="B1170" s="29" t="s">
        <v>278</v>
      </c>
      <c r="C1170" s="6" t="s">
        <v>187</v>
      </c>
      <c r="D1170" s="1" t="s">
        <v>165</v>
      </c>
      <c r="E1170" s="69"/>
      <c r="F1170" s="58">
        <f t="shared" si="376"/>
        <v>0.7</v>
      </c>
      <c r="G1170" s="58">
        <f t="shared" si="376"/>
        <v>0.7</v>
      </c>
    </row>
    <row r="1171" spans="1:7" ht="12.75">
      <c r="A1171" s="55" t="str">
        <f ca="1">IF(ISERROR(MATCH(E1171,Код_КВР,0)),"",INDIRECT(ADDRESS(MATCH(E1171,Код_КВР,0)+1,2,,,"КВР")))</f>
        <v>Иные бюджетные ассигнования</v>
      </c>
      <c r="B1171" s="29" t="s">
        <v>278</v>
      </c>
      <c r="C1171" s="6" t="s">
        <v>187</v>
      </c>
      <c r="D1171" s="1" t="s">
        <v>165</v>
      </c>
      <c r="E1171" s="69">
        <v>800</v>
      </c>
      <c r="F1171" s="58">
        <f t="shared" si="376"/>
        <v>0.7</v>
      </c>
      <c r="G1171" s="58">
        <f t="shared" si="376"/>
        <v>0.7</v>
      </c>
    </row>
    <row r="1172" spans="1:7" ht="12.75">
      <c r="A1172" s="55" t="str">
        <f ca="1">IF(ISERROR(MATCH(E1172,Код_КВР,0)),"",INDIRECT(ADDRESS(MATCH(E1172,Код_КВР,0)+1,2,,,"КВР")))</f>
        <v>Уплата налогов, сборов и иных платежей</v>
      </c>
      <c r="B1172" s="29" t="s">
        <v>278</v>
      </c>
      <c r="C1172" s="6" t="s">
        <v>187</v>
      </c>
      <c r="D1172" s="1" t="s">
        <v>165</v>
      </c>
      <c r="E1172" s="69">
        <v>850</v>
      </c>
      <c r="F1172" s="58">
        <f>'прил.16'!G153</f>
        <v>0.7</v>
      </c>
      <c r="G1172" s="58">
        <f>'прил.16'!H153</f>
        <v>0.7</v>
      </c>
    </row>
    <row r="1173" spans="1:7" ht="12.75">
      <c r="A1173" s="55" t="str">
        <f ca="1">IF(ISERROR(MATCH(B1173,Код_КЦСР,0)),"",INDIRECT(ADDRESS(MATCH(B1173,Код_КЦСР,0)+1,2,,,"КЦСР")))</f>
        <v>Процентные платежи по долговым обязательствам</v>
      </c>
      <c r="B1173" s="29" t="s">
        <v>279</v>
      </c>
      <c r="C1173" s="6"/>
      <c r="D1173" s="1"/>
      <c r="E1173" s="69"/>
      <c r="F1173" s="58">
        <f aca="true" t="shared" si="377" ref="F1173:G1177">F1174</f>
        <v>140156.5</v>
      </c>
      <c r="G1173" s="58">
        <f t="shared" si="377"/>
        <v>170361.5</v>
      </c>
    </row>
    <row r="1174" spans="1:7" ht="12.75">
      <c r="A1174" s="55" t="str">
        <f ca="1">IF(ISERROR(MATCH(B1174,Код_КЦСР,0)),"",INDIRECT(ADDRESS(MATCH(B1174,Код_КЦСР,0)+1,2,,,"КЦСР")))</f>
        <v>Процентные платежи по муниципальному долгу</v>
      </c>
      <c r="B1174" s="29" t="s">
        <v>280</v>
      </c>
      <c r="C1174" s="6"/>
      <c r="D1174" s="1"/>
      <c r="E1174" s="69"/>
      <c r="F1174" s="58">
        <f t="shared" si="377"/>
        <v>140156.5</v>
      </c>
      <c r="G1174" s="58">
        <f t="shared" si="377"/>
        <v>170361.5</v>
      </c>
    </row>
    <row r="1175" spans="1:7" ht="12.75">
      <c r="A1175" s="55" t="str">
        <f ca="1">IF(ISERROR(MATCH(C1175,Код_Раздел,0)),"",INDIRECT(ADDRESS(MATCH(C1175,Код_Раздел,0)+1,2,,,"Раздел")))</f>
        <v>Обслуживание государственного и муниципального долга</v>
      </c>
      <c r="B1175" s="29" t="s">
        <v>280</v>
      </c>
      <c r="C1175" s="6" t="s">
        <v>165</v>
      </c>
      <c r="D1175" s="1"/>
      <c r="E1175" s="69"/>
      <c r="F1175" s="58">
        <f t="shared" si="377"/>
        <v>140156.5</v>
      </c>
      <c r="G1175" s="58">
        <f t="shared" si="377"/>
        <v>170361.5</v>
      </c>
    </row>
    <row r="1176" spans="1:7" ht="33">
      <c r="A1176" s="59" t="s">
        <v>230</v>
      </c>
      <c r="B1176" s="29" t="s">
        <v>280</v>
      </c>
      <c r="C1176" s="6" t="s">
        <v>165</v>
      </c>
      <c r="D1176" s="1" t="s">
        <v>187</v>
      </c>
      <c r="E1176" s="69"/>
      <c r="F1176" s="58">
        <f t="shared" si="377"/>
        <v>140156.5</v>
      </c>
      <c r="G1176" s="58">
        <f t="shared" si="377"/>
        <v>170361.5</v>
      </c>
    </row>
    <row r="1177" spans="1:7" ht="12.75">
      <c r="A1177" s="55" t="str">
        <f ca="1">IF(ISERROR(MATCH(E1177,Код_КВР,0)),"",INDIRECT(ADDRESS(MATCH(E1177,Код_КВР,0)+1,2,,,"КВР")))</f>
        <v>Обслуживание государственного (муниципального) долга</v>
      </c>
      <c r="B1177" s="29" t="s">
        <v>280</v>
      </c>
      <c r="C1177" s="6" t="s">
        <v>165</v>
      </c>
      <c r="D1177" s="1" t="s">
        <v>187</v>
      </c>
      <c r="E1177" s="69">
        <v>700</v>
      </c>
      <c r="F1177" s="58">
        <f t="shared" si="377"/>
        <v>140156.5</v>
      </c>
      <c r="G1177" s="58">
        <f t="shared" si="377"/>
        <v>170361.5</v>
      </c>
    </row>
    <row r="1178" spans="1:7" ht="12.75">
      <c r="A1178" s="55" t="str">
        <f ca="1">IF(ISERROR(MATCH(E1178,Код_КВР,0)),"",INDIRECT(ADDRESS(MATCH(E1178,Код_КВР,0)+1,2,,,"КВР")))</f>
        <v>Обслуживание муниципального долга</v>
      </c>
      <c r="B1178" s="29" t="s">
        <v>280</v>
      </c>
      <c r="C1178" s="6" t="s">
        <v>165</v>
      </c>
      <c r="D1178" s="1" t="s">
        <v>187</v>
      </c>
      <c r="E1178" s="69">
        <v>730</v>
      </c>
      <c r="F1178" s="58">
        <f>'прил.16'!G678</f>
        <v>140156.5</v>
      </c>
      <c r="G1178" s="58">
        <f>'прил.16'!H678</f>
        <v>170361.5</v>
      </c>
    </row>
    <row r="1179" spans="1:7" ht="66">
      <c r="A1179" s="55" t="str">
        <f ca="1">IF(ISERROR(MATCH(B1179,Код_КЦСР,0)),"",INDIRECT(ADDRESS(MATCH(B1179,Код_КЦСР,0)+1,2,,,"КЦСР")))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179" s="69" t="s">
        <v>326</v>
      </c>
      <c r="C1179" s="6"/>
      <c r="D1179" s="1"/>
      <c r="E1179" s="69"/>
      <c r="F1179" s="58">
        <f aca="true" t="shared" si="378" ref="F1179:G1182">F1180</f>
        <v>165.4</v>
      </c>
      <c r="G1179" s="58">
        <f t="shared" si="378"/>
        <v>0</v>
      </c>
    </row>
    <row r="1180" spans="1:7" ht="12.75">
      <c r="A1180" s="55" t="str">
        <f ca="1">IF(ISERROR(MATCH(C1180,Код_Раздел,0)),"",INDIRECT(ADDRESS(MATCH(C1180,Код_Раздел,0)+1,2,,,"Раздел")))</f>
        <v>Общегосударственные  вопросы</v>
      </c>
      <c r="B1180" s="69" t="s">
        <v>326</v>
      </c>
      <c r="C1180" s="6" t="s">
        <v>187</v>
      </c>
      <c r="D1180" s="1"/>
      <c r="E1180" s="69"/>
      <c r="F1180" s="58">
        <f t="shared" si="378"/>
        <v>165.4</v>
      </c>
      <c r="G1180" s="58">
        <f t="shared" si="378"/>
        <v>0</v>
      </c>
    </row>
    <row r="1181" spans="1:7" ht="12.75">
      <c r="A1181" s="60" t="s">
        <v>322</v>
      </c>
      <c r="B1181" s="69" t="s">
        <v>326</v>
      </c>
      <c r="C1181" s="6" t="s">
        <v>187</v>
      </c>
      <c r="D1181" s="1" t="s">
        <v>195</v>
      </c>
      <c r="E1181" s="69"/>
      <c r="F1181" s="58">
        <f t="shared" si="378"/>
        <v>165.4</v>
      </c>
      <c r="G1181" s="58">
        <f t="shared" si="378"/>
        <v>0</v>
      </c>
    </row>
    <row r="1182" spans="1:7" ht="12.75">
      <c r="A1182" s="55" t="str">
        <f ca="1">IF(ISERROR(MATCH(E1182,Код_КВР,0)),"",INDIRECT(ADDRESS(MATCH(E1182,Код_КВР,0)+1,2,,,"КВР")))</f>
        <v>Закупка товаров, работ и услуг для муниципальных нужд</v>
      </c>
      <c r="B1182" s="69" t="s">
        <v>326</v>
      </c>
      <c r="C1182" s="6" t="s">
        <v>187</v>
      </c>
      <c r="D1182" s="1" t="s">
        <v>195</v>
      </c>
      <c r="E1182" s="69">
        <v>200</v>
      </c>
      <c r="F1182" s="58">
        <f t="shared" si="378"/>
        <v>165.4</v>
      </c>
      <c r="G1182" s="58">
        <f t="shared" si="378"/>
        <v>0</v>
      </c>
    </row>
    <row r="1183" spans="1:7" ht="33">
      <c r="A1183" s="55" t="str">
        <f ca="1">IF(ISERROR(MATCH(E1183,Код_КВР,0)),"",INDIRECT(ADDRESS(MATCH(E1183,Код_КВР,0)+1,2,,,"КВР")))</f>
        <v>Иные закупки товаров, работ и услуг для обеспечения муниципальных нужд</v>
      </c>
      <c r="B1183" s="69" t="s">
        <v>326</v>
      </c>
      <c r="C1183" s="6" t="s">
        <v>187</v>
      </c>
      <c r="D1183" s="1" t="s">
        <v>195</v>
      </c>
      <c r="E1183" s="69">
        <v>240</v>
      </c>
      <c r="F1183" s="58">
        <f>'прил.16'!G52</f>
        <v>165.4</v>
      </c>
      <c r="G1183" s="58">
        <f>'прил.16'!H52</f>
        <v>0</v>
      </c>
    </row>
    <row r="1184" spans="1:7" ht="49.5" hidden="1">
      <c r="A1184" s="55" t="str">
        <f ca="1">IF(ISERROR(MATCH(B1184,Код_КЦСР,0)),"",INDIRECT(ADDRESS(MATCH(B1184,Код_КЦСР,0)+1,2,,,"КЦСР")))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184" s="70" t="s">
        <v>320</v>
      </c>
      <c r="C1184" s="6"/>
      <c r="D1184" s="1"/>
      <c r="E1184" s="69"/>
      <c r="F1184" s="58">
        <f aca="true" t="shared" si="379" ref="F1184:G1184">F1185</f>
        <v>0</v>
      </c>
      <c r="G1184" s="58">
        <f t="shared" si="379"/>
        <v>0</v>
      </c>
    </row>
    <row r="1185" spans="1:7" ht="12.75" hidden="1">
      <c r="A1185" s="55" t="str">
        <f ca="1">IF(ISERROR(MATCH(C1185,Код_Раздел,0)),"",INDIRECT(ADDRESS(MATCH(C1185,Код_Раздел,0)+1,2,,,"Раздел")))</f>
        <v>Национальная экономика</v>
      </c>
      <c r="B1185" s="70" t="s">
        <v>320</v>
      </c>
      <c r="C1185" s="6" t="s">
        <v>190</v>
      </c>
      <c r="D1185" s="1"/>
      <c r="E1185" s="69"/>
      <c r="F1185" s="58">
        <f aca="true" t="shared" si="380" ref="F1185:G1187">F1186</f>
        <v>0</v>
      </c>
      <c r="G1185" s="58">
        <f t="shared" si="380"/>
        <v>0</v>
      </c>
    </row>
    <row r="1186" spans="1:7" ht="12.75" hidden="1">
      <c r="A1186" s="87" t="s">
        <v>155</v>
      </c>
      <c r="B1186" s="70" t="s">
        <v>320</v>
      </c>
      <c r="C1186" s="6" t="s">
        <v>190</v>
      </c>
      <c r="D1186" s="1" t="s">
        <v>193</v>
      </c>
      <c r="E1186" s="69"/>
      <c r="F1186" s="58">
        <f t="shared" si="380"/>
        <v>0</v>
      </c>
      <c r="G1186" s="58">
        <f t="shared" si="380"/>
        <v>0</v>
      </c>
    </row>
    <row r="1187" spans="1:7" ht="12.75" hidden="1">
      <c r="A1187" s="55" t="str">
        <f ca="1">IF(ISERROR(MATCH(E1187,Код_КВР,0)),"",INDIRECT(ADDRESS(MATCH(E1187,Код_КВР,0)+1,2,,,"КВР")))</f>
        <v>Иные бюджетные ассигнования</v>
      </c>
      <c r="B1187" s="70" t="s">
        <v>320</v>
      </c>
      <c r="C1187" s="6" t="s">
        <v>190</v>
      </c>
      <c r="D1187" s="1" t="s">
        <v>193</v>
      </c>
      <c r="E1187" s="69">
        <v>800</v>
      </c>
      <c r="F1187" s="58">
        <f t="shared" si="380"/>
        <v>0</v>
      </c>
      <c r="G1187" s="58">
        <f t="shared" si="380"/>
        <v>0</v>
      </c>
    </row>
    <row r="1188" spans="1:7" ht="49.5" hidden="1">
      <c r="A1188" s="55" t="str">
        <f ca="1">IF(ISERROR(MATCH(E1188,Код_КВР,0)),"",INDIRECT(ADDRESS(MATCH(E1188,Код_КВР,0)+1,2,,,"КВР")))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188" s="70" t="s">
        <v>320</v>
      </c>
      <c r="C1188" s="6" t="s">
        <v>190</v>
      </c>
      <c r="D1188" s="1" t="s">
        <v>193</v>
      </c>
      <c r="E1188" s="69">
        <v>840</v>
      </c>
      <c r="F1188" s="58">
        <f>'прил.16'!G378</f>
        <v>0</v>
      </c>
      <c r="G1188" s="58">
        <f>'прил.16'!H378</f>
        <v>0</v>
      </c>
    </row>
    <row r="1189" spans="1:7" ht="120" customHeight="1">
      <c r="A1189" s="55" t="str">
        <f ca="1">IF(ISERROR(MATCH(B1189,Код_КЦСР,0)),"",INDIRECT(ADDRESS(MATCH(B1189,Код_КЦСР,0)+1,2,,,"КЦСР")))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189" s="70" t="s">
        <v>323</v>
      </c>
      <c r="C1189" s="6"/>
      <c r="D1189" s="1"/>
      <c r="E1189" s="69"/>
      <c r="F1189" s="58">
        <f aca="true" t="shared" si="381" ref="F1189:G1190">F1190</f>
        <v>1241.8</v>
      </c>
      <c r="G1189" s="58">
        <f t="shared" si="381"/>
        <v>1371.9</v>
      </c>
    </row>
    <row r="1190" spans="1:7" ht="19.5" customHeight="1">
      <c r="A1190" s="55" t="str">
        <f ca="1">IF(ISERROR(MATCH(C1190,Код_Раздел,0)),"",INDIRECT(ADDRESS(MATCH(C1190,Код_Раздел,0)+1,2,,,"Раздел")))</f>
        <v>Общегосударственные  вопросы</v>
      </c>
      <c r="B1190" s="70" t="s">
        <v>323</v>
      </c>
      <c r="C1190" s="6" t="s">
        <v>187</v>
      </c>
      <c r="D1190" s="1"/>
      <c r="E1190" s="69"/>
      <c r="F1190" s="58">
        <f t="shared" si="381"/>
        <v>1241.8</v>
      </c>
      <c r="G1190" s="58">
        <f t="shared" si="381"/>
        <v>1371.9</v>
      </c>
    </row>
    <row r="1191" spans="1:7" ht="55.5" customHeight="1">
      <c r="A1191" s="60" t="s">
        <v>207</v>
      </c>
      <c r="B1191" s="70" t="s">
        <v>323</v>
      </c>
      <c r="C1191" s="6" t="s">
        <v>187</v>
      </c>
      <c r="D1191" s="1" t="s">
        <v>190</v>
      </c>
      <c r="E1191" s="69"/>
      <c r="F1191" s="58">
        <f>F1192+F1194</f>
        <v>1241.8</v>
      </c>
      <c r="G1191" s="58">
        <f>G1192+G1194</f>
        <v>1371.9</v>
      </c>
    </row>
    <row r="1192" spans="1:7" ht="33">
      <c r="A1192" s="55" t="str">
        <f ca="1">IF(ISERROR(MATCH(E1192,Код_КВР,0)),"",INDIRECT(ADDRESS(MATCH(E1192,Код_КВР,0)+1,2,,,"КВР")))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2" s="70" t="s">
        <v>323</v>
      </c>
      <c r="C1192" s="6" t="s">
        <v>187</v>
      </c>
      <c r="D1192" s="1" t="s">
        <v>190</v>
      </c>
      <c r="E1192" s="69">
        <v>100</v>
      </c>
      <c r="F1192" s="58">
        <f>F1193</f>
        <v>1231.1</v>
      </c>
      <c r="G1192" s="58">
        <f>G1193</f>
        <v>1361.2</v>
      </c>
    </row>
    <row r="1193" spans="1:7" ht="21" customHeight="1">
      <c r="A1193" s="55" t="str">
        <f ca="1">IF(ISERROR(MATCH(E1193,Код_КВР,0)),"",INDIRECT(ADDRESS(MATCH(E1193,Код_КВР,0)+1,2,,,"КВР")))</f>
        <v>Расходы на выплаты персоналу муниципальных органов</v>
      </c>
      <c r="B1193" s="70" t="s">
        <v>323</v>
      </c>
      <c r="C1193" s="6" t="s">
        <v>187</v>
      </c>
      <c r="D1193" s="1" t="s">
        <v>190</v>
      </c>
      <c r="E1193" s="69">
        <v>120</v>
      </c>
      <c r="F1193" s="58">
        <f>'прил.16'!G36</f>
        <v>1231.1</v>
      </c>
      <c r="G1193" s="58">
        <f>'прил.16'!H36</f>
        <v>1361.2</v>
      </c>
    </row>
    <row r="1194" spans="1:7" ht="12.75">
      <c r="A1194" s="55" t="str">
        <f ca="1">IF(ISERROR(MATCH(E1194,Код_КВР,0)),"",INDIRECT(ADDRESS(MATCH(E1194,Код_КВР,0)+1,2,,,"КВР")))</f>
        <v>Закупка товаров, работ и услуг для муниципальных нужд</v>
      </c>
      <c r="B1194" s="70" t="s">
        <v>323</v>
      </c>
      <c r="C1194" s="6" t="s">
        <v>187</v>
      </c>
      <c r="D1194" s="1" t="s">
        <v>190</v>
      </c>
      <c r="E1194" s="69">
        <v>200</v>
      </c>
      <c r="F1194" s="58">
        <f>F1195</f>
        <v>10.7</v>
      </c>
      <c r="G1194" s="58">
        <f>G1195</f>
        <v>10.7</v>
      </c>
    </row>
    <row r="1195" spans="1:7" ht="33">
      <c r="A1195" s="55" t="str">
        <f ca="1">IF(ISERROR(MATCH(E1195,Код_КВР,0)),"",INDIRECT(ADDRESS(MATCH(E1195,Код_КВР,0)+1,2,,,"КВР")))</f>
        <v>Иные закупки товаров, работ и услуг для обеспечения муниципальных нужд</v>
      </c>
      <c r="B1195" s="70" t="s">
        <v>323</v>
      </c>
      <c r="C1195" s="6" t="s">
        <v>187</v>
      </c>
      <c r="D1195" s="1" t="s">
        <v>190</v>
      </c>
      <c r="E1195" s="69">
        <v>240</v>
      </c>
      <c r="F1195" s="58">
        <f>'прил.16'!G38</f>
        <v>10.7</v>
      </c>
      <c r="G1195" s="58">
        <f>'прил.16'!H38</f>
        <v>10.7</v>
      </c>
    </row>
    <row r="1196" spans="1:7" ht="99">
      <c r="A1196" s="55" t="str">
        <f ca="1">IF(ISERROR(MATCH(B1196,Код_КЦСР,0)),"",INDIRECT(ADDRESS(MATCH(B1196,Код_КЦСР,0)+1,2,,,"КЦСР")))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1196" s="70" t="s">
        <v>335</v>
      </c>
      <c r="C1196" s="6"/>
      <c r="D1196" s="1"/>
      <c r="E1196" s="69"/>
      <c r="F1196" s="58">
        <f aca="true" t="shared" si="382" ref="F1196:G1196">F1197</f>
        <v>902.7</v>
      </c>
      <c r="G1196" s="58">
        <f t="shared" si="382"/>
        <v>902.7</v>
      </c>
    </row>
    <row r="1197" spans="1:7" ht="21.75" customHeight="1">
      <c r="A1197" s="55" t="str">
        <f ca="1">IF(ISERROR(MATCH(C1197,Код_Раздел,0)),"",INDIRECT(ADDRESS(MATCH(C1197,Код_Раздел,0)+1,2,,,"Раздел")))</f>
        <v>Общегосударственные  вопросы</v>
      </c>
      <c r="B1197" s="70" t="s">
        <v>335</v>
      </c>
      <c r="C1197" s="6" t="s">
        <v>187</v>
      </c>
      <c r="D1197" s="1"/>
      <c r="E1197" s="69"/>
      <c r="F1197" s="58">
        <f>F1198</f>
        <v>902.7</v>
      </c>
      <c r="G1197" s="58">
        <f>G1198</f>
        <v>902.7</v>
      </c>
    </row>
    <row r="1198" spans="1:7" ht="54.75" customHeight="1">
      <c r="A1198" s="60" t="s">
        <v>207</v>
      </c>
      <c r="B1198" s="70" t="s">
        <v>335</v>
      </c>
      <c r="C1198" s="6" t="s">
        <v>187</v>
      </c>
      <c r="D1198" s="1" t="s">
        <v>190</v>
      </c>
      <c r="E1198" s="69"/>
      <c r="F1198" s="58">
        <f>F1199+F1201</f>
        <v>902.7</v>
      </c>
      <c r="G1198" s="58">
        <f>G1199+G1201</f>
        <v>902.7</v>
      </c>
    </row>
    <row r="1199" spans="1:7" ht="37.5" customHeight="1">
      <c r="A1199" s="55" t="str">
        <f ca="1">IF(ISERROR(MATCH(E1199,Код_КВР,0)),"",INDIRECT(ADDRESS(MATCH(E1199,Код_КВР,0)+1,2,,,"КВР")))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9" s="70" t="s">
        <v>335</v>
      </c>
      <c r="C1199" s="6" t="s">
        <v>187</v>
      </c>
      <c r="D1199" s="1" t="s">
        <v>190</v>
      </c>
      <c r="E1199" s="69">
        <v>100</v>
      </c>
      <c r="F1199" s="58">
        <f>F1200</f>
        <v>902.7</v>
      </c>
      <c r="G1199" s="58">
        <f>G1200</f>
        <v>902.7</v>
      </c>
    </row>
    <row r="1200" spans="1:7" ht="19.5" customHeight="1">
      <c r="A1200" s="55" t="str">
        <f ca="1">IF(ISERROR(MATCH(E1200,Код_КВР,0)),"",INDIRECT(ADDRESS(MATCH(E1200,Код_КВР,0)+1,2,,,"КВР")))</f>
        <v>Расходы на выплаты персоналу муниципальных органов</v>
      </c>
      <c r="B1200" s="70" t="s">
        <v>335</v>
      </c>
      <c r="C1200" s="6" t="s">
        <v>187</v>
      </c>
      <c r="D1200" s="1" t="s">
        <v>190</v>
      </c>
      <c r="E1200" s="69">
        <v>120</v>
      </c>
      <c r="F1200" s="58">
        <f>'прил.16'!G41</f>
        <v>902.7</v>
      </c>
      <c r="G1200" s="58">
        <f>'прил.16'!H41</f>
        <v>902.7</v>
      </c>
    </row>
    <row r="1201" spans="1:7" ht="23.25" customHeight="1" hidden="1">
      <c r="A1201" s="55" t="str">
        <f ca="1">IF(ISERROR(MATCH(E1201,Код_КВР,0)),"",INDIRECT(ADDRESS(MATCH(E1201,Код_КВР,0)+1,2,,,"КВР")))</f>
        <v>Закупка товаров, работ и услуг для муниципальных нужд</v>
      </c>
      <c r="B1201" s="70" t="s">
        <v>335</v>
      </c>
      <c r="C1201" s="6" t="s">
        <v>187</v>
      </c>
      <c r="D1201" s="1" t="s">
        <v>190</v>
      </c>
      <c r="E1201" s="69">
        <v>200</v>
      </c>
      <c r="F1201" s="58">
        <f>F1202</f>
        <v>0</v>
      </c>
      <c r="G1201" s="58">
        <f>G1202</f>
        <v>0</v>
      </c>
    </row>
    <row r="1202" spans="1:7" ht="33" hidden="1">
      <c r="A1202" s="55" t="str">
        <f ca="1">IF(ISERROR(MATCH(E1202,Код_КВР,0)),"",INDIRECT(ADDRESS(MATCH(E1202,Код_КВР,0)+1,2,,,"КВР")))</f>
        <v>Иные закупки товаров, работ и услуг для обеспечения муниципальных нужд</v>
      </c>
      <c r="B1202" s="70" t="s">
        <v>335</v>
      </c>
      <c r="C1202" s="6" t="s">
        <v>187</v>
      </c>
      <c r="D1202" s="1" t="s">
        <v>190</v>
      </c>
      <c r="E1202" s="69">
        <v>240</v>
      </c>
      <c r="F1202" s="58"/>
      <c r="G1202" s="58"/>
    </row>
    <row r="1203" spans="1:7" ht="102.75" customHeight="1">
      <c r="A1203" s="55" t="str">
        <f ca="1">IF(ISERROR(MATCH(B1203,Код_КЦСР,0)),"",INDIRECT(ADDRESS(MATCH(B1203,Код_КЦСР,0)+1,2,,,"КЦСР")))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203" s="70" t="s">
        <v>324</v>
      </c>
      <c r="C1203" s="6"/>
      <c r="D1203" s="1"/>
      <c r="E1203" s="69"/>
      <c r="F1203" s="58">
        <f aca="true" t="shared" si="383" ref="F1203:G1203">F1204</f>
        <v>343</v>
      </c>
      <c r="G1203" s="58">
        <f t="shared" si="383"/>
        <v>343</v>
      </c>
    </row>
    <row r="1204" spans="1:7" ht="19.5" customHeight="1">
      <c r="A1204" s="55" t="str">
        <f ca="1">IF(ISERROR(MATCH(C1204,Код_Раздел,0)),"",INDIRECT(ADDRESS(MATCH(C1204,Код_Раздел,0)+1,2,,,"Раздел")))</f>
        <v>Общегосударственные  вопросы</v>
      </c>
      <c r="B1204" s="70" t="s">
        <v>324</v>
      </c>
      <c r="C1204" s="6" t="s">
        <v>187</v>
      </c>
      <c r="D1204" s="1"/>
      <c r="E1204" s="69"/>
      <c r="F1204" s="58">
        <f aca="true" t="shared" si="384" ref="F1204:G1206">F1205</f>
        <v>343</v>
      </c>
      <c r="G1204" s="58">
        <f t="shared" si="384"/>
        <v>343</v>
      </c>
    </row>
    <row r="1205" spans="1:7" ht="57" customHeight="1">
      <c r="A1205" s="60" t="s">
        <v>207</v>
      </c>
      <c r="B1205" s="70" t="s">
        <v>324</v>
      </c>
      <c r="C1205" s="6" t="s">
        <v>187</v>
      </c>
      <c r="D1205" s="1" t="s">
        <v>190</v>
      </c>
      <c r="E1205" s="69"/>
      <c r="F1205" s="58">
        <f t="shared" si="384"/>
        <v>343</v>
      </c>
      <c r="G1205" s="58">
        <f t="shared" si="384"/>
        <v>343</v>
      </c>
    </row>
    <row r="1206" spans="1:7" ht="36.75" customHeight="1">
      <c r="A1206" s="55" t="str">
        <f ca="1">IF(ISERROR(MATCH(E1206,Код_КВР,0)),"",INDIRECT(ADDRESS(MATCH(E1206,Код_КВР,0)+1,2,,,"КВР")))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6" s="70" t="s">
        <v>324</v>
      </c>
      <c r="C1206" s="6" t="s">
        <v>187</v>
      </c>
      <c r="D1206" s="1" t="s">
        <v>190</v>
      </c>
      <c r="E1206" s="69">
        <v>100</v>
      </c>
      <c r="F1206" s="58">
        <f t="shared" si="384"/>
        <v>343</v>
      </c>
      <c r="G1206" s="58">
        <f t="shared" si="384"/>
        <v>343</v>
      </c>
    </row>
    <row r="1207" spans="1:7" ht="12.75">
      <c r="A1207" s="55" t="str">
        <f ca="1">IF(ISERROR(MATCH(E1207,Код_КВР,0)),"",INDIRECT(ADDRESS(MATCH(E1207,Код_КВР,0)+1,2,,,"КВР")))</f>
        <v>Расходы на выплаты персоналу муниципальных органов</v>
      </c>
      <c r="B1207" s="70" t="s">
        <v>324</v>
      </c>
      <c r="C1207" s="6" t="s">
        <v>187</v>
      </c>
      <c r="D1207" s="1" t="s">
        <v>190</v>
      </c>
      <c r="E1207" s="69">
        <v>120</v>
      </c>
      <c r="F1207" s="58">
        <f>'прил.16'!G46</f>
        <v>343</v>
      </c>
      <c r="G1207" s="58">
        <f>'прил.16'!H46</f>
        <v>343</v>
      </c>
    </row>
    <row r="1208" spans="1:7" ht="100.15" customHeight="1">
      <c r="A1208" s="55" t="str">
        <f ca="1">IF(ISERROR(MATCH(B1208,Код_КЦСР,0)),"",INDIRECT(ADDRESS(MATCH(B1208,Код_КЦСР,0)+1,2,,,"КЦСР")))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208" s="70" t="s">
        <v>330</v>
      </c>
      <c r="C1208" s="6"/>
      <c r="D1208" s="1"/>
      <c r="E1208" s="69"/>
      <c r="F1208" s="58">
        <f aca="true" t="shared" si="385" ref="F1208:G1211">F1209</f>
        <v>231.9</v>
      </c>
      <c r="G1208" s="58">
        <f t="shared" si="385"/>
        <v>231.9</v>
      </c>
    </row>
    <row r="1209" spans="1:7" ht="12.75">
      <c r="A1209" s="55" t="str">
        <f ca="1">IF(ISERROR(MATCH(C1209,Код_Раздел,0)),"",INDIRECT(ADDRESS(MATCH(C1209,Код_Раздел,0)+1,2,,,"Раздел")))</f>
        <v>Общегосударственные  вопросы</v>
      </c>
      <c r="B1209" s="70" t="s">
        <v>330</v>
      </c>
      <c r="C1209" s="6" t="s">
        <v>187</v>
      </c>
      <c r="D1209" s="1"/>
      <c r="E1209" s="69"/>
      <c r="F1209" s="58">
        <f t="shared" si="385"/>
        <v>231.9</v>
      </c>
      <c r="G1209" s="58">
        <f t="shared" si="385"/>
        <v>231.9</v>
      </c>
    </row>
    <row r="1210" spans="1:7" ht="33">
      <c r="A1210" s="59" t="s">
        <v>141</v>
      </c>
      <c r="B1210" s="70" t="s">
        <v>330</v>
      </c>
      <c r="C1210" s="6" t="s">
        <v>187</v>
      </c>
      <c r="D1210" s="1" t="s">
        <v>191</v>
      </c>
      <c r="E1210" s="69"/>
      <c r="F1210" s="58">
        <f t="shared" si="385"/>
        <v>231.9</v>
      </c>
      <c r="G1210" s="58">
        <f t="shared" si="385"/>
        <v>231.9</v>
      </c>
    </row>
    <row r="1211" spans="1:7" ht="38.25" customHeight="1">
      <c r="A1211" s="55" t="str">
        <f ca="1">IF(ISERROR(MATCH(E1211,Код_КВР,0)),"",INDIRECT(ADDRESS(MATCH(E1211,Код_КВР,0)+1,2,,,"КВР")))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1" s="70" t="s">
        <v>330</v>
      </c>
      <c r="C1211" s="6" t="s">
        <v>187</v>
      </c>
      <c r="D1211" s="1" t="s">
        <v>191</v>
      </c>
      <c r="E1211" s="69">
        <v>100</v>
      </c>
      <c r="F1211" s="58">
        <f t="shared" si="385"/>
        <v>231.9</v>
      </c>
      <c r="G1211" s="58">
        <f t="shared" si="385"/>
        <v>231.9</v>
      </c>
    </row>
    <row r="1212" spans="1:7" ht="12.75">
      <c r="A1212" s="55" t="str">
        <f ca="1">IF(ISERROR(MATCH(E1212,Код_КВР,0)),"",INDIRECT(ADDRESS(MATCH(E1212,Код_КВР,0)+1,2,,,"КВР")))</f>
        <v>Расходы на выплаты персоналу муниципальных органов</v>
      </c>
      <c r="B1212" s="70" t="s">
        <v>330</v>
      </c>
      <c r="C1212" s="6" t="s">
        <v>187</v>
      </c>
      <c r="D1212" s="1" t="s">
        <v>191</v>
      </c>
      <c r="E1212" s="69">
        <v>120</v>
      </c>
      <c r="F1212" s="58">
        <f>'прил.16'!G656</f>
        <v>231.9</v>
      </c>
      <c r="G1212" s="58">
        <f>'прил.16'!H656</f>
        <v>231.9</v>
      </c>
    </row>
    <row r="1213" spans="1:7" ht="12.75">
      <c r="A1213" s="55" t="str">
        <f ca="1">IF(ISERROR(MATCH(B1213,Код_КЦСР,0)),"",INDIRECT(ADDRESS(MATCH(B1213,Код_КЦСР,0)+1,2,,,"КЦСР")))</f>
        <v>Резервные фонды</v>
      </c>
      <c r="B1213" s="70" t="s">
        <v>353</v>
      </c>
      <c r="C1213" s="6"/>
      <c r="D1213" s="1"/>
      <c r="E1213" s="69"/>
      <c r="F1213" s="58">
        <f aca="true" t="shared" si="386" ref="F1213:G1213">F1215</f>
        <v>56845.3</v>
      </c>
      <c r="G1213" s="58">
        <f t="shared" si="386"/>
        <v>56845.3</v>
      </c>
    </row>
    <row r="1214" spans="1:7" ht="12.75">
      <c r="A1214" s="55" t="str">
        <f ca="1">IF(ISERROR(MATCH(B1214,Код_КЦСР,0)),"",INDIRECT(ADDRESS(MATCH(B1214,Код_КЦСР,0)+1,2,,,"КЦСР")))</f>
        <v>Резервные фонды мэрии города</v>
      </c>
      <c r="B1214" s="138" t="s">
        <v>354</v>
      </c>
      <c r="C1214" s="6"/>
      <c r="D1214" s="1"/>
      <c r="E1214" s="137"/>
      <c r="F1214" s="58">
        <f>F1215</f>
        <v>56845.3</v>
      </c>
      <c r="G1214" s="58">
        <f>G1215</f>
        <v>56845.3</v>
      </c>
    </row>
    <row r="1215" spans="1:7" ht="12.75">
      <c r="A1215" s="55" t="str">
        <f ca="1">IF(ISERROR(MATCH(C1215,Код_Раздел,0)),"",INDIRECT(ADDRESS(MATCH(C1215,Код_Раздел,0)+1,2,,,"Раздел")))</f>
        <v>Общегосударственные  вопросы</v>
      </c>
      <c r="B1215" s="138" t="s">
        <v>354</v>
      </c>
      <c r="C1215" s="6" t="s">
        <v>187</v>
      </c>
      <c r="D1215" s="1"/>
      <c r="E1215" s="69"/>
      <c r="F1215" s="58">
        <f aca="true" t="shared" si="387" ref="F1215:G1215">F1216</f>
        <v>56845.3</v>
      </c>
      <c r="G1215" s="58">
        <f t="shared" si="387"/>
        <v>56845.3</v>
      </c>
    </row>
    <row r="1216" spans="1:7" ht="12.75">
      <c r="A1216" s="59" t="s">
        <v>175</v>
      </c>
      <c r="B1216" s="138" t="s">
        <v>354</v>
      </c>
      <c r="C1216" s="6" t="s">
        <v>187</v>
      </c>
      <c r="D1216" s="1" t="s">
        <v>198</v>
      </c>
      <c r="E1216" s="69"/>
      <c r="F1216" s="58">
        <f aca="true" t="shared" si="388" ref="F1216:G1216">F1217</f>
        <v>56845.3</v>
      </c>
      <c r="G1216" s="58">
        <f t="shared" si="388"/>
        <v>56845.3</v>
      </c>
    </row>
    <row r="1217" spans="1:7" ht="21" customHeight="1">
      <c r="A1217" s="55" t="str">
        <f ca="1">IF(ISERROR(MATCH(E1217,Код_КВР,0)),"",INDIRECT(ADDRESS(MATCH(E1217,Код_КВР,0)+1,2,,,"КВР")))</f>
        <v>Иные бюджетные ассигнования</v>
      </c>
      <c r="B1217" s="138" t="s">
        <v>354</v>
      </c>
      <c r="C1217" s="6" t="s">
        <v>187</v>
      </c>
      <c r="D1217" s="1" t="s">
        <v>198</v>
      </c>
      <c r="E1217" s="69">
        <v>800</v>
      </c>
      <c r="F1217" s="58">
        <f aca="true" t="shared" si="389" ref="F1217:G1217">F1218</f>
        <v>56845.3</v>
      </c>
      <c r="G1217" s="58">
        <f t="shared" si="389"/>
        <v>56845.3</v>
      </c>
    </row>
    <row r="1218" spans="1:7" ht="12.75">
      <c r="A1218" s="55" t="str">
        <f ca="1">IF(ISERROR(MATCH(E1218,Код_КВР,0)),"",INDIRECT(ADDRESS(MATCH(E1218,Код_КВР,0)+1,2,,,"КВР")))</f>
        <v>Резервные средства</v>
      </c>
      <c r="B1218" s="138" t="s">
        <v>354</v>
      </c>
      <c r="C1218" s="6" t="s">
        <v>187</v>
      </c>
      <c r="D1218" s="1" t="s">
        <v>198</v>
      </c>
      <c r="E1218" s="69">
        <v>870</v>
      </c>
      <c r="F1218" s="58">
        <f>'прил.16'!G663</f>
        <v>56845.3</v>
      </c>
      <c r="G1218" s="58">
        <f>'прил.16'!H663</f>
        <v>56845.3</v>
      </c>
    </row>
    <row r="1219" spans="1:7" ht="12.75">
      <c r="A1219" s="55" t="s">
        <v>597</v>
      </c>
      <c r="B1219" s="1"/>
      <c r="C1219" s="1"/>
      <c r="D1219" s="2"/>
      <c r="E1219" s="2"/>
      <c r="F1219" s="74">
        <f>F16+F177+F313+F365+F382+F423+F429+F435+F451+F472+F510+F521+F537+F664+F687+F694+F705+F725+F792+F821+F895+F1004+F1058+F1097+F1121</f>
        <v>5899816.600000001</v>
      </c>
      <c r="G1219" s="74">
        <f>G16+G177+G313+G365+G382+G423+G429+G435+G451+G472+G510+G521+G537+G664+G687+G694+G705+G725+G792+G821+G895+G1004+G1058+G1097+G1121</f>
        <v>6370486.7</v>
      </c>
    </row>
    <row r="1220" spans="1:7" ht="12.75">
      <c r="A1220" s="55" t="s">
        <v>596</v>
      </c>
      <c r="B1220" s="1"/>
      <c r="C1220" s="1"/>
      <c r="D1220" s="1"/>
      <c r="E1220" s="1"/>
      <c r="F1220" s="117">
        <v>302427.8</v>
      </c>
      <c r="G1220" s="117">
        <v>309455.4</v>
      </c>
    </row>
    <row r="1221" spans="1:7" ht="12.75">
      <c r="A1221" s="102" t="s">
        <v>142</v>
      </c>
      <c r="B1221" s="1"/>
      <c r="C1221" s="1"/>
      <c r="D1221" s="1"/>
      <c r="E1221" s="1"/>
      <c r="F1221" s="136">
        <f>F1219+F1220</f>
        <v>6202244.4</v>
      </c>
      <c r="G1221" s="136">
        <f>G1219+G1220</f>
        <v>6679942.100000001</v>
      </c>
    </row>
    <row r="1222" spans="1:7" ht="12.75">
      <c r="A1222" s="81"/>
      <c r="B1222" s="19"/>
      <c r="C1222" s="19"/>
      <c r="D1222" s="19"/>
      <c r="E1222" s="19"/>
      <c r="F1222" s="78"/>
      <c r="G1222" s="78"/>
    </row>
    <row r="1223" spans="1:5" ht="12.75">
      <c r="A1223" s="81"/>
      <c r="B1223" s="19"/>
      <c r="C1223" s="19"/>
      <c r="D1223" s="19"/>
      <c r="E1223" s="19"/>
    </row>
    <row r="1224" spans="1:6" ht="12.75">
      <c r="A1224" s="85"/>
      <c r="B1224" s="19"/>
      <c r="C1224" s="19"/>
      <c r="D1224" s="19"/>
      <c r="E1224" s="19"/>
      <c r="F1224" s="140">
        <f>F1221-'прил.16'!G1185</f>
        <v>0</v>
      </c>
    </row>
    <row r="1225" spans="1:5" ht="12.75">
      <c r="A1225" s="107"/>
      <c r="B1225" s="19"/>
      <c r="C1225" s="19"/>
      <c r="D1225" s="19"/>
      <c r="E1225" s="19"/>
    </row>
    <row r="1226" spans="1:7" ht="12.75">
      <c r="A1226" s="85"/>
      <c r="B1226" s="19"/>
      <c r="C1226" s="19"/>
      <c r="D1226" s="19"/>
      <c r="E1226" s="19"/>
      <c r="F1226" s="103"/>
      <c r="G1226" s="103"/>
    </row>
    <row r="1227" spans="1:5" ht="12.75">
      <c r="A1227" s="85"/>
      <c r="B1227" s="19"/>
      <c r="C1227" s="19"/>
      <c r="D1227" s="19"/>
      <c r="E1227" s="19"/>
    </row>
    <row r="1228" spans="1:7" ht="12.75">
      <c r="A1228" s="108"/>
      <c r="B1228" s="19"/>
      <c r="C1228" s="19"/>
      <c r="D1228" s="19"/>
      <c r="E1228" s="19"/>
      <c r="F1228" s="71"/>
      <c r="G1228" s="71"/>
    </row>
    <row r="1229" spans="1:7" ht="12.75">
      <c r="A1229" s="85"/>
      <c r="B1229" s="19"/>
      <c r="C1229" s="19"/>
      <c r="D1229" s="19"/>
      <c r="E1229" s="19"/>
      <c r="F1229" s="71"/>
      <c r="G1229" s="71"/>
    </row>
    <row r="1230" spans="1:5" ht="12.75">
      <c r="A1230" s="85"/>
      <c r="B1230" s="19"/>
      <c r="C1230" s="19"/>
      <c r="D1230" s="19"/>
      <c r="E1230" s="19"/>
    </row>
    <row r="1231" spans="1:7" ht="12.75">
      <c r="A1231" s="81"/>
      <c r="B1231" s="19"/>
      <c r="C1231" s="19"/>
      <c r="D1231" s="19"/>
      <c r="E1231" s="19"/>
      <c r="F1231" s="71"/>
      <c r="G1231" s="71"/>
    </row>
    <row r="1232" spans="1:5" ht="12.75">
      <c r="A1232" s="81"/>
      <c r="B1232" s="19"/>
      <c r="C1232" s="19"/>
      <c r="D1232" s="19"/>
      <c r="E1232" s="19"/>
    </row>
    <row r="1233" spans="1:5" ht="12.75">
      <c r="A1233" s="85"/>
      <c r="B1233" s="19"/>
      <c r="C1233" s="19"/>
      <c r="D1233" s="19"/>
      <c r="E1233" s="19"/>
    </row>
    <row r="1234" spans="1:5" ht="12.75">
      <c r="A1234" s="108"/>
      <c r="B1234" s="19"/>
      <c r="C1234" s="19"/>
      <c r="D1234" s="19"/>
      <c r="E1234" s="19"/>
    </row>
    <row r="1235" spans="1:5" ht="12.75">
      <c r="A1235" s="81"/>
      <c r="B1235" s="19"/>
      <c r="C1235" s="19"/>
      <c r="D1235" s="19"/>
      <c r="E1235" s="19"/>
    </row>
    <row r="1236" spans="1:5" ht="12.75">
      <c r="A1236" s="81"/>
      <c r="B1236" s="19"/>
      <c r="C1236" s="19"/>
      <c r="D1236" s="19"/>
      <c r="E1236" s="19"/>
    </row>
    <row r="1237" spans="1:5" ht="12.75">
      <c r="A1237" s="85"/>
      <c r="B1237" s="19"/>
      <c r="C1237" s="19"/>
      <c r="D1237" s="19"/>
      <c r="E1237" s="19"/>
    </row>
    <row r="1238" spans="1:5" ht="12.75">
      <c r="A1238" s="85"/>
      <c r="B1238" s="19"/>
      <c r="C1238" s="19"/>
      <c r="D1238" s="19"/>
      <c r="E1238" s="19"/>
    </row>
    <row r="1239" spans="1:5" ht="12.75">
      <c r="A1239" s="85"/>
      <c r="B1239" s="19"/>
      <c r="C1239" s="19"/>
      <c r="D1239" s="19"/>
      <c r="E1239" s="19"/>
    </row>
    <row r="1240" spans="1:5" ht="12.75">
      <c r="A1240" s="108"/>
      <c r="B1240" s="20"/>
      <c r="C1240" s="20"/>
      <c r="D1240" s="20"/>
      <c r="E1240" s="20"/>
    </row>
    <row r="1241" spans="1:5" ht="12.75">
      <c r="A1241" s="109"/>
      <c r="B1241" s="20"/>
      <c r="C1241" s="20"/>
      <c r="D1241" s="20"/>
      <c r="E1241" s="20"/>
    </row>
    <row r="1242" spans="1:5" ht="12.75">
      <c r="A1242" s="110"/>
      <c r="B1242" s="20"/>
      <c r="C1242" s="20"/>
      <c r="D1242" s="20"/>
      <c r="E1242" s="20"/>
    </row>
    <row r="1243" spans="1:5" ht="12.75">
      <c r="A1243" s="108"/>
      <c r="B1243" s="20"/>
      <c r="C1243" s="20"/>
      <c r="D1243" s="20"/>
      <c r="E1243" s="20"/>
    </row>
    <row r="1244" spans="1:5" ht="12.75">
      <c r="A1244" s="85"/>
      <c r="B1244" s="19"/>
      <c r="C1244" s="19"/>
      <c r="D1244" s="19"/>
      <c r="E1244" s="19"/>
    </row>
    <row r="1245" spans="1:5" ht="12.75">
      <c r="A1245" s="108"/>
      <c r="B1245" s="19"/>
      <c r="C1245" s="19"/>
      <c r="D1245" s="19"/>
      <c r="E1245" s="19"/>
    </row>
    <row r="1246" spans="1:5" ht="12.75">
      <c r="A1246" s="108"/>
      <c r="B1246" s="19"/>
      <c r="C1246" s="19"/>
      <c r="D1246" s="19"/>
      <c r="E1246" s="19"/>
    </row>
    <row r="1247" spans="1:5" ht="12.75">
      <c r="A1247" s="108"/>
      <c r="B1247" s="19"/>
      <c r="C1247" s="19"/>
      <c r="D1247" s="19"/>
      <c r="E1247" s="19"/>
    </row>
    <row r="1248" spans="1:5" ht="12.75">
      <c r="A1248" s="85"/>
      <c r="B1248" s="19"/>
      <c r="C1248" s="19"/>
      <c r="D1248" s="19"/>
      <c r="E1248" s="19"/>
    </row>
    <row r="1249" spans="1:5" ht="12.75">
      <c r="A1249" s="81"/>
      <c r="B1249" s="19"/>
      <c r="C1249" s="19"/>
      <c r="D1249" s="19"/>
      <c r="E1249" s="19"/>
    </row>
    <row r="1250" spans="1:5" ht="12.75">
      <c r="A1250" s="108"/>
      <c r="B1250" s="19"/>
      <c r="C1250" s="19"/>
      <c r="D1250" s="19"/>
      <c r="E1250" s="19"/>
    </row>
    <row r="1251" spans="1:5" ht="12.75">
      <c r="A1251" s="81"/>
      <c r="B1251" s="19"/>
      <c r="C1251" s="19"/>
      <c r="D1251" s="19"/>
      <c r="E1251" s="19"/>
    </row>
    <row r="1252" spans="1:5" ht="12.75">
      <c r="A1252" s="108"/>
      <c r="B1252" s="19"/>
      <c r="C1252" s="19"/>
      <c r="D1252" s="19"/>
      <c r="E1252" s="19"/>
    </row>
    <row r="1253" spans="1:5" ht="12.75">
      <c r="A1253" s="108"/>
      <c r="B1253" s="19"/>
      <c r="C1253" s="19"/>
      <c r="D1253" s="19"/>
      <c r="E1253" s="19"/>
    </row>
    <row r="1254" spans="1:5" ht="12.75">
      <c r="A1254" s="108"/>
      <c r="B1254" s="19"/>
      <c r="C1254" s="19"/>
      <c r="D1254" s="19"/>
      <c r="E1254" s="19"/>
    </row>
    <row r="1255" spans="1:5" ht="12.75">
      <c r="A1255" s="81"/>
      <c r="B1255" s="20"/>
      <c r="C1255" s="20"/>
      <c r="D1255" s="20"/>
      <c r="E1255" s="20"/>
    </row>
    <row r="1256" spans="1:5" ht="12.75">
      <c r="A1256" s="108"/>
      <c r="B1256" s="19"/>
      <c r="C1256" s="19"/>
      <c r="D1256" s="19"/>
      <c r="E1256" s="19"/>
    </row>
    <row r="1257" spans="1:5" ht="12.75">
      <c r="A1257" s="85"/>
      <c r="B1257" s="19"/>
      <c r="C1257" s="19"/>
      <c r="D1257" s="19"/>
      <c r="E1257" s="19"/>
    </row>
    <row r="1258" spans="1:5" ht="12.75">
      <c r="A1258" s="81"/>
      <c r="B1258" s="19"/>
      <c r="C1258" s="19"/>
      <c r="D1258" s="19"/>
      <c r="E1258" s="19"/>
    </row>
    <row r="1259" spans="1:5" ht="12.75">
      <c r="A1259" s="85"/>
      <c r="B1259" s="19"/>
      <c r="C1259" s="19"/>
      <c r="D1259" s="19"/>
      <c r="E1259" s="19"/>
    </row>
    <row r="1260" spans="1:5" ht="12.75">
      <c r="A1260" s="85"/>
      <c r="B1260" s="19"/>
      <c r="C1260" s="19"/>
      <c r="D1260" s="19"/>
      <c r="E1260" s="19"/>
    </row>
    <row r="1261" spans="1:5" ht="12.75">
      <c r="A1261" s="81"/>
      <c r="B1261" s="20"/>
      <c r="C1261" s="20"/>
      <c r="D1261" s="20"/>
      <c r="E1261" s="20"/>
    </row>
    <row r="1262" spans="1:5" ht="12.75">
      <c r="A1262" s="108"/>
      <c r="B1262" s="19"/>
      <c r="C1262" s="19"/>
      <c r="D1262" s="19"/>
      <c r="E1262" s="19"/>
    </row>
    <row r="1263" spans="1:5" ht="12.75">
      <c r="A1263" s="85"/>
      <c r="B1263" s="19"/>
      <c r="C1263" s="19"/>
      <c r="D1263" s="19"/>
      <c r="E1263" s="19"/>
    </row>
    <row r="1264" spans="1:5" ht="12.75">
      <c r="A1264" s="108"/>
      <c r="B1264" s="19"/>
      <c r="C1264" s="19"/>
      <c r="D1264" s="19"/>
      <c r="E1264" s="19"/>
    </row>
    <row r="1265" spans="1:5" ht="12.75">
      <c r="A1265" s="108"/>
      <c r="B1265" s="20"/>
      <c r="C1265" s="20"/>
      <c r="D1265" s="20"/>
      <c r="E1265" s="20"/>
    </row>
    <row r="1266" spans="1:5" ht="12.75">
      <c r="A1266" s="108"/>
      <c r="B1266" s="19"/>
      <c r="C1266" s="19"/>
      <c r="D1266" s="19"/>
      <c r="E1266" s="19"/>
    </row>
    <row r="1267" spans="1:5" ht="12.75">
      <c r="A1267" s="109"/>
      <c r="B1267" s="19"/>
      <c r="C1267" s="19"/>
      <c r="D1267" s="19"/>
      <c r="E1267" s="19"/>
    </row>
    <row r="1268" spans="1:5" ht="12.75">
      <c r="A1268" s="108"/>
      <c r="B1268" s="19"/>
      <c r="C1268" s="19"/>
      <c r="D1268" s="19"/>
      <c r="E1268" s="19"/>
    </row>
    <row r="1269" spans="1:5" ht="12.75">
      <c r="A1269" s="85"/>
      <c r="B1269" s="20"/>
      <c r="C1269" s="19"/>
      <c r="D1269" s="19"/>
      <c r="E1269" s="20"/>
    </row>
    <row r="1270" spans="1:5" ht="12.75">
      <c r="A1270" s="85"/>
      <c r="B1270" s="19"/>
      <c r="C1270" s="19"/>
      <c r="D1270" s="19"/>
      <c r="E1270" s="20"/>
    </row>
    <row r="1271" spans="1:5" ht="12.75">
      <c r="A1271" s="85"/>
      <c r="B1271" s="20"/>
      <c r="C1271" s="19"/>
      <c r="D1271" s="19"/>
      <c r="E1271" s="20"/>
    </row>
    <row r="1272" spans="1:5" ht="12.75">
      <c r="A1272" s="81"/>
      <c r="B1272" s="20"/>
      <c r="C1272" s="19"/>
      <c r="D1272" s="19"/>
      <c r="E1272" s="20"/>
    </row>
    <row r="1273" spans="1:5" ht="12.75">
      <c r="A1273" s="108"/>
      <c r="B1273" s="20"/>
      <c r="C1273" s="19"/>
      <c r="D1273" s="19"/>
      <c r="E1273" s="20"/>
    </row>
    <row r="1274" spans="1:5" ht="12.75">
      <c r="A1274" s="81"/>
      <c r="B1274" s="20"/>
      <c r="C1274" s="19"/>
      <c r="D1274" s="19"/>
      <c r="E1274" s="20"/>
    </row>
    <row r="1275" spans="1:5" ht="12.75">
      <c r="A1275" s="81"/>
      <c r="B1275" s="20"/>
      <c r="C1275" s="20"/>
      <c r="D1275" s="20"/>
      <c r="E1275" s="20"/>
    </row>
    <row r="1276" spans="1:5" ht="12.75">
      <c r="A1276" s="85"/>
      <c r="B1276" s="20"/>
      <c r="C1276" s="20"/>
      <c r="D1276" s="20"/>
      <c r="E1276" s="20"/>
    </row>
    <row r="1277" spans="1:5" ht="12.75">
      <c r="A1277" s="85"/>
      <c r="B1277" s="20"/>
      <c r="C1277" s="20"/>
      <c r="D1277" s="20"/>
      <c r="E1277" s="20"/>
    </row>
    <row r="1278" spans="1:5" ht="12.75">
      <c r="A1278" s="108"/>
      <c r="B1278" s="20"/>
      <c r="C1278" s="20"/>
      <c r="D1278" s="20"/>
      <c r="E1278" s="20"/>
    </row>
    <row r="1279" spans="1:5" ht="12.75">
      <c r="A1279" s="110"/>
      <c r="B1279" s="20"/>
      <c r="C1279" s="20"/>
      <c r="D1279" s="20"/>
      <c r="E1279" s="20"/>
    </row>
    <row r="1280" spans="1:5" ht="12.75">
      <c r="A1280" s="85"/>
      <c r="B1280" s="20"/>
      <c r="C1280" s="20"/>
      <c r="D1280" s="20"/>
      <c r="E1280" s="20"/>
    </row>
    <row r="1281" spans="1:5" ht="12.75">
      <c r="A1281" s="108"/>
      <c r="B1281" s="20"/>
      <c r="C1281" s="20"/>
      <c r="D1281" s="20"/>
      <c r="E1281" s="20"/>
    </row>
    <row r="1282" spans="1:5" ht="12.75">
      <c r="A1282" s="85"/>
      <c r="B1282" s="20"/>
      <c r="C1282" s="20"/>
      <c r="D1282" s="20"/>
      <c r="E1282" s="20"/>
    </row>
    <row r="1283" spans="1:5" ht="12.75">
      <c r="A1283" s="85"/>
      <c r="B1283" s="19"/>
      <c r="C1283" s="19"/>
      <c r="D1283" s="19"/>
      <c r="E1283" s="19"/>
    </row>
    <row r="1284" spans="1:5" ht="12.75">
      <c r="A1284" s="85"/>
      <c r="B1284" s="19"/>
      <c r="C1284" s="19"/>
      <c r="D1284" s="19"/>
      <c r="E1284" s="19"/>
    </row>
    <row r="1285" spans="1:5" ht="12.75">
      <c r="A1285" s="85"/>
      <c r="B1285" s="19"/>
      <c r="C1285" s="19"/>
      <c r="D1285" s="19"/>
      <c r="E1285" s="19"/>
    </row>
    <row r="1286" spans="1:5" ht="12.75">
      <c r="A1286" s="108"/>
      <c r="B1286" s="19"/>
      <c r="C1286" s="19"/>
      <c r="D1286" s="19"/>
      <c r="E1286" s="19"/>
    </row>
    <row r="1287" spans="1:5" ht="12.75">
      <c r="A1287" s="81"/>
      <c r="B1287" s="19"/>
      <c r="C1287" s="19"/>
      <c r="D1287" s="19"/>
      <c r="E1287" s="19"/>
    </row>
    <row r="1288" spans="1:5" ht="12.75">
      <c r="A1288" s="108"/>
      <c r="B1288" s="19"/>
      <c r="C1288" s="19"/>
      <c r="D1288" s="19"/>
      <c r="E1288" s="19"/>
    </row>
    <row r="1289" spans="1:5" ht="12.75">
      <c r="A1289" s="85"/>
      <c r="B1289" s="19"/>
      <c r="C1289" s="19"/>
      <c r="D1289" s="19"/>
      <c r="E1289" s="19"/>
    </row>
    <row r="1290" spans="1:5" ht="12.75">
      <c r="A1290" s="85"/>
      <c r="B1290" s="19"/>
      <c r="C1290" s="19"/>
      <c r="D1290" s="19"/>
      <c r="E1290" s="19"/>
    </row>
    <row r="1291" spans="1:5" ht="12.75">
      <c r="A1291" s="85"/>
      <c r="B1291" s="19"/>
      <c r="C1291" s="19"/>
      <c r="D1291" s="19"/>
      <c r="E1291" s="19"/>
    </row>
    <row r="1292" spans="1:5" ht="12.75">
      <c r="A1292" s="81"/>
      <c r="B1292" s="19"/>
      <c r="C1292" s="19"/>
      <c r="D1292" s="19"/>
      <c r="E1292" s="19"/>
    </row>
    <row r="1293" spans="1:5" ht="12.75">
      <c r="A1293" s="85"/>
      <c r="B1293" s="19"/>
      <c r="C1293" s="19"/>
      <c r="D1293" s="19"/>
      <c r="E1293" s="19"/>
    </row>
    <row r="1294" spans="1:5" ht="12.75">
      <c r="A1294" s="85"/>
      <c r="B1294" s="19"/>
      <c r="C1294" s="19"/>
      <c r="D1294" s="19"/>
      <c r="E1294" s="19"/>
    </row>
    <row r="1295" spans="1:5" ht="12.75">
      <c r="A1295" s="85"/>
      <c r="B1295" s="19"/>
      <c r="C1295" s="19"/>
      <c r="D1295" s="19"/>
      <c r="E1295" s="19"/>
    </row>
    <row r="1296" spans="1:5" ht="12.75">
      <c r="A1296" s="85"/>
      <c r="B1296" s="19"/>
      <c r="C1296" s="19"/>
      <c r="D1296" s="19"/>
      <c r="E1296" s="19"/>
    </row>
    <row r="1297" spans="1:5" ht="12.75">
      <c r="A1297" s="85"/>
      <c r="B1297" s="19"/>
      <c r="C1297" s="19"/>
      <c r="D1297" s="19"/>
      <c r="E1297" s="19"/>
    </row>
    <row r="1298" spans="1:5" ht="12.75">
      <c r="A1298" s="108"/>
      <c r="B1298" s="19"/>
      <c r="C1298" s="19"/>
      <c r="D1298" s="19"/>
      <c r="E1298" s="19"/>
    </row>
    <row r="1299" spans="1:5" ht="12.75">
      <c r="A1299" s="108"/>
      <c r="B1299" s="19"/>
      <c r="C1299" s="19"/>
      <c r="D1299" s="19"/>
      <c r="E1299" s="19"/>
    </row>
    <row r="1300" spans="1:5" ht="12.75">
      <c r="A1300" s="108"/>
      <c r="B1300" s="19"/>
      <c r="C1300" s="19"/>
      <c r="D1300" s="19"/>
      <c r="E1300" s="19"/>
    </row>
    <row r="1301" spans="1:5" ht="12.75">
      <c r="A1301" s="108"/>
      <c r="B1301" s="19"/>
      <c r="C1301" s="19"/>
      <c r="D1301" s="19"/>
      <c r="E1301" s="19"/>
    </row>
    <row r="1302" spans="1:5" ht="12.75">
      <c r="A1302" s="108"/>
      <c r="B1302" s="19"/>
      <c r="C1302" s="19"/>
      <c r="D1302" s="19"/>
      <c r="E1302" s="19"/>
    </row>
    <row r="1303" spans="1:5" ht="12.75">
      <c r="A1303" s="108"/>
      <c r="B1303" s="19"/>
      <c r="C1303" s="19"/>
      <c r="D1303" s="19"/>
      <c r="E1303" s="19"/>
    </row>
    <row r="1304" spans="1:5" ht="12.75">
      <c r="A1304" s="81"/>
      <c r="B1304" s="19"/>
      <c r="C1304" s="19"/>
      <c r="D1304" s="19"/>
      <c r="E1304" s="19"/>
    </row>
    <row r="1305" spans="1:5" ht="12.75">
      <c r="A1305" s="108"/>
      <c r="B1305" s="19"/>
      <c r="C1305" s="19"/>
      <c r="D1305" s="19"/>
      <c r="E1305" s="19"/>
    </row>
    <row r="1306" spans="1:5" ht="12.75">
      <c r="A1306" s="85"/>
      <c r="B1306" s="19"/>
      <c r="C1306" s="19"/>
      <c r="D1306" s="19"/>
      <c r="E1306" s="19"/>
    </row>
    <row r="1307" spans="1:5" ht="12.75">
      <c r="A1307" s="108"/>
      <c r="B1307" s="19"/>
      <c r="C1307" s="19"/>
      <c r="D1307" s="19"/>
      <c r="E1307" s="19"/>
    </row>
    <row r="1308" spans="1:5" ht="12.75">
      <c r="A1308" s="85"/>
      <c r="B1308" s="19"/>
      <c r="C1308" s="19"/>
      <c r="D1308" s="19"/>
      <c r="E1308" s="19"/>
    </row>
    <row r="1309" spans="1:5" ht="12.75">
      <c r="A1309" s="85"/>
      <c r="B1309" s="19"/>
      <c r="C1309" s="19"/>
      <c r="D1309" s="19"/>
      <c r="E1309" s="19"/>
    </row>
    <row r="1310" spans="1:5" ht="12.75">
      <c r="A1310" s="81"/>
      <c r="B1310" s="19"/>
      <c r="C1310" s="19"/>
      <c r="D1310" s="19"/>
      <c r="E1310" s="19"/>
    </row>
    <row r="1311" spans="1:5" ht="12.75">
      <c r="A1311" s="85"/>
      <c r="B1311" s="19"/>
      <c r="C1311" s="19"/>
      <c r="D1311" s="19"/>
      <c r="E1311" s="19"/>
    </row>
    <row r="1312" spans="1:5" ht="12.75">
      <c r="A1312" s="85"/>
      <c r="B1312" s="19"/>
      <c r="C1312" s="19"/>
      <c r="D1312" s="19"/>
      <c r="E1312" s="19"/>
    </row>
    <row r="1313" spans="1:5" ht="12.75">
      <c r="A1313" s="108"/>
      <c r="B1313" s="19"/>
      <c r="C1313" s="19"/>
      <c r="D1313" s="19"/>
      <c r="E1313" s="19"/>
    </row>
    <row r="1314" spans="1:5" ht="12.75">
      <c r="A1314" s="85"/>
      <c r="B1314" s="19"/>
      <c r="C1314" s="19"/>
      <c r="D1314" s="19"/>
      <c r="E1314" s="19"/>
    </row>
    <row r="1315" spans="1:5" ht="12.75">
      <c r="A1315" s="85"/>
      <c r="B1315" s="19"/>
      <c r="C1315" s="19"/>
      <c r="D1315" s="19"/>
      <c r="E1315" s="19"/>
    </row>
    <row r="1316" spans="1:5" ht="12.75">
      <c r="A1316" s="85"/>
      <c r="B1316" s="19"/>
      <c r="C1316" s="19"/>
      <c r="D1316" s="19"/>
      <c r="E1316" s="19"/>
    </row>
    <row r="1317" spans="1:5" ht="12.75">
      <c r="A1317" s="108"/>
      <c r="B1317" s="19"/>
      <c r="C1317" s="19"/>
      <c r="D1317" s="19"/>
      <c r="E1317" s="19"/>
    </row>
    <row r="1318" spans="1:5" ht="12.75">
      <c r="A1318" s="85"/>
      <c r="B1318" s="19"/>
      <c r="C1318" s="19"/>
      <c r="D1318" s="19"/>
      <c r="E1318" s="19"/>
    </row>
    <row r="1319" spans="1:5" ht="12.75">
      <c r="A1319" s="108"/>
      <c r="B1319" s="19"/>
      <c r="C1319" s="19"/>
      <c r="D1319" s="19"/>
      <c r="E1319" s="19"/>
    </row>
    <row r="1320" spans="1:5" ht="12.75">
      <c r="A1320" s="85"/>
      <c r="B1320" s="19"/>
      <c r="C1320" s="19"/>
      <c r="D1320" s="19"/>
      <c r="E1320" s="19"/>
    </row>
    <row r="1321" spans="1:5" ht="12.75">
      <c r="A1321" s="85"/>
      <c r="B1321" s="19"/>
      <c r="C1321" s="19"/>
      <c r="D1321" s="19"/>
      <c r="E1321" s="19"/>
    </row>
    <row r="1322" spans="1:5" ht="12.75">
      <c r="A1322" s="85"/>
      <c r="B1322" s="19"/>
      <c r="C1322" s="19"/>
      <c r="D1322" s="19"/>
      <c r="E1322" s="19"/>
    </row>
    <row r="1323" spans="1:5" ht="12.75">
      <c r="A1323" s="85"/>
      <c r="B1323" s="19"/>
      <c r="C1323" s="19"/>
      <c r="D1323" s="19"/>
      <c r="E1323" s="19"/>
    </row>
    <row r="1324" spans="1:5" ht="12.75">
      <c r="A1324" s="108"/>
      <c r="B1324" s="19"/>
      <c r="C1324" s="19"/>
      <c r="D1324" s="19"/>
      <c r="E1324" s="19"/>
    </row>
    <row r="1325" spans="1:5" ht="12.75">
      <c r="A1325" s="85"/>
      <c r="B1325" s="19"/>
      <c r="C1325" s="19"/>
      <c r="D1325" s="19"/>
      <c r="E1325" s="19"/>
    </row>
    <row r="1326" spans="1:5" ht="12.75">
      <c r="A1326" s="81"/>
      <c r="B1326" s="19"/>
      <c r="C1326" s="19"/>
      <c r="D1326" s="19"/>
      <c r="E1326" s="19"/>
    </row>
    <row r="1339" ht="12.75">
      <c r="B1339" s="19"/>
    </row>
    <row r="1340" ht="12.75">
      <c r="B1340" s="19"/>
    </row>
    <row r="1341" ht="12.75">
      <c r="B1341" s="19"/>
    </row>
  </sheetData>
  <mergeCells count="10">
    <mergeCell ref="A9:G9"/>
    <mergeCell ref="A10:G10"/>
    <mergeCell ref="A11:G11"/>
    <mergeCell ref="A13:E13"/>
    <mergeCell ref="F14:G14"/>
    <mergeCell ref="A14:A15"/>
    <mergeCell ref="B14:B15"/>
    <mergeCell ref="C14:C15"/>
    <mergeCell ref="D14:D15"/>
    <mergeCell ref="E14:E15"/>
  </mergeCells>
  <dataValidations count="3">
    <dataValidation type="list" allowBlank="1" showInputMessage="1" showErrorMessage="1" sqref="B16:B1218">
      <formula1>Код_КЦСР</formula1>
    </dataValidation>
    <dataValidation type="list" allowBlank="1" showInputMessage="1" showErrorMessage="1" sqref="E16:E1218">
      <formula1>Код_КВР</formula1>
    </dataValidation>
    <dataValidation type="list" allowBlank="1" showInputMessage="1" showErrorMessage="1" sqref="C16:C1218">
      <formula1>Код_Раздел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2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5"/>
  <sheetViews>
    <sheetView showZeros="0" tabSelected="1" view="pageBreakPreview" zoomScale="79" zoomScaleSheetLayoutView="79" workbookViewId="0" topLeftCell="A931">
      <selection activeCell="A931" sqref="A931"/>
    </sheetView>
  </sheetViews>
  <sheetFormatPr defaultColWidth="9.125" defaultRowHeight="12.75"/>
  <cols>
    <col min="1" max="1" width="80.00390625" style="81" customWidth="1"/>
    <col min="2" max="2" width="10.25390625" style="82" customWidth="1"/>
    <col min="3" max="3" width="9.00390625" style="82" customWidth="1"/>
    <col min="4" max="4" width="9.625" style="82" customWidth="1"/>
    <col min="5" max="5" width="15.875" style="83" customWidth="1"/>
    <col min="6" max="6" width="10.375" style="82" customWidth="1"/>
    <col min="7" max="7" width="22.75390625" style="82" customWidth="1"/>
    <col min="8" max="8" width="21.75390625" style="82" customWidth="1"/>
    <col min="9" max="16384" width="9.125" style="82" customWidth="1"/>
  </cols>
  <sheetData>
    <row r="1" spans="7:8" ht="16.5">
      <c r="G1" s="118" t="s">
        <v>598</v>
      </c>
      <c r="H1" s="119"/>
    </row>
    <row r="2" spans="7:8" ht="12.75">
      <c r="G2" s="67" t="s">
        <v>236</v>
      </c>
      <c r="H2" s="120"/>
    </row>
    <row r="3" spans="6:8" ht="12.75">
      <c r="F3" s="72"/>
      <c r="G3" s="67" t="s">
        <v>227</v>
      </c>
      <c r="H3" s="120"/>
    </row>
    <row r="4" spans="6:8" ht="12.75">
      <c r="F4" s="72"/>
      <c r="G4" s="67" t="s">
        <v>614</v>
      </c>
      <c r="H4" s="120"/>
    </row>
    <row r="5" ht="12.75">
      <c r="F5" s="72"/>
    </row>
    <row r="6" spans="5:6" ht="12.75">
      <c r="E6" s="84"/>
      <c r="F6" s="84"/>
    </row>
    <row r="7" ht="12.75">
      <c r="F7" s="84"/>
    </row>
    <row r="8" spans="1:8" ht="12.75">
      <c r="A8" s="163" t="s">
        <v>149</v>
      </c>
      <c r="B8" s="163"/>
      <c r="C8" s="163"/>
      <c r="D8" s="163"/>
      <c r="E8" s="163"/>
      <c r="F8" s="163"/>
      <c r="G8" s="164"/>
      <c r="H8" s="164"/>
    </row>
    <row r="9" spans="1:8" ht="24" customHeight="1">
      <c r="A9" s="159" t="s">
        <v>599</v>
      </c>
      <c r="B9" s="159"/>
      <c r="C9" s="159"/>
      <c r="D9" s="159"/>
      <c r="E9" s="159"/>
      <c r="F9" s="160"/>
      <c r="G9" s="161"/>
      <c r="H9" s="161"/>
    </row>
    <row r="10" spans="1:8" ht="27" customHeight="1">
      <c r="A10" s="162" t="s">
        <v>601</v>
      </c>
      <c r="B10" s="161"/>
      <c r="C10" s="161"/>
      <c r="D10" s="161"/>
      <c r="E10" s="161"/>
      <c r="F10" s="161"/>
      <c r="G10" s="161"/>
      <c r="H10" s="161"/>
    </row>
    <row r="11" spans="1:6" ht="12.75">
      <c r="A11" s="85"/>
      <c r="B11" s="113"/>
      <c r="C11" s="84"/>
      <c r="D11" s="84"/>
      <c r="E11" s="84"/>
      <c r="F11" s="84"/>
    </row>
    <row r="12" spans="1:8" ht="24" customHeight="1">
      <c r="A12" s="166" t="s">
        <v>183</v>
      </c>
      <c r="B12" s="168" t="s">
        <v>172</v>
      </c>
      <c r="C12" s="168" t="s">
        <v>184</v>
      </c>
      <c r="D12" s="168" t="s">
        <v>201</v>
      </c>
      <c r="E12" s="168" t="s">
        <v>202</v>
      </c>
      <c r="F12" s="168" t="s">
        <v>203</v>
      </c>
      <c r="G12" s="165" t="s">
        <v>492</v>
      </c>
      <c r="H12" s="165"/>
    </row>
    <row r="13" spans="1:8" s="114" customFormat="1" ht="30" customHeight="1">
      <c r="A13" s="167"/>
      <c r="B13" s="168"/>
      <c r="C13" s="168"/>
      <c r="D13" s="168"/>
      <c r="E13" s="168"/>
      <c r="F13" s="168"/>
      <c r="G13" s="141" t="s">
        <v>493</v>
      </c>
      <c r="H13" s="141" t="s">
        <v>574</v>
      </c>
    </row>
    <row r="14" spans="1:8" s="114" customFormat="1" ht="22.5" customHeight="1">
      <c r="A14" s="55" t="str">
        <f ca="1">IF(ISERROR(MATCH(B14,Код_ППП,0)),"",INDIRECT(ADDRESS(MATCH(B14,Код_ППП,0)+1,2,,,"ППП")))</f>
        <v>МЭРИЯ ГОРОДА</v>
      </c>
      <c r="B14" s="54">
        <v>801</v>
      </c>
      <c r="C14" s="57"/>
      <c r="D14" s="57"/>
      <c r="E14" s="54"/>
      <c r="F14" s="54"/>
      <c r="G14" s="62">
        <f>G15+G154+G202+G260+G279+G307</f>
        <v>514079.5</v>
      </c>
      <c r="H14" s="62">
        <f>H15+H154+H202+H260+H279+H307</f>
        <v>516514.69999999995</v>
      </c>
    </row>
    <row r="15" spans="1:8" s="114" customFormat="1" ht="12.75">
      <c r="A15" s="55" t="str">
        <f ca="1">IF(ISERROR(MATCH(C15,Код_Раздел,0)),"",INDIRECT(ADDRESS(MATCH(C15,Код_Раздел,0)+1,2,,,"Раздел")))</f>
        <v>Общегосударственные  вопросы</v>
      </c>
      <c r="B15" s="54">
        <v>801</v>
      </c>
      <c r="C15" s="57" t="s">
        <v>187</v>
      </c>
      <c r="D15" s="57"/>
      <c r="E15" s="54"/>
      <c r="F15" s="54"/>
      <c r="G15" s="62">
        <f>G16+G23+G47+G53</f>
        <v>299773.9</v>
      </c>
      <c r="H15" s="62">
        <f>H16+H23+H47+H53</f>
        <v>300318.5</v>
      </c>
    </row>
    <row r="16" spans="1:8" s="114" customFormat="1" ht="33">
      <c r="A16" s="86" t="s">
        <v>205</v>
      </c>
      <c r="B16" s="54">
        <v>801</v>
      </c>
      <c r="C16" s="57" t="s">
        <v>187</v>
      </c>
      <c r="D16" s="57" t="s">
        <v>188</v>
      </c>
      <c r="E16" s="54"/>
      <c r="F16" s="54"/>
      <c r="G16" s="62">
        <f aca="true" t="shared" si="0" ref="G16:H21">G17</f>
        <v>3042.9</v>
      </c>
      <c r="H16" s="62">
        <f t="shared" si="0"/>
        <v>3042.9</v>
      </c>
    </row>
    <row r="17" spans="1:8" s="114" customFormat="1" ht="33">
      <c r="A17" s="55" t="str">
        <f ca="1">IF(ISERROR(MATCH(E17,Код_КЦСР,0)),"",INDIRECT(ADDRESS(MATCH(E17,Код_КЦСР,0)+1,2,,,"КЦСР")))</f>
        <v>Непрограммные направления деятельности органов местного самоуправления</v>
      </c>
      <c r="B17" s="54">
        <v>801</v>
      </c>
      <c r="C17" s="57" t="s">
        <v>187</v>
      </c>
      <c r="D17" s="57" t="s">
        <v>188</v>
      </c>
      <c r="E17" s="54" t="s">
        <v>264</v>
      </c>
      <c r="F17" s="54"/>
      <c r="G17" s="62">
        <f t="shared" si="0"/>
        <v>3042.9</v>
      </c>
      <c r="H17" s="62">
        <f t="shared" si="0"/>
        <v>3042.9</v>
      </c>
    </row>
    <row r="18" spans="1:8" s="114" customFormat="1" ht="24" customHeight="1">
      <c r="A18" s="55" t="str">
        <f ca="1">IF(ISERROR(MATCH(E18,Код_КЦСР,0)),"",INDIRECT(ADDRESS(MATCH(E18,Код_КЦСР,0)+1,2,,,"КЦСР")))</f>
        <v>Расходы, не включенные в муниципальные программы города Череповца</v>
      </c>
      <c r="B18" s="54">
        <v>801</v>
      </c>
      <c r="C18" s="57" t="s">
        <v>187</v>
      </c>
      <c r="D18" s="57" t="s">
        <v>188</v>
      </c>
      <c r="E18" s="54" t="s">
        <v>266</v>
      </c>
      <c r="F18" s="54"/>
      <c r="G18" s="62">
        <f t="shared" si="0"/>
        <v>3042.9</v>
      </c>
      <c r="H18" s="62">
        <f t="shared" si="0"/>
        <v>3042.9</v>
      </c>
    </row>
    <row r="19" spans="1:8" s="114" customFormat="1" ht="33">
      <c r="A19" s="55" t="str">
        <f ca="1">IF(ISERROR(MATCH(E19,Код_КЦСР,0)),"",INDIRECT(ADDRESS(MATCH(E19,Код_КЦСР,0)+1,2,,,"КЦСР")))</f>
        <v>Руководство и управление в сфере установленных функций органов местного самоуправления</v>
      </c>
      <c r="B19" s="54">
        <v>801</v>
      </c>
      <c r="C19" s="57" t="s">
        <v>187</v>
      </c>
      <c r="D19" s="57" t="s">
        <v>188</v>
      </c>
      <c r="E19" s="54" t="s">
        <v>268</v>
      </c>
      <c r="F19" s="54"/>
      <c r="G19" s="62">
        <f t="shared" si="0"/>
        <v>3042.9</v>
      </c>
      <c r="H19" s="62">
        <f t="shared" si="0"/>
        <v>3042.9</v>
      </c>
    </row>
    <row r="20" spans="1:8" s="114" customFormat="1" ht="12.75">
      <c r="A20" s="55" t="str">
        <f ca="1">IF(ISERROR(MATCH(E20,Код_КЦСР,0)),"",INDIRECT(ADDRESS(MATCH(E20,Код_КЦСР,0)+1,2,,,"КЦСР")))</f>
        <v>Глава муниципального образования</v>
      </c>
      <c r="B20" s="54">
        <v>801</v>
      </c>
      <c r="C20" s="57" t="s">
        <v>187</v>
      </c>
      <c r="D20" s="57" t="s">
        <v>188</v>
      </c>
      <c r="E20" s="54" t="s">
        <v>270</v>
      </c>
      <c r="F20" s="54"/>
      <c r="G20" s="62">
        <f t="shared" si="0"/>
        <v>3042.9</v>
      </c>
      <c r="H20" s="62">
        <f t="shared" si="0"/>
        <v>3042.9</v>
      </c>
    </row>
    <row r="21" spans="1:8" s="114" customFormat="1" ht="33">
      <c r="A21" s="55" t="str">
        <f ca="1">IF(ISERROR(MATCH(F21,Код_КВР,0)),"",INDIRECT(ADDRESS(MATCH(F21,Код_КВР,0)+1,2,,,"КВР")))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1" s="54">
        <v>801</v>
      </c>
      <c r="C21" s="57" t="s">
        <v>187</v>
      </c>
      <c r="D21" s="57" t="s">
        <v>188</v>
      </c>
      <c r="E21" s="54" t="s">
        <v>270</v>
      </c>
      <c r="F21" s="54">
        <v>100</v>
      </c>
      <c r="G21" s="62">
        <f t="shared" si="0"/>
        <v>3042.9</v>
      </c>
      <c r="H21" s="62">
        <f t="shared" si="0"/>
        <v>3042.9</v>
      </c>
    </row>
    <row r="22" spans="1:8" s="114" customFormat="1" ht="23.25" customHeight="1">
      <c r="A22" s="55" t="str">
        <f ca="1">IF(ISERROR(MATCH(F22,Код_КВР,0)),"",INDIRECT(ADDRESS(MATCH(F22,Код_КВР,0)+1,2,,,"КВР")))</f>
        <v>Расходы на выплаты персоналу муниципальных органов</v>
      </c>
      <c r="B22" s="54">
        <v>801</v>
      </c>
      <c r="C22" s="57" t="s">
        <v>187</v>
      </c>
      <c r="D22" s="57" t="s">
        <v>188</v>
      </c>
      <c r="E22" s="54" t="s">
        <v>270</v>
      </c>
      <c r="F22" s="54">
        <v>120</v>
      </c>
      <c r="G22" s="61">
        <v>3042.9</v>
      </c>
      <c r="H22" s="61">
        <v>3042.9</v>
      </c>
    </row>
    <row r="23" spans="1:8" s="114" customFormat="1" ht="49.5">
      <c r="A23" s="60" t="s">
        <v>207</v>
      </c>
      <c r="B23" s="54">
        <v>801</v>
      </c>
      <c r="C23" s="57" t="s">
        <v>187</v>
      </c>
      <c r="D23" s="57" t="s">
        <v>190</v>
      </c>
      <c r="E23" s="54"/>
      <c r="F23" s="54"/>
      <c r="G23" s="62">
        <f aca="true" t="shared" si="1" ref="G23:H24">G24</f>
        <v>131321.6</v>
      </c>
      <c r="H23" s="62">
        <f t="shared" si="1"/>
        <v>131451.7</v>
      </c>
    </row>
    <row r="24" spans="1:8" s="114" customFormat="1" ht="33">
      <c r="A24" s="55" t="str">
        <f ca="1">IF(ISERROR(MATCH(E24,Код_КЦСР,0)),"",INDIRECT(ADDRESS(MATCH(E24,Код_КЦСР,0)+1,2,,,"КЦСР")))</f>
        <v>Непрограммные направления деятельности органов местного самоуправления</v>
      </c>
      <c r="B24" s="54">
        <v>801</v>
      </c>
      <c r="C24" s="57" t="s">
        <v>187</v>
      </c>
      <c r="D24" s="57" t="s">
        <v>190</v>
      </c>
      <c r="E24" s="54" t="s">
        <v>264</v>
      </c>
      <c r="F24" s="54"/>
      <c r="G24" s="62">
        <f t="shared" si="1"/>
        <v>131321.6</v>
      </c>
      <c r="H24" s="62">
        <f t="shared" si="1"/>
        <v>131451.7</v>
      </c>
    </row>
    <row r="25" spans="1:8" s="114" customFormat="1" ht="22.5" customHeight="1">
      <c r="A25" s="55" t="str">
        <f ca="1">IF(ISERROR(MATCH(E25,Код_КЦСР,0)),"",INDIRECT(ADDRESS(MATCH(E25,Код_КЦСР,0)+1,2,,,"КЦСР")))</f>
        <v>Расходы, не включенные в муниципальные программы города Череповца</v>
      </c>
      <c r="B25" s="54">
        <v>801</v>
      </c>
      <c r="C25" s="57" t="s">
        <v>187</v>
      </c>
      <c r="D25" s="57" t="s">
        <v>190</v>
      </c>
      <c r="E25" s="54" t="s">
        <v>266</v>
      </c>
      <c r="F25" s="54"/>
      <c r="G25" s="62">
        <f aca="true" t="shared" si="2" ref="G25:H25">G26+G34+G44+G39</f>
        <v>131321.6</v>
      </c>
      <c r="H25" s="62">
        <f t="shared" si="2"/>
        <v>131451.7</v>
      </c>
    </row>
    <row r="26" spans="1:8" s="114" customFormat="1" ht="33">
      <c r="A26" s="55" t="str">
        <f ca="1">IF(ISERROR(MATCH(E26,Код_КЦСР,0)),"",INDIRECT(ADDRESS(MATCH(E26,Код_КЦСР,0)+1,2,,,"КЦСР")))</f>
        <v>Руководство и управление в сфере установленных функций органов местного самоуправления</v>
      </c>
      <c r="B26" s="54">
        <v>801</v>
      </c>
      <c r="C26" s="57" t="s">
        <v>187</v>
      </c>
      <c r="D26" s="57" t="s">
        <v>190</v>
      </c>
      <c r="E26" s="54" t="s">
        <v>268</v>
      </c>
      <c r="F26" s="54"/>
      <c r="G26" s="62">
        <f aca="true" t="shared" si="3" ref="G26:H26">G27</f>
        <v>128834.1</v>
      </c>
      <c r="H26" s="62">
        <f t="shared" si="3"/>
        <v>128834.1</v>
      </c>
    </row>
    <row r="27" spans="1:8" s="114" customFormat="1" ht="12.75">
      <c r="A27" s="55" t="str">
        <f ca="1">IF(ISERROR(MATCH(E27,Код_КЦСР,0)),"",INDIRECT(ADDRESS(MATCH(E27,Код_КЦСР,0)+1,2,,,"КЦСР")))</f>
        <v>Центральный аппарат</v>
      </c>
      <c r="B27" s="54">
        <v>801</v>
      </c>
      <c r="C27" s="57" t="s">
        <v>187</v>
      </c>
      <c r="D27" s="57" t="s">
        <v>190</v>
      </c>
      <c r="E27" s="54" t="s">
        <v>271</v>
      </c>
      <c r="F27" s="54"/>
      <c r="G27" s="62">
        <f aca="true" t="shared" si="4" ref="G27:H27">G28+G30+G32</f>
        <v>128834.1</v>
      </c>
      <c r="H27" s="62">
        <f t="shared" si="4"/>
        <v>128834.1</v>
      </c>
    </row>
    <row r="28" spans="1:8" s="114" customFormat="1" ht="33">
      <c r="A28" s="55" t="str">
        <f aca="true" t="shared" si="5" ref="A28:A33">IF(ISERROR(MATCH(F28,Код_КВР,0)),"",INDIRECT(ADDRESS(MATCH(F28,Код_КВР,0)+1,2,,,"КВР")))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8" s="54">
        <v>801</v>
      </c>
      <c r="C28" s="57" t="s">
        <v>187</v>
      </c>
      <c r="D28" s="57" t="s">
        <v>190</v>
      </c>
      <c r="E28" s="54" t="s">
        <v>271</v>
      </c>
      <c r="F28" s="54">
        <v>100</v>
      </c>
      <c r="G28" s="62">
        <f aca="true" t="shared" si="6" ref="G28:H28">G29</f>
        <v>125109.5</v>
      </c>
      <c r="H28" s="62">
        <f t="shared" si="6"/>
        <v>125109.5</v>
      </c>
    </row>
    <row r="29" spans="1:8" s="114" customFormat="1" ht="12.75">
      <c r="A29" s="55" t="str">
        <f ca="1" t="shared" si="5"/>
        <v>Расходы на выплаты персоналу муниципальных органов</v>
      </c>
      <c r="B29" s="54">
        <v>801</v>
      </c>
      <c r="C29" s="57" t="s">
        <v>187</v>
      </c>
      <c r="D29" s="57" t="s">
        <v>190</v>
      </c>
      <c r="E29" s="54" t="s">
        <v>271</v>
      </c>
      <c r="F29" s="54">
        <v>120</v>
      </c>
      <c r="G29" s="61">
        <f>123469.5+1640</f>
        <v>125109.5</v>
      </c>
      <c r="H29" s="61">
        <f>123469.5+1640</f>
        <v>125109.5</v>
      </c>
    </row>
    <row r="30" spans="1:8" s="114" customFormat="1" ht="21" customHeight="1">
      <c r="A30" s="55" t="str">
        <f ca="1" t="shared" si="5"/>
        <v>Закупка товаров, работ и услуг для муниципальных нужд</v>
      </c>
      <c r="B30" s="54">
        <v>801</v>
      </c>
      <c r="C30" s="57" t="s">
        <v>187</v>
      </c>
      <c r="D30" s="57" t="s">
        <v>190</v>
      </c>
      <c r="E30" s="54" t="s">
        <v>271</v>
      </c>
      <c r="F30" s="54">
        <v>200</v>
      </c>
      <c r="G30" s="62">
        <f aca="true" t="shared" si="7" ref="G30:H30">G31</f>
        <v>3722.6</v>
      </c>
      <c r="H30" s="62">
        <f t="shared" si="7"/>
        <v>3722.6</v>
      </c>
    </row>
    <row r="31" spans="1:8" s="114" customFormat="1" ht="33">
      <c r="A31" s="55" t="str">
        <f ca="1" t="shared" si="5"/>
        <v>Иные закупки товаров, работ и услуг для обеспечения муниципальных нужд</v>
      </c>
      <c r="B31" s="54">
        <v>801</v>
      </c>
      <c r="C31" s="57" t="s">
        <v>187</v>
      </c>
      <c r="D31" s="57" t="s">
        <v>190</v>
      </c>
      <c r="E31" s="54" t="s">
        <v>271</v>
      </c>
      <c r="F31" s="54">
        <v>240</v>
      </c>
      <c r="G31" s="62">
        <v>3722.6</v>
      </c>
      <c r="H31" s="62">
        <v>3722.6</v>
      </c>
    </row>
    <row r="32" spans="1:8" s="114" customFormat="1" ht="12.75">
      <c r="A32" s="55" t="str">
        <f ca="1" t="shared" si="5"/>
        <v>Иные бюджетные ассигнования</v>
      </c>
      <c r="B32" s="54">
        <v>801</v>
      </c>
      <c r="C32" s="57" t="s">
        <v>187</v>
      </c>
      <c r="D32" s="57" t="s">
        <v>190</v>
      </c>
      <c r="E32" s="54" t="s">
        <v>271</v>
      </c>
      <c r="F32" s="54">
        <v>800</v>
      </c>
      <c r="G32" s="62">
        <f aca="true" t="shared" si="8" ref="G32:H32">G33</f>
        <v>2</v>
      </c>
      <c r="H32" s="62">
        <f t="shared" si="8"/>
        <v>2</v>
      </c>
    </row>
    <row r="33" spans="1:8" s="114" customFormat="1" ht="12.75">
      <c r="A33" s="55" t="str">
        <f ca="1" t="shared" si="5"/>
        <v>Уплата налогов, сборов и иных платежей</v>
      </c>
      <c r="B33" s="54">
        <v>801</v>
      </c>
      <c r="C33" s="57" t="s">
        <v>187</v>
      </c>
      <c r="D33" s="57" t="s">
        <v>190</v>
      </c>
      <c r="E33" s="54" t="s">
        <v>271</v>
      </c>
      <c r="F33" s="54">
        <v>850</v>
      </c>
      <c r="G33" s="62">
        <v>2</v>
      </c>
      <c r="H33" s="62">
        <v>2</v>
      </c>
    </row>
    <row r="34" spans="1:8" s="114" customFormat="1" ht="105" customHeight="1">
      <c r="A34" s="55" t="str">
        <f ca="1">IF(ISERROR(MATCH(E34,Код_КЦСР,0)),"",INDIRECT(ADDRESS(MATCH(E34,Код_КЦСР,0)+1,2,,,"КЦСР")))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4" s="54">
        <v>801</v>
      </c>
      <c r="C34" s="57" t="s">
        <v>187</v>
      </c>
      <c r="D34" s="57" t="s">
        <v>190</v>
      </c>
      <c r="E34" s="54" t="s">
        <v>323</v>
      </c>
      <c r="F34" s="54"/>
      <c r="G34" s="62">
        <f aca="true" t="shared" si="9" ref="G34:H34">G35+G37</f>
        <v>1241.8</v>
      </c>
      <c r="H34" s="62">
        <f t="shared" si="9"/>
        <v>1371.9</v>
      </c>
    </row>
    <row r="35" spans="1:8" s="114" customFormat="1" ht="37.5" customHeight="1">
      <c r="A35" s="55" t="str">
        <f ca="1">IF(ISERROR(MATCH(F35,Код_КВР,0)),"",INDIRECT(ADDRESS(MATCH(F35,Код_КВР,0)+1,2,,,"КВР")))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" s="54">
        <v>801</v>
      </c>
      <c r="C35" s="57" t="s">
        <v>187</v>
      </c>
      <c r="D35" s="57" t="s">
        <v>190</v>
      </c>
      <c r="E35" s="54" t="s">
        <v>323</v>
      </c>
      <c r="F35" s="54">
        <v>100</v>
      </c>
      <c r="G35" s="62">
        <f aca="true" t="shared" si="10" ref="G35:H35">G36</f>
        <v>1231.1</v>
      </c>
      <c r="H35" s="62">
        <f t="shared" si="10"/>
        <v>1361.2</v>
      </c>
    </row>
    <row r="36" spans="1:8" s="114" customFormat="1" ht="22.5" customHeight="1">
      <c r="A36" s="55" t="str">
        <f ca="1">IF(ISERROR(MATCH(F36,Код_КВР,0)),"",INDIRECT(ADDRESS(MATCH(F36,Код_КВР,0)+1,2,,,"КВР")))</f>
        <v>Расходы на выплаты персоналу муниципальных органов</v>
      </c>
      <c r="B36" s="54">
        <v>801</v>
      </c>
      <c r="C36" s="57" t="s">
        <v>187</v>
      </c>
      <c r="D36" s="57" t="s">
        <v>190</v>
      </c>
      <c r="E36" s="54" t="s">
        <v>323</v>
      </c>
      <c r="F36" s="54">
        <v>120</v>
      </c>
      <c r="G36" s="62">
        <v>1231.1</v>
      </c>
      <c r="H36" s="62">
        <v>1361.2</v>
      </c>
    </row>
    <row r="37" spans="1:8" s="114" customFormat="1" ht="23.25" customHeight="1">
      <c r="A37" s="55" t="str">
        <f ca="1">IF(ISERROR(MATCH(F37,Код_КВР,0)),"",INDIRECT(ADDRESS(MATCH(F37,Код_КВР,0)+1,2,,,"КВР")))</f>
        <v>Закупка товаров, работ и услуг для муниципальных нужд</v>
      </c>
      <c r="B37" s="54">
        <v>801</v>
      </c>
      <c r="C37" s="57" t="s">
        <v>187</v>
      </c>
      <c r="D37" s="57" t="s">
        <v>190</v>
      </c>
      <c r="E37" s="54" t="s">
        <v>323</v>
      </c>
      <c r="F37" s="54">
        <v>200</v>
      </c>
      <c r="G37" s="62">
        <f aca="true" t="shared" si="11" ref="G37:H37">G38</f>
        <v>10.7</v>
      </c>
      <c r="H37" s="62">
        <f t="shared" si="11"/>
        <v>10.7</v>
      </c>
    </row>
    <row r="38" spans="1:8" s="114" customFormat="1" ht="33">
      <c r="A38" s="55" t="str">
        <f ca="1">IF(ISERROR(MATCH(F38,Код_КВР,0)),"",INDIRECT(ADDRESS(MATCH(F38,Код_КВР,0)+1,2,,,"КВР")))</f>
        <v>Иные закупки товаров, работ и услуг для обеспечения муниципальных нужд</v>
      </c>
      <c r="B38" s="54">
        <v>801</v>
      </c>
      <c r="C38" s="57" t="s">
        <v>187</v>
      </c>
      <c r="D38" s="57" t="s">
        <v>190</v>
      </c>
      <c r="E38" s="54" t="s">
        <v>323</v>
      </c>
      <c r="F38" s="54">
        <v>240</v>
      </c>
      <c r="G38" s="62">
        <v>10.7</v>
      </c>
      <c r="H38" s="62">
        <v>10.7</v>
      </c>
    </row>
    <row r="39" spans="1:8" s="114" customFormat="1" ht="81" customHeight="1">
      <c r="A39" s="55" t="str">
        <f ca="1">IF(ISERROR(MATCH(E39,Код_КЦСР,0)),"",INDIRECT(ADDRESS(MATCH(E39,Код_КЦСР,0)+1,2,,,"КЦСР")))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39" s="54">
        <v>801</v>
      </c>
      <c r="C39" s="57" t="s">
        <v>187</v>
      </c>
      <c r="D39" s="57" t="s">
        <v>190</v>
      </c>
      <c r="E39" s="54" t="s">
        <v>335</v>
      </c>
      <c r="F39" s="54"/>
      <c r="G39" s="61">
        <f aca="true" t="shared" si="12" ref="G39:H39">G40+G42</f>
        <v>902.7</v>
      </c>
      <c r="H39" s="61">
        <f t="shared" si="12"/>
        <v>902.7</v>
      </c>
    </row>
    <row r="40" spans="1:8" s="114" customFormat="1" ht="39" customHeight="1">
      <c r="A40" s="55" t="str">
        <f ca="1">IF(ISERROR(MATCH(F40,Код_КВР,0)),"",INDIRECT(ADDRESS(MATCH(F40,Код_КВР,0)+1,2,,,"КВР")))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0" s="54">
        <v>801</v>
      </c>
      <c r="C40" s="57" t="s">
        <v>187</v>
      </c>
      <c r="D40" s="57" t="s">
        <v>190</v>
      </c>
      <c r="E40" s="54" t="s">
        <v>335</v>
      </c>
      <c r="F40" s="54">
        <v>100</v>
      </c>
      <c r="G40" s="61">
        <f aca="true" t="shared" si="13" ref="G40:H40">G41</f>
        <v>902.7</v>
      </c>
      <c r="H40" s="61">
        <f t="shared" si="13"/>
        <v>902.7</v>
      </c>
    </row>
    <row r="41" spans="1:8" s="114" customFormat="1" ht="22.5" customHeight="1">
      <c r="A41" s="55" t="str">
        <f ca="1">IF(ISERROR(MATCH(F41,Код_КВР,0)),"",INDIRECT(ADDRESS(MATCH(F41,Код_КВР,0)+1,2,,,"КВР")))</f>
        <v>Расходы на выплаты персоналу муниципальных органов</v>
      </c>
      <c r="B41" s="54">
        <v>801</v>
      </c>
      <c r="C41" s="57" t="s">
        <v>187</v>
      </c>
      <c r="D41" s="57" t="s">
        <v>190</v>
      </c>
      <c r="E41" s="54" t="s">
        <v>335</v>
      </c>
      <c r="F41" s="54">
        <v>120</v>
      </c>
      <c r="G41" s="61">
        <v>902.7</v>
      </c>
      <c r="H41" s="61">
        <v>902.7</v>
      </c>
    </row>
    <row r="42" spans="1:8" s="114" customFormat="1" ht="36.75" customHeight="1" hidden="1">
      <c r="A42" s="55" t="str">
        <f ca="1">IF(ISERROR(MATCH(F42,Код_КВР,0)),"",INDIRECT(ADDRESS(MATCH(F42,Код_КВР,0)+1,2,,,"КВР")))</f>
        <v>Закупка товаров, работ и услуг для муниципальных нужд</v>
      </c>
      <c r="B42" s="54">
        <v>801</v>
      </c>
      <c r="C42" s="57" t="s">
        <v>187</v>
      </c>
      <c r="D42" s="57" t="s">
        <v>190</v>
      </c>
      <c r="E42" s="54" t="s">
        <v>335</v>
      </c>
      <c r="F42" s="54">
        <v>200</v>
      </c>
      <c r="G42" s="61">
        <f aca="true" t="shared" si="14" ref="G42:H42">G43</f>
        <v>0</v>
      </c>
      <c r="H42" s="61">
        <f t="shared" si="14"/>
        <v>0</v>
      </c>
    </row>
    <row r="43" spans="1:8" s="114" customFormat="1" ht="36.75" customHeight="1" hidden="1">
      <c r="A43" s="55" t="str">
        <f ca="1">IF(ISERROR(MATCH(F43,Код_КВР,0)),"",INDIRECT(ADDRESS(MATCH(F43,Код_КВР,0)+1,2,,,"КВР")))</f>
        <v>Иные закупки товаров, работ и услуг для обеспечения муниципальных нужд</v>
      </c>
      <c r="B43" s="54">
        <v>801</v>
      </c>
      <c r="C43" s="57" t="s">
        <v>187</v>
      </c>
      <c r="D43" s="57" t="s">
        <v>190</v>
      </c>
      <c r="E43" s="54" t="s">
        <v>335</v>
      </c>
      <c r="F43" s="54">
        <v>240</v>
      </c>
      <c r="G43" s="61"/>
      <c r="H43" s="61"/>
    </row>
    <row r="44" spans="1:8" s="114" customFormat="1" ht="104.25" customHeight="1">
      <c r="A44" s="55" t="str">
        <f ca="1">IF(ISERROR(MATCH(E44,Код_КЦСР,0)),"",INDIRECT(ADDRESS(MATCH(E44,Код_КЦСР,0)+1,2,,,"КЦСР")))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4" s="54">
        <v>801</v>
      </c>
      <c r="C44" s="57" t="s">
        <v>187</v>
      </c>
      <c r="D44" s="57" t="s">
        <v>190</v>
      </c>
      <c r="E44" s="54" t="s">
        <v>324</v>
      </c>
      <c r="F44" s="54"/>
      <c r="G44" s="62">
        <f aca="true" t="shared" si="15" ref="G44:H45">G45</f>
        <v>343</v>
      </c>
      <c r="H44" s="62">
        <f t="shared" si="15"/>
        <v>343</v>
      </c>
    </row>
    <row r="45" spans="1:8" s="114" customFormat="1" ht="36.75" customHeight="1">
      <c r="A45" s="55" t="str">
        <f ca="1">IF(ISERROR(MATCH(F45,Код_КВР,0)),"",INDIRECT(ADDRESS(MATCH(F45,Код_КВР,0)+1,2,,,"КВР")))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" s="54">
        <v>801</v>
      </c>
      <c r="C45" s="57" t="s">
        <v>187</v>
      </c>
      <c r="D45" s="57" t="s">
        <v>190</v>
      </c>
      <c r="E45" s="54" t="s">
        <v>324</v>
      </c>
      <c r="F45" s="54">
        <v>100</v>
      </c>
      <c r="G45" s="62">
        <f t="shared" si="15"/>
        <v>343</v>
      </c>
      <c r="H45" s="62">
        <f t="shared" si="15"/>
        <v>343</v>
      </c>
    </row>
    <row r="46" spans="1:8" s="114" customFormat="1" ht="12.75">
      <c r="A46" s="55" t="str">
        <f ca="1">IF(ISERROR(MATCH(F46,Код_КВР,0)),"",INDIRECT(ADDRESS(MATCH(F46,Код_КВР,0)+1,2,,,"КВР")))</f>
        <v>Расходы на выплаты персоналу муниципальных органов</v>
      </c>
      <c r="B46" s="54">
        <v>801</v>
      </c>
      <c r="C46" s="57" t="s">
        <v>187</v>
      </c>
      <c r="D46" s="57" t="s">
        <v>190</v>
      </c>
      <c r="E46" s="54" t="s">
        <v>324</v>
      </c>
      <c r="F46" s="54">
        <v>120</v>
      </c>
      <c r="G46" s="61">
        <v>343</v>
      </c>
      <c r="H46" s="61">
        <v>343</v>
      </c>
    </row>
    <row r="47" spans="1:8" s="114" customFormat="1" ht="12.75">
      <c r="A47" s="60" t="s">
        <v>322</v>
      </c>
      <c r="B47" s="54">
        <v>801</v>
      </c>
      <c r="C47" s="57" t="s">
        <v>187</v>
      </c>
      <c r="D47" s="57" t="s">
        <v>195</v>
      </c>
      <c r="E47" s="54"/>
      <c r="F47" s="54"/>
      <c r="G47" s="61">
        <f aca="true" t="shared" si="16" ref="G47:H51">G48</f>
        <v>165.4</v>
      </c>
      <c r="H47" s="61">
        <f t="shared" si="16"/>
        <v>0</v>
      </c>
    </row>
    <row r="48" spans="1:8" s="114" customFormat="1" ht="33">
      <c r="A48" s="55" t="str">
        <f ca="1">IF(ISERROR(MATCH(E48,Код_КЦСР,0)),"",INDIRECT(ADDRESS(MATCH(E48,Код_КЦСР,0)+1,2,,,"КЦСР")))</f>
        <v>Непрограммные направления деятельности органов местного самоуправления</v>
      </c>
      <c r="B48" s="54">
        <v>801</v>
      </c>
      <c r="C48" s="57" t="s">
        <v>187</v>
      </c>
      <c r="D48" s="57" t="s">
        <v>195</v>
      </c>
      <c r="E48" s="54" t="s">
        <v>264</v>
      </c>
      <c r="F48" s="54"/>
      <c r="G48" s="61">
        <f t="shared" si="16"/>
        <v>165.4</v>
      </c>
      <c r="H48" s="61">
        <f t="shared" si="16"/>
        <v>0</v>
      </c>
    </row>
    <row r="49" spans="1:8" s="114" customFormat="1" ht="24" customHeight="1">
      <c r="A49" s="55" t="str">
        <f ca="1">IF(ISERROR(MATCH(E49,Код_КЦСР,0)),"",INDIRECT(ADDRESS(MATCH(E49,Код_КЦСР,0)+1,2,,,"КЦСР")))</f>
        <v>Расходы, не включенные в муниципальные программы города Череповца</v>
      </c>
      <c r="B49" s="54">
        <v>801</v>
      </c>
      <c r="C49" s="57" t="s">
        <v>187</v>
      </c>
      <c r="D49" s="57" t="s">
        <v>195</v>
      </c>
      <c r="E49" s="54" t="s">
        <v>266</v>
      </c>
      <c r="F49" s="54"/>
      <c r="G49" s="61">
        <f t="shared" si="16"/>
        <v>165.4</v>
      </c>
      <c r="H49" s="61">
        <f t="shared" si="16"/>
        <v>0</v>
      </c>
    </row>
    <row r="50" spans="1:8" s="114" customFormat="1" ht="66">
      <c r="A50" s="55" t="str">
        <f ca="1">IF(ISERROR(MATCH(E50,Код_КЦСР,0)),"",INDIRECT(ADDRESS(MATCH(E50,Код_КЦСР,0)+1,2,,,"КЦСР")))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50" s="54">
        <v>801</v>
      </c>
      <c r="C50" s="57" t="s">
        <v>187</v>
      </c>
      <c r="D50" s="57" t="s">
        <v>195</v>
      </c>
      <c r="E50" s="54" t="s">
        <v>326</v>
      </c>
      <c r="F50" s="54"/>
      <c r="G50" s="61">
        <f t="shared" si="16"/>
        <v>165.4</v>
      </c>
      <c r="H50" s="61">
        <f t="shared" si="16"/>
        <v>0</v>
      </c>
    </row>
    <row r="51" spans="1:8" s="114" customFormat="1" ht="21" customHeight="1">
      <c r="A51" s="55" t="str">
        <f ca="1">IF(ISERROR(MATCH(F51,Код_КВР,0)),"",INDIRECT(ADDRESS(MATCH(F51,Код_КВР,0)+1,2,,,"КВР")))</f>
        <v>Закупка товаров, работ и услуг для муниципальных нужд</v>
      </c>
      <c r="B51" s="54">
        <v>801</v>
      </c>
      <c r="C51" s="57" t="s">
        <v>187</v>
      </c>
      <c r="D51" s="57" t="s">
        <v>195</v>
      </c>
      <c r="E51" s="54" t="s">
        <v>326</v>
      </c>
      <c r="F51" s="54">
        <v>200</v>
      </c>
      <c r="G51" s="61">
        <f t="shared" si="16"/>
        <v>165.4</v>
      </c>
      <c r="H51" s="61">
        <f t="shared" si="16"/>
        <v>0</v>
      </c>
    </row>
    <row r="52" spans="1:8" s="114" customFormat="1" ht="33">
      <c r="A52" s="55" t="str">
        <f ca="1">IF(ISERROR(MATCH(F52,Код_КВР,0)),"",INDIRECT(ADDRESS(MATCH(F52,Код_КВР,0)+1,2,,,"КВР")))</f>
        <v>Иные закупки товаров, работ и услуг для обеспечения муниципальных нужд</v>
      </c>
      <c r="B52" s="54">
        <v>801</v>
      </c>
      <c r="C52" s="57" t="s">
        <v>187</v>
      </c>
      <c r="D52" s="57" t="s">
        <v>195</v>
      </c>
      <c r="E52" s="54" t="s">
        <v>326</v>
      </c>
      <c r="F52" s="54">
        <v>240</v>
      </c>
      <c r="G52" s="61">
        <v>165.4</v>
      </c>
      <c r="H52" s="61"/>
    </row>
    <row r="53" spans="1:8" s="114" customFormat="1" ht="12.75">
      <c r="A53" s="59" t="s">
        <v>209</v>
      </c>
      <c r="B53" s="54">
        <v>801</v>
      </c>
      <c r="C53" s="57" t="s">
        <v>187</v>
      </c>
      <c r="D53" s="57" t="s">
        <v>165</v>
      </c>
      <c r="E53" s="54"/>
      <c r="F53" s="54"/>
      <c r="G53" s="62">
        <f>G54+G67+G71+G99+G127+G140+G145+G87+G92</f>
        <v>165244</v>
      </c>
      <c r="H53" s="62">
        <f>H54+H67+H71+H99+H127+H140+H145+H87+H92</f>
        <v>165823.9</v>
      </c>
    </row>
    <row r="54" spans="1:8" s="114" customFormat="1" ht="35.25" customHeight="1">
      <c r="A54" s="55" t="str">
        <f ca="1">IF(ISERROR(MATCH(E54,Код_КЦСР,0)),"",INDIRECT(ADDRESS(MATCH(E54,Код_КЦСР,0)+1,2,,,"КЦСР")))</f>
        <v>Муниципальная программа «Развитие архивного дела» на 2013-2018 годы</v>
      </c>
      <c r="B54" s="54">
        <v>801</v>
      </c>
      <c r="C54" s="57" t="s">
        <v>187</v>
      </c>
      <c r="D54" s="57" t="s">
        <v>165</v>
      </c>
      <c r="E54" s="54" t="s">
        <v>420</v>
      </c>
      <c r="F54" s="54"/>
      <c r="G54" s="62">
        <f aca="true" t="shared" si="17" ref="G54:H54">G55+G62</f>
        <v>13739.7</v>
      </c>
      <c r="H54" s="62">
        <f t="shared" si="17"/>
        <v>13812.800000000001</v>
      </c>
    </row>
    <row r="55" spans="1:8" s="114" customFormat="1" ht="52.5" customHeight="1">
      <c r="A55" s="55" t="str">
        <f ca="1">IF(ISERROR(MATCH(E55,Код_КЦСР,0)),"",INDIRECT(ADDRESS(MATCH(E55,Код_КЦСР,0)+1,2,,,"КЦСР")))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5" s="54">
        <v>801</v>
      </c>
      <c r="C55" s="57" t="s">
        <v>187</v>
      </c>
      <c r="D55" s="57" t="s">
        <v>165</v>
      </c>
      <c r="E55" s="54" t="s">
        <v>422</v>
      </c>
      <c r="F55" s="54"/>
      <c r="G55" s="62">
        <f aca="true" t="shared" si="18" ref="G55:H55">G56+G58+G60</f>
        <v>12786.800000000001</v>
      </c>
      <c r="H55" s="62">
        <f t="shared" si="18"/>
        <v>12859.900000000001</v>
      </c>
    </row>
    <row r="56" spans="1:8" s="114" customFormat="1" ht="39.75" customHeight="1">
      <c r="A56" s="55" t="str">
        <f aca="true" t="shared" si="19" ref="A56:A61">IF(ISERROR(MATCH(F56,Код_КВР,0)),"",INDIRECT(ADDRESS(MATCH(F56,Код_КВР,0)+1,2,,,"КВР")))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" s="54">
        <v>801</v>
      </c>
      <c r="C56" s="57" t="s">
        <v>187</v>
      </c>
      <c r="D56" s="57" t="s">
        <v>165</v>
      </c>
      <c r="E56" s="54" t="s">
        <v>422</v>
      </c>
      <c r="F56" s="54">
        <v>100</v>
      </c>
      <c r="G56" s="62">
        <f aca="true" t="shared" si="20" ref="G56:H56">G57</f>
        <v>6391.3</v>
      </c>
      <c r="H56" s="62">
        <f t="shared" si="20"/>
        <v>6389.8</v>
      </c>
    </row>
    <row r="57" spans="1:8" s="114" customFormat="1" ht="19.5" customHeight="1">
      <c r="A57" s="55" t="str">
        <f ca="1" t="shared" si="19"/>
        <v>Расходы на выплаты персоналу казенных учреждений</v>
      </c>
      <c r="B57" s="54">
        <v>801</v>
      </c>
      <c r="C57" s="57" t="s">
        <v>187</v>
      </c>
      <c r="D57" s="57" t="s">
        <v>165</v>
      </c>
      <c r="E57" s="54" t="s">
        <v>422</v>
      </c>
      <c r="F57" s="54">
        <v>110</v>
      </c>
      <c r="G57" s="61">
        <f>6376.8+1.5+13</f>
        <v>6391.3</v>
      </c>
      <c r="H57" s="61">
        <f>6376.8+13</f>
        <v>6389.8</v>
      </c>
    </row>
    <row r="58" spans="1:8" s="114" customFormat="1" ht="19.5" customHeight="1">
      <c r="A58" s="55" t="str">
        <f ca="1" t="shared" si="19"/>
        <v>Закупка товаров, работ и услуг для муниципальных нужд</v>
      </c>
      <c r="B58" s="54">
        <v>801</v>
      </c>
      <c r="C58" s="57" t="s">
        <v>187</v>
      </c>
      <c r="D58" s="57" t="s">
        <v>165</v>
      </c>
      <c r="E58" s="54" t="s">
        <v>422</v>
      </c>
      <c r="F58" s="54">
        <v>200</v>
      </c>
      <c r="G58" s="62">
        <f aca="true" t="shared" si="21" ref="G58:H58">G59</f>
        <v>4093.8999999999996</v>
      </c>
      <c r="H58" s="62">
        <f t="shared" si="21"/>
        <v>4197.8</v>
      </c>
    </row>
    <row r="59" spans="1:8" s="114" customFormat="1" ht="33">
      <c r="A59" s="55" t="str">
        <f ca="1" t="shared" si="19"/>
        <v>Иные закупки товаров, работ и услуг для обеспечения муниципальных нужд</v>
      </c>
      <c r="B59" s="54">
        <v>801</v>
      </c>
      <c r="C59" s="57" t="s">
        <v>187</v>
      </c>
      <c r="D59" s="57" t="s">
        <v>165</v>
      </c>
      <c r="E59" s="54" t="s">
        <v>422</v>
      </c>
      <c r="F59" s="54">
        <v>240</v>
      </c>
      <c r="G59" s="61">
        <f>4106.9-13</f>
        <v>4093.8999999999996</v>
      </c>
      <c r="H59" s="61">
        <f>4210.8-13</f>
        <v>4197.8</v>
      </c>
    </row>
    <row r="60" spans="1:8" s="114" customFormat="1" ht="12.75">
      <c r="A60" s="55" t="str">
        <f ca="1" t="shared" si="19"/>
        <v>Иные бюджетные ассигнования</v>
      </c>
      <c r="B60" s="54">
        <v>801</v>
      </c>
      <c r="C60" s="57" t="s">
        <v>187</v>
      </c>
      <c r="D60" s="57" t="s">
        <v>165</v>
      </c>
      <c r="E60" s="54" t="s">
        <v>422</v>
      </c>
      <c r="F60" s="54">
        <v>800</v>
      </c>
      <c r="G60" s="62">
        <f aca="true" t="shared" si="22" ref="G60:H60">G61</f>
        <v>2301.6</v>
      </c>
      <c r="H60" s="62">
        <f t="shared" si="22"/>
        <v>2272.3</v>
      </c>
    </row>
    <row r="61" spans="1:8" s="114" customFormat="1" ht="12.75">
      <c r="A61" s="55" t="str">
        <f ca="1" t="shared" si="19"/>
        <v>Уплата налогов, сборов и иных платежей</v>
      </c>
      <c r="B61" s="54">
        <v>801</v>
      </c>
      <c r="C61" s="57" t="s">
        <v>187</v>
      </c>
      <c r="D61" s="57" t="s">
        <v>165</v>
      </c>
      <c r="E61" s="54" t="s">
        <v>422</v>
      </c>
      <c r="F61" s="54">
        <v>850</v>
      </c>
      <c r="G61" s="62">
        <v>2301.6</v>
      </c>
      <c r="H61" s="62">
        <v>2272.3</v>
      </c>
    </row>
    <row r="62" spans="1:8" s="114" customFormat="1" ht="102.75" customHeight="1">
      <c r="A62" s="55" t="str">
        <f ca="1">IF(ISERROR(MATCH(E62,Код_КЦСР,0)),"",INDIRECT(ADDRESS(MATCH(E62,Код_КЦСР,0)+1,2,,,"КЦСР")))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2" s="54">
        <v>801</v>
      </c>
      <c r="C62" s="57" t="s">
        <v>187</v>
      </c>
      <c r="D62" s="57" t="s">
        <v>165</v>
      </c>
      <c r="E62" s="54" t="s">
        <v>327</v>
      </c>
      <c r="F62" s="54"/>
      <c r="G62" s="62">
        <f aca="true" t="shared" si="23" ref="G62:H62">G63+G65</f>
        <v>952.9000000000001</v>
      </c>
      <c r="H62" s="62">
        <f t="shared" si="23"/>
        <v>952.9000000000001</v>
      </c>
    </row>
    <row r="63" spans="1:8" s="114" customFormat="1" ht="39" customHeight="1">
      <c r="A63" s="55" t="str">
        <f ca="1">IF(ISERROR(MATCH(F63,Код_КВР,0)),"",INDIRECT(ADDRESS(MATCH(F63,Код_КВР,0)+1,2,,,"КВР")))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3" s="54">
        <v>801</v>
      </c>
      <c r="C63" s="57" t="s">
        <v>187</v>
      </c>
      <c r="D63" s="57" t="s">
        <v>165</v>
      </c>
      <c r="E63" s="54" t="s">
        <v>327</v>
      </c>
      <c r="F63" s="54">
        <v>100</v>
      </c>
      <c r="G63" s="62">
        <f aca="true" t="shared" si="24" ref="G63:H63">G64</f>
        <v>305.2</v>
      </c>
      <c r="H63" s="62">
        <f t="shared" si="24"/>
        <v>305.2</v>
      </c>
    </row>
    <row r="64" spans="1:8" s="114" customFormat="1" ht="18.75" customHeight="1">
      <c r="A64" s="55" t="str">
        <f ca="1">IF(ISERROR(MATCH(F64,Код_КВР,0)),"",INDIRECT(ADDRESS(MATCH(F64,Код_КВР,0)+1,2,,,"КВР")))</f>
        <v>Расходы на выплаты персоналу казенных учреждений</v>
      </c>
      <c r="B64" s="54">
        <v>801</v>
      </c>
      <c r="C64" s="57" t="s">
        <v>187</v>
      </c>
      <c r="D64" s="57" t="s">
        <v>165</v>
      </c>
      <c r="E64" s="54" t="s">
        <v>327</v>
      </c>
      <c r="F64" s="54">
        <v>110</v>
      </c>
      <c r="G64" s="62">
        <v>305.2</v>
      </c>
      <c r="H64" s="62">
        <v>305.2</v>
      </c>
    </row>
    <row r="65" spans="1:8" s="114" customFormat="1" ht="18.75" customHeight="1">
      <c r="A65" s="55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54">
        <v>801</v>
      </c>
      <c r="C65" s="57" t="s">
        <v>187</v>
      </c>
      <c r="D65" s="57" t="s">
        <v>165</v>
      </c>
      <c r="E65" s="54" t="s">
        <v>327</v>
      </c>
      <c r="F65" s="54">
        <v>200</v>
      </c>
      <c r="G65" s="62">
        <f aca="true" t="shared" si="25" ref="G65:H65">G66</f>
        <v>647.7</v>
      </c>
      <c r="H65" s="62">
        <f t="shared" si="25"/>
        <v>647.7</v>
      </c>
    </row>
    <row r="66" spans="1:8" s="114" customFormat="1" ht="33">
      <c r="A66" s="55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54">
        <v>801</v>
      </c>
      <c r="C66" s="57" t="s">
        <v>187</v>
      </c>
      <c r="D66" s="57" t="s">
        <v>165</v>
      </c>
      <c r="E66" s="54" t="s">
        <v>327</v>
      </c>
      <c r="F66" s="54">
        <v>240</v>
      </c>
      <c r="G66" s="62">
        <v>647.7</v>
      </c>
      <c r="H66" s="62">
        <v>647.7</v>
      </c>
    </row>
    <row r="67" spans="1:8" s="114" customFormat="1" ht="33">
      <c r="A67" s="55" t="str">
        <f ca="1">IF(ISERROR(MATCH(E67,Код_КЦСР,0)),"",INDIRECT(ADDRESS(MATCH(E67,Код_КЦСР,0)+1,2,,,"КЦСР")))</f>
        <v>Муниципальная программа «Содействие развитию потребительского рынка в городе Череповце на 2013-2017 годы»</v>
      </c>
      <c r="B67" s="54">
        <v>801</v>
      </c>
      <c r="C67" s="57" t="s">
        <v>187</v>
      </c>
      <c r="D67" s="57" t="s">
        <v>165</v>
      </c>
      <c r="E67" s="54" t="s">
        <v>432</v>
      </c>
      <c r="F67" s="54"/>
      <c r="G67" s="62">
        <f aca="true" t="shared" si="26" ref="G67:H69">G68</f>
        <v>150</v>
      </c>
      <c r="H67" s="62">
        <f t="shared" si="26"/>
        <v>150</v>
      </c>
    </row>
    <row r="68" spans="1:8" s="114" customFormat="1" ht="52.5" customHeight="1">
      <c r="A68" s="55" t="str">
        <f ca="1">IF(ISERROR(MATCH(E68,Код_КЦСР,0)),"",INDIRECT(ADDRESS(MATCH(E68,Код_КЦСР,0)+1,2,,,"КЦСР")))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68" s="54">
        <v>801</v>
      </c>
      <c r="C68" s="57" t="s">
        <v>187</v>
      </c>
      <c r="D68" s="57" t="s">
        <v>165</v>
      </c>
      <c r="E68" s="54" t="s">
        <v>434</v>
      </c>
      <c r="F68" s="54"/>
      <c r="G68" s="62">
        <f t="shared" si="26"/>
        <v>150</v>
      </c>
      <c r="H68" s="62">
        <f t="shared" si="26"/>
        <v>150</v>
      </c>
    </row>
    <row r="69" spans="1:8" s="114" customFormat="1" ht="24" customHeight="1">
      <c r="A69" s="55" t="str">
        <f ca="1">IF(ISERROR(MATCH(F69,Код_КВР,0)),"",INDIRECT(ADDRESS(MATCH(F69,Код_КВР,0)+1,2,,,"КВР")))</f>
        <v>Закупка товаров, работ и услуг для муниципальных нужд</v>
      </c>
      <c r="B69" s="54">
        <v>801</v>
      </c>
      <c r="C69" s="57" t="s">
        <v>187</v>
      </c>
      <c r="D69" s="57" t="s">
        <v>165</v>
      </c>
      <c r="E69" s="54" t="s">
        <v>434</v>
      </c>
      <c r="F69" s="54">
        <v>200</v>
      </c>
      <c r="G69" s="62">
        <f t="shared" si="26"/>
        <v>150</v>
      </c>
      <c r="H69" s="62">
        <f t="shared" si="26"/>
        <v>150</v>
      </c>
    </row>
    <row r="70" spans="1:8" s="114" customFormat="1" ht="33">
      <c r="A70" s="55" t="str">
        <f ca="1">IF(ISERROR(MATCH(F70,Код_КВР,0)),"",INDIRECT(ADDRESS(MATCH(F70,Код_КВР,0)+1,2,,,"КВР")))</f>
        <v>Иные закупки товаров, работ и услуг для обеспечения муниципальных нужд</v>
      </c>
      <c r="B70" s="54">
        <v>801</v>
      </c>
      <c r="C70" s="57" t="s">
        <v>187</v>
      </c>
      <c r="D70" s="57" t="s">
        <v>165</v>
      </c>
      <c r="E70" s="54" t="s">
        <v>434</v>
      </c>
      <c r="F70" s="54">
        <v>240</v>
      </c>
      <c r="G70" s="62">
        <v>150</v>
      </c>
      <c r="H70" s="62">
        <v>150</v>
      </c>
    </row>
    <row r="71" spans="1:8" s="114" customFormat="1" ht="19.5" customHeight="1">
      <c r="A71" s="55" t="str">
        <f ca="1">IF(ISERROR(MATCH(E71,Код_КЦСР,0)),"",INDIRECT(ADDRESS(MATCH(E71,Код_КЦСР,0)+1,2,,,"КЦСР")))</f>
        <v>Муниципальная программа «Здоровый город» на 2014-2022 годы</v>
      </c>
      <c r="B71" s="54">
        <v>801</v>
      </c>
      <c r="C71" s="57" t="s">
        <v>187</v>
      </c>
      <c r="D71" s="57" t="s">
        <v>165</v>
      </c>
      <c r="E71" s="54" t="s">
        <v>450</v>
      </c>
      <c r="F71" s="54"/>
      <c r="G71" s="62">
        <f aca="true" t="shared" si="27" ref="G71:H71">G72+G81+G78+G84</f>
        <v>626.2</v>
      </c>
      <c r="H71" s="62">
        <f t="shared" si="27"/>
        <v>626.2</v>
      </c>
    </row>
    <row r="72" spans="1:8" s="114" customFormat="1" ht="19.5" customHeight="1">
      <c r="A72" s="55" t="str">
        <f ca="1">IF(ISERROR(MATCH(E72,Код_КЦСР,0)),"",INDIRECT(ADDRESS(MATCH(E72,Код_КЦСР,0)+1,2,,,"КЦСР")))</f>
        <v>Организационно-методическое обеспечение программы</v>
      </c>
      <c r="B72" s="54">
        <v>801</v>
      </c>
      <c r="C72" s="57" t="s">
        <v>187</v>
      </c>
      <c r="D72" s="57" t="s">
        <v>165</v>
      </c>
      <c r="E72" s="54" t="s">
        <v>452</v>
      </c>
      <c r="F72" s="54"/>
      <c r="G72" s="62">
        <f aca="true" t="shared" si="28" ref="G72:H72">G73+G75</f>
        <v>276.9</v>
      </c>
      <c r="H72" s="62">
        <f t="shared" si="28"/>
        <v>276.9</v>
      </c>
    </row>
    <row r="73" spans="1:8" s="114" customFormat="1" ht="19.5" customHeight="1">
      <c r="A73" s="55" t="str">
        <f aca="true" t="shared" si="29" ref="A73:A77">IF(ISERROR(MATCH(F73,Код_КВР,0)),"",INDIRECT(ADDRESS(MATCH(F73,Код_КВР,0)+1,2,,,"КВР")))</f>
        <v>Закупка товаров, работ и услуг для муниципальных нужд</v>
      </c>
      <c r="B73" s="54">
        <v>801</v>
      </c>
      <c r="C73" s="57" t="s">
        <v>187</v>
      </c>
      <c r="D73" s="57" t="s">
        <v>165</v>
      </c>
      <c r="E73" s="54" t="s">
        <v>452</v>
      </c>
      <c r="F73" s="54">
        <v>200</v>
      </c>
      <c r="G73" s="62">
        <f aca="true" t="shared" si="30" ref="G73:H73">G74</f>
        <v>146.9</v>
      </c>
      <c r="H73" s="62">
        <f t="shared" si="30"/>
        <v>146.9</v>
      </c>
    </row>
    <row r="74" spans="1:8" s="114" customFormat="1" ht="33">
      <c r="A74" s="55" t="str">
        <f ca="1" t="shared" si="29"/>
        <v>Иные закупки товаров, работ и услуг для обеспечения муниципальных нужд</v>
      </c>
      <c r="B74" s="54">
        <v>801</v>
      </c>
      <c r="C74" s="57" t="s">
        <v>187</v>
      </c>
      <c r="D74" s="57" t="s">
        <v>165</v>
      </c>
      <c r="E74" s="54" t="s">
        <v>452</v>
      </c>
      <c r="F74" s="54">
        <v>240</v>
      </c>
      <c r="G74" s="62">
        <v>146.9</v>
      </c>
      <c r="H74" s="62">
        <v>146.9</v>
      </c>
    </row>
    <row r="75" spans="1:8" s="114" customFormat="1" ht="12.75">
      <c r="A75" s="55" t="str">
        <f ca="1" t="shared" si="29"/>
        <v>Иные бюджетные ассигнования</v>
      </c>
      <c r="B75" s="54">
        <v>801</v>
      </c>
      <c r="C75" s="57" t="s">
        <v>187</v>
      </c>
      <c r="D75" s="57" t="s">
        <v>165</v>
      </c>
      <c r="E75" s="54" t="s">
        <v>452</v>
      </c>
      <c r="F75" s="54">
        <v>800</v>
      </c>
      <c r="G75" s="62">
        <f aca="true" t="shared" si="31" ref="G75:H75">G76+G77</f>
        <v>130</v>
      </c>
      <c r="H75" s="62">
        <f t="shared" si="31"/>
        <v>130</v>
      </c>
    </row>
    <row r="76" spans="1:8" s="114" customFormat="1" ht="12.75" hidden="1">
      <c r="A76" s="55" t="str">
        <f ca="1" t="shared" si="29"/>
        <v>Уплата налогов, сборов и иных платежей</v>
      </c>
      <c r="B76" s="54">
        <v>801</v>
      </c>
      <c r="C76" s="57" t="s">
        <v>187</v>
      </c>
      <c r="D76" s="57" t="s">
        <v>165</v>
      </c>
      <c r="E76" s="54" t="s">
        <v>452</v>
      </c>
      <c r="F76" s="54">
        <v>850</v>
      </c>
      <c r="G76" s="62"/>
      <c r="H76" s="62"/>
    </row>
    <row r="77" spans="1:8" s="114" customFormat="1" ht="33">
      <c r="A77" s="55" t="str">
        <f ca="1" t="shared" si="29"/>
        <v>Предоставление платежей, взносов, безвозмездных перечислений субъектам международного права</v>
      </c>
      <c r="B77" s="54">
        <v>801</v>
      </c>
      <c r="C77" s="57" t="s">
        <v>187</v>
      </c>
      <c r="D77" s="57" t="s">
        <v>165</v>
      </c>
      <c r="E77" s="54" t="s">
        <v>452</v>
      </c>
      <c r="F77" s="54">
        <v>860</v>
      </c>
      <c r="G77" s="62">
        <v>130</v>
      </c>
      <c r="H77" s="62">
        <v>130</v>
      </c>
    </row>
    <row r="78" spans="1:8" s="114" customFormat="1" ht="12.75">
      <c r="A78" s="55" t="str">
        <f ca="1">IF(ISERROR(MATCH(E78,Код_КЦСР,0)),"",INDIRECT(ADDRESS(MATCH(E78,Код_КЦСР,0)+1,2,,,"КЦСР")))</f>
        <v>Сохранение и укрепление здоровья детей и подростков</v>
      </c>
      <c r="B78" s="54">
        <v>801</v>
      </c>
      <c r="C78" s="57" t="s">
        <v>187</v>
      </c>
      <c r="D78" s="57" t="s">
        <v>165</v>
      </c>
      <c r="E78" s="54" t="s">
        <v>453</v>
      </c>
      <c r="F78" s="54"/>
      <c r="G78" s="62">
        <f aca="true" t="shared" si="32" ref="G78:H79">G79</f>
        <v>32</v>
      </c>
      <c r="H78" s="62">
        <f t="shared" si="32"/>
        <v>32</v>
      </c>
    </row>
    <row r="79" spans="1:8" s="114" customFormat="1" ht="12.75">
      <c r="A79" s="55" t="str">
        <f aca="true" t="shared" si="33" ref="A79:A80">IF(ISERROR(MATCH(F79,Код_КВР,0)),"",INDIRECT(ADDRESS(MATCH(F79,Код_КВР,0)+1,2,,,"КВР")))</f>
        <v>Закупка товаров, работ и услуг для муниципальных нужд</v>
      </c>
      <c r="B79" s="54">
        <v>801</v>
      </c>
      <c r="C79" s="57" t="s">
        <v>187</v>
      </c>
      <c r="D79" s="57" t="s">
        <v>165</v>
      </c>
      <c r="E79" s="54" t="s">
        <v>453</v>
      </c>
      <c r="F79" s="54">
        <v>200</v>
      </c>
      <c r="G79" s="62">
        <f t="shared" si="32"/>
        <v>32</v>
      </c>
      <c r="H79" s="62">
        <f t="shared" si="32"/>
        <v>32</v>
      </c>
    </row>
    <row r="80" spans="1:8" s="114" customFormat="1" ht="33">
      <c r="A80" s="55" t="str">
        <f ca="1" t="shared" si="33"/>
        <v>Иные закупки товаров, работ и услуг для обеспечения муниципальных нужд</v>
      </c>
      <c r="B80" s="54">
        <v>801</v>
      </c>
      <c r="C80" s="57" t="s">
        <v>187</v>
      </c>
      <c r="D80" s="57" t="s">
        <v>165</v>
      </c>
      <c r="E80" s="54" t="s">
        <v>453</v>
      </c>
      <c r="F80" s="54">
        <v>240</v>
      </c>
      <c r="G80" s="62">
        <v>32</v>
      </c>
      <c r="H80" s="62">
        <v>32</v>
      </c>
    </row>
    <row r="81" spans="1:8" s="114" customFormat="1" ht="12.75">
      <c r="A81" s="55" t="str">
        <f ca="1">IF(ISERROR(MATCH(E81,Код_КЦСР,0)),"",INDIRECT(ADDRESS(MATCH(E81,Код_КЦСР,0)+1,2,,,"КЦСР")))</f>
        <v>Пропаганда здорового образа жизни</v>
      </c>
      <c r="B81" s="54">
        <v>801</v>
      </c>
      <c r="C81" s="57" t="s">
        <v>187</v>
      </c>
      <c r="D81" s="57" t="s">
        <v>165</v>
      </c>
      <c r="E81" s="54" t="s">
        <v>455</v>
      </c>
      <c r="F81" s="54"/>
      <c r="G81" s="62">
        <f aca="true" t="shared" si="34" ref="G81:H82">G82</f>
        <v>257.3</v>
      </c>
      <c r="H81" s="62">
        <f t="shared" si="34"/>
        <v>257.3</v>
      </c>
    </row>
    <row r="82" spans="1:8" s="114" customFormat="1" ht="12.75">
      <c r="A82" s="55" t="str">
        <f ca="1">IF(ISERROR(MATCH(F82,Код_КВР,0)),"",INDIRECT(ADDRESS(MATCH(F82,Код_КВР,0)+1,2,,,"КВР")))</f>
        <v>Закупка товаров, работ и услуг для муниципальных нужд</v>
      </c>
      <c r="B82" s="54">
        <v>801</v>
      </c>
      <c r="C82" s="57" t="s">
        <v>187</v>
      </c>
      <c r="D82" s="57" t="s">
        <v>165</v>
      </c>
      <c r="E82" s="54" t="s">
        <v>455</v>
      </c>
      <c r="F82" s="54">
        <v>200</v>
      </c>
      <c r="G82" s="62">
        <f t="shared" si="34"/>
        <v>257.3</v>
      </c>
      <c r="H82" s="62">
        <f t="shared" si="34"/>
        <v>257.3</v>
      </c>
    </row>
    <row r="83" spans="1:8" s="114" customFormat="1" ht="33">
      <c r="A83" s="55" t="str">
        <f ca="1">IF(ISERROR(MATCH(F83,Код_КВР,0)),"",INDIRECT(ADDRESS(MATCH(F83,Код_КВР,0)+1,2,,,"КВР")))</f>
        <v>Иные закупки товаров, работ и услуг для обеспечения муниципальных нужд</v>
      </c>
      <c r="B83" s="54">
        <v>801</v>
      </c>
      <c r="C83" s="57" t="s">
        <v>187</v>
      </c>
      <c r="D83" s="57" t="s">
        <v>165</v>
      </c>
      <c r="E83" s="54" t="s">
        <v>455</v>
      </c>
      <c r="F83" s="54">
        <v>240</v>
      </c>
      <c r="G83" s="62">
        <v>257.3</v>
      </c>
      <c r="H83" s="62">
        <v>257.3</v>
      </c>
    </row>
    <row r="84" spans="1:8" s="114" customFormat="1" ht="12.75">
      <c r="A84" s="55" t="str">
        <f ca="1">IF(ISERROR(MATCH(E84,Код_КЦСР,0)),"",INDIRECT(ADDRESS(MATCH(E84,Код_КЦСР,0)+1,2,,,"КЦСР")))</f>
        <v>Здоровье на рабочем месте</v>
      </c>
      <c r="B84" s="54">
        <v>801</v>
      </c>
      <c r="C84" s="57" t="s">
        <v>187</v>
      </c>
      <c r="D84" s="57" t="s">
        <v>165</v>
      </c>
      <c r="E84" s="54" t="s">
        <v>457</v>
      </c>
      <c r="F84" s="54"/>
      <c r="G84" s="62">
        <f aca="true" t="shared" si="35" ref="G84:H84">G85</f>
        <v>60</v>
      </c>
      <c r="H84" s="62">
        <f t="shared" si="35"/>
        <v>60</v>
      </c>
    </row>
    <row r="85" spans="1:8" s="114" customFormat="1" ht="22.5" customHeight="1">
      <c r="A85" s="55" t="str">
        <f ca="1">IF(ISERROR(MATCH(F85,Код_КВР,0)),"",INDIRECT(ADDRESS(MATCH(F85,Код_КВР,0)+1,2,,,"КВР")))</f>
        <v>Закупка товаров, работ и услуг для муниципальных нужд</v>
      </c>
      <c r="B85" s="54">
        <v>801</v>
      </c>
      <c r="C85" s="57" t="s">
        <v>187</v>
      </c>
      <c r="D85" s="57" t="s">
        <v>165</v>
      </c>
      <c r="E85" s="54" t="s">
        <v>457</v>
      </c>
      <c r="F85" s="54">
        <v>200</v>
      </c>
      <c r="G85" s="62">
        <f aca="true" t="shared" si="36" ref="G85:H85">G86</f>
        <v>60</v>
      </c>
      <c r="H85" s="62">
        <f t="shared" si="36"/>
        <v>60</v>
      </c>
    </row>
    <row r="86" spans="1:8" s="114" customFormat="1" ht="33">
      <c r="A86" s="55" t="str">
        <f ca="1">IF(ISERROR(MATCH(F86,Код_КВР,0)),"",INDIRECT(ADDRESS(MATCH(F86,Код_КВР,0)+1,2,,,"КВР")))</f>
        <v>Иные закупки товаров, работ и услуг для обеспечения муниципальных нужд</v>
      </c>
      <c r="B86" s="54">
        <v>801</v>
      </c>
      <c r="C86" s="57" t="s">
        <v>187</v>
      </c>
      <c r="D86" s="57" t="s">
        <v>165</v>
      </c>
      <c r="E86" s="54" t="s">
        <v>457</v>
      </c>
      <c r="F86" s="54">
        <v>240</v>
      </c>
      <c r="G86" s="62">
        <v>60</v>
      </c>
      <c r="H86" s="62">
        <v>60</v>
      </c>
    </row>
    <row r="87" spans="1:8" s="114" customFormat="1" ht="33">
      <c r="A87" s="55" t="str">
        <f ca="1">IF(ISERROR(MATCH(E87,Код_КЦСР,0)),"",INDIRECT(ADDRESS(MATCH(E87,Код_КЦСР,0)+1,2,,,"КЦСР")))</f>
        <v>Муниципальная программа «Развитие земельно-имущественного комплекса  города Череповца» на 2014-2018 годы</v>
      </c>
      <c r="B87" s="54">
        <v>801</v>
      </c>
      <c r="C87" s="57" t="s">
        <v>187</v>
      </c>
      <c r="D87" s="57" t="s">
        <v>165</v>
      </c>
      <c r="E87" s="54" t="s">
        <v>59</v>
      </c>
      <c r="F87" s="54"/>
      <c r="G87" s="62">
        <f aca="true" t="shared" si="37" ref="G87:H89">G88</f>
        <v>8487.9</v>
      </c>
      <c r="H87" s="62">
        <f t="shared" si="37"/>
        <v>8487.9</v>
      </c>
    </row>
    <row r="88" spans="1:8" s="114" customFormat="1" ht="33">
      <c r="A88" s="55" t="str">
        <f ca="1">IF(ISERROR(MATCH(E88,Код_КЦСР,0)),"",INDIRECT(ADDRESS(MATCH(E88,Код_КЦСР,0)+1,2,,,"КЦСР")))</f>
        <v>Формирование и обеспечение сохранности муниципального земельно-имущественного комплекса</v>
      </c>
      <c r="B88" s="54">
        <v>801</v>
      </c>
      <c r="C88" s="57" t="s">
        <v>187</v>
      </c>
      <c r="D88" s="57" t="s">
        <v>165</v>
      </c>
      <c r="E88" s="54" t="s">
        <v>61</v>
      </c>
      <c r="F88" s="54"/>
      <c r="G88" s="62">
        <f t="shared" si="37"/>
        <v>8487.9</v>
      </c>
      <c r="H88" s="62">
        <f t="shared" si="37"/>
        <v>8487.9</v>
      </c>
    </row>
    <row r="89" spans="1:8" s="114" customFormat="1" ht="12.75">
      <c r="A89" s="55" t="str">
        <f ca="1">IF(ISERROR(MATCH(F89,Код_КВР,0)),"",INDIRECT(ADDRESS(MATCH(F89,Код_КВР,0)+1,2,,,"КВР")))</f>
        <v>Закупка товаров, работ и услуг для муниципальных нужд</v>
      </c>
      <c r="B89" s="54">
        <v>801</v>
      </c>
      <c r="C89" s="57" t="s">
        <v>187</v>
      </c>
      <c r="D89" s="57" t="s">
        <v>165</v>
      </c>
      <c r="E89" s="54" t="s">
        <v>61</v>
      </c>
      <c r="F89" s="54">
        <v>200</v>
      </c>
      <c r="G89" s="62">
        <f t="shared" si="37"/>
        <v>8487.9</v>
      </c>
      <c r="H89" s="62">
        <f t="shared" si="37"/>
        <v>8487.9</v>
      </c>
    </row>
    <row r="90" spans="1:8" s="114" customFormat="1" ht="33">
      <c r="A90" s="55" t="str">
        <f ca="1">IF(ISERROR(MATCH(F90,Код_КВР,0)),"",INDIRECT(ADDRESS(MATCH(F90,Код_КВР,0)+1,2,,,"КВР")))</f>
        <v>Иные закупки товаров, работ и услуг для обеспечения муниципальных нужд</v>
      </c>
      <c r="B90" s="54">
        <v>801</v>
      </c>
      <c r="C90" s="57" t="s">
        <v>187</v>
      </c>
      <c r="D90" s="57" t="s">
        <v>165</v>
      </c>
      <c r="E90" s="54" t="s">
        <v>61</v>
      </c>
      <c r="F90" s="54">
        <v>240</v>
      </c>
      <c r="G90" s="62">
        <v>8487.9</v>
      </c>
      <c r="H90" s="62">
        <v>8487.9</v>
      </c>
    </row>
    <row r="91" spans="1:8" s="114" customFormat="1" ht="33" hidden="1">
      <c r="A91" s="55" t="str">
        <f ca="1">IF(ISERROR(MATCH(E91,Код_КЦСР,0)),"",INDIRECT(ADDRESS(MATCH(E91,Код_КЦСР,0)+1,2,,,"КЦСР")))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1" s="54">
        <v>801</v>
      </c>
      <c r="C91" s="57" t="s">
        <v>187</v>
      </c>
      <c r="D91" s="57" t="s">
        <v>165</v>
      </c>
      <c r="E91" s="54" t="s">
        <v>75</v>
      </c>
      <c r="F91" s="54"/>
      <c r="G91" s="62">
        <f aca="true" t="shared" si="38" ref="G91:H91">G92</f>
        <v>0</v>
      </c>
      <c r="H91" s="62">
        <f t="shared" si="38"/>
        <v>0</v>
      </c>
    </row>
    <row r="92" spans="1:8" s="114" customFormat="1" ht="25.5" customHeight="1" hidden="1">
      <c r="A92" s="55" t="str">
        <f ca="1">IF(ISERROR(MATCH(E92,Код_КЦСР,0)),"",INDIRECT(ADDRESS(MATCH(E92,Код_КЦСР,0)+1,2,,,"КЦСР")))</f>
        <v>Обеспечение пожарной безопасности муниципальных учреждений города</v>
      </c>
      <c r="B92" s="54">
        <v>801</v>
      </c>
      <c r="C92" s="57" t="s">
        <v>187</v>
      </c>
      <c r="D92" s="57" t="s">
        <v>165</v>
      </c>
      <c r="E92" s="54" t="s">
        <v>77</v>
      </c>
      <c r="F92" s="54"/>
      <c r="G92" s="62">
        <f aca="true" t="shared" si="39" ref="G92:H92">G93+G96</f>
        <v>0</v>
      </c>
      <c r="H92" s="62">
        <f t="shared" si="39"/>
        <v>0</v>
      </c>
    </row>
    <row r="93" spans="1:8" s="114" customFormat="1" ht="33" hidden="1">
      <c r="A93" s="55" t="str">
        <f ca="1">IF(ISERROR(MATCH(E93,Код_КЦСР,0)),"",INDIRECT(ADDRESS(MATCH(E93,Код_КЦСР,0)+1,2,,,"КЦСР")))</f>
        <v>Комплектование, ремонт и испытание внутреннего противопожарного водоснабжения зданий (ПК)</v>
      </c>
      <c r="B93" s="54">
        <v>801</v>
      </c>
      <c r="C93" s="57" t="s">
        <v>187</v>
      </c>
      <c r="D93" s="57" t="s">
        <v>165</v>
      </c>
      <c r="E93" s="54" t="s">
        <v>89</v>
      </c>
      <c r="F93" s="54"/>
      <c r="G93" s="62">
        <f aca="true" t="shared" si="40" ref="G93:H93">G94</f>
        <v>0</v>
      </c>
      <c r="H93" s="62">
        <f t="shared" si="40"/>
        <v>0</v>
      </c>
    </row>
    <row r="94" spans="1:8" s="114" customFormat="1" ht="12.75" hidden="1">
      <c r="A94" s="55" t="str">
        <f ca="1">IF(ISERROR(MATCH(F94,Код_КВР,0)),"",INDIRECT(ADDRESS(MATCH(F94,Код_КВР,0)+1,2,,,"КВР")))</f>
        <v>Закупка товаров, работ и услуг для муниципальных нужд</v>
      </c>
      <c r="B94" s="54">
        <v>801</v>
      </c>
      <c r="C94" s="57" t="s">
        <v>187</v>
      </c>
      <c r="D94" s="57" t="s">
        <v>165</v>
      </c>
      <c r="E94" s="54" t="s">
        <v>89</v>
      </c>
      <c r="F94" s="54">
        <v>200</v>
      </c>
      <c r="G94" s="62">
        <f aca="true" t="shared" si="41" ref="G94:H94">G95</f>
        <v>0</v>
      </c>
      <c r="H94" s="62">
        <f t="shared" si="41"/>
        <v>0</v>
      </c>
    </row>
    <row r="95" spans="1:8" s="114" customFormat="1" ht="33" hidden="1">
      <c r="A95" s="55" t="str">
        <f ca="1">IF(ISERROR(MATCH(F95,Код_КВР,0)),"",INDIRECT(ADDRESS(MATCH(F95,Код_КВР,0)+1,2,,,"КВР")))</f>
        <v>Иные закупки товаров, работ и услуг для обеспечения муниципальных нужд</v>
      </c>
      <c r="B95" s="54">
        <v>801</v>
      </c>
      <c r="C95" s="57" t="s">
        <v>187</v>
      </c>
      <c r="D95" s="57" t="s">
        <v>165</v>
      </c>
      <c r="E95" s="54" t="s">
        <v>89</v>
      </c>
      <c r="F95" s="54">
        <v>240</v>
      </c>
      <c r="G95" s="62"/>
      <c r="H95" s="62"/>
    </row>
    <row r="96" spans="1:8" s="114" customFormat="1" ht="33" hidden="1">
      <c r="A96" s="55" t="str">
        <f ca="1">IF(ISERROR(MATCH(E96,Код_КЦСР,0)),"",INDIRECT(ADDRESS(MATCH(E96,Код_КЦСР,0)+1,2,,,"КЦСР")))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6" s="54">
        <v>801</v>
      </c>
      <c r="C96" s="57" t="s">
        <v>187</v>
      </c>
      <c r="D96" s="57" t="s">
        <v>165</v>
      </c>
      <c r="E96" s="54" t="s">
        <v>91</v>
      </c>
      <c r="F96" s="54"/>
      <c r="G96" s="62"/>
      <c r="H96" s="62"/>
    </row>
    <row r="97" spans="1:8" s="114" customFormat="1" ht="12.75" hidden="1">
      <c r="A97" s="55" t="str">
        <f ca="1">IF(ISERROR(MATCH(F97,Код_КВР,0)),"",INDIRECT(ADDRESS(MATCH(F97,Код_КВР,0)+1,2,,,"КВР")))</f>
        <v>Закупка товаров, работ и услуг для муниципальных нужд</v>
      </c>
      <c r="B97" s="54">
        <v>801</v>
      </c>
      <c r="C97" s="57" t="s">
        <v>187</v>
      </c>
      <c r="D97" s="57" t="s">
        <v>165</v>
      </c>
      <c r="E97" s="54" t="s">
        <v>91</v>
      </c>
      <c r="F97" s="54">
        <v>200</v>
      </c>
      <c r="G97" s="62"/>
      <c r="H97" s="62"/>
    </row>
    <row r="98" spans="1:8" s="114" customFormat="1" ht="33" hidden="1">
      <c r="A98" s="55" t="str">
        <f ca="1">IF(ISERROR(MATCH(F98,Код_КВР,0)),"",INDIRECT(ADDRESS(MATCH(F98,Код_КВР,0)+1,2,,,"КВР")))</f>
        <v>Иные закупки товаров, работ и услуг для обеспечения муниципальных нужд</v>
      </c>
      <c r="B98" s="54">
        <v>801</v>
      </c>
      <c r="C98" s="57" t="s">
        <v>187</v>
      </c>
      <c r="D98" s="57" t="s">
        <v>165</v>
      </c>
      <c r="E98" s="54" t="s">
        <v>91</v>
      </c>
      <c r="F98" s="54">
        <v>240</v>
      </c>
      <c r="G98" s="62"/>
      <c r="H98" s="62"/>
    </row>
    <row r="99" spans="1:8" s="114" customFormat="1" ht="37.5" customHeight="1">
      <c r="A99" s="55" t="str">
        <f ca="1">IF(ISERROR(MATCH(E99,Код_КЦСР,0)),"",INDIRECT(ADDRESS(MATCH(E99,Код_КЦСР,0)+1,2,,,"КЦСР")))</f>
        <v>Муниципальная программа «Совершенствование муниципального управления в городе Череповце» на 2014-2018 годы</v>
      </c>
      <c r="B99" s="54">
        <v>801</v>
      </c>
      <c r="C99" s="57" t="s">
        <v>187</v>
      </c>
      <c r="D99" s="57" t="s">
        <v>165</v>
      </c>
      <c r="E99" s="54" t="s">
        <v>104</v>
      </c>
      <c r="F99" s="54"/>
      <c r="G99" s="62">
        <f>G100+G108+G115</f>
        <v>141311.3</v>
      </c>
      <c r="H99" s="62">
        <f>H100+H108+H115</f>
        <v>141818.09999999998</v>
      </c>
    </row>
    <row r="100" spans="1:8" s="114" customFormat="1" ht="33">
      <c r="A100" s="55" t="str">
        <f ca="1">IF(ISERROR(MATCH(E100,Код_КЦСР,0)),"",INDIRECT(ADDRESS(MATCH(E100,Код_КЦСР,0)+1,2,,,"КЦСР")))</f>
        <v>Создание условий для обеспечения выполнения органами муниципальной власти своих полномочий</v>
      </c>
      <c r="B100" s="54">
        <v>801</v>
      </c>
      <c r="C100" s="57" t="s">
        <v>187</v>
      </c>
      <c r="D100" s="57" t="s">
        <v>165</v>
      </c>
      <c r="E100" s="54" t="s">
        <v>105</v>
      </c>
      <c r="F100" s="54"/>
      <c r="G100" s="62">
        <f aca="true" t="shared" si="42" ref="G100:H100">G101</f>
        <v>74104.6</v>
      </c>
      <c r="H100" s="62">
        <f t="shared" si="42"/>
        <v>74611.4</v>
      </c>
    </row>
    <row r="101" spans="1:8" s="114" customFormat="1" ht="33">
      <c r="A101" s="55" t="str">
        <f ca="1">IF(ISERROR(MATCH(E101,Код_КЦСР,0)),"",INDIRECT(ADDRESS(MATCH(E101,Код_КЦСР,0)+1,2,,,"КЦСР")))</f>
        <v>Материально-техническое обеспечение деятельности работников местного самоуправления</v>
      </c>
      <c r="B101" s="54">
        <v>801</v>
      </c>
      <c r="C101" s="57" t="s">
        <v>187</v>
      </c>
      <c r="D101" s="57" t="s">
        <v>165</v>
      </c>
      <c r="E101" s="54" t="s">
        <v>109</v>
      </c>
      <c r="F101" s="54"/>
      <c r="G101" s="62">
        <f aca="true" t="shared" si="43" ref="G101:H101">G102+G104+G106</f>
        <v>74104.6</v>
      </c>
      <c r="H101" s="62">
        <f t="shared" si="43"/>
        <v>74611.4</v>
      </c>
    </row>
    <row r="102" spans="1:8" s="114" customFormat="1" ht="36.75" customHeight="1">
      <c r="A102" s="55" t="str">
        <f aca="true" t="shared" si="44" ref="A102:A107">IF(ISERROR(MATCH(F102,Код_КВР,0)),"",INDIRECT(ADDRESS(MATCH(F102,Код_КВР,0)+1,2,,,"КВР")))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" s="54">
        <v>801</v>
      </c>
      <c r="C102" s="57" t="s">
        <v>187</v>
      </c>
      <c r="D102" s="57" t="s">
        <v>165</v>
      </c>
      <c r="E102" s="54" t="s">
        <v>109</v>
      </c>
      <c r="F102" s="54">
        <v>100</v>
      </c>
      <c r="G102" s="62">
        <f aca="true" t="shared" si="45" ref="G102:H102">G103</f>
        <v>37425.5</v>
      </c>
      <c r="H102" s="62">
        <f t="shared" si="45"/>
        <v>37425.5</v>
      </c>
    </row>
    <row r="103" spans="1:8" s="114" customFormat="1" ht="12.75">
      <c r="A103" s="55" t="str">
        <f ca="1" t="shared" si="44"/>
        <v>Расходы на выплаты персоналу казенных учреждений</v>
      </c>
      <c r="B103" s="54">
        <v>801</v>
      </c>
      <c r="C103" s="57" t="s">
        <v>187</v>
      </c>
      <c r="D103" s="57" t="s">
        <v>165</v>
      </c>
      <c r="E103" s="54" t="s">
        <v>109</v>
      </c>
      <c r="F103" s="54">
        <v>110</v>
      </c>
      <c r="G103" s="62">
        <f>37185.5+240</f>
        <v>37425.5</v>
      </c>
      <c r="H103" s="62">
        <f>37185.5+240</f>
        <v>37425.5</v>
      </c>
    </row>
    <row r="104" spans="1:8" s="114" customFormat="1" ht="12.75">
      <c r="A104" s="55" t="str">
        <f ca="1" t="shared" si="44"/>
        <v>Закупка товаров, работ и услуг для муниципальных нужд</v>
      </c>
      <c r="B104" s="54">
        <v>801</v>
      </c>
      <c r="C104" s="57" t="s">
        <v>187</v>
      </c>
      <c r="D104" s="57" t="s">
        <v>165</v>
      </c>
      <c r="E104" s="54" t="s">
        <v>109</v>
      </c>
      <c r="F104" s="54">
        <v>200</v>
      </c>
      <c r="G104" s="62">
        <f aca="true" t="shared" si="46" ref="G104:H104">G105</f>
        <v>33720.8</v>
      </c>
      <c r="H104" s="62">
        <f t="shared" si="46"/>
        <v>34328</v>
      </c>
    </row>
    <row r="105" spans="1:8" s="114" customFormat="1" ht="33">
      <c r="A105" s="55" t="str">
        <f ca="1" t="shared" si="44"/>
        <v>Иные закупки товаров, работ и услуг для обеспечения муниципальных нужд</v>
      </c>
      <c r="B105" s="54">
        <v>801</v>
      </c>
      <c r="C105" s="57" t="s">
        <v>187</v>
      </c>
      <c r="D105" s="57" t="s">
        <v>165</v>
      </c>
      <c r="E105" s="54" t="s">
        <v>109</v>
      </c>
      <c r="F105" s="54">
        <v>240</v>
      </c>
      <c r="G105" s="62">
        <v>33720.8</v>
      </c>
      <c r="H105" s="62">
        <v>34328</v>
      </c>
    </row>
    <row r="106" spans="1:8" s="114" customFormat="1" ht="12.75">
      <c r="A106" s="55" t="str">
        <f ca="1" t="shared" si="44"/>
        <v>Иные бюджетные ассигнования</v>
      </c>
      <c r="B106" s="54">
        <v>801</v>
      </c>
      <c r="C106" s="57" t="s">
        <v>187</v>
      </c>
      <c r="D106" s="57" t="s">
        <v>165</v>
      </c>
      <c r="E106" s="54" t="s">
        <v>109</v>
      </c>
      <c r="F106" s="54">
        <v>800</v>
      </c>
      <c r="G106" s="62">
        <f aca="true" t="shared" si="47" ref="G106:H106">G107</f>
        <v>2958.2999999999997</v>
      </c>
      <c r="H106" s="62">
        <f t="shared" si="47"/>
        <v>2857.8999999999996</v>
      </c>
    </row>
    <row r="107" spans="1:8" s="114" customFormat="1" ht="12.75">
      <c r="A107" s="55" t="str">
        <f ca="1" t="shared" si="44"/>
        <v>Уплата налогов, сборов и иных платежей</v>
      </c>
      <c r="B107" s="54">
        <v>801</v>
      </c>
      <c r="C107" s="57" t="s">
        <v>187</v>
      </c>
      <c r="D107" s="57" t="s">
        <v>165</v>
      </c>
      <c r="E107" s="54" t="s">
        <v>109</v>
      </c>
      <c r="F107" s="54">
        <v>850</v>
      </c>
      <c r="G107" s="62">
        <f>2591.6+366.7</f>
        <v>2958.2999999999997</v>
      </c>
      <c r="H107" s="62">
        <f>2491.2+366.7</f>
        <v>2857.8999999999996</v>
      </c>
    </row>
    <row r="108" spans="1:8" s="114" customFormat="1" ht="12.75">
      <c r="A108" s="55" t="str">
        <f ca="1">IF(ISERROR(MATCH(E108,Код_КЦСР,0)),"",INDIRECT(ADDRESS(MATCH(E108,Код_КЦСР,0)+1,2,,,"КЦСР")))</f>
        <v>Развитие муниципальной службы в мэрии города Череповца</v>
      </c>
      <c r="B108" s="54">
        <v>801</v>
      </c>
      <c r="C108" s="57" t="s">
        <v>187</v>
      </c>
      <c r="D108" s="57" t="s">
        <v>165</v>
      </c>
      <c r="E108" s="54" t="s">
        <v>111</v>
      </c>
      <c r="F108" s="54"/>
      <c r="G108" s="62">
        <f aca="true" t="shared" si="48" ref="G108:H108">G109+G112</f>
        <v>273</v>
      </c>
      <c r="H108" s="62">
        <f t="shared" si="48"/>
        <v>273</v>
      </c>
    </row>
    <row r="109" spans="1:8" s="114" customFormat="1" ht="38.25" customHeight="1">
      <c r="A109" s="55" t="str">
        <f ca="1">IF(ISERROR(MATCH(E109,Код_КЦСР,0)),"",INDIRECT(ADDRESS(MATCH(E109,Код_КЦСР,0)+1,2,,,"КЦСР")))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9" s="54">
        <v>801</v>
      </c>
      <c r="C109" s="57" t="s">
        <v>187</v>
      </c>
      <c r="D109" s="57" t="s">
        <v>165</v>
      </c>
      <c r="E109" s="54" t="s">
        <v>113</v>
      </c>
      <c r="F109" s="54"/>
      <c r="G109" s="62">
        <f aca="true" t="shared" si="49" ref="G109:H110">G110</f>
        <v>273</v>
      </c>
      <c r="H109" s="62">
        <f t="shared" si="49"/>
        <v>273</v>
      </c>
    </row>
    <row r="110" spans="1:8" s="114" customFormat="1" ht="12.75">
      <c r="A110" s="55" t="str">
        <f ca="1">IF(ISERROR(MATCH(F110,Код_КВР,0)),"",INDIRECT(ADDRESS(MATCH(F110,Код_КВР,0)+1,2,,,"КВР")))</f>
        <v>Закупка товаров, работ и услуг для муниципальных нужд</v>
      </c>
      <c r="B110" s="54">
        <v>801</v>
      </c>
      <c r="C110" s="57" t="s">
        <v>187</v>
      </c>
      <c r="D110" s="57" t="s">
        <v>165</v>
      </c>
      <c r="E110" s="54" t="s">
        <v>113</v>
      </c>
      <c r="F110" s="54">
        <v>200</v>
      </c>
      <c r="G110" s="62">
        <f t="shared" si="49"/>
        <v>273</v>
      </c>
      <c r="H110" s="62">
        <f t="shared" si="49"/>
        <v>273</v>
      </c>
    </row>
    <row r="111" spans="1:8" s="114" customFormat="1" ht="33">
      <c r="A111" s="55" t="str">
        <f ca="1">IF(ISERROR(MATCH(F111,Код_КВР,0)),"",INDIRECT(ADDRESS(MATCH(F111,Код_КВР,0)+1,2,,,"КВР")))</f>
        <v>Иные закупки товаров, работ и услуг для обеспечения муниципальных нужд</v>
      </c>
      <c r="B111" s="54">
        <v>801</v>
      </c>
      <c r="C111" s="57" t="s">
        <v>187</v>
      </c>
      <c r="D111" s="57" t="s">
        <v>165</v>
      </c>
      <c r="E111" s="54" t="s">
        <v>113</v>
      </c>
      <c r="F111" s="54">
        <v>240</v>
      </c>
      <c r="G111" s="62">
        <v>273</v>
      </c>
      <c r="H111" s="62">
        <v>273</v>
      </c>
    </row>
    <row r="112" spans="1:8" s="114" customFormat="1" ht="24.75" customHeight="1" hidden="1">
      <c r="A112" s="55" t="str">
        <f ca="1">IF(ISERROR(MATCH(E112,Код_КЦСР,0)),"",INDIRECT(ADDRESS(MATCH(E112,Код_КЦСР,0)+1,2,,,"КЦСР")))</f>
        <v>Повышение престижа муниципальной службы в городе</v>
      </c>
      <c r="B112" s="54">
        <v>801</v>
      </c>
      <c r="C112" s="57" t="s">
        <v>187</v>
      </c>
      <c r="D112" s="57" t="s">
        <v>165</v>
      </c>
      <c r="E112" s="54" t="s">
        <v>114</v>
      </c>
      <c r="F112" s="54"/>
      <c r="G112" s="62">
        <f aca="true" t="shared" si="50" ref="G112:H112">G113</f>
        <v>0</v>
      </c>
      <c r="H112" s="62">
        <f t="shared" si="50"/>
        <v>0</v>
      </c>
    </row>
    <row r="113" spans="1:8" s="114" customFormat="1" ht="12.75" hidden="1">
      <c r="A113" s="55" t="str">
        <f ca="1">IF(ISERROR(MATCH(F113,Код_КВР,0)),"",INDIRECT(ADDRESS(MATCH(F113,Код_КВР,0)+1,2,,,"КВР")))</f>
        <v>Социальное обеспечение и иные выплаты населению</v>
      </c>
      <c r="B113" s="54">
        <v>801</v>
      </c>
      <c r="C113" s="57" t="s">
        <v>187</v>
      </c>
      <c r="D113" s="57" t="s">
        <v>165</v>
      </c>
      <c r="E113" s="54" t="s">
        <v>114</v>
      </c>
      <c r="F113" s="54">
        <v>300</v>
      </c>
      <c r="G113" s="62">
        <f aca="true" t="shared" si="51" ref="G113:H113">G114</f>
        <v>0</v>
      </c>
      <c r="H113" s="62">
        <f t="shared" si="51"/>
        <v>0</v>
      </c>
    </row>
    <row r="114" spans="1:8" s="114" customFormat="1" ht="15.95" customHeight="1" hidden="1">
      <c r="A114" s="55" t="str">
        <f ca="1">IF(ISERROR(MATCH(F114,Код_КВР,0)),"",INDIRECT(ADDRESS(MATCH(F114,Код_КВР,0)+1,2,,,"КВР")))</f>
        <v>Иные выплаты населению</v>
      </c>
      <c r="B114" s="54">
        <v>801</v>
      </c>
      <c r="C114" s="57" t="s">
        <v>187</v>
      </c>
      <c r="D114" s="57" t="s">
        <v>165</v>
      </c>
      <c r="E114" s="54" t="s">
        <v>114</v>
      </c>
      <c r="F114" s="54">
        <v>360</v>
      </c>
      <c r="G114" s="62"/>
      <c r="H114" s="62"/>
    </row>
    <row r="115" spans="1:8" s="114" customFormat="1" ht="71.25" customHeight="1">
      <c r="A115" s="55" t="str">
        <f ca="1">IF(ISERROR(MATCH(E115,Код_КЦСР,0)),"",INDIRECT(ADDRESS(MATCH(E115,Код_КЦСР,0)+1,2,,,"КЦСР")))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5" s="54">
        <v>801</v>
      </c>
      <c r="C115" s="57" t="s">
        <v>187</v>
      </c>
      <c r="D115" s="57" t="s">
        <v>165</v>
      </c>
      <c r="E115" s="54" t="s">
        <v>116</v>
      </c>
      <c r="F115" s="54"/>
      <c r="G115" s="62">
        <f>G116+G119+G124</f>
        <v>66933.7</v>
      </c>
      <c r="H115" s="62">
        <f>H116+H119+H124</f>
        <v>66933.7</v>
      </c>
    </row>
    <row r="116" spans="1:8" s="114" customFormat="1" ht="49.5">
      <c r="A116" s="55" t="str">
        <f ca="1">IF(ISERROR(MATCH(E116,Код_КЦСР,0)),"",INDIRECT(ADDRESS(MATCH(E116,Код_КЦСР,0)+1,2,,,"КЦСР")))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16" s="54">
        <v>801</v>
      </c>
      <c r="C116" s="57" t="s">
        <v>187</v>
      </c>
      <c r="D116" s="57" t="s">
        <v>165</v>
      </c>
      <c r="E116" s="54" t="s">
        <v>120</v>
      </c>
      <c r="F116" s="54"/>
      <c r="G116" s="62">
        <f aca="true" t="shared" si="52" ref="G116:H117">G117</f>
        <v>38425.5</v>
      </c>
      <c r="H116" s="62">
        <f t="shared" si="52"/>
        <v>38425.5</v>
      </c>
    </row>
    <row r="117" spans="1:8" s="114" customFormat="1" ht="33">
      <c r="A117" s="55" t="str">
        <f ca="1">IF(ISERROR(MATCH(F117,Код_КВР,0)),"",INDIRECT(ADDRESS(MATCH(F117,Код_КВР,0)+1,2,,,"КВР")))</f>
        <v>Предоставление субсидий бюджетным, автономным учреждениям и иным некоммерческим организациям</v>
      </c>
      <c r="B117" s="54">
        <v>801</v>
      </c>
      <c r="C117" s="57" t="s">
        <v>187</v>
      </c>
      <c r="D117" s="57" t="s">
        <v>165</v>
      </c>
      <c r="E117" s="54" t="s">
        <v>120</v>
      </c>
      <c r="F117" s="54">
        <v>600</v>
      </c>
      <c r="G117" s="62">
        <f t="shared" si="52"/>
        <v>38425.5</v>
      </c>
      <c r="H117" s="62">
        <f t="shared" si="52"/>
        <v>38425.5</v>
      </c>
    </row>
    <row r="118" spans="1:8" s="114" customFormat="1" ht="23.25" customHeight="1">
      <c r="A118" s="55" t="str">
        <f ca="1">IF(ISERROR(MATCH(F118,Код_КВР,0)),"",INDIRECT(ADDRESS(MATCH(F118,Код_КВР,0)+1,2,,,"КВР")))</f>
        <v>Субсидии бюджетным учреждениям</v>
      </c>
      <c r="B118" s="54">
        <v>801</v>
      </c>
      <c r="C118" s="57" t="s">
        <v>187</v>
      </c>
      <c r="D118" s="57" t="s">
        <v>165</v>
      </c>
      <c r="E118" s="54" t="s">
        <v>120</v>
      </c>
      <c r="F118" s="54">
        <v>610</v>
      </c>
      <c r="G118" s="62">
        <v>38425.5</v>
      </c>
      <c r="H118" s="62">
        <v>38425.5</v>
      </c>
    </row>
    <row r="119" spans="1:8" s="114" customFormat="1" ht="22.5" customHeight="1" hidden="1">
      <c r="A119" s="55" t="str">
        <f ca="1">IF(ISERROR(MATCH(E119,Код_КЦСР,0)),"",INDIRECT(ADDRESS(MATCH(E119,Код_КЦСР,0)+1,2,,,"КЦСР")))</f>
        <v>Реализация проекта «Электронный гражданин»</v>
      </c>
      <c r="B119" s="54">
        <v>801</v>
      </c>
      <c r="C119" s="57" t="s">
        <v>187</v>
      </c>
      <c r="D119" s="57" t="s">
        <v>165</v>
      </c>
      <c r="E119" s="54" t="s">
        <v>561</v>
      </c>
      <c r="F119" s="54"/>
      <c r="G119" s="62">
        <f aca="true" t="shared" si="53" ref="G119:H119">G120+G122</f>
        <v>0</v>
      </c>
      <c r="H119" s="62">
        <f t="shared" si="53"/>
        <v>0</v>
      </c>
    </row>
    <row r="120" spans="1:8" s="114" customFormat="1" ht="33" hidden="1">
      <c r="A120" s="55" t="str">
        <f ca="1">IF(ISERROR(MATCH(F120,Код_КВР,0)),"",INDIRECT(ADDRESS(MATCH(F120,Код_КВР,0)+1,2,,,"КВР")))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" s="54">
        <v>801</v>
      </c>
      <c r="C120" s="57" t="s">
        <v>187</v>
      </c>
      <c r="D120" s="57" t="s">
        <v>165</v>
      </c>
      <c r="E120" s="54" t="s">
        <v>561</v>
      </c>
      <c r="F120" s="54">
        <v>100</v>
      </c>
      <c r="G120" s="62"/>
      <c r="H120" s="62"/>
    </row>
    <row r="121" spans="1:8" s="114" customFormat="1" ht="12.75" hidden="1">
      <c r="A121" s="55" t="str">
        <f ca="1">IF(ISERROR(MATCH(F121,Код_КВР,0)),"",INDIRECT(ADDRESS(MATCH(F121,Код_КВР,0)+1,2,,,"КВР")))</f>
        <v>Расходы на выплаты персоналу казенных учреждений</v>
      </c>
      <c r="B121" s="54">
        <v>801</v>
      </c>
      <c r="C121" s="57" t="s">
        <v>187</v>
      </c>
      <c r="D121" s="57" t="s">
        <v>165</v>
      </c>
      <c r="E121" s="54" t="s">
        <v>561</v>
      </c>
      <c r="F121" s="54">
        <v>110</v>
      </c>
      <c r="G121" s="62"/>
      <c r="H121" s="62"/>
    </row>
    <row r="122" spans="1:8" s="114" customFormat="1" ht="12.75" hidden="1">
      <c r="A122" s="55" t="str">
        <f ca="1">IF(ISERROR(MATCH(F122,Код_КВР,0)),"",INDIRECT(ADDRESS(MATCH(F122,Код_КВР,0)+1,2,,,"КВР")))</f>
        <v>Закупка товаров, работ и услуг для муниципальных нужд</v>
      </c>
      <c r="B122" s="54">
        <v>801</v>
      </c>
      <c r="C122" s="57" t="s">
        <v>187</v>
      </c>
      <c r="D122" s="57" t="s">
        <v>165</v>
      </c>
      <c r="E122" s="54" t="s">
        <v>561</v>
      </c>
      <c r="F122" s="54">
        <v>200</v>
      </c>
      <c r="G122" s="62"/>
      <c r="H122" s="62"/>
    </row>
    <row r="123" spans="1:8" s="114" customFormat="1" ht="24.95" customHeight="1" hidden="1">
      <c r="A123" s="55" t="str">
        <f ca="1">IF(ISERROR(MATCH(F123,Код_КВР,0)),"",INDIRECT(ADDRESS(MATCH(F123,Код_КВР,0)+1,2,,,"КВР")))</f>
        <v>Иные закупки товаров, работ и услуг для обеспечения муниципальных нужд</v>
      </c>
      <c r="B123" s="54">
        <v>801</v>
      </c>
      <c r="C123" s="57" t="s">
        <v>187</v>
      </c>
      <c r="D123" s="57" t="s">
        <v>165</v>
      </c>
      <c r="E123" s="54" t="s">
        <v>561</v>
      </c>
      <c r="F123" s="54">
        <v>240</v>
      </c>
      <c r="G123" s="62"/>
      <c r="H123" s="62"/>
    </row>
    <row r="124" spans="1:8" s="114" customFormat="1" ht="89.85" customHeight="1">
      <c r="A124" s="55" t="str">
        <f ca="1">IF(ISERROR(MATCH(E124,Код_КЦСР,0)),"",INDIRECT(ADDRESS(MATCH(E124,Код_КЦСР,0)+1,2,,,"КЦСР")))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24" s="54">
        <v>801</v>
      </c>
      <c r="C124" s="57" t="s">
        <v>187</v>
      </c>
      <c r="D124" s="57" t="s">
        <v>165</v>
      </c>
      <c r="E124" s="54" t="s">
        <v>587</v>
      </c>
      <c r="F124" s="54"/>
      <c r="G124" s="62">
        <f aca="true" t="shared" si="54" ref="G124:H124">G125</f>
        <v>28508.2</v>
      </c>
      <c r="H124" s="62">
        <f t="shared" si="54"/>
        <v>28508.2</v>
      </c>
    </row>
    <row r="125" spans="1:8" s="114" customFormat="1" ht="34.5" customHeight="1">
      <c r="A125" s="55" t="str">
        <f ca="1">IF(ISERROR(MATCH(F125,Код_КВР,0)),"",INDIRECT(ADDRESS(MATCH(F125,Код_КВР,0)+1,2,,,"КВР")))</f>
        <v>Предоставление субсидий бюджетным, автономным учреждениям и иным некоммерческим организациям</v>
      </c>
      <c r="B125" s="54">
        <v>801</v>
      </c>
      <c r="C125" s="57" t="s">
        <v>187</v>
      </c>
      <c r="D125" s="57" t="s">
        <v>165</v>
      </c>
      <c r="E125" s="54" t="s">
        <v>587</v>
      </c>
      <c r="F125" s="54">
        <v>600</v>
      </c>
      <c r="G125" s="62">
        <f aca="true" t="shared" si="55" ref="G125:H125">G126</f>
        <v>28508.2</v>
      </c>
      <c r="H125" s="62">
        <f t="shared" si="55"/>
        <v>28508.2</v>
      </c>
    </row>
    <row r="126" spans="1:8" s="114" customFormat="1" ht="18.75" customHeight="1">
      <c r="A126" s="55" t="str">
        <f ca="1">IF(ISERROR(MATCH(F126,Код_КВР,0)),"",INDIRECT(ADDRESS(MATCH(F126,Код_КВР,0)+1,2,,,"КВР")))</f>
        <v>Субсидии бюджетным учреждениям</v>
      </c>
      <c r="B126" s="54">
        <v>801</v>
      </c>
      <c r="C126" s="57" t="s">
        <v>187</v>
      </c>
      <c r="D126" s="57" t="s">
        <v>165</v>
      </c>
      <c r="E126" s="54" t="s">
        <v>587</v>
      </c>
      <c r="F126" s="54">
        <v>610</v>
      </c>
      <c r="G126" s="62">
        <v>28508.2</v>
      </c>
      <c r="H126" s="62">
        <v>28508.2</v>
      </c>
    </row>
    <row r="127" spans="1:8" s="114" customFormat="1" ht="56.25" customHeight="1">
      <c r="A127" s="55" t="str">
        <f ca="1">IF(ISERROR(MATCH(E127,Код_КЦСР,0)),"",INDIRECT(ADDRESS(MATCH(E127,Код_КЦСР,0)+1,2,,,"КЦСР")))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27" s="54">
        <v>801</v>
      </c>
      <c r="C127" s="57" t="s">
        <v>187</v>
      </c>
      <c r="D127" s="57" t="s">
        <v>165</v>
      </c>
      <c r="E127" s="54" t="s">
        <v>121</v>
      </c>
      <c r="F127" s="54"/>
      <c r="G127" s="62">
        <f aca="true" t="shared" si="56" ref="G127:H127">G128+G131+G134+G137</f>
        <v>858.2</v>
      </c>
      <c r="H127" s="62">
        <f t="shared" si="56"/>
        <v>858.2</v>
      </c>
    </row>
    <row r="128" spans="1:8" s="114" customFormat="1" ht="49.5" hidden="1">
      <c r="A128" s="55" t="str">
        <f ca="1">IF(ISERROR(MATCH(E128,Код_КЦСР,0)),"",INDIRECT(ADDRESS(MATCH(E128,Код_КЦСР,0)+1,2,,,"КЦСР")))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28" s="54">
        <v>801</v>
      </c>
      <c r="C128" s="57" t="s">
        <v>187</v>
      </c>
      <c r="D128" s="57" t="s">
        <v>165</v>
      </c>
      <c r="E128" s="54" t="s">
        <v>122</v>
      </c>
      <c r="F128" s="54"/>
      <c r="G128" s="62">
        <f aca="true" t="shared" si="57" ref="G128:H129">G129</f>
        <v>0</v>
      </c>
      <c r="H128" s="62">
        <f t="shared" si="57"/>
        <v>0</v>
      </c>
    </row>
    <row r="129" spans="1:8" s="114" customFormat="1" ht="22.9" customHeight="1" hidden="1">
      <c r="A129" s="55" t="str">
        <f ca="1">IF(ISERROR(MATCH(F129,Код_КВР,0)),"",INDIRECT(ADDRESS(MATCH(F129,Код_КВР,0)+1,2,,,"КВР")))</f>
        <v>Закупка товаров, работ и услуг для муниципальных нужд</v>
      </c>
      <c r="B129" s="54">
        <v>801</v>
      </c>
      <c r="C129" s="57" t="s">
        <v>187</v>
      </c>
      <c r="D129" s="57" t="s">
        <v>165</v>
      </c>
      <c r="E129" s="54" t="s">
        <v>122</v>
      </c>
      <c r="F129" s="54">
        <v>200</v>
      </c>
      <c r="G129" s="62">
        <f t="shared" si="57"/>
        <v>0</v>
      </c>
      <c r="H129" s="62">
        <f t="shared" si="57"/>
        <v>0</v>
      </c>
    </row>
    <row r="130" spans="1:8" s="114" customFormat="1" ht="25.5" customHeight="1" hidden="1">
      <c r="A130" s="55" t="str">
        <f ca="1">IF(ISERROR(MATCH(F130,Код_КВР,0)),"",INDIRECT(ADDRESS(MATCH(F130,Код_КВР,0)+1,2,,,"КВР")))</f>
        <v>Иные закупки товаров, работ и услуг для обеспечения муниципальных нужд</v>
      </c>
      <c r="B130" s="54">
        <v>801</v>
      </c>
      <c r="C130" s="57" t="s">
        <v>187</v>
      </c>
      <c r="D130" s="57" t="s">
        <v>165</v>
      </c>
      <c r="E130" s="54" t="s">
        <v>122</v>
      </c>
      <c r="F130" s="54">
        <v>240</v>
      </c>
      <c r="G130" s="62"/>
      <c r="H130" s="62"/>
    </row>
    <row r="131" spans="1:8" s="114" customFormat="1" ht="71.25" customHeight="1">
      <c r="A131" s="55" t="str">
        <f ca="1">IF(ISERROR(MATCH(E131,Код_КЦСР,0)),"",INDIRECT(ADDRESS(MATCH(E131,Код_КЦСР,0)+1,2,,,"КЦСР")))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31" s="54">
        <v>801</v>
      </c>
      <c r="C131" s="57" t="s">
        <v>187</v>
      </c>
      <c r="D131" s="57" t="s">
        <v>165</v>
      </c>
      <c r="E131" s="54" t="s">
        <v>123</v>
      </c>
      <c r="F131" s="54"/>
      <c r="G131" s="62">
        <f aca="true" t="shared" si="58" ref="G131:H132">G132</f>
        <v>378.5</v>
      </c>
      <c r="H131" s="62">
        <f t="shared" si="58"/>
        <v>378.5</v>
      </c>
    </row>
    <row r="132" spans="1:8" s="114" customFormat="1" ht="12.75">
      <c r="A132" s="55" t="str">
        <f ca="1">IF(ISERROR(MATCH(F132,Код_КВР,0)),"",INDIRECT(ADDRESS(MATCH(F132,Код_КВР,0)+1,2,,,"КВР")))</f>
        <v>Закупка товаров, работ и услуг для муниципальных нужд</v>
      </c>
      <c r="B132" s="54">
        <v>801</v>
      </c>
      <c r="C132" s="57" t="s">
        <v>187</v>
      </c>
      <c r="D132" s="57" t="s">
        <v>165</v>
      </c>
      <c r="E132" s="54" t="s">
        <v>123</v>
      </c>
      <c r="F132" s="54">
        <v>200</v>
      </c>
      <c r="G132" s="62">
        <f t="shared" si="58"/>
        <v>378.5</v>
      </c>
      <c r="H132" s="62">
        <f t="shared" si="58"/>
        <v>378.5</v>
      </c>
    </row>
    <row r="133" spans="1:8" s="114" customFormat="1" ht="33">
      <c r="A133" s="55" t="str">
        <f ca="1">IF(ISERROR(MATCH(F133,Код_КВР,0)),"",INDIRECT(ADDRESS(MATCH(F133,Код_КВР,0)+1,2,,,"КВР")))</f>
        <v>Иные закупки товаров, работ и услуг для обеспечения муниципальных нужд</v>
      </c>
      <c r="B133" s="54">
        <v>801</v>
      </c>
      <c r="C133" s="57" t="s">
        <v>187</v>
      </c>
      <c r="D133" s="57" t="s">
        <v>165</v>
      </c>
      <c r="E133" s="54" t="s">
        <v>123</v>
      </c>
      <c r="F133" s="54">
        <v>240</v>
      </c>
      <c r="G133" s="62">
        <v>378.5</v>
      </c>
      <c r="H133" s="62">
        <v>378.5</v>
      </c>
    </row>
    <row r="134" spans="1:8" s="114" customFormat="1" ht="66" hidden="1">
      <c r="A134" s="55" t="str">
        <f ca="1">IF(ISERROR(MATCH(E134,Код_КЦСР,0)),"",INDIRECT(ADDRESS(MATCH(E134,Код_КЦСР,0)+1,2,,,"КЦСР")))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34" s="54">
        <v>801</v>
      </c>
      <c r="C134" s="57" t="s">
        <v>187</v>
      </c>
      <c r="D134" s="57" t="s">
        <v>165</v>
      </c>
      <c r="E134" s="54" t="s">
        <v>124</v>
      </c>
      <c r="F134" s="54"/>
      <c r="G134" s="62">
        <f aca="true" t="shared" si="59" ref="G134:H135">G135</f>
        <v>0</v>
      </c>
      <c r="H134" s="62">
        <f t="shared" si="59"/>
        <v>0</v>
      </c>
    </row>
    <row r="135" spans="1:8" s="114" customFormat="1" ht="12.75" hidden="1">
      <c r="A135" s="55" t="str">
        <f ca="1">IF(ISERROR(MATCH(F135,Код_КВР,0)),"",INDIRECT(ADDRESS(MATCH(F135,Код_КВР,0)+1,2,,,"КВР")))</f>
        <v>Закупка товаров, работ и услуг для муниципальных нужд</v>
      </c>
      <c r="B135" s="54">
        <v>801</v>
      </c>
      <c r="C135" s="57" t="s">
        <v>187</v>
      </c>
      <c r="D135" s="57" t="s">
        <v>165</v>
      </c>
      <c r="E135" s="54" t="s">
        <v>124</v>
      </c>
      <c r="F135" s="54">
        <v>200</v>
      </c>
      <c r="G135" s="62">
        <f t="shared" si="59"/>
        <v>0</v>
      </c>
      <c r="H135" s="62">
        <f t="shared" si="59"/>
        <v>0</v>
      </c>
    </row>
    <row r="136" spans="1:8" s="114" customFormat="1" ht="33" hidden="1">
      <c r="A136" s="55" t="str">
        <f ca="1">IF(ISERROR(MATCH(F136,Код_КВР,0)),"",INDIRECT(ADDRESS(MATCH(F136,Код_КВР,0)+1,2,,,"КВР")))</f>
        <v>Иные закупки товаров, работ и услуг для обеспечения муниципальных нужд</v>
      </c>
      <c r="B136" s="54">
        <v>801</v>
      </c>
      <c r="C136" s="57" t="s">
        <v>187</v>
      </c>
      <c r="D136" s="57" t="s">
        <v>165</v>
      </c>
      <c r="E136" s="54" t="s">
        <v>124</v>
      </c>
      <c r="F136" s="54">
        <v>240</v>
      </c>
      <c r="G136" s="62"/>
      <c r="H136" s="62"/>
    </row>
    <row r="137" spans="1:8" s="114" customFormat="1" ht="47.25" customHeight="1">
      <c r="A137" s="55" t="str">
        <f ca="1">IF(ISERROR(MATCH(E137,Код_КЦСР,0)),"",INDIRECT(ADDRESS(MATCH(E137,Код_КЦСР,0)+1,2,,,"КЦСР")))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37" s="54">
        <v>801</v>
      </c>
      <c r="C137" s="57" t="s">
        <v>187</v>
      </c>
      <c r="D137" s="57" t="s">
        <v>165</v>
      </c>
      <c r="E137" s="54" t="s">
        <v>125</v>
      </c>
      <c r="F137" s="54"/>
      <c r="G137" s="62">
        <f aca="true" t="shared" si="60" ref="G137:H138">G138</f>
        <v>479.7</v>
      </c>
      <c r="H137" s="62">
        <f t="shared" si="60"/>
        <v>479.7</v>
      </c>
    </row>
    <row r="138" spans="1:8" s="114" customFormat="1" ht="12.75">
      <c r="A138" s="55" t="str">
        <f ca="1">IF(ISERROR(MATCH(F138,Код_КВР,0)),"",INDIRECT(ADDRESS(MATCH(F138,Код_КВР,0)+1,2,,,"КВР")))</f>
        <v>Иные бюджетные ассигнования</v>
      </c>
      <c r="B138" s="54">
        <v>801</v>
      </c>
      <c r="C138" s="57" t="s">
        <v>187</v>
      </c>
      <c r="D138" s="57" t="s">
        <v>165</v>
      </c>
      <c r="E138" s="54" t="s">
        <v>125</v>
      </c>
      <c r="F138" s="54">
        <v>800</v>
      </c>
      <c r="G138" s="62">
        <f t="shared" si="60"/>
        <v>479.7</v>
      </c>
      <c r="H138" s="62">
        <f t="shared" si="60"/>
        <v>479.7</v>
      </c>
    </row>
    <row r="139" spans="1:8" s="114" customFormat="1" ht="18.75" customHeight="1">
      <c r="A139" s="55" t="str">
        <f ca="1">IF(ISERROR(MATCH(F139,Код_КВР,0)),"",INDIRECT(ADDRESS(MATCH(F139,Код_КВР,0)+1,2,,,"КВР")))</f>
        <v>Уплата налогов, сборов и иных платежей</v>
      </c>
      <c r="B139" s="54">
        <v>801</v>
      </c>
      <c r="C139" s="57" t="s">
        <v>187</v>
      </c>
      <c r="D139" s="57" t="s">
        <v>165</v>
      </c>
      <c r="E139" s="54" t="s">
        <v>125</v>
      </c>
      <c r="F139" s="54">
        <v>850</v>
      </c>
      <c r="G139" s="62">
        <v>479.7</v>
      </c>
      <c r="H139" s="62">
        <v>479.7</v>
      </c>
    </row>
    <row r="140" spans="1:8" s="114" customFormat="1" ht="42.75" customHeight="1">
      <c r="A140" s="55" t="str">
        <f ca="1">IF(ISERROR(MATCH(E140,Код_КЦСР,0)),"",INDIRECT(ADDRESS(MATCH(E140,Код_КЦСР,0)+1,2,,,"КЦСР")))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0" s="54">
        <v>801</v>
      </c>
      <c r="C140" s="57" t="s">
        <v>187</v>
      </c>
      <c r="D140" s="57" t="s">
        <v>165</v>
      </c>
      <c r="E140" s="54" t="s">
        <v>129</v>
      </c>
      <c r="F140" s="54"/>
      <c r="G140" s="62">
        <f aca="true" t="shared" si="61" ref="G140:H143">G141</f>
        <v>20</v>
      </c>
      <c r="H140" s="62">
        <f t="shared" si="61"/>
        <v>20</v>
      </c>
    </row>
    <row r="141" spans="1:8" s="114" customFormat="1" ht="27.75" customHeight="1">
      <c r="A141" s="55" t="str">
        <f ca="1">IF(ISERROR(MATCH(E141,Код_КЦСР,0)),"",INDIRECT(ADDRESS(MATCH(E141,Код_КЦСР,0)+1,2,,,"КЦСР")))</f>
        <v>Профилактика преступлений и иных правонарушений в городе Череповце</v>
      </c>
      <c r="B141" s="54">
        <v>801</v>
      </c>
      <c r="C141" s="57" t="s">
        <v>187</v>
      </c>
      <c r="D141" s="57" t="s">
        <v>165</v>
      </c>
      <c r="E141" s="54" t="s">
        <v>131</v>
      </c>
      <c r="F141" s="54"/>
      <c r="G141" s="62">
        <f t="shared" si="61"/>
        <v>20</v>
      </c>
      <c r="H141" s="62">
        <f t="shared" si="61"/>
        <v>20</v>
      </c>
    </row>
    <row r="142" spans="1:8" s="114" customFormat="1" ht="12.75">
      <c r="A142" s="55" t="str">
        <f ca="1">IF(ISERROR(MATCH(E142,Код_КЦСР,0)),"",INDIRECT(ADDRESS(MATCH(E142,Код_КЦСР,0)+1,2,,,"КЦСР")))</f>
        <v>Привлечение общественности к охране общественного порядка</v>
      </c>
      <c r="B142" s="54">
        <v>801</v>
      </c>
      <c r="C142" s="57" t="s">
        <v>187</v>
      </c>
      <c r="D142" s="57" t="s">
        <v>165</v>
      </c>
      <c r="E142" s="54" t="s">
        <v>133</v>
      </c>
      <c r="F142" s="54"/>
      <c r="G142" s="62">
        <f t="shared" si="61"/>
        <v>20</v>
      </c>
      <c r="H142" s="62">
        <f t="shared" si="61"/>
        <v>20</v>
      </c>
    </row>
    <row r="143" spans="1:8" s="114" customFormat="1" ht="12.75">
      <c r="A143" s="55" t="str">
        <f ca="1">IF(ISERROR(MATCH(F143,Код_КВР,0)),"",INDIRECT(ADDRESS(MATCH(F143,Код_КВР,0)+1,2,,,"КВР")))</f>
        <v>Закупка товаров, работ и услуг для муниципальных нужд</v>
      </c>
      <c r="B143" s="54">
        <v>801</v>
      </c>
      <c r="C143" s="57" t="s">
        <v>187</v>
      </c>
      <c r="D143" s="57" t="s">
        <v>165</v>
      </c>
      <c r="E143" s="54" t="s">
        <v>133</v>
      </c>
      <c r="F143" s="54">
        <v>200</v>
      </c>
      <c r="G143" s="62">
        <f t="shared" si="61"/>
        <v>20</v>
      </c>
      <c r="H143" s="62">
        <f t="shared" si="61"/>
        <v>20</v>
      </c>
    </row>
    <row r="144" spans="1:8" s="114" customFormat="1" ht="33">
      <c r="A144" s="55" t="str">
        <f ca="1">IF(ISERROR(MATCH(F144,Код_КВР,0)),"",INDIRECT(ADDRESS(MATCH(F144,Код_КВР,0)+1,2,,,"КВР")))</f>
        <v>Иные закупки товаров, работ и услуг для обеспечения муниципальных нужд</v>
      </c>
      <c r="B144" s="54">
        <v>801</v>
      </c>
      <c r="C144" s="57" t="s">
        <v>187</v>
      </c>
      <c r="D144" s="57" t="s">
        <v>165</v>
      </c>
      <c r="E144" s="54" t="s">
        <v>133</v>
      </c>
      <c r="F144" s="54">
        <v>240</v>
      </c>
      <c r="G144" s="62">
        <v>20</v>
      </c>
      <c r="H144" s="62">
        <v>20</v>
      </c>
    </row>
    <row r="145" spans="1:8" s="114" customFormat="1" ht="33">
      <c r="A145" s="55" t="str">
        <f ca="1">IF(ISERROR(MATCH(E145,Код_КЦСР,0)),"",INDIRECT(ADDRESS(MATCH(E145,Код_КЦСР,0)+1,2,,,"КЦСР")))</f>
        <v>Непрограммные направления деятельности органов местного самоуправления</v>
      </c>
      <c r="B145" s="54">
        <v>801</v>
      </c>
      <c r="C145" s="57" t="s">
        <v>187</v>
      </c>
      <c r="D145" s="57" t="s">
        <v>165</v>
      </c>
      <c r="E145" s="54" t="s">
        <v>264</v>
      </c>
      <c r="F145" s="54"/>
      <c r="G145" s="62">
        <f aca="true" t="shared" si="62" ref="G145:H149">G146</f>
        <v>50.7</v>
      </c>
      <c r="H145" s="62">
        <f t="shared" si="62"/>
        <v>50.7</v>
      </c>
    </row>
    <row r="146" spans="1:8" s="114" customFormat="1" ht="24.75" customHeight="1">
      <c r="A146" s="55" t="str">
        <f ca="1">IF(ISERROR(MATCH(E146,Код_КЦСР,0)),"",INDIRECT(ADDRESS(MATCH(E146,Код_КЦСР,0)+1,2,,,"КЦСР")))</f>
        <v>Расходы, не включенные в муниципальные программы города Череповца</v>
      </c>
      <c r="B146" s="54">
        <v>801</v>
      </c>
      <c r="C146" s="57" t="s">
        <v>187</v>
      </c>
      <c r="D146" s="57" t="s">
        <v>165</v>
      </c>
      <c r="E146" s="54" t="s">
        <v>266</v>
      </c>
      <c r="F146" s="54"/>
      <c r="G146" s="62">
        <f t="shared" si="62"/>
        <v>50.7</v>
      </c>
      <c r="H146" s="62">
        <f t="shared" si="62"/>
        <v>50.7</v>
      </c>
    </row>
    <row r="147" spans="1:8" s="114" customFormat="1" ht="39.75" customHeight="1">
      <c r="A147" s="55" t="str">
        <f ca="1">IF(ISERROR(MATCH(E147,Код_КЦСР,0)),"",INDIRECT(ADDRESS(MATCH(E147,Код_КЦСР,0)+1,2,,,"КЦСР")))</f>
        <v>Реализация функций органов местного самоуправления города, связанных с общегородским управлением</v>
      </c>
      <c r="B147" s="54">
        <v>801</v>
      </c>
      <c r="C147" s="57" t="s">
        <v>187</v>
      </c>
      <c r="D147" s="57" t="s">
        <v>165</v>
      </c>
      <c r="E147" s="54" t="s">
        <v>274</v>
      </c>
      <c r="F147" s="54"/>
      <c r="G147" s="62">
        <f aca="true" t="shared" si="63" ref="G147:H147">G148+G151</f>
        <v>50.7</v>
      </c>
      <c r="H147" s="62">
        <f t="shared" si="63"/>
        <v>50.7</v>
      </c>
    </row>
    <row r="148" spans="1:8" s="114" customFormat="1" ht="23.25" customHeight="1">
      <c r="A148" s="55" t="str">
        <f ca="1">IF(ISERROR(MATCH(E148,Код_КЦСР,0)),"",INDIRECT(ADDRESS(MATCH(E148,Код_КЦСР,0)+1,2,,,"КЦСР")))</f>
        <v>Расходы на судебные издержки и исполнение судебных решений</v>
      </c>
      <c r="B148" s="54">
        <v>801</v>
      </c>
      <c r="C148" s="57" t="s">
        <v>187</v>
      </c>
      <c r="D148" s="57" t="s">
        <v>165</v>
      </c>
      <c r="E148" s="54" t="s">
        <v>276</v>
      </c>
      <c r="F148" s="54"/>
      <c r="G148" s="62">
        <f t="shared" si="62"/>
        <v>50</v>
      </c>
      <c r="H148" s="62">
        <f t="shared" si="62"/>
        <v>50</v>
      </c>
    </row>
    <row r="149" spans="1:8" s="114" customFormat="1" ht="12.75">
      <c r="A149" s="55" t="str">
        <f ca="1">IF(ISERROR(MATCH(F149,Код_КВР,0)),"",INDIRECT(ADDRESS(MATCH(F149,Код_КВР,0)+1,2,,,"КВР")))</f>
        <v>Иные бюджетные ассигнования</v>
      </c>
      <c r="B149" s="54">
        <v>801</v>
      </c>
      <c r="C149" s="57" t="s">
        <v>187</v>
      </c>
      <c r="D149" s="57" t="s">
        <v>165</v>
      </c>
      <c r="E149" s="54" t="s">
        <v>276</v>
      </c>
      <c r="F149" s="54">
        <v>800</v>
      </c>
      <c r="G149" s="62">
        <f t="shared" si="62"/>
        <v>50</v>
      </c>
      <c r="H149" s="62">
        <f t="shared" si="62"/>
        <v>50</v>
      </c>
    </row>
    <row r="150" spans="1:8" s="114" customFormat="1" ht="12.75">
      <c r="A150" s="55" t="str">
        <f ca="1">IF(ISERROR(MATCH(F150,Код_КВР,0)),"",INDIRECT(ADDRESS(MATCH(F150,Код_КВР,0)+1,2,,,"КВР")))</f>
        <v>Исполнение судебных актов</v>
      </c>
      <c r="B150" s="54">
        <v>801</v>
      </c>
      <c r="C150" s="57" t="s">
        <v>187</v>
      </c>
      <c r="D150" s="57" t="s">
        <v>165</v>
      </c>
      <c r="E150" s="54" t="s">
        <v>276</v>
      </c>
      <c r="F150" s="54">
        <v>830</v>
      </c>
      <c r="G150" s="62">
        <v>50</v>
      </c>
      <c r="H150" s="62">
        <v>50</v>
      </c>
    </row>
    <row r="151" spans="1:8" s="114" customFormat="1" ht="24.75" customHeight="1">
      <c r="A151" s="55" t="str">
        <f ca="1">IF(ISERROR(MATCH(E151,Код_КЦСР,0)),"",INDIRECT(ADDRESS(MATCH(E151,Код_КЦСР,0)+1,2,,,"КЦСР")))</f>
        <v>Выполнение других обязательств органов местного самоуправления</v>
      </c>
      <c r="B151" s="54">
        <v>801</v>
      </c>
      <c r="C151" s="57" t="s">
        <v>187</v>
      </c>
      <c r="D151" s="57" t="s">
        <v>165</v>
      </c>
      <c r="E151" s="54" t="s">
        <v>278</v>
      </c>
      <c r="F151" s="54"/>
      <c r="G151" s="62">
        <f aca="true" t="shared" si="64" ref="G151:H152">G152</f>
        <v>0.7</v>
      </c>
      <c r="H151" s="62">
        <f t="shared" si="64"/>
        <v>0.7</v>
      </c>
    </row>
    <row r="152" spans="1:8" s="114" customFormat="1" ht="12.75">
      <c r="A152" s="55" t="str">
        <f ca="1">IF(ISERROR(MATCH(F152,Код_КВР,0)),"",INDIRECT(ADDRESS(MATCH(F152,Код_КВР,0)+1,2,,,"КВР")))</f>
        <v>Иные бюджетные ассигнования</v>
      </c>
      <c r="B152" s="54">
        <v>801</v>
      </c>
      <c r="C152" s="57" t="s">
        <v>187</v>
      </c>
      <c r="D152" s="57" t="s">
        <v>165</v>
      </c>
      <c r="E152" s="54" t="s">
        <v>278</v>
      </c>
      <c r="F152" s="54">
        <v>800</v>
      </c>
      <c r="G152" s="62">
        <f t="shared" si="64"/>
        <v>0.7</v>
      </c>
      <c r="H152" s="62">
        <f t="shared" si="64"/>
        <v>0.7</v>
      </c>
    </row>
    <row r="153" spans="1:8" s="114" customFormat="1" ht="12.75">
      <c r="A153" s="55" t="str">
        <f ca="1">IF(ISERROR(MATCH(F153,Код_КВР,0)),"",INDIRECT(ADDRESS(MATCH(F153,Код_КВР,0)+1,2,,,"КВР")))</f>
        <v>Уплата налогов, сборов и иных платежей</v>
      </c>
      <c r="B153" s="54">
        <v>801</v>
      </c>
      <c r="C153" s="57" t="s">
        <v>187</v>
      </c>
      <c r="D153" s="57" t="s">
        <v>165</v>
      </c>
      <c r="E153" s="54" t="s">
        <v>278</v>
      </c>
      <c r="F153" s="54">
        <v>850</v>
      </c>
      <c r="G153" s="62">
        <v>0.7</v>
      </c>
      <c r="H153" s="62">
        <v>0.7</v>
      </c>
    </row>
    <row r="154" spans="1:8" s="114" customFormat="1" ht="12.75">
      <c r="A154" s="55" t="str">
        <f ca="1">IF(ISERROR(MATCH(C154,Код_Раздел,0)),"",INDIRECT(ADDRESS(MATCH(C154,Код_Раздел,0)+1,2,,,"Раздел")))</f>
        <v>Национальная безопасность и правоохранительная  деятельность</v>
      </c>
      <c r="B154" s="54">
        <v>801</v>
      </c>
      <c r="C154" s="57" t="s">
        <v>189</v>
      </c>
      <c r="D154" s="57"/>
      <c r="E154" s="54"/>
      <c r="F154" s="54"/>
      <c r="G154" s="62">
        <f aca="true" t="shared" si="65" ref="G154:H154">G155</f>
        <v>55463.20000000001</v>
      </c>
      <c r="H154" s="62">
        <f t="shared" si="65"/>
        <v>55567.600000000006</v>
      </c>
    </row>
    <row r="155" spans="1:8" s="114" customFormat="1" ht="33">
      <c r="A155" s="59" t="s">
        <v>231</v>
      </c>
      <c r="B155" s="54">
        <v>801</v>
      </c>
      <c r="C155" s="57" t="s">
        <v>189</v>
      </c>
      <c r="D155" s="57" t="s">
        <v>193</v>
      </c>
      <c r="E155" s="54"/>
      <c r="F155" s="54"/>
      <c r="G155" s="62">
        <f>G156+G160+G193</f>
        <v>55463.20000000001</v>
      </c>
      <c r="H155" s="62">
        <f>H156+H160+H193</f>
        <v>55567.600000000006</v>
      </c>
    </row>
    <row r="156" spans="1:8" s="114" customFormat="1" ht="22.5" customHeight="1">
      <c r="A156" s="55" t="str">
        <f ca="1">IF(ISERROR(MATCH(E156,Код_КЦСР,0)),"",INDIRECT(ADDRESS(MATCH(E156,Код_КЦСР,0)+1,2,,,"КЦСР")))</f>
        <v>Муниципальная программа «Здоровый город» на 2014-2022 годы</v>
      </c>
      <c r="B156" s="54">
        <v>801</v>
      </c>
      <c r="C156" s="57" t="s">
        <v>189</v>
      </c>
      <c r="D156" s="57" t="s">
        <v>193</v>
      </c>
      <c r="E156" s="54" t="s">
        <v>450</v>
      </c>
      <c r="F156" s="54"/>
      <c r="G156" s="62">
        <f aca="true" t="shared" si="66" ref="G156:H156">G157</f>
        <v>77.9</v>
      </c>
      <c r="H156" s="62">
        <f t="shared" si="66"/>
        <v>77.9</v>
      </c>
    </row>
    <row r="157" spans="1:8" s="114" customFormat="1" ht="12.75">
      <c r="A157" s="55" t="str">
        <f ca="1">IF(ISERROR(MATCH(E157,Код_КЦСР,0)),"",INDIRECT(ADDRESS(MATCH(E157,Код_КЦСР,0)+1,2,,,"КЦСР")))</f>
        <v>Сохранение и укрепление здоровья детей и подростков</v>
      </c>
      <c r="B157" s="54">
        <v>801</v>
      </c>
      <c r="C157" s="57" t="s">
        <v>189</v>
      </c>
      <c r="D157" s="57" t="s">
        <v>193</v>
      </c>
      <c r="E157" s="54" t="s">
        <v>453</v>
      </c>
      <c r="F157" s="54"/>
      <c r="G157" s="62">
        <f aca="true" t="shared" si="67" ref="G157:H158">G158</f>
        <v>77.9</v>
      </c>
      <c r="H157" s="62">
        <f t="shared" si="67"/>
        <v>77.9</v>
      </c>
    </row>
    <row r="158" spans="1:8" s="114" customFormat="1" ht="12.75">
      <c r="A158" s="55" t="str">
        <f ca="1">IF(ISERROR(MATCH(F158,Код_КВР,0)),"",INDIRECT(ADDRESS(MATCH(F158,Код_КВР,0)+1,2,,,"КВР")))</f>
        <v>Закупка товаров, работ и услуг для муниципальных нужд</v>
      </c>
      <c r="B158" s="54">
        <v>801</v>
      </c>
      <c r="C158" s="57" t="s">
        <v>189</v>
      </c>
      <c r="D158" s="57" t="s">
        <v>193</v>
      </c>
      <c r="E158" s="54" t="s">
        <v>453</v>
      </c>
      <c r="F158" s="54">
        <v>200</v>
      </c>
      <c r="G158" s="62">
        <f t="shared" si="67"/>
        <v>77.9</v>
      </c>
      <c r="H158" s="62">
        <f t="shared" si="67"/>
        <v>77.9</v>
      </c>
    </row>
    <row r="159" spans="1:8" s="114" customFormat="1" ht="33">
      <c r="A159" s="55" t="str">
        <f ca="1">IF(ISERROR(MATCH(F159,Код_КВР,0)),"",INDIRECT(ADDRESS(MATCH(F159,Код_КВР,0)+1,2,,,"КВР")))</f>
        <v>Иные закупки товаров, работ и услуг для обеспечения муниципальных нужд</v>
      </c>
      <c r="B159" s="54">
        <v>801</v>
      </c>
      <c r="C159" s="57" t="s">
        <v>189</v>
      </c>
      <c r="D159" s="57" t="s">
        <v>193</v>
      </c>
      <c r="E159" s="54" t="s">
        <v>453</v>
      </c>
      <c r="F159" s="54">
        <v>240</v>
      </c>
      <c r="G159" s="62">
        <v>77.9</v>
      </c>
      <c r="H159" s="62">
        <v>77.9</v>
      </c>
    </row>
    <row r="160" spans="1:8" s="114" customFormat="1" ht="41.25" customHeight="1">
      <c r="A160" s="55" t="str">
        <f ca="1">IF(ISERROR(MATCH(E160,Код_КЦСР,0)),"",INDIRECT(ADDRESS(MATCH(E160,Код_КЦСР,0)+1,2,,,"КЦСР")))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60" s="54">
        <v>801</v>
      </c>
      <c r="C160" s="57" t="s">
        <v>189</v>
      </c>
      <c r="D160" s="57" t="s">
        <v>193</v>
      </c>
      <c r="E160" s="54" t="s">
        <v>75</v>
      </c>
      <c r="F160" s="54"/>
      <c r="G160" s="62">
        <f aca="true" t="shared" si="68" ref="G160:H160">G161+G171</f>
        <v>46091.90000000001</v>
      </c>
      <c r="H160" s="62">
        <f t="shared" si="68"/>
        <v>46136.600000000006</v>
      </c>
    </row>
    <row r="161" spans="1:8" s="114" customFormat="1" ht="21.75" customHeight="1">
      <c r="A161" s="55" t="str">
        <f ca="1">IF(ISERROR(MATCH(E161,Код_КЦСР,0)),"",INDIRECT(ADDRESS(MATCH(E161,Код_КЦСР,0)+1,2,,,"КЦСР")))</f>
        <v>Обеспечение пожарной безопасности муниципальных учреждений города</v>
      </c>
      <c r="B161" s="54">
        <v>801</v>
      </c>
      <c r="C161" s="57" t="s">
        <v>189</v>
      </c>
      <c r="D161" s="57" t="s">
        <v>193</v>
      </c>
      <c r="E161" s="54" t="s">
        <v>77</v>
      </c>
      <c r="F161" s="54"/>
      <c r="G161" s="62">
        <f aca="true" t="shared" si="69" ref="G161:H161">G162+G165+G168</f>
        <v>172</v>
      </c>
      <c r="H161" s="62">
        <f t="shared" si="69"/>
        <v>172</v>
      </c>
    </row>
    <row r="162" spans="1:8" s="114" customFormat="1" ht="49.5">
      <c r="A162" s="55" t="str">
        <f ca="1">IF(ISERROR(MATCH(E162,Код_КЦСР,0)),"",INDIRECT(ADDRESS(MATCH(E162,Код_КЦСР,0)+1,2,,,"КЦСР")))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62" s="54">
        <v>801</v>
      </c>
      <c r="C162" s="57" t="s">
        <v>189</v>
      </c>
      <c r="D162" s="57" t="s">
        <v>193</v>
      </c>
      <c r="E162" s="54" t="s">
        <v>79</v>
      </c>
      <c r="F162" s="54"/>
      <c r="G162" s="62">
        <f aca="true" t="shared" si="70" ref="G162:H163">G163</f>
        <v>172</v>
      </c>
      <c r="H162" s="62">
        <f t="shared" si="70"/>
        <v>172</v>
      </c>
    </row>
    <row r="163" spans="1:8" s="114" customFormat="1" ht="12.75">
      <c r="A163" s="55" t="str">
        <f ca="1">IF(ISERROR(MATCH(F163,Код_КВР,0)),"",INDIRECT(ADDRESS(MATCH(F163,Код_КВР,0)+1,2,,,"КВР")))</f>
        <v>Закупка товаров, работ и услуг для муниципальных нужд</v>
      </c>
      <c r="B163" s="54">
        <v>801</v>
      </c>
      <c r="C163" s="57" t="s">
        <v>189</v>
      </c>
      <c r="D163" s="57" t="s">
        <v>193</v>
      </c>
      <c r="E163" s="54" t="s">
        <v>79</v>
      </c>
      <c r="F163" s="54">
        <v>200</v>
      </c>
      <c r="G163" s="62">
        <f t="shared" si="70"/>
        <v>172</v>
      </c>
      <c r="H163" s="62">
        <f t="shared" si="70"/>
        <v>172</v>
      </c>
    </row>
    <row r="164" spans="1:8" s="114" customFormat="1" ht="33">
      <c r="A164" s="55" t="str">
        <f ca="1">IF(ISERROR(MATCH(F164,Код_КВР,0)),"",INDIRECT(ADDRESS(MATCH(F164,Код_КВР,0)+1,2,,,"КВР")))</f>
        <v>Иные закупки товаров, работ и услуг для обеспечения муниципальных нужд</v>
      </c>
      <c r="B164" s="54">
        <v>801</v>
      </c>
      <c r="C164" s="57" t="s">
        <v>189</v>
      </c>
      <c r="D164" s="57" t="s">
        <v>193</v>
      </c>
      <c r="E164" s="54" t="s">
        <v>79</v>
      </c>
      <c r="F164" s="54">
        <v>240</v>
      </c>
      <c r="G164" s="62">
        <v>172</v>
      </c>
      <c r="H164" s="62">
        <v>172</v>
      </c>
    </row>
    <row r="165" spans="1:8" s="114" customFormat="1" ht="33" hidden="1">
      <c r="A165" s="55" t="str">
        <f ca="1">IF(ISERROR(MATCH(E165,Код_КЦСР,0)),"",INDIRECT(ADDRESS(MATCH(E165,Код_КЦСР,0)+1,2,,,"КЦСР")))</f>
        <v>Комплектование, ремонт и испытание внутреннего противопожарного водоснабжения зданий (ПК)</v>
      </c>
      <c r="B165" s="54">
        <v>801</v>
      </c>
      <c r="C165" s="57" t="s">
        <v>189</v>
      </c>
      <c r="D165" s="57" t="s">
        <v>193</v>
      </c>
      <c r="E165" s="54" t="s">
        <v>89</v>
      </c>
      <c r="F165" s="54"/>
      <c r="G165" s="62"/>
      <c r="H165" s="62">
        <f>H166</f>
        <v>0</v>
      </c>
    </row>
    <row r="166" spans="1:8" s="114" customFormat="1" ht="12.75" hidden="1">
      <c r="A166" s="55" t="str">
        <f ca="1">IF(ISERROR(MATCH(F166,Код_КВР,0)),"",INDIRECT(ADDRESS(MATCH(F166,Код_КВР,0)+1,2,,,"КВР")))</f>
        <v>Закупка товаров, работ и услуг для муниципальных нужд</v>
      </c>
      <c r="B166" s="54">
        <v>801</v>
      </c>
      <c r="C166" s="57" t="s">
        <v>189</v>
      </c>
      <c r="D166" s="57" t="s">
        <v>193</v>
      </c>
      <c r="E166" s="54" t="s">
        <v>89</v>
      </c>
      <c r="F166" s="54">
        <v>200</v>
      </c>
      <c r="G166" s="62"/>
      <c r="H166" s="62">
        <f>H167</f>
        <v>0</v>
      </c>
    </row>
    <row r="167" spans="1:8" s="114" customFormat="1" ht="33" hidden="1">
      <c r="A167" s="55" t="str">
        <f ca="1">IF(ISERROR(MATCH(F167,Код_КВР,0)),"",INDIRECT(ADDRESS(MATCH(F167,Код_КВР,0)+1,2,,,"КВР")))</f>
        <v>Иные закупки товаров, работ и услуг для обеспечения муниципальных нужд</v>
      </c>
      <c r="B167" s="54">
        <v>801</v>
      </c>
      <c r="C167" s="57" t="s">
        <v>189</v>
      </c>
      <c r="D167" s="57" t="s">
        <v>193</v>
      </c>
      <c r="E167" s="54" t="s">
        <v>89</v>
      </c>
      <c r="F167" s="54">
        <v>240</v>
      </c>
      <c r="G167" s="62"/>
      <c r="H167" s="62"/>
    </row>
    <row r="168" spans="1:8" s="114" customFormat="1" ht="40.5" customHeight="1" hidden="1">
      <c r="A168" s="55" t="str">
        <f ca="1">IF(ISERROR(MATCH(E168,Код_КЦСР,0)),"",INDIRECT(ADDRESS(MATCH(E168,Код_КЦСР,0)+1,2,,,"КЦСР")))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68" s="54">
        <v>801</v>
      </c>
      <c r="C168" s="57" t="s">
        <v>189</v>
      </c>
      <c r="D168" s="57" t="s">
        <v>193</v>
      </c>
      <c r="E168" s="54" t="s">
        <v>91</v>
      </c>
      <c r="F168" s="54"/>
      <c r="G168" s="62">
        <f aca="true" t="shared" si="71" ref="G168:H168">G169</f>
        <v>0</v>
      </c>
      <c r="H168" s="62">
        <f t="shared" si="71"/>
        <v>0</v>
      </c>
    </row>
    <row r="169" spans="1:8" s="114" customFormat="1" ht="12.75" hidden="1">
      <c r="A169" s="55" t="str">
        <f aca="true" t="shared" si="72" ref="A169:A170">IF(ISERROR(MATCH(F169,Код_КВР,0)),"",INDIRECT(ADDRESS(MATCH(F169,Код_КВР,0)+1,2,,,"КВР")))</f>
        <v>Закупка товаров, работ и услуг для муниципальных нужд</v>
      </c>
      <c r="B169" s="54">
        <v>801</v>
      </c>
      <c r="C169" s="57" t="s">
        <v>189</v>
      </c>
      <c r="D169" s="57" t="s">
        <v>193</v>
      </c>
      <c r="E169" s="54" t="s">
        <v>91</v>
      </c>
      <c r="F169" s="54">
        <v>200</v>
      </c>
      <c r="G169" s="62">
        <f aca="true" t="shared" si="73" ref="G169:H169">G170</f>
        <v>0</v>
      </c>
      <c r="H169" s="62">
        <f t="shared" si="73"/>
        <v>0</v>
      </c>
    </row>
    <row r="170" spans="1:8" s="114" customFormat="1" ht="33" hidden="1">
      <c r="A170" s="55" t="str">
        <f ca="1" t="shared" si="72"/>
        <v>Иные закупки товаров, работ и услуг для обеспечения муниципальных нужд</v>
      </c>
      <c r="B170" s="54">
        <v>801</v>
      </c>
      <c r="C170" s="57" t="s">
        <v>189</v>
      </c>
      <c r="D170" s="57" t="s">
        <v>193</v>
      </c>
      <c r="E170" s="54" t="s">
        <v>91</v>
      </c>
      <c r="F170" s="54">
        <v>240</v>
      </c>
      <c r="G170" s="62"/>
      <c r="H170" s="62"/>
    </row>
    <row r="171" spans="1:8" s="114" customFormat="1" ht="40.5" customHeight="1">
      <c r="A171" s="55" t="str">
        <f ca="1">IF(ISERROR(MATCH(E171,Код_КЦСР,0)),"",INDIRECT(ADDRESS(MATCH(E171,Код_КЦСР,0)+1,2,,,"КЦСР")))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71" s="54">
        <v>801</v>
      </c>
      <c r="C171" s="57" t="s">
        <v>189</v>
      </c>
      <c r="D171" s="57" t="s">
        <v>193</v>
      </c>
      <c r="E171" s="54" t="s">
        <v>95</v>
      </c>
      <c r="F171" s="54"/>
      <c r="G171" s="62">
        <f aca="true" t="shared" si="74" ref="G171:H171">G172+G179+G184</f>
        <v>45919.90000000001</v>
      </c>
      <c r="H171" s="62">
        <f t="shared" si="74"/>
        <v>45964.600000000006</v>
      </c>
    </row>
    <row r="172" spans="1:8" s="114" customFormat="1" ht="47.45" customHeight="1" hidden="1">
      <c r="A172" s="55" t="str">
        <f ca="1">IF(ISERROR(MATCH(E172,Код_КЦСР,0)),"",INDIRECT(ADDRESS(MATCH(E172,Код_КЦСР,0)+1,2,,,"КЦСР")))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72" s="54">
        <v>801</v>
      </c>
      <c r="C172" s="57" t="s">
        <v>189</v>
      </c>
      <c r="D172" s="57" t="s">
        <v>193</v>
      </c>
      <c r="E172" s="54" t="s">
        <v>97</v>
      </c>
      <c r="F172" s="54"/>
      <c r="G172" s="62">
        <f aca="true" t="shared" si="75" ref="G172:H172">G173+G175+G177</f>
        <v>0</v>
      </c>
      <c r="H172" s="62">
        <f t="shared" si="75"/>
        <v>0</v>
      </c>
    </row>
    <row r="173" spans="1:8" s="114" customFormat="1" ht="33" hidden="1">
      <c r="A173" s="55" t="str">
        <f aca="true" t="shared" si="76" ref="A173:A178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54">
        <v>801</v>
      </c>
      <c r="C173" s="57" t="s">
        <v>189</v>
      </c>
      <c r="D173" s="57" t="s">
        <v>193</v>
      </c>
      <c r="E173" s="54" t="s">
        <v>97</v>
      </c>
      <c r="F173" s="54">
        <v>100</v>
      </c>
      <c r="G173" s="62">
        <f aca="true" t="shared" si="77" ref="G173:H173">G174</f>
        <v>0</v>
      </c>
      <c r="H173" s="62">
        <f t="shared" si="77"/>
        <v>0</v>
      </c>
    </row>
    <row r="174" spans="1:8" s="114" customFormat="1" ht="12.75" hidden="1">
      <c r="A174" s="55" t="str">
        <f ca="1" t="shared" si="76"/>
        <v>Расходы на выплаты персоналу казенных учреждений</v>
      </c>
      <c r="B174" s="54">
        <v>801</v>
      </c>
      <c r="C174" s="57" t="s">
        <v>189</v>
      </c>
      <c r="D174" s="57" t="s">
        <v>193</v>
      </c>
      <c r="E174" s="54" t="s">
        <v>97</v>
      </c>
      <c r="F174" s="54">
        <v>110</v>
      </c>
      <c r="G174" s="62"/>
      <c r="H174" s="62"/>
    </row>
    <row r="175" spans="1:8" s="114" customFormat="1" ht="12.75" hidden="1">
      <c r="A175" s="55" t="str">
        <f ca="1" t="shared" si="76"/>
        <v>Закупка товаров, работ и услуг для муниципальных нужд</v>
      </c>
      <c r="B175" s="54">
        <v>801</v>
      </c>
      <c r="C175" s="57" t="s">
        <v>189</v>
      </c>
      <c r="D175" s="57" t="s">
        <v>193</v>
      </c>
      <c r="E175" s="54" t="s">
        <v>97</v>
      </c>
      <c r="F175" s="54">
        <v>200</v>
      </c>
      <c r="G175" s="62">
        <f aca="true" t="shared" si="78" ref="G175:H175">G176</f>
        <v>0</v>
      </c>
      <c r="H175" s="62">
        <f t="shared" si="78"/>
        <v>0</v>
      </c>
    </row>
    <row r="176" spans="1:8" s="114" customFormat="1" ht="33" hidden="1">
      <c r="A176" s="55" t="str">
        <f ca="1" t="shared" si="76"/>
        <v>Иные закупки товаров, работ и услуг для обеспечения муниципальных нужд</v>
      </c>
      <c r="B176" s="54">
        <v>801</v>
      </c>
      <c r="C176" s="57" t="s">
        <v>189</v>
      </c>
      <c r="D176" s="57" t="s">
        <v>193</v>
      </c>
      <c r="E176" s="54" t="s">
        <v>97</v>
      </c>
      <c r="F176" s="54">
        <v>240</v>
      </c>
      <c r="G176" s="62"/>
      <c r="H176" s="62"/>
    </row>
    <row r="177" spans="1:8" s="114" customFormat="1" ht="33" hidden="1">
      <c r="A177" s="55" t="str">
        <f ca="1" t="shared" si="76"/>
        <v>Предоставление субсидий бюджетным, автономным учреждениям и иным некоммерческим организациям</v>
      </c>
      <c r="B177" s="54">
        <v>801</v>
      </c>
      <c r="C177" s="57" t="s">
        <v>189</v>
      </c>
      <c r="D177" s="57" t="s">
        <v>193</v>
      </c>
      <c r="E177" s="54" t="s">
        <v>97</v>
      </c>
      <c r="F177" s="54">
        <v>600</v>
      </c>
      <c r="G177" s="62">
        <f aca="true" t="shared" si="79" ref="G177:H177">G178</f>
        <v>0</v>
      </c>
      <c r="H177" s="62">
        <f t="shared" si="79"/>
        <v>0</v>
      </c>
    </row>
    <row r="178" spans="1:8" s="114" customFormat="1" ht="12.75" hidden="1">
      <c r="A178" s="55" t="str">
        <f ca="1" t="shared" si="76"/>
        <v>Субсидии бюджетным учреждениям</v>
      </c>
      <c r="B178" s="54">
        <v>801</v>
      </c>
      <c r="C178" s="57" t="s">
        <v>189</v>
      </c>
      <c r="D178" s="57" t="s">
        <v>193</v>
      </c>
      <c r="E178" s="54" t="s">
        <v>97</v>
      </c>
      <c r="F178" s="54">
        <v>610</v>
      </c>
      <c r="G178" s="62"/>
      <c r="H178" s="62"/>
    </row>
    <row r="179" spans="1:8" s="114" customFormat="1" ht="33">
      <c r="A179" s="55" t="str">
        <f ca="1">IF(ISERROR(MATCH(E179,Код_КЦСР,0)),"",INDIRECT(ADDRESS(MATCH(E179,Код_КЦСР,0)+1,2,,,"КЦСР")))</f>
        <v>Организация и проведение обучения должностных лиц и специалистов ГО и ЧС</v>
      </c>
      <c r="B179" s="54">
        <v>801</v>
      </c>
      <c r="C179" s="57" t="s">
        <v>189</v>
      </c>
      <c r="D179" s="57" t="s">
        <v>193</v>
      </c>
      <c r="E179" s="54" t="s">
        <v>102</v>
      </c>
      <c r="F179" s="54"/>
      <c r="G179" s="62">
        <f aca="true" t="shared" si="80" ref="G179:H179">G180+G182</f>
        <v>1762.8</v>
      </c>
      <c r="H179" s="62">
        <f t="shared" si="80"/>
        <v>1762.8</v>
      </c>
    </row>
    <row r="180" spans="1:8" s="114" customFormat="1" ht="39" customHeight="1">
      <c r="A180" s="55" t="str">
        <f ca="1">IF(ISERROR(MATCH(F180,Код_КВР,0)),"",INDIRECT(ADDRESS(MATCH(F180,Код_КВР,0)+1,2,,,"КВР")))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0" s="54">
        <v>801</v>
      </c>
      <c r="C180" s="57" t="s">
        <v>189</v>
      </c>
      <c r="D180" s="57" t="s">
        <v>193</v>
      </c>
      <c r="E180" s="54" t="s">
        <v>102</v>
      </c>
      <c r="F180" s="54">
        <v>100</v>
      </c>
      <c r="G180" s="62">
        <f aca="true" t="shared" si="81" ref="G180:H180">G181</f>
        <v>1707.8</v>
      </c>
      <c r="H180" s="62">
        <f t="shared" si="81"/>
        <v>1707.8</v>
      </c>
    </row>
    <row r="181" spans="1:8" s="114" customFormat="1" ht="27.2" customHeight="1">
      <c r="A181" s="55" t="str">
        <f ca="1">IF(ISERROR(MATCH(F181,Код_КВР,0)),"",INDIRECT(ADDRESS(MATCH(F181,Код_КВР,0)+1,2,,,"КВР")))</f>
        <v>Расходы на выплаты персоналу казенных учреждений</v>
      </c>
      <c r="B181" s="54">
        <v>801</v>
      </c>
      <c r="C181" s="57" t="s">
        <v>189</v>
      </c>
      <c r="D181" s="57" t="s">
        <v>193</v>
      </c>
      <c r="E181" s="54" t="s">
        <v>102</v>
      </c>
      <c r="F181" s="54">
        <v>110</v>
      </c>
      <c r="G181" s="62">
        <v>1707.8</v>
      </c>
      <c r="H181" s="62">
        <v>1707.8</v>
      </c>
    </row>
    <row r="182" spans="1:8" s="114" customFormat="1" ht="27.2" customHeight="1">
      <c r="A182" s="55" t="str">
        <f ca="1">IF(ISERROR(MATCH(F182,Код_КВР,0)),"",INDIRECT(ADDRESS(MATCH(F182,Код_КВР,0)+1,2,,,"КВР")))</f>
        <v>Закупка товаров, работ и услуг для муниципальных нужд</v>
      </c>
      <c r="B182" s="54">
        <v>801</v>
      </c>
      <c r="C182" s="57" t="s">
        <v>189</v>
      </c>
      <c r="D182" s="57" t="s">
        <v>193</v>
      </c>
      <c r="E182" s="54" t="s">
        <v>102</v>
      </c>
      <c r="F182" s="54">
        <v>200</v>
      </c>
      <c r="G182" s="62">
        <f aca="true" t="shared" si="82" ref="G182:H182">G183</f>
        <v>55</v>
      </c>
      <c r="H182" s="62">
        <f t="shared" si="82"/>
        <v>55</v>
      </c>
    </row>
    <row r="183" spans="1:8" s="114" customFormat="1" ht="36.75" customHeight="1">
      <c r="A183" s="55" t="str">
        <f ca="1">IF(ISERROR(MATCH(F183,Код_КВР,0)),"",INDIRECT(ADDRESS(MATCH(F183,Код_КВР,0)+1,2,,,"КВР")))</f>
        <v>Иные закупки товаров, работ и услуг для обеспечения муниципальных нужд</v>
      </c>
      <c r="B183" s="54">
        <v>801</v>
      </c>
      <c r="C183" s="57" t="s">
        <v>189</v>
      </c>
      <c r="D183" s="57" t="s">
        <v>193</v>
      </c>
      <c r="E183" s="54" t="s">
        <v>102</v>
      </c>
      <c r="F183" s="54">
        <v>240</v>
      </c>
      <c r="G183" s="62">
        <v>55</v>
      </c>
      <c r="H183" s="62">
        <v>55</v>
      </c>
    </row>
    <row r="184" spans="1:8" s="114" customFormat="1" ht="24" customHeight="1">
      <c r="A184" s="55" t="str">
        <f ca="1">IF(ISERROR(MATCH(E184,Код_КЦСР,0)),"",INDIRECT(ADDRESS(MATCH(E184,Код_КЦСР,0)+1,2,,,"КЦСР")))</f>
        <v xml:space="preserve">Обеспечение создания условий для реализации подпрограммы 2 </v>
      </c>
      <c r="B184" s="54">
        <v>801</v>
      </c>
      <c r="C184" s="57" t="s">
        <v>189</v>
      </c>
      <c r="D184" s="57" t="s">
        <v>193</v>
      </c>
      <c r="E184" s="54" t="s">
        <v>103</v>
      </c>
      <c r="F184" s="54"/>
      <c r="G184" s="62">
        <f aca="true" t="shared" si="83" ref="G184:H184">G185+G187+G191+G189</f>
        <v>44157.100000000006</v>
      </c>
      <c r="H184" s="62">
        <f t="shared" si="83"/>
        <v>44201.8</v>
      </c>
    </row>
    <row r="185" spans="1:8" s="114" customFormat="1" ht="33">
      <c r="A185" s="55" t="str">
        <f aca="true" t="shared" si="84" ref="A185:A192">IF(ISERROR(MATCH(F185,Код_КВР,0)),"",INDIRECT(ADDRESS(MATCH(F185,Код_КВР,0)+1,2,,,"КВР")))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5" s="54">
        <v>801</v>
      </c>
      <c r="C185" s="57" t="s">
        <v>189</v>
      </c>
      <c r="D185" s="57" t="s">
        <v>193</v>
      </c>
      <c r="E185" s="54" t="s">
        <v>103</v>
      </c>
      <c r="F185" s="54">
        <v>100</v>
      </c>
      <c r="G185" s="62">
        <f aca="true" t="shared" si="85" ref="G185:H185">G186</f>
        <v>20046.100000000002</v>
      </c>
      <c r="H185" s="62">
        <f t="shared" si="85"/>
        <v>20046.100000000002</v>
      </c>
    </row>
    <row r="186" spans="1:8" s="114" customFormat="1" ht="12.75">
      <c r="A186" s="55" t="str">
        <f ca="1" t="shared" si="84"/>
        <v>Расходы на выплаты персоналу казенных учреждений</v>
      </c>
      <c r="B186" s="54">
        <v>801</v>
      </c>
      <c r="C186" s="57" t="s">
        <v>189</v>
      </c>
      <c r="D186" s="57" t="s">
        <v>193</v>
      </c>
      <c r="E186" s="54" t="s">
        <v>103</v>
      </c>
      <c r="F186" s="54">
        <v>110</v>
      </c>
      <c r="G186" s="62">
        <f>20037.4+8.7</f>
        <v>20046.100000000002</v>
      </c>
      <c r="H186" s="62">
        <f>20037.4+8.7</f>
        <v>20046.100000000002</v>
      </c>
    </row>
    <row r="187" spans="1:8" s="114" customFormat="1" ht="12.75">
      <c r="A187" s="55" t="str">
        <f ca="1" t="shared" si="84"/>
        <v>Закупка товаров, работ и услуг для муниципальных нужд</v>
      </c>
      <c r="B187" s="54">
        <v>801</v>
      </c>
      <c r="C187" s="57" t="s">
        <v>189</v>
      </c>
      <c r="D187" s="57" t="s">
        <v>193</v>
      </c>
      <c r="E187" s="54" t="s">
        <v>103</v>
      </c>
      <c r="F187" s="54">
        <v>200</v>
      </c>
      <c r="G187" s="62">
        <f aca="true" t="shared" si="86" ref="G187:H187">G188</f>
        <v>2798.4</v>
      </c>
      <c r="H187" s="62">
        <f t="shared" si="86"/>
        <v>2849.7</v>
      </c>
    </row>
    <row r="188" spans="1:8" s="114" customFormat="1" ht="33">
      <c r="A188" s="55" t="str">
        <f ca="1" t="shared" si="84"/>
        <v>Иные закупки товаров, работ и услуг для обеспечения муниципальных нужд</v>
      </c>
      <c r="B188" s="54">
        <v>801</v>
      </c>
      <c r="C188" s="57" t="s">
        <v>189</v>
      </c>
      <c r="D188" s="57" t="s">
        <v>193</v>
      </c>
      <c r="E188" s="54" t="s">
        <v>103</v>
      </c>
      <c r="F188" s="54">
        <v>240</v>
      </c>
      <c r="G188" s="62">
        <v>2798.4</v>
      </c>
      <c r="H188" s="62">
        <v>2849.7</v>
      </c>
    </row>
    <row r="189" spans="1:8" s="114" customFormat="1" ht="33">
      <c r="A189" s="55" t="str">
        <f aca="true" t="shared" si="87" ref="A189:A190">IF(ISERROR(MATCH(F189,Код_КВР,0)),"",INDIRECT(ADDRESS(MATCH(F189,Код_КВР,0)+1,2,,,"КВР")))</f>
        <v>Предоставление субсидий бюджетным, автономным учреждениям и иным некоммерческим организациям</v>
      </c>
      <c r="B189" s="54">
        <v>801</v>
      </c>
      <c r="C189" s="57" t="s">
        <v>189</v>
      </c>
      <c r="D189" s="57" t="s">
        <v>193</v>
      </c>
      <c r="E189" s="54" t="s">
        <v>103</v>
      </c>
      <c r="F189" s="54">
        <v>600</v>
      </c>
      <c r="G189" s="62">
        <f aca="true" t="shared" si="88" ref="G189:H189">G190</f>
        <v>20964.3</v>
      </c>
      <c r="H189" s="62">
        <f t="shared" si="88"/>
        <v>20980.5</v>
      </c>
    </row>
    <row r="190" spans="1:8" s="114" customFormat="1" ht="12.75">
      <c r="A190" s="55" t="str">
        <f ca="1" t="shared" si="87"/>
        <v>Субсидии бюджетным учреждениям</v>
      </c>
      <c r="B190" s="54">
        <v>801</v>
      </c>
      <c r="C190" s="57" t="s">
        <v>189</v>
      </c>
      <c r="D190" s="57" t="s">
        <v>193</v>
      </c>
      <c r="E190" s="54" t="s">
        <v>103</v>
      </c>
      <c r="F190" s="54">
        <v>610</v>
      </c>
      <c r="G190" s="62">
        <v>20964.3</v>
      </c>
      <c r="H190" s="62">
        <v>20980.5</v>
      </c>
    </row>
    <row r="191" spans="1:8" s="114" customFormat="1" ht="12.75">
      <c r="A191" s="55" t="str">
        <f ca="1" t="shared" si="84"/>
        <v>Иные бюджетные ассигнования</v>
      </c>
      <c r="B191" s="54">
        <v>801</v>
      </c>
      <c r="C191" s="57" t="s">
        <v>189</v>
      </c>
      <c r="D191" s="57" t="s">
        <v>193</v>
      </c>
      <c r="E191" s="54" t="s">
        <v>103</v>
      </c>
      <c r="F191" s="54">
        <v>800</v>
      </c>
      <c r="G191" s="62">
        <f aca="true" t="shared" si="89" ref="G191:H191">G192</f>
        <v>348.3</v>
      </c>
      <c r="H191" s="62">
        <f t="shared" si="89"/>
        <v>325.5</v>
      </c>
    </row>
    <row r="192" spans="1:8" s="114" customFormat="1" ht="12.75">
      <c r="A192" s="55" t="str">
        <f ca="1" t="shared" si="84"/>
        <v>Уплата налогов, сборов и иных платежей</v>
      </c>
      <c r="B192" s="54">
        <v>801</v>
      </c>
      <c r="C192" s="57" t="s">
        <v>189</v>
      </c>
      <c r="D192" s="57" t="s">
        <v>193</v>
      </c>
      <c r="E192" s="54" t="s">
        <v>103</v>
      </c>
      <c r="F192" s="54">
        <v>850</v>
      </c>
      <c r="G192" s="62">
        <f>323.3+25</f>
        <v>348.3</v>
      </c>
      <c r="H192" s="62">
        <f>300.5+25</f>
        <v>325.5</v>
      </c>
    </row>
    <row r="193" spans="1:8" s="114" customFormat="1" ht="39" customHeight="1">
      <c r="A193" s="55" t="str">
        <f ca="1">IF(ISERROR(MATCH(E193,Код_КЦСР,0)),"",INDIRECT(ADDRESS(MATCH(E193,Код_КЦСР,0)+1,2,,,"КЦСР")))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93" s="54">
        <v>801</v>
      </c>
      <c r="C193" s="57" t="s">
        <v>189</v>
      </c>
      <c r="D193" s="57" t="s">
        <v>193</v>
      </c>
      <c r="E193" s="54" t="s">
        <v>129</v>
      </c>
      <c r="F193" s="54"/>
      <c r="G193" s="62">
        <f aca="true" t="shared" si="90" ref="G193:H194">G194</f>
        <v>9293.4</v>
      </c>
      <c r="H193" s="62">
        <f t="shared" si="90"/>
        <v>9353.099999999999</v>
      </c>
    </row>
    <row r="194" spans="1:8" s="114" customFormat="1" ht="27" customHeight="1">
      <c r="A194" s="55" t="str">
        <f ca="1">IF(ISERROR(MATCH(E194,Код_КЦСР,0)),"",INDIRECT(ADDRESS(MATCH(E194,Код_КЦСР,0)+1,2,,,"КЦСР")))</f>
        <v>Профилактика преступлений и иных правонарушений в городе Череповце</v>
      </c>
      <c r="B194" s="54">
        <v>801</v>
      </c>
      <c r="C194" s="57" t="s">
        <v>189</v>
      </c>
      <c r="D194" s="57" t="s">
        <v>193</v>
      </c>
      <c r="E194" s="54" t="s">
        <v>131</v>
      </c>
      <c r="F194" s="54"/>
      <c r="G194" s="62">
        <f t="shared" si="90"/>
        <v>9293.4</v>
      </c>
      <c r="H194" s="62">
        <f t="shared" si="90"/>
        <v>9353.099999999999</v>
      </c>
    </row>
    <row r="195" spans="1:8" s="114" customFormat="1" ht="26.25" customHeight="1">
      <c r="A195" s="55" t="str">
        <f ca="1">IF(ISERROR(MATCH(E195,Код_КЦСР,0)),"",INDIRECT(ADDRESS(MATCH(E195,Код_КЦСР,0)+1,2,,,"КЦСР")))</f>
        <v>Привлечение общественности к охране общественного порядка</v>
      </c>
      <c r="B195" s="54">
        <v>801</v>
      </c>
      <c r="C195" s="57" t="s">
        <v>189</v>
      </c>
      <c r="D195" s="57" t="s">
        <v>193</v>
      </c>
      <c r="E195" s="54" t="s">
        <v>133</v>
      </c>
      <c r="F195" s="54"/>
      <c r="G195" s="62">
        <f aca="true" t="shared" si="91" ref="G195:H195">G196+G198+G200</f>
        <v>9293.4</v>
      </c>
      <c r="H195" s="62">
        <f t="shared" si="91"/>
        <v>9353.099999999999</v>
      </c>
    </row>
    <row r="196" spans="1:8" s="114" customFormat="1" ht="37.5" customHeight="1">
      <c r="A196" s="55" t="str">
        <f aca="true" t="shared" si="92" ref="A196:A201">IF(ISERROR(MATCH(F196,Код_КВР,0)),"",INDIRECT(ADDRESS(MATCH(F196,Код_КВР,0)+1,2,,,"КВР")))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6" s="54">
        <v>801</v>
      </c>
      <c r="C196" s="57" t="s">
        <v>189</v>
      </c>
      <c r="D196" s="57" t="s">
        <v>193</v>
      </c>
      <c r="E196" s="54" t="s">
        <v>133</v>
      </c>
      <c r="F196" s="54">
        <v>100</v>
      </c>
      <c r="G196" s="62">
        <f aca="true" t="shared" si="93" ref="G196:H196">G197</f>
        <v>7353.7</v>
      </c>
      <c r="H196" s="62">
        <f t="shared" si="93"/>
        <v>7353.7</v>
      </c>
    </row>
    <row r="197" spans="1:8" s="114" customFormat="1" ht="23.25" customHeight="1">
      <c r="A197" s="55" t="str">
        <f ca="1" t="shared" si="92"/>
        <v>Расходы на выплаты персоналу казенных учреждений</v>
      </c>
      <c r="B197" s="54">
        <v>801</v>
      </c>
      <c r="C197" s="57" t="s">
        <v>189</v>
      </c>
      <c r="D197" s="57" t="s">
        <v>193</v>
      </c>
      <c r="E197" s="54" t="s">
        <v>133</v>
      </c>
      <c r="F197" s="54">
        <v>110</v>
      </c>
      <c r="G197" s="62">
        <v>7353.7</v>
      </c>
      <c r="H197" s="62">
        <v>7353.7</v>
      </c>
    </row>
    <row r="198" spans="1:8" s="114" customFormat="1" ht="23.25" customHeight="1">
      <c r="A198" s="55" t="str">
        <f ca="1" t="shared" si="92"/>
        <v>Закупка товаров, работ и услуг для муниципальных нужд</v>
      </c>
      <c r="B198" s="54">
        <v>801</v>
      </c>
      <c r="C198" s="57" t="s">
        <v>189</v>
      </c>
      <c r="D198" s="57" t="s">
        <v>193</v>
      </c>
      <c r="E198" s="54" t="s">
        <v>133</v>
      </c>
      <c r="F198" s="54">
        <v>200</v>
      </c>
      <c r="G198" s="62">
        <f aca="true" t="shared" si="94" ref="G198:H198">G199</f>
        <v>1688.7</v>
      </c>
      <c r="H198" s="62">
        <f t="shared" si="94"/>
        <v>1751.1</v>
      </c>
    </row>
    <row r="199" spans="1:8" s="114" customFormat="1" ht="33">
      <c r="A199" s="55" t="str">
        <f ca="1" t="shared" si="92"/>
        <v>Иные закупки товаров, работ и услуг для обеспечения муниципальных нужд</v>
      </c>
      <c r="B199" s="54">
        <v>801</v>
      </c>
      <c r="C199" s="57" t="s">
        <v>189</v>
      </c>
      <c r="D199" s="57" t="s">
        <v>193</v>
      </c>
      <c r="E199" s="54" t="s">
        <v>133</v>
      </c>
      <c r="F199" s="54">
        <v>240</v>
      </c>
      <c r="G199" s="62">
        <v>1688.7</v>
      </c>
      <c r="H199" s="62">
        <v>1751.1</v>
      </c>
    </row>
    <row r="200" spans="1:8" s="114" customFormat="1" ht="12.75">
      <c r="A200" s="55" t="str">
        <f ca="1" t="shared" si="92"/>
        <v>Иные бюджетные ассигнования</v>
      </c>
      <c r="B200" s="54">
        <v>801</v>
      </c>
      <c r="C200" s="57" t="s">
        <v>189</v>
      </c>
      <c r="D200" s="57" t="s">
        <v>193</v>
      </c>
      <c r="E200" s="54" t="s">
        <v>133</v>
      </c>
      <c r="F200" s="54">
        <v>800</v>
      </c>
      <c r="G200" s="62">
        <f aca="true" t="shared" si="95" ref="G200:H200">G201</f>
        <v>251</v>
      </c>
      <c r="H200" s="62">
        <f t="shared" si="95"/>
        <v>248.3</v>
      </c>
    </row>
    <row r="201" spans="1:8" s="114" customFormat="1" ht="12.75">
      <c r="A201" s="55" t="str">
        <f ca="1" t="shared" si="92"/>
        <v>Уплата налогов, сборов и иных платежей</v>
      </c>
      <c r="B201" s="54">
        <v>801</v>
      </c>
      <c r="C201" s="57" t="s">
        <v>189</v>
      </c>
      <c r="D201" s="57" t="s">
        <v>193</v>
      </c>
      <c r="E201" s="54" t="s">
        <v>133</v>
      </c>
      <c r="F201" s="54">
        <v>850</v>
      </c>
      <c r="G201" s="62">
        <v>251</v>
      </c>
      <c r="H201" s="62">
        <v>248.3</v>
      </c>
    </row>
    <row r="202" spans="1:8" s="114" customFormat="1" ht="12.75">
      <c r="A202" s="55" t="str">
        <f ca="1">IF(ISERROR(MATCH(C202,Код_Раздел,0)),"",INDIRECT(ADDRESS(MATCH(C202,Код_Раздел,0)+1,2,,,"Раздел")))</f>
        <v>Национальная экономика</v>
      </c>
      <c r="B202" s="54">
        <v>801</v>
      </c>
      <c r="C202" s="57" t="s">
        <v>190</v>
      </c>
      <c r="D202" s="57"/>
      <c r="E202" s="54"/>
      <c r="F202" s="54"/>
      <c r="G202" s="62">
        <f>G203+G212+G241+G208</f>
        <v>58755.6</v>
      </c>
      <c r="H202" s="62">
        <f>H203+H212+H241+H208</f>
        <v>57638.8</v>
      </c>
    </row>
    <row r="203" spans="1:8" s="114" customFormat="1" ht="12.75">
      <c r="A203" s="60" t="s">
        <v>178</v>
      </c>
      <c r="B203" s="54">
        <v>801</v>
      </c>
      <c r="C203" s="57" t="s">
        <v>190</v>
      </c>
      <c r="D203" s="57" t="s">
        <v>187</v>
      </c>
      <c r="E203" s="54"/>
      <c r="F203" s="54"/>
      <c r="G203" s="62">
        <f aca="true" t="shared" si="96" ref="G203:H206">G204</f>
        <v>1193.7</v>
      </c>
      <c r="H203" s="62">
        <f t="shared" si="96"/>
        <v>1193.7</v>
      </c>
    </row>
    <row r="204" spans="1:8" s="114" customFormat="1" ht="34.5" customHeight="1">
      <c r="A204" s="55" t="str">
        <f ca="1">IF(ISERROR(MATCH(E204,Код_КЦСР,0)),"",INDIRECT(ADDRESS(MATCH(E204,Код_КЦСР,0)+1,2,,,"КЦСР")))</f>
        <v>Муниципальная программа «Развитие молодежной политики» на 2013-2018 годы</v>
      </c>
      <c r="B204" s="54">
        <v>801</v>
      </c>
      <c r="C204" s="57" t="s">
        <v>190</v>
      </c>
      <c r="D204" s="57" t="s">
        <v>187</v>
      </c>
      <c r="E204" s="54" t="s">
        <v>444</v>
      </c>
      <c r="F204" s="54"/>
      <c r="G204" s="62">
        <f t="shared" si="96"/>
        <v>1193.7</v>
      </c>
      <c r="H204" s="62">
        <f t="shared" si="96"/>
        <v>1193.7</v>
      </c>
    </row>
    <row r="205" spans="1:8" s="114" customFormat="1" ht="33">
      <c r="A205" s="55" t="str">
        <f ca="1">IF(ISERROR(MATCH(E205,Код_КЦСР,0)),"",INDIRECT(ADDRESS(MATCH(E205,Код_КЦСР,0)+1,2,,,"КЦСР")))</f>
        <v>Организация временного трудоустройства несовершеннолетних в возрасте от 14 до 18 лет</v>
      </c>
      <c r="B205" s="54">
        <v>801</v>
      </c>
      <c r="C205" s="57" t="s">
        <v>190</v>
      </c>
      <c r="D205" s="57" t="s">
        <v>187</v>
      </c>
      <c r="E205" s="54" t="s">
        <v>446</v>
      </c>
      <c r="F205" s="54"/>
      <c r="G205" s="62">
        <f t="shared" si="96"/>
        <v>1193.7</v>
      </c>
      <c r="H205" s="62">
        <f t="shared" si="96"/>
        <v>1193.7</v>
      </c>
    </row>
    <row r="206" spans="1:8" s="114" customFormat="1" ht="33">
      <c r="A206" s="55" t="str">
        <f ca="1">IF(ISERROR(MATCH(F206,Код_КВР,0)),"",INDIRECT(ADDRESS(MATCH(F206,Код_КВР,0)+1,2,,,"КВР")))</f>
        <v>Предоставление субсидий бюджетным, автономным учреждениям и иным некоммерческим организациям</v>
      </c>
      <c r="B206" s="54">
        <v>801</v>
      </c>
      <c r="C206" s="57" t="s">
        <v>190</v>
      </c>
      <c r="D206" s="57" t="s">
        <v>187</v>
      </c>
      <c r="E206" s="54" t="s">
        <v>446</v>
      </c>
      <c r="F206" s="54">
        <v>600</v>
      </c>
      <c r="G206" s="62">
        <f t="shared" si="96"/>
        <v>1193.7</v>
      </c>
      <c r="H206" s="62">
        <f t="shared" si="96"/>
        <v>1193.7</v>
      </c>
    </row>
    <row r="207" spans="1:8" s="114" customFormat="1" ht="12.75">
      <c r="A207" s="55" t="str">
        <f ca="1">IF(ISERROR(MATCH(F207,Код_КВР,0)),"",INDIRECT(ADDRESS(MATCH(F207,Код_КВР,0)+1,2,,,"КВР")))</f>
        <v>Субсидии бюджетным учреждениям</v>
      </c>
      <c r="B207" s="54">
        <v>801</v>
      </c>
      <c r="C207" s="57" t="s">
        <v>190</v>
      </c>
      <c r="D207" s="57" t="s">
        <v>187</v>
      </c>
      <c r="E207" s="54" t="s">
        <v>446</v>
      </c>
      <c r="F207" s="54">
        <v>610</v>
      </c>
      <c r="G207" s="62">
        <v>1193.7</v>
      </c>
      <c r="H207" s="62">
        <v>1193.7</v>
      </c>
    </row>
    <row r="208" spans="1:8" s="114" customFormat="1" ht="12.75" hidden="1">
      <c r="A208" s="87" t="s">
        <v>312</v>
      </c>
      <c r="B208" s="54">
        <v>801</v>
      </c>
      <c r="C208" s="57" t="s">
        <v>190</v>
      </c>
      <c r="D208" s="57" t="s">
        <v>196</v>
      </c>
      <c r="E208" s="54"/>
      <c r="F208" s="54"/>
      <c r="G208" s="62">
        <f aca="true" t="shared" si="97" ref="G208:H210">G209</f>
        <v>0</v>
      </c>
      <c r="H208" s="62">
        <f t="shared" si="97"/>
        <v>0</v>
      </c>
    </row>
    <row r="209" spans="1:8" s="114" customFormat="1" ht="33" hidden="1">
      <c r="A209" s="55" t="str">
        <f ca="1">IF(ISERROR(MATCH(E209,Код_КЦСР,0)),"",INDIRECT(ADDRESS(MATCH(E209,Код_КЦСР,0)+1,2,,,"КЦСР")))</f>
        <v>Муниципальная программа «Развитие городского общественного транспорта» на 2014-2017 годы</v>
      </c>
      <c r="B209" s="54">
        <v>801</v>
      </c>
      <c r="C209" s="57" t="s">
        <v>190</v>
      </c>
      <c r="D209" s="57" t="s">
        <v>196</v>
      </c>
      <c r="E209" s="54" t="s">
        <v>37</v>
      </c>
      <c r="F209" s="54"/>
      <c r="G209" s="62">
        <f t="shared" si="97"/>
        <v>0</v>
      </c>
      <c r="H209" s="62">
        <f t="shared" si="97"/>
        <v>0</v>
      </c>
    </row>
    <row r="210" spans="1:8" s="114" customFormat="1" ht="12.75" hidden="1">
      <c r="A210" s="55" t="str">
        <f ca="1">IF(ISERROR(MATCH(F210,Код_КВР,0)),"",INDIRECT(ADDRESS(MATCH(F210,Код_КВР,0)+1,2,,,"КВР")))</f>
        <v>Иные бюджетные ассигнования</v>
      </c>
      <c r="B210" s="54">
        <v>801</v>
      </c>
      <c r="C210" s="57" t="s">
        <v>190</v>
      </c>
      <c r="D210" s="57" t="s">
        <v>196</v>
      </c>
      <c r="E210" s="54" t="s">
        <v>480</v>
      </c>
      <c r="F210" s="54">
        <v>800</v>
      </c>
      <c r="G210" s="62">
        <f t="shared" si="97"/>
        <v>0</v>
      </c>
      <c r="H210" s="62">
        <f t="shared" si="97"/>
        <v>0</v>
      </c>
    </row>
    <row r="211" spans="1:8" s="114" customFormat="1" ht="42.75" customHeight="1" hidden="1">
      <c r="A211" s="55" t="str">
        <f ca="1">IF(ISERROR(MATCH(F211,Код_КВР,0)),"",INDIRECT(ADDRESS(MATCH(F211,Код_КВР,0)+1,2,,,"КВР")))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11" s="54">
        <v>801</v>
      </c>
      <c r="C211" s="57" t="s">
        <v>190</v>
      </c>
      <c r="D211" s="57" t="s">
        <v>196</v>
      </c>
      <c r="E211" s="54" t="s">
        <v>480</v>
      </c>
      <c r="F211" s="54">
        <v>810</v>
      </c>
      <c r="G211" s="62"/>
      <c r="H211" s="62"/>
    </row>
    <row r="212" spans="1:8" s="114" customFormat="1" ht="12.75">
      <c r="A212" s="59" t="s">
        <v>204</v>
      </c>
      <c r="B212" s="54">
        <v>801</v>
      </c>
      <c r="C212" s="57" t="s">
        <v>190</v>
      </c>
      <c r="D212" s="57" t="s">
        <v>163</v>
      </c>
      <c r="E212" s="54"/>
      <c r="F212" s="54"/>
      <c r="G212" s="62">
        <f>G213+G224+G236</f>
        <v>45013.9</v>
      </c>
      <c r="H212" s="62">
        <f>H213+H224+H236</f>
        <v>45076.3</v>
      </c>
    </row>
    <row r="213" spans="1:8" s="114" customFormat="1" ht="33">
      <c r="A213" s="55" t="str">
        <f ca="1">IF(ISERROR(MATCH(E213,Код_КЦСР,0)),"",INDIRECT(ADDRESS(MATCH(E213,Код_КЦСР,0)+1,2,,,"КЦСР")))</f>
        <v>Муниципальная программа «iCity – Современные информационные технологии г. Череповца»  на 2014-2020 годы</v>
      </c>
      <c r="B213" s="54">
        <v>801</v>
      </c>
      <c r="C213" s="57" t="s">
        <v>190</v>
      </c>
      <c r="D213" s="57" t="s">
        <v>163</v>
      </c>
      <c r="E213" s="54" t="s">
        <v>459</v>
      </c>
      <c r="F213" s="54"/>
      <c r="G213" s="62">
        <f aca="true" t="shared" si="98" ref="G213:H213">G214+G217</f>
        <v>45013.9</v>
      </c>
      <c r="H213" s="62">
        <f t="shared" si="98"/>
        <v>45076.3</v>
      </c>
    </row>
    <row r="214" spans="1:8" s="114" customFormat="1" ht="49.5" hidden="1">
      <c r="A214" s="55" t="str">
        <f ca="1">IF(ISERROR(MATCH(E214,Код_КЦСР,0)),"",INDIRECT(ADDRESS(MATCH(E214,Код_КЦСР,0)+1,2,,,"КЦСР")))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4" s="54">
        <v>801</v>
      </c>
      <c r="C214" s="57" t="s">
        <v>190</v>
      </c>
      <c r="D214" s="57" t="s">
        <v>163</v>
      </c>
      <c r="E214" s="54" t="s">
        <v>461</v>
      </c>
      <c r="F214" s="54"/>
      <c r="G214" s="62">
        <f aca="true" t="shared" si="99" ref="G214:H215">G215</f>
        <v>0</v>
      </c>
      <c r="H214" s="62">
        <f t="shared" si="99"/>
        <v>0</v>
      </c>
    </row>
    <row r="215" spans="1:8" s="114" customFormat="1" ht="33" hidden="1">
      <c r="A215" s="55" t="str">
        <f ca="1">IF(ISERROR(MATCH(F215,Код_КВР,0)),"",INDIRECT(ADDRESS(MATCH(F215,Код_КВР,0)+1,2,,,"КВР")))</f>
        <v>Предоставление субсидий бюджетным, автономным учреждениям и иным некоммерческим организациям</v>
      </c>
      <c r="B215" s="54">
        <v>801</v>
      </c>
      <c r="C215" s="57" t="s">
        <v>190</v>
      </c>
      <c r="D215" s="57" t="s">
        <v>163</v>
      </c>
      <c r="E215" s="54" t="s">
        <v>461</v>
      </c>
      <c r="F215" s="54">
        <v>600</v>
      </c>
      <c r="G215" s="62">
        <f t="shared" si="99"/>
        <v>0</v>
      </c>
      <c r="H215" s="62">
        <f t="shared" si="99"/>
        <v>0</v>
      </c>
    </row>
    <row r="216" spans="1:8" s="114" customFormat="1" ht="12.75" hidden="1">
      <c r="A216" s="55" t="str">
        <f ca="1">IF(ISERROR(MATCH(F216,Код_КВР,0)),"",INDIRECT(ADDRESS(MATCH(F216,Код_КВР,0)+1,2,,,"КВР")))</f>
        <v>Субсидии бюджетным учреждениям</v>
      </c>
      <c r="B216" s="54">
        <v>801</v>
      </c>
      <c r="C216" s="57" t="s">
        <v>190</v>
      </c>
      <c r="D216" s="57" t="s">
        <v>163</v>
      </c>
      <c r="E216" s="54" t="s">
        <v>461</v>
      </c>
      <c r="F216" s="54">
        <v>610</v>
      </c>
      <c r="G216" s="62"/>
      <c r="H216" s="62"/>
    </row>
    <row r="217" spans="1:8" s="114" customFormat="1" ht="82.5" customHeight="1">
      <c r="A217" s="55" t="str">
        <f ca="1">IF(ISERROR(MATCH(E217,Код_КЦСР,0)),"",INDIRECT(ADDRESS(MATCH(E217,Код_КЦСР,0)+1,2,,,"КЦСР")))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7" s="54">
        <v>801</v>
      </c>
      <c r="C217" s="57" t="s">
        <v>190</v>
      </c>
      <c r="D217" s="57" t="s">
        <v>163</v>
      </c>
      <c r="E217" s="54" t="s">
        <v>462</v>
      </c>
      <c r="F217" s="54"/>
      <c r="G217" s="62">
        <f aca="true" t="shared" si="100" ref="G217:H218">G218</f>
        <v>45013.9</v>
      </c>
      <c r="H217" s="62">
        <f t="shared" si="100"/>
        <v>45076.3</v>
      </c>
    </row>
    <row r="218" spans="1:8" s="114" customFormat="1" ht="33">
      <c r="A218" s="55" t="str">
        <f ca="1">IF(ISERROR(MATCH(F218,Код_КВР,0)),"",INDIRECT(ADDRESS(MATCH(F218,Код_КВР,0)+1,2,,,"КВР")))</f>
        <v>Предоставление субсидий бюджетным, автономным учреждениям и иным некоммерческим организациям</v>
      </c>
      <c r="B218" s="54">
        <v>801</v>
      </c>
      <c r="C218" s="57" t="s">
        <v>190</v>
      </c>
      <c r="D218" s="57" t="s">
        <v>163</v>
      </c>
      <c r="E218" s="54" t="s">
        <v>462</v>
      </c>
      <c r="F218" s="54">
        <v>600</v>
      </c>
      <c r="G218" s="62">
        <f t="shared" si="100"/>
        <v>45013.9</v>
      </c>
      <c r="H218" s="62">
        <f t="shared" si="100"/>
        <v>45076.3</v>
      </c>
    </row>
    <row r="219" spans="1:8" s="114" customFormat="1" ht="18.75" customHeight="1">
      <c r="A219" s="55" t="str">
        <f ca="1">IF(ISERROR(MATCH(F219,Код_КВР,0)),"",INDIRECT(ADDRESS(MATCH(F219,Код_КВР,0)+1,2,,,"КВР")))</f>
        <v>Субсидии бюджетным учреждениям</v>
      </c>
      <c r="B219" s="54">
        <v>801</v>
      </c>
      <c r="C219" s="57" t="s">
        <v>190</v>
      </c>
      <c r="D219" s="57" t="s">
        <v>163</v>
      </c>
      <c r="E219" s="54" t="s">
        <v>462</v>
      </c>
      <c r="F219" s="54">
        <v>610</v>
      </c>
      <c r="G219" s="62">
        <f>45013.9</f>
        <v>45013.9</v>
      </c>
      <c r="H219" s="62">
        <v>45076.3</v>
      </c>
    </row>
    <row r="220" spans="1:8" s="114" customFormat="1" ht="38.25" customHeight="1" hidden="1">
      <c r="A220" s="55" t="str">
        <f ca="1">IF(ISERROR(MATCH(E220,Код_КЦСР,0)),"",INDIRECT(ADDRESS(MATCH(E220,Код_КЦСР,0)+1,2,,,"КЦСР")))</f>
        <v>Муниципальная программа «Развитие внутреннего и въездного туризма в г. Череповце» на 2014-2022 годы</v>
      </c>
      <c r="B220" s="54">
        <v>801</v>
      </c>
      <c r="C220" s="57" t="s">
        <v>190</v>
      </c>
      <c r="D220" s="57" t="s">
        <v>163</v>
      </c>
      <c r="E220" s="54" t="s">
        <v>1</v>
      </c>
      <c r="F220" s="54"/>
      <c r="G220" s="62">
        <f aca="true" t="shared" si="101" ref="G220:H220">G221</f>
        <v>0</v>
      </c>
      <c r="H220" s="62">
        <f t="shared" si="101"/>
        <v>0</v>
      </c>
    </row>
    <row r="221" spans="1:8" s="114" customFormat="1" ht="39" customHeight="1" hidden="1">
      <c r="A221" s="55" t="str">
        <f ca="1">IF(ISERROR(MATCH(E221,Код_КЦСР,0)),"",INDIRECT(ADDRESS(MATCH(E221,Код_КЦСР,0)+1,2,,,"КЦСР")))</f>
        <v xml:space="preserve">Организационно-методическое и информационное обеспечение туристской деятельности </v>
      </c>
      <c r="B221" s="54">
        <v>801</v>
      </c>
      <c r="C221" s="57" t="s">
        <v>190</v>
      </c>
      <c r="D221" s="57" t="s">
        <v>163</v>
      </c>
      <c r="E221" s="54" t="s">
        <v>533</v>
      </c>
      <c r="F221" s="54"/>
      <c r="G221" s="62">
        <f aca="true" t="shared" si="102" ref="G221:H221">G222</f>
        <v>0</v>
      </c>
      <c r="H221" s="62">
        <f t="shared" si="102"/>
        <v>0</v>
      </c>
    </row>
    <row r="222" spans="1:8" s="114" customFormat="1" ht="33" hidden="1">
      <c r="A222" s="55" t="str">
        <f ca="1">IF(ISERROR(MATCH(F222,Код_КВР,0)),"",INDIRECT(ADDRESS(MATCH(F222,Код_КВР,0)+1,2,,,"КВР")))</f>
        <v>Предоставление субсидий бюджетным, автономным учреждениям и иным некоммерческим организациям</v>
      </c>
      <c r="B222" s="54">
        <v>801</v>
      </c>
      <c r="C222" s="57" t="s">
        <v>190</v>
      </c>
      <c r="D222" s="57" t="s">
        <v>163</v>
      </c>
      <c r="E222" s="54" t="s">
        <v>533</v>
      </c>
      <c r="F222" s="54">
        <v>600</v>
      </c>
      <c r="G222" s="62">
        <f aca="true" t="shared" si="103" ref="G222:H222">G223</f>
        <v>0</v>
      </c>
      <c r="H222" s="62">
        <f t="shared" si="103"/>
        <v>0</v>
      </c>
    </row>
    <row r="223" spans="1:8" s="114" customFormat="1" ht="12.75" hidden="1">
      <c r="A223" s="55" t="str">
        <f ca="1">IF(ISERROR(MATCH(F223,Код_КВР,0)),"",INDIRECT(ADDRESS(MATCH(F223,Код_КВР,0)+1,2,,,"КВР")))</f>
        <v>Субсидии бюджетным учреждениям</v>
      </c>
      <c r="B223" s="54">
        <v>801</v>
      </c>
      <c r="C223" s="57" t="s">
        <v>190</v>
      </c>
      <c r="D223" s="57" t="s">
        <v>163</v>
      </c>
      <c r="E223" s="54" t="s">
        <v>533</v>
      </c>
      <c r="F223" s="54">
        <v>610</v>
      </c>
      <c r="G223" s="62"/>
      <c r="H223" s="62"/>
    </row>
    <row r="224" spans="1:8" s="114" customFormat="1" ht="33" hidden="1">
      <c r="A224" s="55" t="str">
        <f ca="1">IF(ISERROR(MATCH(E224,Код_КЦСР,0)),"",INDIRECT(ADDRESS(MATCH(E224,Код_КЦСР,0)+1,2,,,"КЦСР")))</f>
        <v>Муниципальная программа «Совершенствование муниципального управления в городе Череповце» на 2014-2018 годы</v>
      </c>
      <c r="B224" s="54">
        <v>801</v>
      </c>
      <c r="C224" s="57" t="s">
        <v>190</v>
      </c>
      <c r="D224" s="57" t="s">
        <v>163</v>
      </c>
      <c r="E224" s="54" t="s">
        <v>104</v>
      </c>
      <c r="F224" s="54"/>
      <c r="G224" s="62">
        <f aca="true" t="shared" si="104" ref="G224:H224">G225+G229</f>
        <v>0</v>
      </c>
      <c r="H224" s="62">
        <f t="shared" si="104"/>
        <v>0</v>
      </c>
    </row>
    <row r="225" spans="1:8" s="114" customFormat="1" ht="33" hidden="1">
      <c r="A225" s="55" t="str">
        <f ca="1">IF(ISERROR(MATCH(E225,Код_КЦСР,0)),"",INDIRECT(ADDRESS(MATCH(E225,Код_КЦСР,0)+1,2,,,"КЦСР")))</f>
        <v>Создание условий для обеспечения выполнения органами муниципальной власти своих полномочий</v>
      </c>
      <c r="B225" s="54">
        <v>801</v>
      </c>
      <c r="C225" s="57" t="s">
        <v>190</v>
      </c>
      <c r="D225" s="57" t="s">
        <v>163</v>
      </c>
      <c r="E225" s="54" t="s">
        <v>105</v>
      </c>
      <c r="F225" s="54"/>
      <c r="G225" s="62">
        <f aca="true" t="shared" si="105" ref="G225:H227">G226</f>
        <v>0</v>
      </c>
      <c r="H225" s="62">
        <f t="shared" si="105"/>
        <v>0</v>
      </c>
    </row>
    <row r="226" spans="1:8" s="114" customFormat="1" ht="12.75" hidden="1">
      <c r="A226" s="55" t="str">
        <f ca="1">IF(ISERROR(MATCH(E226,Код_КЦСР,0)),"",INDIRECT(ADDRESS(MATCH(E226,Код_КЦСР,0)+1,2,,,"КЦСР")))</f>
        <v>Обеспечение работы СЭД «Летограф»</v>
      </c>
      <c r="B226" s="54">
        <v>801</v>
      </c>
      <c r="C226" s="57" t="s">
        <v>190</v>
      </c>
      <c r="D226" s="57" t="s">
        <v>163</v>
      </c>
      <c r="E226" s="54" t="s">
        <v>107</v>
      </c>
      <c r="F226" s="54"/>
      <c r="G226" s="62">
        <f t="shared" si="105"/>
        <v>0</v>
      </c>
      <c r="H226" s="62">
        <f t="shared" si="105"/>
        <v>0</v>
      </c>
    </row>
    <row r="227" spans="1:8" s="114" customFormat="1" ht="33" hidden="1">
      <c r="A227" s="55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54">
        <v>801</v>
      </c>
      <c r="C227" s="57" t="s">
        <v>190</v>
      </c>
      <c r="D227" s="57" t="s">
        <v>163</v>
      </c>
      <c r="E227" s="54" t="s">
        <v>107</v>
      </c>
      <c r="F227" s="54">
        <v>600</v>
      </c>
      <c r="G227" s="62">
        <f t="shared" si="105"/>
        <v>0</v>
      </c>
      <c r="H227" s="62">
        <f t="shared" si="105"/>
        <v>0</v>
      </c>
    </row>
    <row r="228" spans="1:8" s="114" customFormat="1" ht="12.75" hidden="1">
      <c r="A228" s="55" t="str">
        <f ca="1">IF(ISERROR(MATCH(F228,Код_КВР,0)),"",INDIRECT(ADDRESS(MATCH(F228,Код_КВР,0)+1,2,,,"КВР")))</f>
        <v>Субсидии бюджетным учреждениям</v>
      </c>
      <c r="B228" s="54">
        <v>801</v>
      </c>
      <c r="C228" s="57" t="s">
        <v>190</v>
      </c>
      <c r="D228" s="57" t="s">
        <v>163</v>
      </c>
      <c r="E228" s="54" t="s">
        <v>107</v>
      </c>
      <c r="F228" s="54">
        <v>610</v>
      </c>
      <c r="G228" s="62"/>
      <c r="H228" s="62"/>
    </row>
    <row r="229" spans="1:8" s="114" customFormat="1" ht="53.25" customHeight="1" hidden="1">
      <c r="A229" s="55" t="str">
        <f ca="1">IF(ISERROR(MATCH(E229,Код_КЦСР,0)),"",INDIRECT(ADDRESS(MATCH(E229,Код_КЦСР,0)+1,2,,,"КЦСР")))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29" s="54">
        <v>801</v>
      </c>
      <c r="C229" s="57" t="s">
        <v>190</v>
      </c>
      <c r="D229" s="57" t="s">
        <v>163</v>
      </c>
      <c r="E229" s="54" t="s">
        <v>116</v>
      </c>
      <c r="F229" s="54"/>
      <c r="G229" s="62">
        <f aca="true" t="shared" si="106" ref="G229:H229">G230+G233</f>
        <v>0</v>
      </c>
      <c r="H229" s="62">
        <f t="shared" si="106"/>
        <v>0</v>
      </c>
    </row>
    <row r="230" spans="1:8" s="114" customFormat="1" ht="21" customHeight="1" hidden="1">
      <c r="A230" s="55" t="str">
        <f ca="1">IF(ISERROR(MATCH(E230,Код_КЦСР,0)),"",INDIRECT(ADDRESS(MATCH(E230,Код_КЦСР,0)+1,2,,,"КЦСР")))</f>
        <v>Совершенствование предоставления муниципальных услуг</v>
      </c>
      <c r="B230" s="54">
        <v>801</v>
      </c>
      <c r="C230" s="57" t="s">
        <v>190</v>
      </c>
      <c r="D230" s="57" t="s">
        <v>163</v>
      </c>
      <c r="E230" s="54" t="s">
        <v>118</v>
      </c>
      <c r="F230" s="54"/>
      <c r="G230" s="62">
        <f aca="true" t="shared" si="107" ref="G230:H231">G231</f>
        <v>0</v>
      </c>
      <c r="H230" s="62">
        <f t="shared" si="107"/>
        <v>0</v>
      </c>
    </row>
    <row r="231" spans="1:8" s="114" customFormat="1" ht="33" hidden="1">
      <c r="A231" s="55" t="str">
        <f ca="1">IF(ISERROR(MATCH(F231,Код_КВР,0)),"",INDIRECT(ADDRESS(MATCH(F231,Код_КВР,0)+1,2,,,"КВР")))</f>
        <v>Предоставление субсидий бюджетным, автономным учреждениям и иным некоммерческим организациям</v>
      </c>
      <c r="B231" s="54">
        <v>801</v>
      </c>
      <c r="C231" s="57" t="s">
        <v>190</v>
      </c>
      <c r="D231" s="57" t="s">
        <v>163</v>
      </c>
      <c r="E231" s="54" t="s">
        <v>118</v>
      </c>
      <c r="F231" s="54">
        <v>600</v>
      </c>
      <c r="G231" s="62">
        <f t="shared" si="107"/>
        <v>0</v>
      </c>
      <c r="H231" s="62">
        <f t="shared" si="107"/>
        <v>0</v>
      </c>
    </row>
    <row r="232" spans="1:8" s="114" customFormat="1" ht="12.75" hidden="1">
      <c r="A232" s="55" t="str">
        <f ca="1">IF(ISERROR(MATCH(F232,Код_КВР,0)),"",INDIRECT(ADDRESS(MATCH(F232,Код_КВР,0)+1,2,,,"КВР")))</f>
        <v>Субсидии бюджетным учреждениям</v>
      </c>
      <c r="B232" s="54">
        <v>801</v>
      </c>
      <c r="C232" s="57" t="s">
        <v>190</v>
      </c>
      <c r="D232" s="57" t="s">
        <v>163</v>
      </c>
      <c r="E232" s="54" t="s">
        <v>118</v>
      </c>
      <c r="F232" s="54">
        <v>610</v>
      </c>
      <c r="G232" s="62"/>
      <c r="H232" s="62"/>
    </row>
    <row r="233" spans="1:8" s="114" customFormat="1" ht="12.75" hidden="1">
      <c r="A233" s="55" t="str">
        <f ca="1">IF(ISERROR(MATCH(E233,Код_КЦСР,0)),"",INDIRECT(ADDRESS(MATCH(E233,Код_КЦСР,0)+1,2,,,"КЦСР")))</f>
        <v>Реализация проекта «Электронный гражданин»</v>
      </c>
      <c r="B233" s="54">
        <v>801</v>
      </c>
      <c r="C233" s="57" t="s">
        <v>190</v>
      </c>
      <c r="D233" s="57" t="s">
        <v>163</v>
      </c>
      <c r="E233" s="54" t="s">
        <v>561</v>
      </c>
      <c r="F233" s="54"/>
      <c r="G233" s="62">
        <f aca="true" t="shared" si="108" ref="G233:H234">G234</f>
        <v>0</v>
      </c>
      <c r="H233" s="62">
        <f t="shared" si="108"/>
        <v>0</v>
      </c>
    </row>
    <row r="234" spans="1:8" s="114" customFormat="1" ht="33" hidden="1">
      <c r="A234" s="55" t="str">
        <f ca="1">IF(ISERROR(MATCH(F234,Код_КВР,0)),"",INDIRECT(ADDRESS(MATCH(F234,Код_КВР,0)+1,2,,,"КВР")))</f>
        <v>Предоставление субсидий бюджетным, автономным учреждениям и иным некоммерческим организациям</v>
      </c>
      <c r="B234" s="54">
        <v>801</v>
      </c>
      <c r="C234" s="57" t="s">
        <v>190</v>
      </c>
      <c r="D234" s="57" t="s">
        <v>163</v>
      </c>
      <c r="E234" s="54" t="s">
        <v>561</v>
      </c>
      <c r="F234" s="54">
        <v>600</v>
      </c>
      <c r="G234" s="62">
        <f t="shared" si="108"/>
        <v>0</v>
      </c>
      <c r="H234" s="62">
        <f t="shared" si="108"/>
        <v>0</v>
      </c>
    </row>
    <row r="235" spans="1:8" s="114" customFormat="1" ht="12.75" hidden="1">
      <c r="A235" s="55" t="str">
        <f ca="1">IF(ISERROR(MATCH(F235,Код_КВР,0)),"",INDIRECT(ADDRESS(MATCH(F235,Код_КВР,0)+1,2,,,"КВР")))</f>
        <v>Субсидии бюджетным учреждениям</v>
      </c>
      <c r="B235" s="54">
        <v>801</v>
      </c>
      <c r="C235" s="57" t="s">
        <v>190</v>
      </c>
      <c r="D235" s="57" t="s">
        <v>163</v>
      </c>
      <c r="E235" s="54" t="s">
        <v>561</v>
      </c>
      <c r="F235" s="54">
        <v>610</v>
      </c>
      <c r="G235" s="62"/>
      <c r="H235" s="62"/>
    </row>
    <row r="236" spans="1:8" s="114" customFormat="1" ht="33" hidden="1">
      <c r="A236" s="55" t="str">
        <f ca="1">IF(ISERROR(MATCH(E236,Код_КЦСР,0)),"",INDIRECT(ADDRESS(MATCH(E236,Код_КЦСР,0)+1,2,,,"КЦСР")))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6" s="54">
        <v>801</v>
      </c>
      <c r="C236" s="57" t="s">
        <v>190</v>
      </c>
      <c r="D236" s="57" t="s">
        <v>163</v>
      </c>
      <c r="E236" s="54" t="s">
        <v>129</v>
      </c>
      <c r="F236" s="54"/>
      <c r="G236" s="62">
        <f aca="true" t="shared" si="109" ref="G236:H237">G237</f>
        <v>0</v>
      </c>
      <c r="H236" s="62">
        <f t="shared" si="109"/>
        <v>0</v>
      </c>
    </row>
    <row r="237" spans="1:8" s="114" customFormat="1" ht="12.75" hidden="1">
      <c r="A237" s="55" t="str">
        <f ca="1">IF(ISERROR(MATCH(E237,Код_КЦСР,0)),"",INDIRECT(ADDRESS(MATCH(E237,Код_КЦСР,0)+1,2,,,"КЦСР")))</f>
        <v/>
      </c>
      <c r="B237" s="54">
        <v>801</v>
      </c>
      <c r="C237" s="57" t="s">
        <v>190</v>
      </c>
      <c r="D237" s="57" t="s">
        <v>163</v>
      </c>
      <c r="E237" s="54" t="s">
        <v>135</v>
      </c>
      <c r="F237" s="54"/>
      <c r="G237" s="62">
        <f t="shared" si="109"/>
        <v>0</v>
      </c>
      <c r="H237" s="62">
        <f t="shared" si="109"/>
        <v>0</v>
      </c>
    </row>
    <row r="238" spans="1:8" s="114" customFormat="1" ht="12.75" hidden="1">
      <c r="A238" s="55" t="str">
        <f ca="1">IF(ISERROR(MATCH(E238,Код_КЦСР,0)),"",INDIRECT(ADDRESS(MATCH(E238,Код_КЦСР,0)+1,2,,,"КЦСР")))</f>
        <v/>
      </c>
      <c r="B238" s="54">
        <v>801</v>
      </c>
      <c r="C238" s="57" t="s">
        <v>190</v>
      </c>
      <c r="D238" s="57" t="s">
        <v>163</v>
      </c>
      <c r="E238" s="54" t="s">
        <v>589</v>
      </c>
      <c r="F238" s="54"/>
      <c r="G238" s="62">
        <f aca="true" t="shared" si="110" ref="G238:H239">G239</f>
        <v>0</v>
      </c>
      <c r="H238" s="62">
        <f t="shared" si="110"/>
        <v>0</v>
      </c>
    </row>
    <row r="239" spans="1:8" s="114" customFormat="1" ht="33" hidden="1">
      <c r="A239" s="55" t="str">
        <f ca="1">IF(ISERROR(MATCH(F239,Код_КВР,0)),"",INDIRECT(ADDRESS(MATCH(F239,Код_КВР,0)+1,2,,,"КВР")))</f>
        <v>Предоставление субсидий бюджетным, автономным учреждениям и иным некоммерческим организациям</v>
      </c>
      <c r="B239" s="54">
        <v>801</v>
      </c>
      <c r="C239" s="57" t="s">
        <v>190</v>
      </c>
      <c r="D239" s="57" t="s">
        <v>163</v>
      </c>
      <c r="E239" s="54" t="s">
        <v>589</v>
      </c>
      <c r="F239" s="54">
        <v>600</v>
      </c>
      <c r="G239" s="62">
        <f t="shared" si="110"/>
        <v>0</v>
      </c>
      <c r="H239" s="62">
        <f t="shared" si="110"/>
        <v>0</v>
      </c>
    </row>
    <row r="240" spans="1:8" s="114" customFormat="1" ht="12.75" hidden="1">
      <c r="A240" s="55" t="str">
        <f ca="1">IF(ISERROR(MATCH(F240,Код_КВР,0)),"",INDIRECT(ADDRESS(MATCH(F240,Код_КВР,0)+1,2,,,"КВР")))</f>
        <v>Субсидии бюджетным учреждениям</v>
      </c>
      <c r="B240" s="54">
        <v>801</v>
      </c>
      <c r="C240" s="57" t="s">
        <v>190</v>
      </c>
      <c r="D240" s="57" t="s">
        <v>163</v>
      </c>
      <c r="E240" s="54" t="s">
        <v>589</v>
      </c>
      <c r="F240" s="54">
        <v>610</v>
      </c>
      <c r="G240" s="62"/>
      <c r="H240" s="62"/>
    </row>
    <row r="241" spans="1:8" s="114" customFormat="1" ht="20.25" customHeight="1">
      <c r="A241" s="59" t="s">
        <v>197</v>
      </c>
      <c r="B241" s="54">
        <v>801</v>
      </c>
      <c r="C241" s="57" t="s">
        <v>190</v>
      </c>
      <c r="D241" s="57" t="s">
        <v>171</v>
      </c>
      <c r="E241" s="54"/>
      <c r="F241" s="54"/>
      <c r="G241" s="62">
        <f>G242+G246+G256</f>
        <v>12548</v>
      </c>
      <c r="H241" s="62">
        <f>H242+H246+H256</f>
        <v>11368.8</v>
      </c>
    </row>
    <row r="242" spans="1:8" s="114" customFormat="1" ht="40.5" customHeight="1">
      <c r="A242" s="55" t="str">
        <f ca="1">IF(ISERROR(MATCH(E242,Код_КЦСР,0)),"",INDIRECT(ADDRESS(MATCH(E242,Код_КЦСР,0)+1,2,,,"КЦСР")))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42" s="54">
        <v>801</v>
      </c>
      <c r="C242" s="57" t="s">
        <v>190</v>
      </c>
      <c r="D242" s="57" t="s">
        <v>171</v>
      </c>
      <c r="E242" s="54" t="s">
        <v>435</v>
      </c>
      <c r="F242" s="54"/>
      <c r="G242" s="62">
        <f aca="true" t="shared" si="111" ref="G242:H242">G243</f>
        <v>3115</v>
      </c>
      <c r="H242" s="62">
        <f t="shared" si="111"/>
        <v>3115</v>
      </c>
    </row>
    <row r="243" spans="1:8" s="114" customFormat="1" ht="39.95" customHeight="1">
      <c r="A243" s="55" t="str">
        <f ca="1">IF(ISERROR(MATCH(E243,Код_КЦСР,0)),"",INDIRECT(ADDRESS(MATCH(E243,Код_КЦСР,0)+1,2,,,"КЦСР")))</f>
        <v>Субсидии организациям, образующим инфраструктуру поддержки МСП: НП «Агентство Городского Развития»</v>
      </c>
      <c r="B243" s="54">
        <v>801</v>
      </c>
      <c r="C243" s="57" t="s">
        <v>190</v>
      </c>
      <c r="D243" s="57" t="s">
        <v>171</v>
      </c>
      <c r="E243" s="54" t="s">
        <v>437</v>
      </c>
      <c r="F243" s="54"/>
      <c r="G243" s="62">
        <f aca="true" t="shared" si="112" ref="G243:H244">G244</f>
        <v>3115</v>
      </c>
      <c r="H243" s="62">
        <f t="shared" si="112"/>
        <v>3115</v>
      </c>
    </row>
    <row r="244" spans="1:8" s="114" customFormat="1" ht="33">
      <c r="A244" s="55" t="str">
        <f ca="1">IF(ISERROR(MATCH(F244,Код_КВР,0)),"",INDIRECT(ADDRESS(MATCH(F244,Код_КВР,0)+1,2,,,"КВР")))</f>
        <v>Предоставление субсидий бюджетным, автономным учреждениям и иным некоммерческим организациям</v>
      </c>
      <c r="B244" s="54">
        <v>801</v>
      </c>
      <c r="C244" s="57" t="s">
        <v>190</v>
      </c>
      <c r="D244" s="57" t="s">
        <v>171</v>
      </c>
      <c r="E244" s="54" t="s">
        <v>437</v>
      </c>
      <c r="F244" s="54">
        <v>600</v>
      </c>
      <c r="G244" s="62">
        <f t="shared" si="112"/>
        <v>3115</v>
      </c>
      <c r="H244" s="62">
        <f t="shared" si="112"/>
        <v>3115</v>
      </c>
    </row>
    <row r="245" spans="1:8" s="114" customFormat="1" ht="33">
      <c r="A245" s="55" t="str">
        <f ca="1">IF(ISERROR(MATCH(F245,Код_КВР,0)),"",INDIRECT(ADDRESS(MATCH(F245,Код_КВР,0)+1,2,,,"КВР")))</f>
        <v>Субсидии некоммерческим организациям (за исключением государственных (муниципальных) учреждений)</v>
      </c>
      <c r="B245" s="54">
        <v>801</v>
      </c>
      <c r="C245" s="57" t="s">
        <v>190</v>
      </c>
      <c r="D245" s="57" t="s">
        <v>171</v>
      </c>
      <c r="E245" s="54" t="s">
        <v>437</v>
      </c>
      <c r="F245" s="54">
        <v>630</v>
      </c>
      <c r="G245" s="62">
        <v>3115</v>
      </c>
      <c r="H245" s="62">
        <v>3115</v>
      </c>
    </row>
    <row r="246" spans="1:8" s="114" customFormat="1" ht="39" customHeight="1">
      <c r="A246" s="55" t="str">
        <f ca="1">IF(ISERROR(MATCH(E246,Код_КЦСР,0)),"",INDIRECT(ADDRESS(MATCH(E246,Код_КЦСР,0)+1,2,,,"КЦСР")))</f>
        <v>Муниципальная программа «Повышение инвестиционной привлекательности города Череповца» на 2015-2018 годы</v>
      </c>
      <c r="B246" s="54">
        <v>801</v>
      </c>
      <c r="C246" s="57" t="s">
        <v>190</v>
      </c>
      <c r="D246" s="57" t="s">
        <v>171</v>
      </c>
      <c r="E246" s="54" t="s">
        <v>439</v>
      </c>
      <c r="F246" s="54"/>
      <c r="G246" s="62">
        <f aca="true" t="shared" si="113" ref="G246:H246">G247+G250+G253</f>
        <v>9433</v>
      </c>
      <c r="H246" s="62">
        <f t="shared" si="113"/>
        <v>8253.8</v>
      </c>
    </row>
    <row r="247" spans="1:8" s="114" customFormat="1" ht="33.75" customHeight="1">
      <c r="A247" s="55" t="str">
        <f ca="1">IF(ISERROR(MATCH(E247,Код_КЦСР,0)),"",INDIRECT(ADDRESS(MATCH(E247,Код_КЦСР,0)+1,2,,,"КЦСР")))</f>
        <v>Формирование инвестиционной инфраструктуры в муниципальном образовании «Город Череповец»</v>
      </c>
      <c r="B247" s="54">
        <v>801</v>
      </c>
      <c r="C247" s="57" t="s">
        <v>190</v>
      </c>
      <c r="D247" s="57" t="s">
        <v>171</v>
      </c>
      <c r="E247" s="54" t="s">
        <v>440</v>
      </c>
      <c r="F247" s="54"/>
      <c r="G247" s="62">
        <f aca="true" t="shared" si="114" ref="G247:H248">G248</f>
        <v>3939</v>
      </c>
      <c r="H247" s="62">
        <f t="shared" si="114"/>
        <v>3446.6</v>
      </c>
    </row>
    <row r="248" spans="1:8" s="114" customFormat="1" ht="33">
      <c r="A248" s="55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54">
        <v>801</v>
      </c>
      <c r="C248" s="57" t="s">
        <v>190</v>
      </c>
      <c r="D248" s="57" t="s">
        <v>171</v>
      </c>
      <c r="E248" s="54" t="s">
        <v>440</v>
      </c>
      <c r="F248" s="54">
        <v>600</v>
      </c>
      <c r="G248" s="62">
        <f t="shared" si="114"/>
        <v>3939</v>
      </c>
      <c r="H248" s="62">
        <f t="shared" si="114"/>
        <v>3446.6</v>
      </c>
    </row>
    <row r="249" spans="1:8" s="114" customFormat="1" ht="33">
      <c r="A249" s="55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54">
        <v>801</v>
      </c>
      <c r="C249" s="57" t="s">
        <v>190</v>
      </c>
      <c r="D249" s="57" t="s">
        <v>171</v>
      </c>
      <c r="E249" s="54" t="s">
        <v>440</v>
      </c>
      <c r="F249" s="54">
        <v>630</v>
      </c>
      <c r="G249" s="62">
        <v>3939</v>
      </c>
      <c r="H249" s="62">
        <v>3446.6</v>
      </c>
    </row>
    <row r="250" spans="1:8" s="114" customFormat="1" ht="24" customHeight="1">
      <c r="A250" s="55" t="str">
        <f ca="1">IF(ISERROR(MATCH(E250,Код_КЦСР,0)),"",INDIRECT(ADDRESS(MATCH(E250,Код_КЦСР,0)+1,2,,,"КЦСР")))</f>
        <v>Комплексное сопровождение инвестиционных проектов</v>
      </c>
      <c r="B250" s="54">
        <v>801</v>
      </c>
      <c r="C250" s="57" t="s">
        <v>190</v>
      </c>
      <c r="D250" s="57" t="s">
        <v>171</v>
      </c>
      <c r="E250" s="54" t="s">
        <v>441</v>
      </c>
      <c r="F250" s="54"/>
      <c r="G250" s="62">
        <f aca="true" t="shared" si="115" ref="G250:H251">G251</f>
        <v>2036.7</v>
      </c>
      <c r="H250" s="62">
        <f t="shared" si="115"/>
        <v>1782</v>
      </c>
    </row>
    <row r="251" spans="1:8" s="114" customFormat="1" ht="33">
      <c r="A251" s="55" t="str">
        <f ca="1">IF(ISERROR(MATCH(F251,Код_КВР,0)),"",INDIRECT(ADDRESS(MATCH(F251,Код_КВР,0)+1,2,,,"КВР")))</f>
        <v>Предоставление субсидий бюджетным, автономным учреждениям и иным некоммерческим организациям</v>
      </c>
      <c r="B251" s="54">
        <v>801</v>
      </c>
      <c r="C251" s="57" t="s">
        <v>190</v>
      </c>
      <c r="D251" s="57" t="s">
        <v>171</v>
      </c>
      <c r="E251" s="54" t="s">
        <v>441</v>
      </c>
      <c r="F251" s="54">
        <v>600</v>
      </c>
      <c r="G251" s="62">
        <f t="shared" si="115"/>
        <v>2036.7</v>
      </c>
      <c r="H251" s="62">
        <f t="shared" si="115"/>
        <v>1782</v>
      </c>
    </row>
    <row r="252" spans="1:8" s="114" customFormat="1" ht="33">
      <c r="A252" s="55" t="str">
        <f ca="1">IF(ISERROR(MATCH(F252,Код_КВР,0)),"",INDIRECT(ADDRESS(MATCH(F252,Код_КВР,0)+1,2,,,"КВР")))</f>
        <v>Субсидии некоммерческим организациям (за исключением государственных (муниципальных) учреждений)</v>
      </c>
      <c r="B252" s="54">
        <v>801</v>
      </c>
      <c r="C252" s="57" t="s">
        <v>190</v>
      </c>
      <c r="D252" s="57" t="s">
        <v>171</v>
      </c>
      <c r="E252" s="54" t="s">
        <v>441</v>
      </c>
      <c r="F252" s="54">
        <v>630</v>
      </c>
      <c r="G252" s="62">
        <v>2036.7</v>
      </c>
      <c r="H252" s="62">
        <v>1782</v>
      </c>
    </row>
    <row r="253" spans="1:8" s="114" customFormat="1" ht="33">
      <c r="A253" s="55" t="str">
        <f ca="1">IF(ISERROR(MATCH(E253,Код_КЦСР,0)),"",INDIRECT(ADDRESS(MATCH(E253,Код_КЦСР,0)+1,2,,,"КЦСР")))</f>
        <v>Продвижение инвестиционных возможностей муниципального образования «Город Череповец»</v>
      </c>
      <c r="B253" s="54">
        <v>801</v>
      </c>
      <c r="C253" s="57" t="s">
        <v>190</v>
      </c>
      <c r="D253" s="57" t="s">
        <v>171</v>
      </c>
      <c r="E253" s="54" t="s">
        <v>442</v>
      </c>
      <c r="F253" s="54"/>
      <c r="G253" s="62">
        <f aca="true" t="shared" si="116" ref="G253:H254">G254</f>
        <v>3457.3</v>
      </c>
      <c r="H253" s="62">
        <f t="shared" si="116"/>
        <v>3025.2</v>
      </c>
    </row>
    <row r="254" spans="1:8" s="114" customFormat="1" ht="33">
      <c r="A254" s="55" t="str">
        <f ca="1">IF(ISERROR(MATCH(F254,Код_КВР,0)),"",INDIRECT(ADDRESS(MATCH(F254,Код_КВР,0)+1,2,,,"КВР")))</f>
        <v>Предоставление субсидий бюджетным, автономным учреждениям и иным некоммерческим организациям</v>
      </c>
      <c r="B254" s="54">
        <v>801</v>
      </c>
      <c r="C254" s="57" t="s">
        <v>190</v>
      </c>
      <c r="D254" s="57" t="s">
        <v>171</v>
      </c>
      <c r="E254" s="54" t="s">
        <v>442</v>
      </c>
      <c r="F254" s="54">
        <v>600</v>
      </c>
      <c r="G254" s="62">
        <f t="shared" si="116"/>
        <v>3457.3</v>
      </c>
      <c r="H254" s="62">
        <f t="shared" si="116"/>
        <v>3025.2</v>
      </c>
    </row>
    <row r="255" spans="1:8" s="114" customFormat="1" ht="36.75" customHeight="1">
      <c r="A255" s="55" t="str">
        <f ca="1">IF(ISERROR(MATCH(F255,Код_КВР,0)),"",INDIRECT(ADDRESS(MATCH(F255,Код_КВР,0)+1,2,,,"КВР")))</f>
        <v>Субсидии некоммерческим организациям (за исключением государственных (муниципальных) учреждений)</v>
      </c>
      <c r="B255" s="54">
        <v>801</v>
      </c>
      <c r="C255" s="57" t="s">
        <v>190</v>
      </c>
      <c r="D255" s="57" t="s">
        <v>171</v>
      </c>
      <c r="E255" s="54" t="s">
        <v>442</v>
      </c>
      <c r="F255" s="54">
        <v>630</v>
      </c>
      <c r="G255" s="62">
        <v>3457.3</v>
      </c>
      <c r="H255" s="62">
        <v>3025.2</v>
      </c>
    </row>
    <row r="256" spans="1:8" s="114" customFormat="1" ht="33" hidden="1">
      <c r="A256" s="55" t="str">
        <f ca="1">IF(ISERROR(MATCH(E256,Код_КЦСР,0)),"",INDIRECT(ADDRESS(MATCH(E256,Код_КЦСР,0)+1,2,,,"КЦСР")))</f>
        <v>Муниципальная программа «Развитие внутреннего и въездного туризма в г. Череповце» на 2014-2022 годы</v>
      </c>
      <c r="B256" s="54">
        <v>801</v>
      </c>
      <c r="C256" s="57" t="s">
        <v>190</v>
      </c>
      <c r="D256" s="57" t="s">
        <v>171</v>
      </c>
      <c r="E256" s="54" t="s">
        <v>1</v>
      </c>
      <c r="F256" s="54"/>
      <c r="G256" s="62">
        <f aca="true" t="shared" si="117" ref="G256:H258">G257</f>
        <v>0</v>
      </c>
      <c r="H256" s="62">
        <f t="shared" si="117"/>
        <v>0</v>
      </c>
    </row>
    <row r="257" spans="1:8" s="114" customFormat="1" ht="24.75" customHeight="1" hidden="1">
      <c r="A257" s="55" t="str">
        <f ca="1">IF(ISERROR(MATCH(E257,Код_КЦСР,0)),"",INDIRECT(ADDRESS(MATCH(E257,Код_КЦСР,0)+1,2,,,"КЦСР")))</f>
        <v>Продвижение городского туристского продукта на российском рынке</v>
      </c>
      <c r="B257" s="54">
        <v>801</v>
      </c>
      <c r="C257" s="57" t="s">
        <v>190</v>
      </c>
      <c r="D257" s="57" t="s">
        <v>171</v>
      </c>
      <c r="E257" s="54" t="s">
        <v>2</v>
      </c>
      <c r="F257" s="54"/>
      <c r="G257" s="62">
        <f t="shared" si="117"/>
        <v>0</v>
      </c>
      <c r="H257" s="62">
        <f t="shared" si="117"/>
        <v>0</v>
      </c>
    </row>
    <row r="258" spans="1:8" s="114" customFormat="1" ht="27.75" customHeight="1" hidden="1">
      <c r="A258" s="55" t="str">
        <f ca="1">IF(ISERROR(MATCH(F258,Код_КВР,0)),"",INDIRECT(ADDRESS(MATCH(F258,Код_КВР,0)+1,2,,,"КВР")))</f>
        <v>Закупка товаров, работ и услуг для муниципальных нужд</v>
      </c>
      <c r="B258" s="54">
        <v>801</v>
      </c>
      <c r="C258" s="57" t="s">
        <v>190</v>
      </c>
      <c r="D258" s="57" t="s">
        <v>171</v>
      </c>
      <c r="E258" s="54" t="s">
        <v>2</v>
      </c>
      <c r="F258" s="54">
        <v>200</v>
      </c>
      <c r="G258" s="62">
        <f t="shared" si="117"/>
        <v>0</v>
      </c>
      <c r="H258" s="62">
        <f t="shared" si="117"/>
        <v>0</v>
      </c>
    </row>
    <row r="259" spans="1:8" s="114" customFormat="1" ht="26.1" customHeight="1" hidden="1">
      <c r="A259" s="55" t="str">
        <f ca="1">IF(ISERROR(MATCH(F259,Код_КВР,0)),"",INDIRECT(ADDRESS(MATCH(F259,Код_КВР,0)+1,2,,,"КВР")))</f>
        <v>Иные закупки товаров, работ и услуг для обеспечения муниципальных нужд</v>
      </c>
      <c r="B259" s="54">
        <v>801</v>
      </c>
      <c r="C259" s="57" t="s">
        <v>190</v>
      </c>
      <c r="D259" s="57" t="s">
        <v>171</v>
      </c>
      <c r="E259" s="54" t="s">
        <v>2</v>
      </c>
      <c r="F259" s="54">
        <v>240</v>
      </c>
      <c r="G259" s="62"/>
      <c r="H259" s="62"/>
    </row>
    <row r="260" spans="1:8" s="114" customFormat="1" ht="12.75">
      <c r="A260" s="55" t="str">
        <f ca="1">IF(ISERROR(MATCH(C260,Код_Раздел,0)),"",INDIRECT(ADDRESS(MATCH(C260,Код_Раздел,0)+1,2,,,"Раздел")))</f>
        <v>Образование</v>
      </c>
      <c r="B260" s="54">
        <v>801</v>
      </c>
      <c r="C260" s="57" t="s">
        <v>170</v>
      </c>
      <c r="D260" s="57"/>
      <c r="E260" s="54"/>
      <c r="F260" s="54"/>
      <c r="G260" s="62">
        <f aca="true" t="shared" si="118" ref="G260:H260">G261</f>
        <v>7873.3</v>
      </c>
      <c r="H260" s="62">
        <f t="shared" si="118"/>
        <v>7896.099999999999</v>
      </c>
    </row>
    <row r="261" spans="1:8" s="114" customFormat="1" ht="12.75">
      <c r="A261" s="59" t="s">
        <v>174</v>
      </c>
      <c r="B261" s="54">
        <v>801</v>
      </c>
      <c r="C261" s="57" t="s">
        <v>170</v>
      </c>
      <c r="D261" s="57" t="s">
        <v>170</v>
      </c>
      <c r="E261" s="54"/>
      <c r="F261" s="54"/>
      <c r="G261" s="62">
        <f>G262+G272</f>
        <v>7873.3</v>
      </c>
      <c r="H261" s="62">
        <f>H262+H272</f>
        <v>7896.099999999999</v>
      </c>
    </row>
    <row r="262" spans="1:8" s="114" customFormat="1" ht="29.45" customHeight="1">
      <c r="A262" s="55" t="str">
        <f ca="1">IF(ISERROR(MATCH(E262,Код_КЦСР,0)),"",INDIRECT(ADDRESS(MATCH(E262,Код_КЦСР,0)+1,2,,,"КЦСР")))</f>
        <v>Муниципальная программа «Развитие молодежной политики» на 2013-2018 годы</v>
      </c>
      <c r="B262" s="54">
        <v>801</v>
      </c>
      <c r="C262" s="57" t="s">
        <v>170</v>
      </c>
      <c r="D262" s="57" t="s">
        <v>170</v>
      </c>
      <c r="E262" s="54" t="s">
        <v>444</v>
      </c>
      <c r="F262" s="54"/>
      <c r="G262" s="62">
        <f aca="true" t="shared" si="119" ref="G262:H262">G263+G266+G269</f>
        <v>7540.400000000001</v>
      </c>
      <c r="H262" s="62">
        <f t="shared" si="119"/>
        <v>7563.2</v>
      </c>
    </row>
    <row r="263" spans="1:8" s="114" customFormat="1" ht="49.5">
      <c r="A263" s="55" t="str">
        <f ca="1">IF(ISERROR(MATCH(E263,Код_КЦСР,0)),"",INDIRECT(ADDRESS(MATCH(E263,Код_КЦСР,0)+1,2,,,"КЦСР")))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63" s="54">
        <v>801</v>
      </c>
      <c r="C263" s="57" t="s">
        <v>170</v>
      </c>
      <c r="D263" s="57" t="s">
        <v>170</v>
      </c>
      <c r="E263" s="54" t="s">
        <v>448</v>
      </c>
      <c r="F263" s="54"/>
      <c r="G263" s="62">
        <f aca="true" t="shared" si="120" ref="G263:H264">G264</f>
        <v>844.8</v>
      </c>
      <c r="H263" s="62">
        <f t="shared" si="120"/>
        <v>844.8</v>
      </c>
    </row>
    <row r="264" spans="1:8" s="114" customFormat="1" ht="33">
      <c r="A264" s="55" t="str">
        <f ca="1">IF(ISERROR(MATCH(F264,Код_КВР,0)),"",INDIRECT(ADDRESS(MATCH(F264,Код_КВР,0)+1,2,,,"КВР")))</f>
        <v>Предоставление субсидий бюджетным, автономным учреждениям и иным некоммерческим организациям</v>
      </c>
      <c r="B264" s="54">
        <v>801</v>
      </c>
      <c r="C264" s="57" t="s">
        <v>170</v>
      </c>
      <c r="D264" s="57" t="s">
        <v>170</v>
      </c>
      <c r="E264" s="54" t="s">
        <v>448</v>
      </c>
      <c r="F264" s="54">
        <v>600</v>
      </c>
      <c r="G264" s="62">
        <f t="shared" si="120"/>
        <v>844.8</v>
      </c>
      <c r="H264" s="62">
        <f t="shared" si="120"/>
        <v>844.8</v>
      </c>
    </row>
    <row r="265" spans="1:8" s="114" customFormat="1" ht="12.75">
      <c r="A265" s="55" t="str">
        <f ca="1">IF(ISERROR(MATCH(F265,Код_КВР,0)),"",INDIRECT(ADDRESS(MATCH(F265,Код_КВР,0)+1,2,,,"КВР")))</f>
        <v>Субсидии бюджетным учреждениям</v>
      </c>
      <c r="B265" s="54">
        <v>801</v>
      </c>
      <c r="C265" s="57" t="s">
        <v>170</v>
      </c>
      <c r="D265" s="57" t="s">
        <v>170</v>
      </c>
      <c r="E265" s="54" t="s">
        <v>448</v>
      </c>
      <c r="F265" s="54">
        <v>610</v>
      </c>
      <c r="G265" s="62">
        <v>844.8</v>
      </c>
      <c r="H265" s="62">
        <v>844.8</v>
      </c>
    </row>
    <row r="266" spans="1:8" s="114" customFormat="1" ht="66">
      <c r="A266" s="55" t="str">
        <f ca="1">IF(ISERROR(MATCH(E266,Код_КЦСР,0)),"",INDIRECT(ADDRESS(MATCH(E266,Код_КЦСР,0)+1,2,,,"КЦСР")))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266" s="54">
        <v>801</v>
      </c>
      <c r="C266" s="57" t="s">
        <v>170</v>
      </c>
      <c r="D266" s="57" t="s">
        <v>170</v>
      </c>
      <c r="E266" s="54" t="s">
        <v>449</v>
      </c>
      <c r="F266" s="54"/>
      <c r="G266" s="62">
        <f aca="true" t="shared" si="121" ref="G266:H267">G267</f>
        <v>6695.6</v>
      </c>
      <c r="H266" s="62">
        <f t="shared" si="121"/>
        <v>6718.4</v>
      </c>
    </row>
    <row r="267" spans="1:8" s="114" customFormat="1" ht="33">
      <c r="A267" s="55" t="str">
        <f ca="1">IF(ISERROR(MATCH(F267,Код_КВР,0)),"",INDIRECT(ADDRESS(MATCH(F267,Код_КВР,0)+1,2,,,"КВР")))</f>
        <v>Предоставление субсидий бюджетным, автономным учреждениям и иным некоммерческим организациям</v>
      </c>
      <c r="B267" s="54">
        <v>801</v>
      </c>
      <c r="C267" s="57" t="s">
        <v>170</v>
      </c>
      <c r="D267" s="57" t="s">
        <v>170</v>
      </c>
      <c r="E267" s="54" t="s">
        <v>449</v>
      </c>
      <c r="F267" s="54">
        <v>600</v>
      </c>
      <c r="G267" s="62">
        <f t="shared" si="121"/>
        <v>6695.6</v>
      </c>
      <c r="H267" s="62">
        <f t="shared" si="121"/>
        <v>6718.4</v>
      </c>
    </row>
    <row r="268" spans="1:8" s="114" customFormat="1" ht="21" customHeight="1">
      <c r="A268" s="55" t="str">
        <f ca="1">IF(ISERROR(MATCH(F268,Код_КВР,0)),"",INDIRECT(ADDRESS(MATCH(F268,Код_КВР,0)+1,2,,,"КВР")))</f>
        <v>Субсидии бюджетным учреждениям</v>
      </c>
      <c r="B268" s="54">
        <v>801</v>
      </c>
      <c r="C268" s="57" t="s">
        <v>170</v>
      </c>
      <c r="D268" s="57" t="s">
        <v>170</v>
      </c>
      <c r="E268" s="54" t="s">
        <v>449</v>
      </c>
      <c r="F268" s="54">
        <v>610</v>
      </c>
      <c r="G268" s="62">
        <f>6695.6</f>
        <v>6695.6</v>
      </c>
      <c r="H268" s="62">
        <v>6718.4</v>
      </c>
    </row>
    <row r="269" spans="1:8" s="114" customFormat="1" ht="33" hidden="1">
      <c r="A269" s="55" t="str">
        <f ca="1">IF(ISERROR(MATCH(E269,Код_КЦСР,0)),"",INDIRECT(ADDRESS(MATCH(E269,Код_КЦСР,0)+1,2,,,"КЦСР")))</f>
        <v>Проведение городского патриотического фестиваля «Город Победы» на Кубок мэра города</v>
      </c>
      <c r="B269" s="54">
        <v>801</v>
      </c>
      <c r="C269" s="57" t="s">
        <v>170</v>
      </c>
      <c r="D269" s="57" t="s">
        <v>170</v>
      </c>
      <c r="E269" s="54" t="s">
        <v>531</v>
      </c>
      <c r="F269" s="54"/>
      <c r="G269" s="62">
        <f aca="true" t="shared" si="122" ref="G269:H270">G270</f>
        <v>0</v>
      </c>
      <c r="H269" s="62">
        <f t="shared" si="122"/>
        <v>0</v>
      </c>
    </row>
    <row r="270" spans="1:8" s="114" customFormat="1" ht="33" hidden="1">
      <c r="A270" s="55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54">
        <v>801</v>
      </c>
      <c r="C270" s="57" t="s">
        <v>170</v>
      </c>
      <c r="D270" s="57" t="s">
        <v>170</v>
      </c>
      <c r="E270" s="54" t="s">
        <v>531</v>
      </c>
      <c r="F270" s="54">
        <v>600</v>
      </c>
      <c r="G270" s="62">
        <f t="shared" si="122"/>
        <v>0</v>
      </c>
      <c r="H270" s="62">
        <f t="shared" si="122"/>
        <v>0</v>
      </c>
    </row>
    <row r="271" spans="1:8" s="114" customFormat="1" ht="12.75" hidden="1">
      <c r="A271" s="55" t="str">
        <f ca="1">IF(ISERROR(MATCH(F271,Код_КВР,0)),"",INDIRECT(ADDRESS(MATCH(F271,Код_КВР,0)+1,2,,,"КВР")))</f>
        <v>Субсидии бюджетным учреждениям</v>
      </c>
      <c r="B271" s="54">
        <v>801</v>
      </c>
      <c r="C271" s="57" t="s">
        <v>170</v>
      </c>
      <c r="D271" s="57" t="s">
        <v>170</v>
      </c>
      <c r="E271" s="54" t="s">
        <v>531</v>
      </c>
      <c r="F271" s="54">
        <v>610</v>
      </c>
      <c r="G271" s="62"/>
      <c r="H271" s="62"/>
    </row>
    <row r="272" spans="1:8" ht="21" customHeight="1">
      <c r="A272" s="55" t="str">
        <f ca="1">IF(ISERROR(MATCH(E272,Код_КЦСР,0)),"",INDIRECT(ADDRESS(MATCH(E272,Код_КЦСР,0)+1,2,,,"КЦСР")))</f>
        <v>Муниципальная программа «Здоровый город» на 2014-2022 годы</v>
      </c>
      <c r="B272" s="54">
        <v>801</v>
      </c>
      <c r="C272" s="57" t="s">
        <v>170</v>
      </c>
      <c r="D272" s="57" t="s">
        <v>170</v>
      </c>
      <c r="E272" s="54" t="s">
        <v>450</v>
      </c>
      <c r="F272" s="54"/>
      <c r="G272" s="62">
        <f>G273+G276</f>
        <v>332.9</v>
      </c>
      <c r="H272" s="62">
        <f>H273+H276</f>
        <v>332.9</v>
      </c>
    </row>
    <row r="273" spans="1:8" ht="24" customHeight="1" hidden="1">
      <c r="A273" s="55" t="str">
        <f ca="1">IF(ISERROR(MATCH(E273,Код_КЦСР,0)),"",INDIRECT(ADDRESS(MATCH(E273,Код_КЦСР,0)+1,2,,,"КЦСР")))</f>
        <v>Организационно-методическое обеспечение программы</v>
      </c>
      <c r="B273" s="54">
        <v>801</v>
      </c>
      <c r="C273" s="57" t="s">
        <v>170</v>
      </c>
      <c r="D273" s="57" t="s">
        <v>170</v>
      </c>
      <c r="E273" s="54" t="s">
        <v>452</v>
      </c>
      <c r="F273" s="54"/>
      <c r="G273" s="62">
        <f>G274</f>
        <v>0</v>
      </c>
      <c r="H273" s="62">
        <f>H274</f>
        <v>0</v>
      </c>
    </row>
    <row r="274" spans="1:8" ht="33" hidden="1">
      <c r="A274" s="55" t="str">
        <f ca="1">IF(ISERROR(MATCH(F274,Код_КВР,0)),"",INDIRECT(ADDRESS(MATCH(F274,Код_КВР,0)+1,2,,,"КВР")))</f>
        <v>Предоставление субсидий бюджетным, автономным учреждениям и иным некоммерческим организациям</v>
      </c>
      <c r="B274" s="54">
        <v>801</v>
      </c>
      <c r="C274" s="57" t="s">
        <v>170</v>
      </c>
      <c r="D274" s="57" t="s">
        <v>170</v>
      </c>
      <c r="E274" s="54" t="s">
        <v>452</v>
      </c>
      <c r="F274" s="54">
        <v>600</v>
      </c>
      <c r="G274" s="62">
        <f aca="true" t="shared" si="123" ref="G274:H274">G275</f>
        <v>0</v>
      </c>
      <c r="H274" s="62">
        <f t="shared" si="123"/>
        <v>0</v>
      </c>
    </row>
    <row r="275" spans="1:8" ht="12.75" hidden="1">
      <c r="A275" s="55" t="str">
        <f ca="1">IF(ISERROR(MATCH(F275,Код_КВР,0)),"",INDIRECT(ADDRESS(MATCH(F275,Код_КВР,0)+1,2,,,"КВР")))</f>
        <v>Субсидии бюджетным учреждениям</v>
      </c>
      <c r="B275" s="54">
        <v>801</v>
      </c>
      <c r="C275" s="57" t="s">
        <v>170</v>
      </c>
      <c r="D275" s="57" t="s">
        <v>170</v>
      </c>
      <c r="E275" s="54" t="s">
        <v>452</v>
      </c>
      <c r="F275" s="54">
        <v>610</v>
      </c>
      <c r="G275" s="62"/>
      <c r="H275" s="62"/>
    </row>
    <row r="276" spans="1:8" ht="12.75">
      <c r="A276" s="55" t="str">
        <f ca="1">IF(ISERROR(MATCH(E276,Код_КЦСР,0)),"",INDIRECT(ADDRESS(MATCH(E276,Код_КЦСР,0)+1,2,,,"КЦСР")))</f>
        <v>Пропаганда здорового образа жизни</v>
      </c>
      <c r="B276" s="54">
        <v>801</v>
      </c>
      <c r="C276" s="57" t="s">
        <v>170</v>
      </c>
      <c r="D276" s="57" t="s">
        <v>170</v>
      </c>
      <c r="E276" s="54" t="s">
        <v>455</v>
      </c>
      <c r="F276" s="54"/>
      <c r="G276" s="62">
        <f aca="true" t="shared" si="124" ref="G276:H277">G277</f>
        <v>332.9</v>
      </c>
      <c r="H276" s="62">
        <f t="shared" si="124"/>
        <v>332.9</v>
      </c>
    </row>
    <row r="277" spans="1:8" ht="39" customHeight="1">
      <c r="A277" s="55" t="str">
        <f ca="1">IF(ISERROR(MATCH(F277,Код_КВР,0)),"",INDIRECT(ADDRESS(MATCH(F277,Код_КВР,0)+1,2,,,"КВР")))</f>
        <v>Предоставление субсидий бюджетным, автономным учреждениям и иным некоммерческим организациям</v>
      </c>
      <c r="B277" s="54">
        <v>801</v>
      </c>
      <c r="C277" s="57" t="s">
        <v>170</v>
      </c>
      <c r="D277" s="57" t="s">
        <v>170</v>
      </c>
      <c r="E277" s="54" t="s">
        <v>455</v>
      </c>
      <c r="F277" s="54">
        <v>600</v>
      </c>
      <c r="G277" s="62">
        <f t="shared" si="124"/>
        <v>332.9</v>
      </c>
      <c r="H277" s="62">
        <f t="shared" si="124"/>
        <v>332.9</v>
      </c>
    </row>
    <row r="278" spans="1:8" ht="12.75">
      <c r="A278" s="55" t="str">
        <f ca="1">IF(ISERROR(MATCH(F278,Код_КВР,0)),"",INDIRECT(ADDRESS(MATCH(F278,Код_КВР,0)+1,2,,,"КВР")))</f>
        <v>Субсидии бюджетным учреждениям</v>
      </c>
      <c r="B278" s="54">
        <v>801</v>
      </c>
      <c r="C278" s="57" t="s">
        <v>170</v>
      </c>
      <c r="D278" s="57" t="s">
        <v>170</v>
      </c>
      <c r="E278" s="54" t="s">
        <v>455</v>
      </c>
      <c r="F278" s="54">
        <v>610</v>
      </c>
      <c r="G278" s="62">
        <v>332.9</v>
      </c>
      <c r="H278" s="62">
        <v>332.9</v>
      </c>
    </row>
    <row r="279" spans="1:8" ht="12.75">
      <c r="A279" s="55" t="str">
        <f ca="1">IF(ISERROR(MATCH(C279,Код_Раздел,0)),"",INDIRECT(ADDRESS(MATCH(C279,Код_Раздел,0)+1,2,,,"Раздел")))</f>
        <v>Социальная политика</v>
      </c>
      <c r="B279" s="54">
        <v>801</v>
      </c>
      <c r="C279" s="57" t="s">
        <v>163</v>
      </c>
      <c r="D279" s="57"/>
      <c r="E279" s="54"/>
      <c r="F279" s="54"/>
      <c r="G279" s="62">
        <f aca="true" t="shared" si="125" ref="G279:H279">G280+G286</f>
        <v>47139.899999999994</v>
      </c>
      <c r="H279" s="62">
        <f t="shared" si="125"/>
        <v>49987.3</v>
      </c>
    </row>
    <row r="280" spans="1:8" ht="12.75">
      <c r="A280" s="59" t="s">
        <v>160</v>
      </c>
      <c r="B280" s="54">
        <v>801</v>
      </c>
      <c r="C280" s="57" t="s">
        <v>163</v>
      </c>
      <c r="D280" s="57" t="s">
        <v>187</v>
      </c>
      <c r="E280" s="54"/>
      <c r="F280" s="54"/>
      <c r="G280" s="62">
        <f aca="true" t="shared" si="126" ref="G280:H284">G281</f>
        <v>16301.3</v>
      </c>
      <c r="H280" s="62">
        <f t="shared" si="126"/>
        <v>16301.3</v>
      </c>
    </row>
    <row r="281" spans="1:8" ht="33">
      <c r="A281" s="55" t="str">
        <f ca="1">IF(ISERROR(MATCH(E281,Код_КЦСР,0)),"",INDIRECT(ADDRESS(MATCH(E281,Код_КЦСР,0)+1,2,,,"КЦСР")))</f>
        <v>Муниципальная программа «Совершенствование муниципального управления в городе Череповце» на 2014-2018 годы</v>
      </c>
      <c r="B281" s="54">
        <v>801</v>
      </c>
      <c r="C281" s="57" t="s">
        <v>163</v>
      </c>
      <c r="D281" s="57" t="s">
        <v>187</v>
      </c>
      <c r="E281" s="54" t="s">
        <v>104</v>
      </c>
      <c r="F281" s="54"/>
      <c r="G281" s="62">
        <f t="shared" si="126"/>
        <v>16301.3</v>
      </c>
      <c r="H281" s="62">
        <f t="shared" si="126"/>
        <v>16301.3</v>
      </c>
    </row>
    <row r="282" spans="1:8" ht="21" customHeight="1">
      <c r="A282" s="55" t="str">
        <f ca="1">IF(ISERROR(MATCH(E282,Код_КЦСР,0)),"",INDIRECT(ADDRESS(MATCH(E282,Код_КЦСР,0)+1,2,,,"КЦСР")))</f>
        <v>Развитие муниципальной службы в мэрии города Череповца</v>
      </c>
      <c r="B282" s="54">
        <v>801</v>
      </c>
      <c r="C282" s="57" t="s">
        <v>163</v>
      </c>
      <c r="D282" s="57" t="s">
        <v>187</v>
      </c>
      <c r="E282" s="54" t="s">
        <v>111</v>
      </c>
      <c r="F282" s="54"/>
      <c r="G282" s="62">
        <f t="shared" si="126"/>
        <v>16301.3</v>
      </c>
      <c r="H282" s="62">
        <f t="shared" si="126"/>
        <v>16301.3</v>
      </c>
    </row>
    <row r="283" spans="1:8" ht="12.75">
      <c r="A283" s="55" t="str">
        <f ca="1">IF(ISERROR(MATCH(E283,Код_КЦСР,0)),"",INDIRECT(ADDRESS(MATCH(E283,Код_КЦСР,0)+1,2,,,"КЦСР")))</f>
        <v>Повышение престижа муниципальной службы в городе</v>
      </c>
      <c r="B283" s="54">
        <v>801</v>
      </c>
      <c r="C283" s="57" t="s">
        <v>163</v>
      </c>
      <c r="D283" s="57" t="s">
        <v>187</v>
      </c>
      <c r="E283" s="54" t="s">
        <v>114</v>
      </c>
      <c r="F283" s="54"/>
      <c r="G283" s="62">
        <f t="shared" si="126"/>
        <v>16301.3</v>
      </c>
      <c r="H283" s="62">
        <f t="shared" si="126"/>
        <v>16301.3</v>
      </c>
    </row>
    <row r="284" spans="1:8" ht="12.75">
      <c r="A284" s="55" t="str">
        <f ca="1">IF(ISERROR(MATCH(F284,Код_КВР,0)),"",INDIRECT(ADDRESS(MATCH(F284,Код_КВР,0)+1,2,,,"КВР")))</f>
        <v>Социальное обеспечение и иные выплаты населению</v>
      </c>
      <c r="B284" s="54">
        <v>801</v>
      </c>
      <c r="C284" s="57" t="s">
        <v>163</v>
      </c>
      <c r="D284" s="57" t="s">
        <v>187</v>
      </c>
      <c r="E284" s="54" t="s">
        <v>114</v>
      </c>
      <c r="F284" s="54">
        <v>300</v>
      </c>
      <c r="G284" s="62">
        <f t="shared" si="126"/>
        <v>16301.3</v>
      </c>
      <c r="H284" s="62">
        <f t="shared" si="126"/>
        <v>16301.3</v>
      </c>
    </row>
    <row r="285" spans="1:8" ht="12.75">
      <c r="A285" s="55" t="str">
        <f ca="1">IF(ISERROR(MATCH(F285,Код_КВР,0)),"",INDIRECT(ADDRESS(MATCH(F285,Код_КВР,0)+1,2,,,"КВР")))</f>
        <v>Иные выплаты населению</v>
      </c>
      <c r="B285" s="54">
        <v>801</v>
      </c>
      <c r="C285" s="57" t="s">
        <v>163</v>
      </c>
      <c r="D285" s="57" t="s">
        <v>187</v>
      </c>
      <c r="E285" s="54" t="s">
        <v>114</v>
      </c>
      <c r="F285" s="54">
        <v>360</v>
      </c>
      <c r="G285" s="61">
        <v>16301.3</v>
      </c>
      <c r="H285" s="61">
        <v>16301.3</v>
      </c>
    </row>
    <row r="286" spans="1:8" ht="12.75">
      <c r="A286" s="59" t="s">
        <v>154</v>
      </c>
      <c r="B286" s="54">
        <v>801</v>
      </c>
      <c r="C286" s="57" t="s">
        <v>163</v>
      </c>
      <c r="D286" s="57" t="s">
        <v>189</v>
      </c>
      <c r="E286" s="54"/>
      <c r="F286" s="54"/>
      <c r="G286" s="62">
        <f>G287+G302</f>
        <v>30838.6</v>
      </c>
      <c r="H286" s="62">
        <f>H287+H302</f>
        <v>33686</v>
      </c>
    </row>
    <row r="287" spans="1:8" ht="33">
      <c r="A287" s="55" t="str">
        <f ca="1">IF(ISERROR(MATCH(E287,Код_КЦСР,0)),"",INDIRECT(ADDRESS(MATCH(E287,Код_КЦСР,0)+1,2,,,"КЦСР")))</f>
        <v>Муниципальная программа «Обеспечение жильем отдельных категорий граждан» на 2014-2020 годы</v>
      </c>
      <c r="B287" s="54">
        <v>801</v>
      </c>
      <c r="C287" s="57" t="s">
        <v>163</v>
      </c>
      <c r="D287" s="57" t="s">
        <v>189</v>
      </c>
      <c r="E287" s="54" t="s">
        <v>22</v>
      </c>
      <c r="F287" s="54"/>
      <c r="G287" s="62">
        <f>G291+G294+G298+G288</f>
        <v>30788.6</v>
      </c>
      <c r="H287" s="62">
        <f>H291+H294+H298+H288</f>
        <v>33636</v>
      </c>
    </row>
    <row r="288" spans="1:8" ht="99" hidden="1">
      <c r="A288" s="55" t="str">
        <f ca="1">IF(ISERROR(MATCH(E288,Код_КЦСР,0)),"",INDIRECT(ADDRESS(MATCH(E288,Код_КЦСР,0)+1,2,,,"КЦСР")))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288" s="54">
        <v>801</v>
      </c>
      <c r="C288" s="57" t="s">
        <v>163</v>
      </c>
      <c r="D288" s="57" t="s">
        <v>189</v>
      </c>
      <c r="E288" s="54" t="s">
        <v>584</v>
      </c>
      <c r="F288" s="54"/>
      <c r="G288" s="62">
        <f aca="true" t="shared" si="127" ref="G288:H289">G289</f>
        <v>0</v>
      </c>
      <c r="H288" s="62">
        <f t="shared" si="127"/>
        <v>0</v>
      </c>
    </row>
    <row r="289" spans="1:8" ht="12.75" hidden="1">
      <c r="A289" s="55" t="str">
        <f ca="1">IF(ISERROR(MATCH(F289,Код_КВР,0)),"",INDIRECT(ADDRESS(MATCH(F289,Код_КВР,0)+1,2,,,"КВР")))</f>
        <v>Социальное обеспечение и иные выплаты населению</v>
      </c>
      <c r="B289" s="54">
        <v>801</v>
      </c>
      <c r="C289" s="57" t="s">
        <v>163</v>
      </c>
      <c r="D289" s="57" t="s">
        <v>189</v>
      </c>
      <c r="E289" s="54" t="s">
        <v>584</v>
      </c>
      <c r="F289" s="54">
        <v>300</v>
      </c>
      <c r="G289" s="62">
        <f t="shared" si="127"/>
        <v>0</v>
      </c>
      <c r="H289" s="62">
        <f t="shared" si="127"/>
        <v>0</v>
      </c>
    </row>
    <row r="290" spans="1:8" ht="33" hidden="1">
      <c r="A290" s="55" t="str">
        <f ca="1">IF(ISERROR(MATCH(F290,Код_КВР,0)),"",INDIRECT(ADDRESS(MATCH(F290,Код_КВР,0)+1,2,,,"КВР")))</f>
        <v>Социальные выплаты гражданам, кроме публичных нормативных социальных выплат</v>
      </c>
      <c r="B290" s="54">
        <v>801</v>
      </c>
      <c r="C290" s="57" t="s">
        <v>163</v>
      </c>
      <c r="D290" s="57" t="s">
        <v>189</v>
      </c>
      <c r="E290" s="54" t="s">
        <v>584</v>
      </c>
      <c r="F290" s="54">
        <v>320</v>
      </c>
      <c r="G290" s="62"/>
      <c r="H290" s="62"/>
    </row>
    <row r="291" spans="1:8" ht="82.5">
      <c r="A291" s="55" t="str">
        <f ca="1">IF(ISERROR(MATCH(E291,Код_КЦСР,0)),"",INDIRECT(ADDRESS(MATCH(E291,Код_КЦСР,0)+1,2,,,"КЦСР")))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91" s="54">
        <v>801</v>
      </c>
      <c r="C291" s="57" t="s">
        <v>163</v>
      </c>
      <c r="D291" s="57" t="s">
        <v>189</v>
      </c>
      <c r="E291" s="54" t="s">
        <v>352</v>
      </c>
      <c r="F291" s="54"/>
      <c r="G291" s="62">
        <f aca="true" t="shared" si="128" ref="G291:H292">G292</f>
        <v>17160</v>
      </c>
      <c r="H291" s="62">
        <f t="shared" si="128"/>
        <v>17160</v>
      </c>
    </row>
    <row r="292" spans="1:8" ht="12.75">
      <c r="A292" s="55" t="str">
        <f ca="1">IF(ISERROR(MATCH(F292,Код_КВР,0)),"",INDIRECT(ADDRESS(MATCH(F292,Код_КВР,0)+1,2,,,"КВР")))</f>
        <v>Социальное обеспечение и иные выплаты населению</v>
      </c>
      <c r="B292" s="54">
        <v>801</v>
      </c>
      <c r="C292" s="57" t="s">
        <v>163</v>
      </c>
      <c r="D292" s="57" t="s">
        <v>189</v>
      </c>
      <c r="E292" s="54" t="s">
        <v>352</v>
      </c>
      <c r="F292" s="54">
        <v>300</v>
      </c>
      <c r="G292" s="62">
        <f t="shared" si="128"/>
        <v>17160</v>
      </c>
      <c r="H292" s="62">
        <f t="shared" si="128"/>
        <v>17160</v>
      </c>
    </row>
    <row r="293" spans="1:8" ht="33">
      <c r="A293" s="55" t="str">
        <f ca="1">IF(ISERROR(MATCH(F293,Код_КВР,0)),"",INDIRECT(ADDRESS(MATCH(F293,Код_КВР,0)+1,2,,,"КВР")))</f>
        <v>Социальные выплаты гражданам, кроме публичных нормативных социальных выплат</v>
      </c>
      <c r="B293" s="54">
        <v>801</v>
      </c>
      <c r="C293" s="57" t="s">
        <v>163</v>
      </c>
      <c r="D293" s="57" t="s">
        <v>189</v>
      </c>
      <c r="E293" s="54" t="s">
        <v>352</v>
      </c>
      <c r="F293" s="54">
        <v>320</v>
      </c>
      <c r="G293" s="62">
        <v>17160</v>
      </c>
      <c r="H293" s="62">
        <v>17160</v>
      </c>
    </row>
    <row r="294" spans="1:8" ht="12.75">
      <c r="A294" s="55" t="str">
        <f ca="1">IF(ISERROR(MATCH(E294,Код_КЦСР,0)),"",INDIRECT(ADDRESS(MATCH(E294,Код_КЦСР,0)+1,2,,,"КЦСР")))</f>
        <v>Обеспечение жильем молодых семей</v>
      </c>
      <c r="B294" s="54">
        <v>801</v>
      </c>
      <c r="C294" s="57" t="s">
        <v>163</v>
      </c>
      <c r="D294" s="57" t="s">
        <v>189</v>
      </c>
      <c r="E294" s="54" t="s">
        <v>24</v>
      </c>
      <c r="F294" s="54"/>
      <c r="G294" s="62">
        <f aca="true" t="shared" si="129" ref="G294:H294">G295</f>
        <v>1666.1</v>
      </c>
      <c r="H294" s="62">
        <f t="shared" si="129"/>
        <v>1666.1</v>
      </c>
    </row>
    <row r="295" spans="1:8" ht="33">
      <c r="A295" s="55" t="str">
        <f ca="1">IF(ISERROR(MATCH(E295,Код_КЦСР,0)),"",INDIRECT(ADDRESS(MATCH(E295,Код_КЦСР,0)+1,2,,,"КЦСР")))</f>
        <v>Предоставление социальных выплат на приобретение (строительство) жилья молодыми семьями</v>
      </c>
      <c r="B295" s="54">
        <v>801</v>
      </c>
      <c r="C295" s="57" t="s">
        <v>163</v>
      </c>
      <c r="D295" s="57" t="s">
        <v>189</v>
      </c>
      <c r="E295" s="54" t="s">
        <v>26</v>
      </c>
      <c r="F295" s="54"/>
      <c r="G295" s="62">
        <f aca="true" t="shared" si="130" ref="G295:H296">G296</f>
        <v>1666.1</v>
      </c>
      <c r="H295" s="62">
        <f t="shared" si="130"/>
        <v>1666.1</v>
      </c>
    </row>
    <row r="296" spans="1:8" ht="12.75">
      <c r="A296" s="55" t="str">
        <f ca="1">IF(ISERROR(MATCH(F296,Код_КВР,0)),"",INDIRECT(ADDRESS(MATCH(F296,Код_КВР,0)+1,2,,,"КВР")))</f>
        <v>Социальное обеспечение и иные выплаты населению</v>
      </c>
      <c r="B296" s="54">
        <v>801</v>
      </c>
      <c r="C296" s="57" t="s">
        <v>163</v>
      </c>
      <c r="D296" s="57" t="s">
        <v>189</v>
      </c>
      <c r="E296" s="54" t="s">
        <v>26</v>
      </c>
      <c r="F296" s="54">
        <v>300</v>
      </c>
      <c r="G296" s="62">
        <f t="shared" si="130"/>
        <v>1666.1</v>
      </c>
      <c r="H296" s="62">
        <f t="shared" si="130"/>
        <v>1666.1</v>
      </c>
    </row>
    <row r="297" spans="1:8" ht="33">
      <c r="A297" s="55" t="str">
        <f ca="1">IF(ISERROR(MATCH(F297,Код_КВР,0)),"",INDIRECT(ADDRESS(MATCH(F297,Код_КВР,0)+1,2,,,"КВР")))</f>
        <v>Социальные выплаты гражданам, кроме публичных нормативных социальных выплат</v>
      </c>
      <c r="B297" s="54">
        <v>801</v>
      </c>
      <c r="C297" s="57" t="s">
        <v>163</v>
      </c>
      <c r="D297" s="57" t="s">
        <v>189</v>
      </c>
      <c r="E297" s="54" t="s">
        <v>26</v>
      </c>
      <c r="F297" s="54">
        <v>320</v>
      </c>
      <c r="G297" s="62">
        <v>1666.1</v>
      </c>
      <c r="H297" s="62">
        <v>1666.1</v>
      </c>
    </row>
    <row r="298" spans="1:8" ht="33" customHeight="1">
      <c r="A298" s="55" t="str">
        <f ca="1">IF(ISERROR(MATCH(E298,Код_КЦСР,0)),"",INDIRECT(ADDRESS(MATCH(E298,Код_КЦСР,0)+1,2,,,"КЦСР")))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298" s="54">
        <v>801</v>
      </c>
      <c r="C298" s="57" t="s">
        <v>163</v>
      </c>
      <c r="D298" s="57" t="s">
        <v>189</v>
      </c>
      <c r="E298" s="54" t="s">
        <v>28</v>
      </c>
      <c r="F298" s="54"/>
      <c r="G298" s="62">
        <f aca="true" t="shared" si="131" ref="G298:H298">G299</f>
        <v>11962.5</v>
      </c>
      <c r="H298" s="62">
        <f t="shared" si="131"/>
        <v>14809.9</v>
      </c>
    </row>
    <row r="299" spans="1:8" ht="33">
      <c r="A299" s="55" t="str">
        <f ca="1">IF(ISERROR(MATCH(E299,Код_КЦСР,0)),"",INDIRECT(ADDRESS(MATCH(E299,Код_КЦСР,0)+1,2,,,"КЦСР")))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299" s="54">
        <v>801</v>
      </c>
      <c r="C299" s="57" t="s">
        <v>163</v>
      </c>
      <c r="D299" s="57" t="s">
        <v>189</v>
      </c>
      <c r="E299" s="54" t="s">
        <v>30</v>
      </c>
      <c r="F299" s="54"/>
      <c r="G299" s="62">
        <f aca="true" t="shared" si="132" ref="G299:H300">G300</f>
        <v>11962.5</v>
      </c>
      <c r="H299" s="62">
        <f t="shared" si="132"/>
        <v>14809.9</v>
      </c>
    </row>
    <row r="300" spans="1:8" ht="18.75" customHeight="1">
      <c r="A300" s="55" t="str">
        <f ca="1">IF(ISERROR(MATCH(F300,Код_КВР,0)),"",INDIRECT(ADDRESS(MATCH(F300,Код_КВР,0)+1,2,,,"КВР")))</f>
        <v>Социальное обеспечение и иные выплаты населению</v>
      </c>
      <c r="B300" s="54">
        <v>801</v>
      </c>
      <c r="C300" s="57" t="s">
        <v>163</v>
      </c>
      <c r="D300" s="57" t="s">
        <v>189</v>
      </c>
      <c r="E300" s="54" t="s">
        <v>30</v>
      </c>
      <c r="F300" s="54">
        <v>300</v>
      </c>
      <c r="G300" s="62">
        <f t="shared" si="132"/>
        <v>11962.5</v>
      </c>
      <c r="H300" s="62">
        <f t="shared" si="132"/>
        <v>14809.9</v>
      </c>
    </row>
    <row r="301" spans="1:8" ht="33">
      <c r="A301" s="55" t="str">
        <f ca="1">IF(ISERROR(MATCH(F301,Код_КВР,0)),"",INDIRECT(ADDRESS(MATCH(F301,Код_КВР,0)+1,2,,,"КВР")))</f>
        <v>Социальные выплаты гражданам, кроме публичных нормативных социальных выплат</v>
      </c>
      <c r="B301" s="54">
        <v>801</v>
      </c>
      <c r="C301" s="57" t="s">
        <v>163</v>
      </c>
      <c r="D301" s="57" t="s">
        <v>189</v>
      </c>
      <c r="E301" s="54" t="s">
        <v>30</v>
      </c>
      <c r="F301" s="54">
        <v>320</v>
      </c>
      <c r="G301" s="62">
        <v>11962.5</v>
      </c>
      <c r="H301" s="62">
        <v>14809.9</v>
      </c>
    </row>
    <row r="302" spans="1:8" ht="37.5" customHeight="1">
      <c r="A302" s="55" t="str">
        <f ca="1">IF(ISERROR(MATCH(E302,Код_КЦСР,0)),"",INDIRECT(ADDRESS(MATCH(E302,Код_КЦСР,0)+1,2,,,"КЦСР")))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02" s="54">
        <v>801</v>
      </c>
      <c r="C302" s="57" t="s">
        <v>163</v>
      </c>
      <c r="D302" s="57" t="s">
        <v>189</v>
      </c>
      <c r="E302" s="54" t="s">
        <v>129</v>
      </c>
      <c r="F302" s="54"/>
      <c r="G302" s="62">
        <f aca="true" t="shared" si="133" ref="G302:H305">G303</f>
        <v>50</v>
      </c>
      <c r="H302" s="62">
        <f t="shared" si="133"/>
        <v>50</v>
      </c>
    </row>
    <row r="303" spans="1:8" ht="28.5" customHeight="1">
      <c r="A303" s="55" t="str">
        <f ca="1">IF(ISERROR(MATCH(E303,Код_КЦСР,0)),"",INDIRECT(ADDRESS(MATCH(E303,Код_КЦСР,0)+1,2,,,"КЦСР")))</f>
        <v>Профилактика преступлений и иных правонарушений в городе Череповце</v>
      </c>
      <c r="B303" s="54">
        <v>801</v>
      </c>
      <c r="C303" s="57" t="s">
        <v>163</v>
      </c>
      <c r="D303" s="57" t="s">
        <v>189</v>
      </c>
      <c r="E303" s="54" t="s">
        <v>131</v>
      </c>
      <c r="F303" s="54"/>
      <c r="G303" s="62">
        <f t="shared" si="133"/>
        <v>50</v>
      </c>
      <c r="H303" s="62">
        <f t="shared" si="133"/>
        <v>50</v>
      </c>
    </row>
    <row r="304" spans="1:8" ht="12.75">
      <c r="A304" s="55" t="str">
        <f ca="1">IF(ISERROR(MATCH(E304,Код_КЦСР,0)),"",INDIRECT(ADDRESS(MATCH(E304,Код_КЦСР,0)+1,2,,,"КЦСР")))</f>
        <v>Привлечение общественности к охране общественного порядка</v>
      </c>
      <c r="B304" s="54">
        <v>801</v>
      </c>
      <c r="C304" s="57" t="s">
        <v>163</v>
      </c>
      <c r="D304" s="57" t="s">
        <v>189</v>
      </c>
      <c r="E304" s="54" t="s">
        <v>133</v>
      </c>
      <c r="F304" s="54"/>
      <c r="G304" s="62">
        <f t="shared" si="133"/>
        <v>50</v>
      </c>
      <c r="H304" s="62">
        <f t="shared" si="133"/>
        <v>50</v>
      </c>
    </row>
    <row r="305" spans="1:8" ht="12.75">
      <c r="A305" s="55" t="str">
        <f ca="1">IF(ISERROR(MATCH(F305,Код_КВР,0)),"",INDIRECT(ADDRESS(MATCH(F305,Код_КВР,0)+1,2,,,"КВР")))</f>
        <v>Социальное обеспечение и иные выплаты населению</v>
      </c>
      <c r="B305" s="54">
        <v>801</v>
      </c>
      <c r="C305" s="57" t="s">
        <v>163</v>
      </c>
      <c r="D305" s="57" t="s">
        <v>189</v>
      </c>
      <c r="E305" s="54" t="s">
        <v>133</v>
      </c>
      <c r="F305" s="54">
        <v>300</v>
      </c>
      <c r="G305" s="62">
        <f t="shared" si="133"/>
        <v>50</v>
      </c>
      <c r="H305" s="62">
        <f t="shared" si="133"/>
        <v>50</v>
      </c>
    </row>
    <row r="306" spans="1:8" ht="12.75">
      <c r="A306" s="55" t="str">
        <f ca="1">IF(ISERROR(MATCH(F306,Код_КВР,0)),"",INDIRECT(ADDRESS(MATCH(F306,Код_КВР,0)+1,2,,,"КВР")))</f>
        <v>Иные выплаты населению</v>
      </c>
      <c r="B306" s="54">
        <v>801</v>
      </c>
      <c r="C306" s="57" t="s">
        <v>163</v>
      </c>
      <c r="D306" s="57" t="s">
        <v>189</v>
      </c>
      <c r="E306" s="54" t="s">
        <v>133</v>
      </c>
      <c r="F306" s="54">
        <v>360</v>
      </c>
      <c r="G306" s="61">
        <v>50</v>
      </c>
      <c r="H306" s="61">
        <v>50</v>
      </c>
    </row>
    <row r="307" spans="1:8" ht="12.75">
      <c r="A307" s="55" t="str">
        <f ca="1">IF(ISERROR(MATCH(C307,Код_Раздел,0)),"",INDIRECT(ADDRESS(MATCH(C307,Код_Раздел,0)+1,2,,,"Раздел")))</f>
        <v>Средства массовой информации</v>
      </c>
      <c r="B307" s="54">
        <v>801</v>
      </c>
      <c r="C307" s="57" t="s">
        <v>171</v>
      </c>
      <c r="D307" s="57"/>
      <c r="E307" s="54"/>
      <c r="F307" s="54"/>
      <c r="G307" s="62">
        <f aca="true" t="shared" si="134" ref="G307:H307">G308</f>
        <v>45073.6</v>
      </c>
      <c r="H307" s="62">
        <f t="shared" si="134"/>
        <v>45106.399999999994</v>
      </c>
    </row>
    <row r="308" spans="1:8" ht="12.75">
      <c r="A308" s="59" t="s">
        <v>173</v>
      </c>
      <c r="B308" s="54">
        <v>801</v>
      </c>
      <c r="C308" s="57" t="s">
        <v>171</v>
      </c>
      <c r="D308" s="57" t="s">
        <v>188</v>
      </c>
      <c r="E308" s="54"/>
      <c r="F308" s="54"/>
      <c r="G308" s="62">
        <f aca="true" t="shared" si="135" ref="G308:H308">G309+G314</f>
        <v>45073.6</v>
      </c>
      <c r="H308" s="62">
        <f t="shared" si="135"/>
        <v>45106.399999999994</v>
      </c>
    </row>
    <row r="309" spans="1:8" ht="40.15" customHeight="1" hidden="1">
      <c r="A309" s="55" t="str">
        <f ca="1">IF(ISERROR(MATCH(E309,Код_КЦСР,0)),"",INDIRECT(ADDRESS(MATCH(E309,Код_КЦСР,0)+1,2,,,"КЦСР")))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09" s="54">
        <v>801</v>
      </c>
      <c r="C309" s="57" t="s">
        <v>171</v>
      </c>
      <c r="D309" s="57" t="s">
        <v>188</v>
      </c>
      <c r="E309" s="54" t="s">
        <v>75</v>
      </c>
      <c r="F309" s="54"/>
      <c r="G309" s="62">
        <f aca="true" t="shared" si="136" ref="G309:H312">G310</f>
        <v>0</v>
      </c>
      <c r="H309" s="62">
        <f t="shared" si="136"/>
        <v>0</v>
      </c>
    </row>
    <row r="310" spans="1:8" ht="24.75" customHeight="1" hidden="1">
      <c r="A310" s="55" t="str">
        <f ca="1">IF(ISERROR(MATCH(E310,Код_КЦСР,0)),"",INDIRECT(ADDRESS(MATCH(E310,Код_КЦСР,0)+1,2,,,"КЦСР")))</f>
        <v>Обеспечение пожарной безопасности муниципальных учреждений города</v>
      </c>
      <c r="B310" s="54">
        <v>801</v>
      </c>
      <c r="C310" s="57" t="s">
        <v>171</v>
      </c>
      <c r="D310" s="57" t="s">
        <v>188</v>
      </c>
      <c r="E310" s="54" t="s">
        <v>77</v>
      </c>
      <c r="F310" s="54"/>
      <c r="G310" s="62">
        <f t="shared" si="136"/>
        <v>0</v>
      </c>
      <c r="H310" s="62">
        <f t="shared" si="136"/>
        <v>0</v>
      </c>
    </row>
    <row r="311" spans="1:8" ht="49.5" hidden="1">
      <c r="A311" s="55" t="str">
        <f ca="1">IF(ISERROR(MATCH(E311,Код_КЦСР,0)),"",INDIRECT(ADDRESS(MATCH(E311,Код_КЦСР,0)+1,2,,,"КЦСР")))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11" s="54">
        <v>801</v>
      </c>
      <c r="C311" s="57" t="s">
        <v>171</v>
      </c>
      <c r="D311" s="57" t="s">
        <v>188</v>
      </c>
      <c r="E311" s="54" t="s">
        <v>79</v>
      </c>
      <c r="F311" s="54"/>
      <c r="G311" s="62">
        <f t="shared" si="136"/>
        <v>0</v>
      </c>
      <c r="H311" s="62">
        <f t="shared" si="136"/>
        <v>0</v>
      </c>
    </row>
    <row r="312" spans="1:8" ht="12.75" hidden="1">
      <c r="A312" s="55" t="str">
        <f aca="true" t="shared" si="137" ref="A312:A313">IF(ISERROR(MATCH(F312,Код_КВР,0)),"",INDIRECT(ADDRESS(MATCH(F312,Код_КВР,0)+1,2,,,"КВР")))</f>
        <v>Закупка товаров, работ и услуг для муниципальных нужд</v>
      </c>
      <c r="B312" s="54">
        <v>801</v>
      </c>
      <c r="C312" s="57" t="s">
        <v>171</v>
      </c>
      <c r="D312" s="57" t="s">
        <v>188</v>
      </c>
      <c r="E312" s="54" t="s">
        <v>79</v>
      </c>
      <c r="F312" s="54">
        <v>200</v>
      </c>
      <c r="G312" s="62">
        <f t="shared" si="136"/>
        <v>0</v>
      </c>
      <c r="H312" s="62">
        <f t="shared" si="136"/>
        <v>0</v>
      </c>
    </row>
    <row r="313" spans="1:8" ht="33" hidden="1">
      <c r="A313" s="55" t="str">
        <f ca="1" t="shared" si="137"/>
        <v>Иные закупки товаров, работ и услуг для обеспечения муниципальных нужд</v>
      </c>
      <c r="B313" s="54">
        <v>801</v>
      </c>
      <c r="C313" s="57" t="s">
        <v>171</v>
      </c>
      <c r="D313" s="57" t="s">
        <v>188</v>
      </c>
      <c r="E313" s="54" t="s">
        <v>79</v>
      </c>
      <c r="F313" s="54">
        <v>240</v>
      </c>
      <c r="G313" s="62"/>
      <c r="H313" s="62"/>
    </row>
    <row r="314" spans="1:8" ht="49.5">
      <c r="A314" s="55" t="str">
        <f ca="1">IF(ISERROR(MATCH(E314,Код_КЦСР,0)),"",INDIRECT(ADDRESS(MATCH(E314,Код_КЦСР,0)+1,2,,,"КЦСР")))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314" s="54">
        <v>801</v>
      </c>
      <c r="C314" s="57" t="s">
        <v>171</v>
      </c>
      <c r="D314" s="57" t="s">
        <v>188</v>
      </c>
      <c r="E314" s="54" t="s">
        <v>121</v>
      </c>
      <c r="F314" s="54"/>
      <c r="G314" s="62">
        <f aca="true" t="shared" si="138" ref="G314:H314">G315+G322</f>
        <v>45073.6</v>
      </c>
      <c r="H314" s="62">
        <f t="shared" si="138"/>
        <v>45106.399999999994</v>
      </c>
    </row>
    <row r="315" spans="1:8" ht="66">
      <c r="A315" s="55" t="str">
        <f ca="1">IF(ISERROR(MATCH(E315,Код_КЦСР,0)),"",INDIRECT(ADDRESS(MATCH(E315,Код_КЦСР,0)+1,2,,,"КЦСР")))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315" s="54">
        <v>801</v>
      </c>
      <c r="C315" s="57" t="s">
        <v>171</v>
      </c>
      <c r="D315" s="57" t="s">
        <v>188</v>
      </c>
      <c r="E315" s="54" t="s">
        <v>126</v>
      </c>
      <c r="F315" s="54"/>
      <c r="G315" s="62">
        <f aca="true" t="shared" si="139" ref="G315:H315">G316+G318+G320</f>
        <v>24168.8</v>
      </c>
      <c r="H315" s="62">
        <f t="shared" si="139"/>
        <v>24201.6</v>
      </c>
    </row>
    <row r="316" spans="1:8" ht="37.5" customHeight="1">
      <c r="A316" s="55" t="str">
        <f aca="true" t="shared" si="140" ref="A316:A321">IF(ISERROR(MATCH(F316,Код_КВР,0)),"",INDIRECT(ADDRESS(MATCH(F316,Код_КВР,0)+1,2,,,"КВР")))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6" s="54">
        <v>801</v>
      </c>
      <c r="C316" s="57" t="s">
        <v>171</v>
      </c>
      <c r="D316" s="57" t="s">
        <v>188</v>
      </c>
      <c r="E316" s="54" t="s">
        <v>126</v>
      </c>
      <c r="F316" s="54">
        <v>100</v>
      </c>
      <c r="G316" s="62">
        <f aca="true" t="shared" si="141" ref="G316:H316">G317</f>
        <v>19153.1</v>
      </c>
      <c r="H316" s="62">
        <f t="shared" si="141"/>
        <v>19153.1</v>
      </c>
    </row>
    <row r="317" spans="1:8" ht="12.75">
      <c r="A317" s="55" t="str">
        <f ca="1" t="shared" si="140"/>
        <v>Расходы на выплаты персоналу казенных учреждений</v>
      </c>
      <c r="B317" s="54">
        <v>801</v>
      </c>
      <c r="C317" s="57" t="s">
        <v>171</v>
      </c>
      <c r="D317" s="57" t="s">
        <v>188</v>
      </c>
      <c r="E317" s="54" t="s">
        <v>126</v>
      </c>
      <c r="F317" s="54">
        <v>110</v>
      </c>
      <c r="G317" s="62">
        <f aca="true" t="shared" si="142" ref="G317:H317">18988.1+165</f>
        <v>19153.1</v>
      </c>
      <c r="H317" s="62">
        <f t="shared" si="142"/>
        <v>19153.1</v>
      </c>
    </row>
    <row r="318" spans="1:8" ht="12.75">
      <c r="A318" s="55" t="str">
        <f ca="1" t="shared" si="140"/>
        <v>Закупка товаров, работ и услуг для муниципальных нужд</v>
      </c>
      <c r="B318" s="54">
        <v>801</v>
      </c>
      <c r="C318" s="57" t="s">
        <v>171</v>
      </c>
      <c r="D318" s="57" t="s">
        <v>188</v>
      </c>
      <c r="E318" s="54" t="s">
        <v>126</v>
      </c>
      <c r="F318" s="54">
        <v>200</v>
      </c>
      <c r="G318" s="62">
        <f aca="true" t="shared" si="143" ref="G318:H318">G319</f>
        <v>4432.5</v>
      </c>
      <c r="H318" s="62">
        <f t="shared" si="143"/>
        <v>4471.1</v>
      </c>
    </row>
    <row r="319" spans="1:8" ht="33">
      <c r="A319" s="55" t="str">
        <f ca="1" t="shared" si="140"/>
        <v>Иные закупки товаров, работ и услуг для обеспечения муниципальных нужд</v>
      </c>
      <c r="B319" s="54">
        <v>801</v>
      </c>
      <c r="C319" s="57" t="s">
        <v>171</v>
      </c>
      <c r="D319" s="57" t="s">
        <v>188</v>
      </c>
      <c r="E319" s="54" t="s">
        <v>126</v>
      </c>
      <c r="F319" s="54">
        <v>240</v>
      </c>
      <c r="G319" s="61">
        <v>4432.5</v>
      </c>
      <c r="H319" s="61">
        <v>4471.1</v>
      </c>
    </row>
    <row r="320" spans="1:8" ht="12.75">
      <c r="A320" s="55" t="str">
        <f ca="1" t="shared" si="140"/>
        <v>Иные бюджетные ассигнования</v>
      </c>
      <c r="B320" s="54">
        <v>801</v>
      </c>
      <c r="C320" s="57" t="s">
        <v>171</v>
      </c>
      <c r="D320" s="57" t="s">
        <v>188</v>
      </c>
      <c r="E320" s="54" t="s">
        <v>126</v>
      </c>
      <c r="F320" s="54">
        <v>800</v>
      </c>
      <c r="G320" s="62">
        <f aca="true" t="shared" si="144" ref="G320:H320">G321</f>
        <v>583.2</v>
      </c>
      <c r="H320" s="62">
        <f t="shared" si="144"/>
        <v>577.4</v>
      </c>
    </row>
    <row r="321" spans="1:8" ht="12.75">
      <c r="A321" s="55" t="str">
        <f ca="1" t="shared" si="140"/>
        <v>Уплата налогов, сборов и иных платежей</v>
      </c>
      <c r="B321" s="54">
        <v>801</v>
      </c>
      <c r="C321" s="57" t="s">
        <v>171</v>
      </c>
      <c r="D321" s="57" t="s">
        <v>188</v>
      </c>
      <c r="E321" s="54" t="s">
        <v>126</v>
      </c>
      <c r="F321" s="54">
        <v>850</v>
      </c>
      <c r="G321" s="62">
        <f>125.9+445.3+12</f>
        <v>583.2</v>
      </c>
      <c r="H321" s="62">
        <f>120.1+445.3+12</f>
        <v>577.4</v>
      </c>
    </row>
    <row r="322" spans="1:8" ht="49.5">
      <c r="A322" s="55" t="str">
        <f ca="1">IF(ISERROR(MATCH(E322,Код_КЦСР,0)),"",INDIRECT(ADDRESS(MATCH(E322,Код_КЦСР,0)+1,2,,,"КЦСР")))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2" s="54">
        <v>801</v>
      </c>
      <c r="C322" s="57" t="s">
        <v>171</v>
      </c>
      <c r="D322" s="57" t="s">
        <v>188</v>
      </c>
      <c r="E322" s="54" t="s">
        <v>127</v>
      </c>
      <c r="F322" s="54"/>
      <c r="G322" s="62">
        <f aca="true" t="shared" si="145" ref="G322:H323">G323</f>
        <v>20904.8</v>
      </c>
      <c r="H322" s="62">
        <f t="shared" si="145"/>
        <v>20904.8</v>
      </c>
    </row>
    <row r="323" spans="1:8" ht="12.75">
      <c r="A323" s="55" t="str">
        <f ca="1">IF(ISERROR(MATCH(F323,Код_КВР,0)),"",INDIRECT(ADDRESS(MATCH(F323,Код_КВР,0)+1,2,,,"КВР")))</f>
        <v>Закупка товаров, работ и услуг для муниципальных нужд</v>
      </c>
      <c r="B323" s="54">
        <v>801</v>
      </c>
      <c r="C323" s="57" t="s">
        <v>171</v>
      </c>
      <c r="D323" s="57" t="s">
        <v>188</v>
      </c>
      <c r="E323" s="54" t="s">
        <v>127</v>
      </c>
      <c r="F323" s="54">
        <v>200</v>
      </c>
      <c r="G323" s="62">
        <f t="shared" si="145"/>
        <v>20904.8</v>
      </c>
      <c r="H323" s="62">
        <f t="shared" si="145"/>
        <v>20904.8</v>
      </c>
    </row>
    <row r="324" spans="1:8" ht="33">
      <c r="A324" s="55" t="str">
        <f ca="1">IF(ISERROR(MATCH(F324,Код_КВР,0)),"",INDIRECT(ADDRESS(MATCH(F324,Код_КВР,0)+1,2,,,"КВР")))</f>
        <v>Иные закупки товаров, работ и услуг для обеспечения муниципальных нужд</v>
      </c>
      <c r="B324" s="54">
        <v>801</v>
      </c>
      <c r="C324" s="57" t="s">
        <v>171</v>
      </c>
      <c r="D324" s="57" t="s">
        <v>188</v>
      </c>
      <c r="E324" s="54" t="s">
        <v>127</v>
      </c>
      <c r="F324" s="54">
        <v>240</v>
      </c>
      <c r="G324" s="62">
        <v>20904.8</v>
      </c>
      <c r="H324" s="62">
        <v>20904.8</v>
      </c>
    </row>
    <row r="325" spans="1:8" ht="12.75">
      <c r="A325" s="55" t="str">
        <f ca="1">IF(ISERROR(MATCH(B325,Код_ППП,0)),"",INDIRECT(ADDRESS(MATCH(B325,Код_ППП,0)+1,2,,,"ППП")))</f>
        <v>ЧЕРЕПОВЕЦКАЯ ГОРОДСКАЯ ДУМА</v>
      </c>
      <c r="B325" s="54">
        <v>802</v>
      </c>
      <c r="C325" s="57"/>
      <c r="D325" s="57"/>
      <c r="E325" s="54"/>
      <c r="F325" s="54"/>
      <c r="G325" s="62">
        <f aca="true" t="shared" si="146" ref="G325:H329">G326</f>
        <v>17770.5</v>
      </c>
      <c r="H325" s="62">
        <f t="shared" si="146"/>
        <v>17770.5</v>
      </c>
    </row>
    <row r="326" spans="1:8" ht="12.75">
      <c r="A326" s="55" t="str">
        <f ca="1">IF(ISERROR(MATCH(C326,Код_Раздел,0)),"",INDIRECT(ADDRESS(MATCH(C326,Код_Раздел,0)+1,2,,,"Раздел")))</f>
        <v>Общегосударственные  вопросы</v>
      </c>
      <c r="B326" s="54">
        <v>802</v>
      </c>
      <c r="C326" s="57" t="s">
        <v>187</v>
      </c>
      <c r="D326" s="57"/>
      <c r="E326" s="54"/>
      <c r="F326" s="54"/>
      <c r="G326" s="62">
        <f t="shared" si="146"/>
        <v>17770.5</v>
      </c>
      <c r="H326" s="62">
        <f t="shared" si="146"/>
        <v>17770.5</v>
      </c>
    </row>
    <row r="327" spans="1:8" ht="49.5">
      <c r="A327" s="59" t="s">
        <v>144</v>
      </c>
      <c r="B327" s="54">
        <v>802</v>
      </c>
      <c r="C327" s="57" t="s">
        <v>187</v>
      </c>
      <c r="D327" s="57" t="s">
        <v>189</v>
      </c>
      <c r="E327" s="54"/>
      <c r="F327" s="54"/>
      <c r="G327" s="62">
        <f t="shared" si="146"/>
        <v>17770.5</v>
      </c>
      <c r="H327" s="62">
        <f t="shared" si="146"/>
        <v>17770.5</v>
      </c>
    </row>
    <row r="328" spans="1:8" ht="33">
      <c r="A328" s="55" t="str">
        <f ca="1">IF(ISERROR(MATCH(E328,Код_КЦСР,0)),"",INDIRECT(ADDRESS(MATCH(E328,Код_КЦСР,0)+1,2,,,"КЦСР")))</f>
        <v>Непрограммные направления деятельности органов местного самоуправления</v>
      </c>
      <c r="B328" s="54">
        <v>802</v>
      </c>
      <c r="C328" s="57" t="s">
        <v>187</v>
      </c>
      <c r="D328" s="57" t="s">
        <v>189</v>
      </c>
      <c r="E328" s="54" t="s">
        <v>264</v>
      </c>
      <c r="F328" s="54"/>
      <c r="G328" s="62">
        <f t="shared" si="146"/>
        <v>17770.5</v>
      </c>
      <c r="H328" s="62">
        <f t="shared" si="146"/>
        <v>17770.5</v>
      </c>
    </row>
    <row r="329" spans="1:8" ht="12.75">
      <c r="A329" s="55" t="str">
        <f ca="1">IF(ISERROR(MATCH(E329,Код_КЦСР,0)),"",INDIRECT(ADDRESS(MATCH(E329,Код_КЦСР,0)+1,2,,,"КЦСР")))</f>
        <v>Расходы, не включенные в муниципальные программы города Череповца</v>
      </c>
      <c r="B329" s="54">
        <v>802</v>
      </c>
      <c r="C329" s="57" t="s">
        <v>187</v>
      </c>
      <c r="D329" s="57" t="s">
        <v>189</v>
      </c>
      <c r="E329" s="54" t="s">
        <v>266</v>
      </c>
      <c r="F329" s="54"/>
      <c r="G329" s="62">
        <f t="shared" si="146"/>
        <v>17770.5</v>
      </c>
      <c r="H329" s="62">
        <f t="shared" si="146"/>
        <v>17770.5</v>
      </c>
    </row>
    <row r="330" spans="1:8" ht="33">
      <c r="A330" s="55" t="str">
        <f ca="1">IF(ISERROR(MATCH(E330,Код_КЦСР,0)),"",INDIRECT(ADDRESS(MATCH(E330,Код_КЦСР,0)+1,2,,,"КЦСР")))</f>
        <v>Руководство и управление в сфере установленных функций органов местного самоуправления</v>
      </c>
      <c r="B330" s="54">
        <v>802</v>
      </c>
      <c r="C330" s="57" t="s">
        <v>187</v>
      </c>
      <c r="D330" s="57" t="s">
        <v>189</v>
      </c>
      <c r="E330" s="54" t="s">
        <v>268</v>
      </c>
      <c r="F330" s="54"/>
      <c r="G330" s="62">
        <f aca="true" t="shared" si="147" ref="G330:H330">G331+G338+G341</f>
        <v>17770.5</v>
      </c>
      <c r="H330" s="62">
        <f t="shared" si="147"/>
        <v>17770.5</v>
      </c>
    </row>
    <row r="331" spans="1:8" ht="12.75">
      <c r="A331" s="55" t="str">
        <f ca="1">IF(ISERROR(MATCH(E331,Код_КЦСР,0)),"",INDIRECT(ADDRESS(MATCH(E331,Код_КЦСР,0)+1,2,,,"КЦСР")))</f>
        <v>Центральный аппарат</v>
      </c>
      <c r="B331" s="54">
        <v>802</v>
      </c>
      <c r="C331" s="57" t="s">
        <v>187</v>
      </c>
      <c r="D331" s="57" t="s">
        <v>189</v>
      </c>
      <c r="E331" s="54" t="s">
        <v>271</v>
      </c>
      <c r="F331" s="54"/>
      <c r="G331" s="62">
        <f aca="true" t="shared" si="148" ref="G331:H331">G332+G334+G336</f>
        <v>11794.199999999999</v>
      </c>
      <c r="H331" s="62">
        <f t="shared" si="148"/>
        <v>11794.199999999999</v>
      </c>
    </row>
    <row r="332" spans="1:8" ht="33">
      <c r="A332" s="55" t="str">
        <f aca="true" t="shared" si="149" ref="A332:A337">IF(ISERROR(MATCH(F332,Код_КВР,0)),"",INDIRECT(ADDRESS(MATCH(F332,Код_КВР,0)+1,2,,,"КВР")))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2" s="54">
        <v>802</v>
      </c>
      <c r="C332" s="57" t="s">
        <v>187</v>
      </c>
      <c r="D332" s="57" t="s">
        <v>189</v>
      </c>
      <c r="E332" s="54" t="s">
        <v>271</v>
      </c>
      <c r="F332" s="54">
        <v>100</v>
      </c>
      <c r="G332" s="62">
        <f aca="true" t="shared" si="150" ref="G332:H332">G333</f>
        <v>10877.8</v>
      </c>
      <c r="H332" s="62">
        <f t="shared" si="150"/>
        <v>10877.8</v>
      </c>
    </row>
    <row r="333" spans="1:8" ht="12.75">
      <c r="A333" s="55" t="str">
        <f ca="1" t="shared" si="149"/>
        <v>Расходы на выплаты персоналу муниципальных органов</v>
      </c>
      <c r="B333" s="54">
        <v>802</v>
      </c>
      <c r="C333" s="57" t="s">
        <v>187</v>
      </c>
      <c r="D333" s="57" t="s">
        <v>189</v>
      </c>
      <c r="E333" s="54" t="s">
        <v>271</v>
      </c>
      <c r="F333" s="54">
        <v>120</v>
      </c>
      <c r="G333" s="61">
        <f aca="true" t="shared" si="151" ref="G333:H333">10464+413.8</f>
        <v>10877.8</v>
      </c>
      <c r="H333" s="61">
        <f t="shared" si="151"/>
        <v>10877.8</v>
      </c>
    </row>
    <row r="334" spans="1:8" ht="12.75">
      <c r="A334" s="55" t="str">
        <f ca="1" t="shared" si="149"/>
        <v>Закупка товаров, работ и услуг для муниципальных нужд</v>
      </c>
      <c r="B334" s="54">
        <v>802</v>
      </c>
      <c r="C334" s="57" t="s">
        <v>187</v>
      </c>
      <c r="D334" s="57" t="s">
        <v>189</v>
      </c>
      <c r="E334" s="54" t="s">
        <v>271</v>
      </c>
      <c r="F334" s="54">
        <v>200</v>
      </c>
      <c r="G334" s="62">
        <f aca="true" t="shared" si="152" ref="G334:H334">G335</f>
        <v>914</v>
      </c>
      <c r="H334" s="62">
        <f t="shared" si="152"/>
        <v>914</v>
      </c>
    </row>
    <row r="335" spans="1:8" ht="33">
      <c r="A335" s="55" t="str">
        <f ca="1" t="shared" si="149"/>
        <v>Иные закупки товаров, работ и услуг для обеспечения муниципальных нужд</v>
      </c>
      <c r="B335" s="54">
        <v>802</v>
      </c>
      <c r="C335" s="57" t="s">
        <v>187</v>
      </c>
      <c r="D335" s="57" t="s">
        <v>189</v>
      </c>
      <c r="E335" s="54" t="s">
        <v>271</v>
      </c>
      <c r="F335" s="54">
        <v>240</v>
      </c>
      <c r="G335" s="61">
        <v>914</v>
      </c>
      <c r="H335" s="61">
        <v>914</v>
      </c>
    </row>
    <row r="336" spans="1:8" ht="12.75">
      <c r="A336" s="55" t="str">
        <f ca="1" t="shared" si="149"/>
        <v>Иные бюджетные ассигнования</v>
      </c>
      <c r="B336" s="54">
        <v>802</v>
      </c>
      <c r="C336" s="57" t="s">
        <v>187</v>
      </c>
      <c r="D336" s="57" t="s">
        <v>189</v>
      </c>
      <c r="E336" s="54" t="s">
        <v>271</v>
      </c>
      <c r="F336" s="54">
        <v>800</v>
      </c>
      <c r="G336" s="62">
        <f aca="true" t="shared" si="153" ref="G336:H336">G337</f>
        <v>2.4</v>
      </c>
      <c r="H336" s="62">
        <f t="shared" si="153"/>
        <v>2.4</v>
      </c>
    </row>
    <row r="337" spans="1:8" ht="12.75">
      <c r="A337" s="55" t="str">
        <f ca="1" t="shared" si="149"/>
        <v>Уплата налогов, сборов и иных платежей</v>
      </c>
      <c r="B337" s="54">
        <v>802</v>
      </c>
      <c r="C337" s="57" t="s">
        <v>187</v>
      </c>
      <c r="D337" s="57" t="s">
        <v>189</v>
      </c>
      <c r="E337" s="54" t="s">
        <v>271</v>
      </c>
      <c r="F337" s="54">
        <v>850</v>
      </c>
      <c r="G337" s="62">
        <v>2.4</v>
      </c>
      <c r="H337" s="62">
        <v>2.4</v>
      </c>
    </row>
    <row r="338" spans="1:8" ht="21.95" customHeight="1">
      <c r="A338" s="55" t="str">
        <f ca="1">IF(ISERROR(MATCH(E338,Код_КЦСР,0)),"",INDIRECT(ADDRESS(MATCH(E338,Код_КЦСР,0)+1,2,,,"КЦСР")))</f>
        <v>Председатель представительного органа муниципального образования</v>
      </c>
      <c r="B338" s="54">
        <v>802</v>
      </c>
      <c r="C338" s="57" t="s">
        <v>187</v>
      </c>
      <c r="D338" s="57" t="s">
        <v>189</v>
      </c>
      <c r="E338" s="54" t="s">
        <v>272</v>
      </c>
      <c r="F338" s="54"/>
      <c r="G338" s="62">
        <f aca="true" t="shared" si="154" ref="G338:H339">G339</f>
        <v>2239.4</v>
      </c>
      <c r="H338" s="62">
        <f t="shared" si="154"/>
        <v>2239.4</v>
      </c>
    </row>
    <row r="339" spans="1:8" ht="33">
      <c r="A339" s="55" t="str">
        <f ca="1">IF(ISERROR(MATCH(F339,Код_КВР,0)),"",INDIRECT(ADDRESS(MATCH(F339,Код_КВР,0)+1,2,,,"КВР")))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9" s="54">
        <v>802</v>
      </c>
      <c r="C339" s="57" t="s">
        <v>187</v>
      </c>
      <c r="D339" s="57" t="s">
        <v>189</v>
      </c>
      <c r="E339" s="54" t="s">
        <v>272</v>
      </c>
      <c r="F339" s="54">
        <v>100</v>
      </c>
      <c r="G339" s="62">
        <f t="shared" si="154"/>
        <v>2239.4</v>
      </c>
      <c r="H339" s="62">
        <f t="shared" si="154"/>
        <v>2239.4</v>
      </c>
    </row>
    <row r="340" spans="1:8" ht="12.75">
      <c r="A340" s="55" t="str">
        <f ca="1">IF(ISERROR(MATCH(F340,Код_КВР,0)),"",INDIRECT(ADDRESS(MATCH(F340,Код_КВР,0)+1,2,,,"КВР")))</f>
        <v>Расходы на выплаты персоналу муниципальных органов</v>
      </c>
      <c r="B340" s="54">
        <v>802</v>
      </c>
      <c r="C340" s="57" t="s">
        <v>187</v>
      </c>
      <c r="D340" s="57" t="s">
        <v>189</v>
      </c>
      <c r="E340" s="54" t="s">
        <v>272</v>
      </c>
      <c r="F340" s="54">
        <v>120</v>
      </c>
      <c r="G340" s="61">
        <f aca="true" t="shared" si="155" ref="G340:H340">2239.4</f>
        <v>2239.4</v>
      </c>
      <c r="H340" s="61">
        <f t="shared" si="155"/>
        <v>2239.4</v>
      </c>
    </row>
    <row r="341" spans="1:8" ht="12.75">
      <c r="A341" s="55" t="str">
        <f ca="1">IF(ISERROR(MATCH(E341,Код_КЦСР,0)),"",INDIRECT(ADDRESS(MATCH(E341,Код_КЦСР,0)+1,2,,,"КЦСР")))</f>
        <v>Депутаты представительного органа муниципального образования</v>
      </c>
      <c r="B341" s="54">
        <v>802</v>
      </c>
      <c r="C341" s="57" t="s">
        <v>187</v>
      </c>
      <c r="D341" s="57" t="s">
        <v>189</v>
      </c>
      <c r="E341" s="54" t="s">
        <v>273</v>
      </c>
      <c r="F341" s="54"/>
      <c r="G341" s="62">
        <f aca="true" t="shared" si="156" ref="G341:H342">G342</f>
        <v>3736.9</v>
      </c>
      <c r="H341" s="62">
        <f t="shared" si="156"/>
        <v>3736.9</v>
      </c>
    </row>
    <row r="342" spans="1:8" ht="33">
      <c r="A342" s="55" t="str">
        <f ca="1">IF(ISERROR(MATCH(F342,Код_КВР,0)),"",INDIRECT(ADDRESS(MATCH(F342,Код_КВР,0)+1,2,,,"КВР")))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2" s="54">
        <v>802</v>
      </c>
      <c r="C342" s="57" t="s">
        <v>187</v>
      </c>
      <c r="D342" s="57" t="s">
        <v>189</v>
      </c>
      <c r="E342" s="54" t="s">
        <v>273</v>
      </c>
      <c r="F342" s="54">
        <v>100</v>
      </c>
      <c r="G342" s="62">
        <f t="shared" si="156"/>
        <v>3736.9</v>
      </c>
      <c r="H342" s="62">
        <f t="shared" si="156"/>
        <v>3736.9</v>
      </c>
    </row>
    <row r="343" spans="1:8" ht="12.75">
      <c r="A343" s="55" t="str">
        <f ca="1">IF(ISERROR(MATCH(F343,Код_КВР,0)),"",INDIRECT(ADDRESS(MATCH(F343,Код_КВР,0)+1,2,,,"КВР")))</f>
        <v>Расходы на выплаты персоналу муниципальных органов</v>
      </c>
      <c r="B343" s="54">
        <v>802</v>
      </c>
      <c r="C343" s="57" t="s">
        <v>187</v>
      </c>
      <c r="D343" s="57" t="s">
        <v>189</v>
      </c>
      <c r="E343" s="54" t="s">
        <v>273</v>
      </c>
      <c r="F343" s="54">
        <v>120</v>
      </c>
      <c r="G343" s="61">
        <f aca="true" t="shared" si="157" ref="G343:H343">1843.9+1893</f>
        <v>3736.9</v>
      </c>
      <c r="H343" s="61">
        <f t="shared" si="157"/>
        <v>3736.9</v>
      </c>
    </row>
    <row r="344" spans="1:8" ht="33">
      <c r="A344" s="55" t="str">
        <f ca="1">IF(ISERROR(MATCH(B344,Код_ППП,0)),"",INDIRECT(ADDRESS(MATCH(B344,Код_ППП,0)+1,2,,,"ППП")))</f>
        <v>ДЕПАРТАМЕНТ ЖИЛИЩНО-КОММУНАЛЬНОГО ХОЗЯЙСТВА МЭРИИ ГОРОДА</v>
      </c>
      <c r="B344" s="54">
        <v>803</v>
      </c>
      <c r="C344" s="57"/>
      <c r="D344" s="57"/>
      <c r="E344" s="54"/>
      <c r="F344" s="54"/>
      <c r="G344" s="62">
        <f>G345+G352+G392+G434+G440+G447</f>
        <v>666439.4</v>
      </c>
      <c r="H344" s="62">
        <f>H345+H352+H392+H434+H440+H447</f>
        <v>656740.5</v>
      </c>
    </row>
    <row r="345" spans="1:8" ht="12.75">
      <c r="A345" s="55" t="str">
        <f ca="1">IF(ISERROR(MATCH(C345,Код_Раздел,0)),"",INDIRECT(ADDRESS(MATCH(C345,Код_Раздел,0)+1,2,,,"Раздел")))</f>
        <v>Общегосударственные  вопросы</v>
      </c>
      <c r="B345" s="54">
        <v>803</v>
      </c>
      <c r="C345" s="57" t="s">
        <v>187</v>
      </c>
      <c r="D345" s="57"/>
      <c r="E345" s="54"/>
      <c r="F345" s="54"/>
      <c r="G345" s="62">
        <f aca="true" t="shared" si="158" ref="G345:H350">G346</f>
        <v>360</v>
      </c>
      <c r="H345" s="62">
        <f t="shared" si="158"/>
        <v>360</v>
      </c>
    </row>
    <row r="346" spans="1:8" ht="12.75">
      <c r="A346" s="59" t="s">
        <v>209</v>
      </c>
      <c r="B346" s="54">
        <v>803</v>
      </c>
      <c r="C346" s="57" t="s">
        <v>187</v>
      </c>
      <c r="D346" s="57" t="s">
        <v>165</v>
      </c>
      <c r="E346" s="54"/>
      <c r="F346" s="54"/>
      <c r="G346" s="62">
        <f t="shared" si="158"/>
        <v>360</v>
      </c>
      <c r="H346" s="62">
        <f t="shared" si="158"/>
        <v>360</v>
      </c>
    </row>
    <row r="347" spans="1:8" ht="33">
      <c r="A347" s="55" t="str">
        <f ca="1">IF(ISERROR(MATCH(E347,Код_КЦСР,0)),"",INDIRECT(ADDRESS(MATCH(E347,Код_КЦСР,0)+1,2,,,"КЦСР")))</f>
        <v>Муниципальная программа «Развитие жилищно-коммунального хозяйства города Череповца» на 2014-2018 годы</v>
      </c>
      <c r="B347" s="54">
        <v>803</v>
      </c>
      <c r="C347" s="57" t="s">
        <v>187</v>
      </c>
      <c r="D347" s="57" t="s">
        <v>165</v>
      </c>
      <c r="E347" s="54" t="s">
        <v>44</v>
      </c>
      <c r="F347" s="54"/>
      <c r="G347" s="62">
        <f t="shared" si="158"/>
        <v>360</v>
      </c>
      <c r="H347" s="62">
        <f t="shared" si="158"/>
        <v>360</v>
      </c>
    </row>
    <row r="348" spans="1:8" ht="12.75">
      <c r="A348" s="55" t="str">
        <f ca="1">IF(ISERROR(MATCH(E348,Код_КЦСР,0)),"",INDIRECT(ADDRESS(MATCH(E348,Код_КЦСР,0)+1,2,,,"КЦСР")))</f>
        <v>Развитие благоустройства города</v>
      </c>
      <c r="B348" s="54">
        <v>803</v>
      </c>
      <c r="C348" s="57" t="s">
        <v>187</v>
      </c>
      <c r="D348" s="57" t="s">
        <v>165</v>
      </c>
      <c r="E348" s="54" t="s">
        <v>45</v>
      </c>
      <c r="F348" s="54"/>
      <c r="G348" s="62">
        <f t="shared" si="158"/>
        <v>360</v>
      </c>
      <c r="H348" s="62">
        <f t="shared" si="158"/>
        <v>360</v>
      </c>
    </row>
    <row r="349" spans="1:8" ht="33">
      <c r="A349" s="55" t="str">
        <f ca="1">IF(ISERROR(MATCH(E349,Код_КЦСР,0)),"",INDIRECT(ADDRESS(MATCH(E349,Код_КЦСР,0)+1,2,,,"КЦСР")))</f>
        <v>Мероприятия по решению общегосударственных вопросов и вопросов в области национальной политики</v>
      </c>
      <c r="B349" s="54">
        <v>803</v>
      </c>
      <c r="C349" s="57" t="s">
        <v>187</v>
      </c>
      <c r="D349" s="57" t="s">
        <v>165</v>
      </c>
      <c r="E349" s="54" t="s">
        <v>51</v>
      </c>
      <c r="F349" s="54"/>
      <c r="G349" s="62">
        <f t="shared" si="158"/>
        <v>360</v>
      </c>
      <c r="H349" s="62">
        <f t="shared" si="158"/>
        <v>360</v>
      </c>
    </row>
    <row r="350" spans="1:8" ht="12.75">
      <c r="A350" s="55" t="str">
        <f ca="1">IF(ISERROR(MATCH(F350,Код_КВР,0)),"",INDIRECT(ADDRESS(MATCH(F350,Код_КВР,0)+1,2,,,"КВР")))</f>
        <v>Закупка товаров, работ и услуг для муниципальных нужд</v>
      </c>
      <c r="B350" s="54">
        <v>803</v>
      </c>
      <c r="C350" s="57" t="s">
        <v>187</v>
      </c>
      <c r="D350" s="57" t="s">
        <v>165</v>
      </c>
      <c r="E350" s="54" t="s">
        <v>51</v>
      </c>
      <c r="F350" s="54">
        <v>200</v>
      </c>
      <c r="G350" s="62">
        <f t="shared" si="158"/>
        <v>360</v>
      </c>
      <c r="H350" s="62">
        <f t="shared" si="158"/>
        <v>360</v>
      </c>
    </row>
    <row r="351" spans="1:8" ht="33">
      <c r="A351" s="55" t="str">
        <f ca="1">IF(ISERROR(MATCH(F351,Код_КВР,0)),"",INDIRECT(ADDRESS(MATCH(F351,Код_КВР,0)+1,2,,,"КВР")))</f>
        <v>Иные закупки товаров, работ и услуг для обеспечения муниципальных нужд</v>
      </c>
      <c r="B351" s="54">
        <v>803</v>
      </c>
      <c r="C351" s="57" t="s">
        <v>187</v>
      </c>
      <c r="D351" s="57" t="s">
        <v>165</v>
      </c>
      <c r="E351" s="54" t="s">
        <v>51</v>
      </c>
      <c r="F351" s="54">
        <v>240</v>
      </c>
      <c r="G351" s="62">
        <v>360</v>
      </c>
      <c r="H351" s="62">
        <v>360</v>
      </c>
    </row>
    <row r="352" spans="1:8" ht="12.75">
      <c r="A352" s="55" t="str">
        <f ca="1">IF(ISERROR(MATCH(C352,Код_Раздел,0)),"",INDIRECT(ADDRESS(MATCH(C352,Код_Раздел,0)+1,2,,,"Раздел")))</f>
        <v>Национальная экономика</v>
      </c>
      <c r="B352" s="54">
        <v>803</v>
      </c>
      <c r="C352" s="57" t="s">
        <v>190</v>
      </c>
      <c r="D352" s="57"/>
      <c r="E352" s="54"/>
      <c r="F352" s="54"/>
      <c r="G352" s="62">
        <f>G358+G379+G353</f>
        <v>460089.20000000007</v>
      </c>
      <c r="H352" s="62">
        <f>H358+H379+H353</f>
        <v>445544.10000000003</v>
      </c>
    </row>
    <row r="353" spans="1:8" ht="12.75">
      <c r="A353" s="87" t="s">
        <v>312</v>
      </c>
      <c r="B353" s="54">
        <v>803</v>
      </c>
      <c r="C353" s="57" t="s">
        <v>190</v>
      </c>
      <c r="D353" s="57" t="s">
        <v>196</v>
      </c>
      <c r="E353" s="54"/>
      <c r="F353" s="54"/>
      <c r="G353" s="62">
        <f aca="true" t="shared" si="159" ref="G353:H354">G354</f>
        <v>17765.4</v>
      </c>
      <c r="H353" s="62">
        <f t="shared" si="159"/>
        <v>17750</v>
      </c>
    </row>
    <row r="354" spans="1:8" ht="33">
      <c r="A354" s="55" t="str">
        <f ca="1">IF(ISERROR(MATCH(E354,Код_КЦСР,0)),"",INDIRECT(ADDRESS(MATCH(E354,Код_КЦСР,0)+1,2,,,"КЦСР")))</f>
        <v>Муниципальная программа «Развитие земельно-имущественного комплекса  города Череповца» на 2014-2018 годы</v>
      </c>
      <c r="B354" s="54">
        <v>803</v>
      </c>
      <c r="C354" s="57" t="s">
        <v>190</v>
      </c>
      <c r="D354" s="57" t="s">
        <v>196</v>
      </c>
      <c r="E354" s="54" t="s">
        <v>59</v>
      </c>
      <c r="F354" s="54"/>
      <c r="G354" s="62">
        <f t="shared" si="159"/>
        <v>17765.4</v>
      </c>
      <c r="H354" s="62">
        <f t="shared" si="159"/>
        <v>17750</v>
      </c>
    </row>
    <row r="355" spans="1:8" ht="33">
      <c r="A355" s="55" t="str">
        <f ca="1">IF(ISERROR(MATCH(E355,Код_КЦСР,0)),"",INDIRECT(ADDRESS(MATCH(E355,Код_КЦСР,0)+1,2,,,"КЦСР")))</f>
        <v>Формирование и обеспечение сохранности муниципального земельно-имущественного комплекса</v>
      </c>
      <c r="B355" s="54">
        <v>803</v>
      </c>
      <c r="C355" s="57" t="s">
        <v>190</v>
      </c>
      <c r="D355" s="57" t="s">
        <v>196</v>
      </c>
      <c r="E355" s="54" t="s">
        <v>61</v>
      </c>
      <c r="F355" s="54"/>
      <c r="G355" s="62">
        <f aca="true" t="shared" si="160" ref="G355:H356">G356</f>
        <v>17765.4</v>
      </c>
      <c r="H355" s="62">
        <f t="shared" si="160"/>
        <v>17750</v>
      </c>
    </row>
    <row r="356" spans="1:8" ht="12.75">
      <c r="A356" s="55" t="str">
        <f ca="1">IF(ISERROR(MATCH(F356,Код_КВР,0)),"",INDIRECT(ADDRESS(MATCH(F356,Код_КВР,0)+1,2,,,"КВР")))</f>
        <v>Закупка товаров, работ и услуг для муниципальных нужд</v>
      </c>
      <c r="B356" s="54">
        <v>803</v>
      </c>
      <c r="C356" s="57" t="s">
        <v>190</v>
      </c>
      <c r="D356" s="57" t="s">
        <v>196</v>
      </c>
      <c r="E356" s="54" t="s">
        <v>61</v>
      </c>
      <c r="F356" s="54">
        <v>200</v>
      </c>
      <c r="G356" s="62">
        <f>G357</f>
        <v>17765.4</v>
      </c>
      <c r="H356" s="62">
        <f t="shared" si="160"/>
        <v>17750</v>
      </c>
    </row>
    <row r="357" spans="1:8" ht="33">
      <c r="A357" s="55" t="str">
        <f ca="1">IF(ISERROR(MATCH(F357,Код_КВР,0)),"",INDIRECT(ADDRESS(MATCH(F357,Код_КВР,0)+1,2,,,"КВР")))</f>
        <v>Иные закупки товаров, работ и услуг для обеспечения муниципальных нужд</v>
      </c>
      <c r="B357" s="54">
        <v>803</v>
      </c>
      <c r="C357" s="57" t="s">
        <v>190</v>
      </c>
      <c r="D357" s="57" t="s">
        <v>196</v>
      </c>
      <c r="E357" s="54" t="s">
        <v>61</v>
      </c>
      <c r="F357" s="54">
        <v>240</v>
      </c>
      <c r="G357" s="62">
        <v>17765.4</v>
      </c>
      <c r="H357" s="62">
        <v>17750</v>
      </c>
    </row>
    <row r="358" spans="1:8" ht="12.75">
      <c r="A358" s="87" t="s">
        <v>155</v>
      </c>
      <c r="B358" s="54">
        <v>803</v>
      </c>
      <c r="C358" s="57" t="s">
        <v>190</v>
      </c>
      <c r="D358" s="57" t="s">
        <v>193</v>
      </c>
      <c r="E358" s="54"/>
      <c r="F358" s="54"/>
      <c r="G358" s="62">
        <f aca="true" t="shared" si="161" ref="G358:H358">G363+G359+G375</f>
        <v>442193.80000000005</v>
      </c>
      <c r="H358" s="62">
        <f t="shared" si="161"/>
        <v>427664.10000000003</v>
      </c>
    </row>
    <row r="359" spans="1:8" ht="33">
      <c r="A359" s="55" t="str">
        <f ca="1">IF(ISERROR(MATCH(E359,Код_КЦСР,0)),"",INDIRECT(ADDRESS(MATCH(E359,Код_КЦСР,0)+1,2,,,"КЦСР")))</f>
        <v>Муниципальная программа «Развитие городского общественного транспорта» на 2014-2017 годы</v>
      </c>
      <c r="B359" s="54">
        <v>803</v>
      </c>
      <c r="C359" s="57" t="s">
        <v>190</v>
      </c>
      <c r="D359" s="57" t="s">
        <v>193</v>
      </c>
      <c r="E359" s="54" t="s">
        <v>37</v>
      </c>
      <c r="F359" s="54"/>
      <c r="G359" s="62">
        <f aca="true" t="shared" si="162" ref="G359:H361">G360</f>
        <v>896</v>
      </c>
      <c r="H359" s="62">
        <f t="shared" si="162"/>
        <v>896</v>
      </c>
    </row>
    <row r="360" spans="1:8" ht="33">
      <c r="A360" s="55" t="str">
        <f ca="1">IF(ISERROR(MATCH(E360,Код_КЦСР,0)),"",INDIRECT(ADDRESS(MATCH(E360,Код_КЦСР,0)+1,2,,,"КЦСР")))</f>
        <v>Обустройство автобусных остановок павильонами/навесами для ожидания автобуса</v>
      </c>
      <c r="B360" s="54">
        <v>803</v>
      </c>
      <c r="C360" s="57" t="s">
        <v>190</v>
      </c>
      <c r="D360" s="57" t="s">
        <v>193</v>
      </c>
      <c r="E360" s="54" t="s">
        <v>542</v>
      </c>
      <c r="F360" s="54"/>
      <c r="G360" s="62">
        <f t="shared" si="162"/>
        <v>896</v>
      </c>
      <c r="H360" s="62">
        <f t="shared" si="162"/>
        <v>896</v>
      </c>
    </row>
    <row r="361" spans="1:8" ht="12.75">
      <c r="A361" s="55" t="str">
        <f aca="true" t="shared" si="163" ref="A361:A362">IF(ISERROR(MATCH(F361,Код_КВР,0)),"",INDIRECT(ADDRESS(MATCH(F361,Код_КВР,0)+1,2,,,"КВР")))</f>
        <v>Закупка товаров, работ и услуг для муниципальных нужд</v>
      </c>
      <c r="B361" s="54">
        <v>803</v>
      </c>
      <c r="C361" s="57" t="s">
        <v>190</v>
      </c>
      <c r="D361" s="57" t="s">
        <v>193</v>
      </c>
      <c r="E361" s="54" t="s">
        <v>542</v>
      </c>
      <c r="F361" s="54">
        <v>200</v>
      </c>
      <c r="G361" s="62">
        <f t="shared" si="162"/>
        <v>896</v>
      </c>
      <c r="H361" s="62">
        <f t="shared" si="162"/>
        <v>896</v>
      </c>
    </row>
    <row r="362" spans="1:8" ht="33">
      <c r="A362" s="55" t="str">
        <f ca="1" t="shared" si="163"/>
        <v>Иные закупки товаров, работ и услуг для обеспечения муниципальных нужд</v>
      </c>
      <c r="B362" s="54">
        <v>803</v>
      </c>
      <c r="C362" s="57" t="s">
        <v>190</v>
      </c>
      <c r="D362" s="57" t="s">
        <v>193</v>
      </c>
      <c r="E362" s="54" t="s">
        <v>542</v>
      </c>
      <c r="F362" s="54">
        <v>240</v>
      </c>
      <c r="G362" s="62">
        <v>896</v>
      </c>
      <c r="H362" s="62">
        <v>896</v>
      </c>
    </row>
    <row r="363" spans="1:8" ht="33">
      <c r="A363" s="55" t="str">
        <f ca="1">IF(ISERROR(MATCH(E363,Код_КЦСР,0)),"",INDIRECT(ADDRESS(MATCH(E363,Код_КЦСР,0)+1,2,,,"КЦСР")))</f>
        <v>Муниципальная программа «Развитие жилищно-коммунального хозяйства города Череповца» на 2014-2018 годы</v>
      </c>
      <c r="B363" s="54">
        <v>803</v>
      </c>
      <c r="C363" s="57" t="s">
        <v>190</v>
      </c>
      <c r="D363" s="57" t="s">
        <v>193</v>
      </c>
      <c r="E363" s="54" t="s">
        <v>44</v>
      </c>
      <c r="F363" s="54"/>
      <c r="G363" s="62">
        <f aca="true" t="shared" si="164" ref="G363:H363">G364</f>
        <v>441297.80000000005</v>
      </c>
      <c r="H363" s="62">
        <f t="shared" si="164"/>
        <v>426768.10000000003</v>
      </c>
    </row>
    <row r="364" spans="1:8" ht="21" customHeight="1">
      <c r="A364" s="55" t="str">
        <f ca="1">IF(ISERROR(MATCH(E364,Код_КЦСР,0)),"",INDIRECT(ADDRESS(MATCH(E364,Код_КЦСР,0)+1,2,,,"КЦСР")))</f>
        <v>Развитие благоустройства города</v>
      </c>
      <c r="B364" s="54">
        <v>803</v>
      </c>
      <c r="C364" s="57" t="s">
        <v>190</v>
      </c>
      <c r="D364" s="57" t="s">
        <v>193</v>
      </c>
      <c r="E364" s="54" t="s">
        <v>45</v>
      </c>
      <c r="F364" s="54"/>
      <c r="G364" s="62">
        <f aca="true" t="shared" si="165" ref="G364:H364">G365+G372</f>
        <v>441297.80000000005</v>
      </c>
      <c r="H364" s="62">
        <f t="shared" si="165"/>
        <v>426768.10000000003</v>
      </c>
    </row>
    <row r="365" spans="1:8" ht="22.5" customHeight="1">
      <c r="A365" s="55" t="str">
        <f ca="1">IF(ISERROR(MATCH(E365,Код_КЦСР,0)),"",INDIRECT(ADDRESS(MATCH(E365,Код_КЦСР,0)+1,2,,,"КЦСР")))</f>
        <v>Мероприятия по содержанию и ремонту улично-дорожной  сети города</v>
      </c>
      <c r="B365" s="54">
        <v>803</v>
      </c>
      <c r="C365" s="57" t="s">
        <v>190</v>
      </c>
      <c r="D365" s="57" t="s">
        <v>193</v>
      </c>
      <c r="E365" s="54" t="s">
        <v>49</v>
      </c>
      <c r="F365" s="54"/>
      <c r="G365" s="62">
        <f aca="true" t="shared" si="166" ref="G365:H365">G366+G368+G370</f>
        <v>336166.70000000007</v>
      </c>
      <c r="H365" s="62">
        <f t="shared" si="166"/>
        <v>336182.10000000003</v>
      </c>
    </row>
    <row r="366" spans="1:8" ht="36.75" customHeight="1">
      <c r="A366" s="55" t="str">
        <f aca="true" t="shared" si="167" ref="A366:A371">IF(ISERROR(MATCH(F366,Код_КВР,0)),"",INDIRECT(ADDRESS(MATCH(F366,Код_КВР,0)+1,2,,,"КВР")))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6" s="54">
        <v>803</v>
      </c>
      <c r="C366" s="57" t="s">
        <v>190</v>
      </c>
      <c r="D366" s="57" t="s">
        <v>193</v>
      </c>
      <c r="E366" s="54" t="s">
        <v>49</v>
      </c>
      <c r="F366" s="54">
        <v>100</v>
      </c>
      <c r="G366" s="62">
        <f aca="true" t="shared" si="168" ref="G366:H366">G367</f>
        <v>10037.4</v>
      </c>
      <c r="H366" s="62">
        <f t="shared" si="168"/>
        <v>10037.4</v>
      </c>
    </row>
    <row r="367" spans="1:8" ht="18.75" customHeight="1">
      <c r="A367" s="55" t="str">
        <f ca="1" t="shared" si="167"/>
        <v>Расходы на выплаты персоналу казенных учреждений</v>
      </c>
      <c r="B367" s="54">
        <v>803</v>
      </c>
      <c r="C367" s="57" t="s">
        <v>190</v>
      </c>
      <c r="D367" s="57" t="s">
        <v>193</v>
      </c>
      <c r="E367" s="54" t="s">
        <v>49</v>
      </c>
      <c r="F367" s="54">
        <v>110</v>
      </c>
      <c r="G367" s="61">
        <v>10037.4</v>
      </c>
      <c r="H367" s="61">
        <v>10037.4</v>
      </c>
    </row>
    <row r="368" spans="1:8" ht="18.75" customHeight="1">
      <c r="A368" s="55" t="str">
        <f ca="1" t="shared" si="167"/>
        <v>Закупка товаров, работ и услуг для муниципальных нужд</v>
      </c>
      <c r="B368" s="54">
        <v>803</v>
      </c>
      <c r="C368" s="57" t="s">
        <v>190</v>
      </c>
      <c r="D368" s="57" t="s">
        <v>193</v>
      </c>
      <c r="E368" s="54" t="s">
        <v>49</v>
      </c>
      <c r="F368" s="54">
        <v>200</v>
      </c>
      <c r="G368" s="62">
        <f aca="true" t="shared" si="169" ref="G368:H368">G369</f>
        <v>326127.70000000007</v>
      </c>
      <c r="H368" s="62">
        <f t="shared" si="169"/>
        <v>326143.10000000003</v>
      </c>
    </row>
    <row r="369" spans="1:8" ht="33">
      <c r="A369" s="55" t="str">
        <f ca="1" t="shared" si="167"/>
        <v>Иные закупки товаров, работ и услуг для обеспечения муниципальных нужд</v>
      </c>
      <c r="B369" s="54">
        <v>803</v>
      </c>
      <c r="C369" s="57" t="s">
        <v>190</v>
      </c>
      <c r="D369" s="57" t="s">
        <v>193</v>
      </c>
      <c r="E369" s="54" t="s">
        <v>49</v>
      </c>
      <c r="F369" s="54">
        <v>240</v>
      </c>
      <c r="G369" s="62">
        <f>299533.7+20390.4+1515.9+4600+87.7</f>
        <v>326127.70000000007</v>
      </c>
      <c r="H369" s="62">
        <f>299533.7+20390.4+1531.3+4600+87.7</f>
        <v>326143.10000000003</v>
      </c>
    </row>
    <row r="370" spans="1:8" ht="12.75">
      <c r="A370" s="55" t="str">
        <f ca="1" t="shared" si="167"/>
        <v>Иные бюджетные ассигнования</v>
      </c>
      <c r="B370" s="54">
        <v>803</v>
      </c>
      <c r="C370" s="57" t="s">
        <v>190</v>
      </c>
      <c r="D370" s="57" t="s">
        <v>193</v>
      </c>
      <c r="E370" s="54" t="s">
        <v>49</v>
      </c>
      <c r="F370" s="54">
        <v>800</v>
      </c>
      <c r="G370" s="62">
        <f aca="true" t="shared" si="170" ref="G370:H370">G371</f>
        <v>1.6</v>
      </c>
      <c r="H370" s="62">
        <f t="shared" si="170"/>
        <v>1.6</v>
      </c>
    </row>
    <row r="371" spans="1:8" ht="12.75">
      <c r="A371" s="55" t="str">
        <f ca="1" t="shared" si="167"/>
        <v>Уплата налогов, сборов и иных платежей</v>
      </c>
      <c r="B371" s="54">
        <v>803</v>
      </c>
      <c r="C371" s="57" t="s">
        <v>190</v>
      </c>
      <c r="D371" s="57" t="s">
        <v>193</v>
      </c>
      <c r="E371" s="54" t="s">
        <v>49</v>
      </c>
      <c r="F371" s="54">
        <v>850</v>
      </c>
      <c r="G371" s="62">
        <v>1.6</v>
      </c>
      <c r="H371" s="62">
        <v>1.6</v>
      </c>
    </row>
    <row r="372" spans="1:8" ht="50.25" customHeight="1">
      <c r="A372" s="55" t="str">
        <f ca="1">IF(ISERROR(MATCH(E372,Код_КЦСР,0)),"",INDIRECT(ADDRESS(MATCH(E372,Код_КЦСР,0)+1,2,,,"КЦСР")))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72" s="54">
        <v>803</v>
      </c>
      <c r="C372" s="57" t="s">
        <v>190</v>
      </c>
      <c r="D372" s="57" t="s">
        <v>193</v>
      </c>
      <c r="E372" s="54" t="s">
        <v>348</v>
      </c>
      <c r="F372" s="54"/>
      <c r="G372" s="62">
        <f aca="true" t="shared" si="171" ref="G372:H373">G373</f>
        <v>105131.1</v>
      </c>
      <c r="H372" s="62">
        <f t="shared" si="171"/>
        <v>90586</v>
      </c>
    </row>
    <row r="373" spans="1:8" ht="23.25" customHeight="1">
      <c r="A373" s="55" t="str">
        <f ca="1">IF(ISERROR(MATCH(F373,Код_КВР,0)),"",INDIRECT(ADDRESS(MATCH(F373,Код_КВР,0)+1,2,,,"КВР")))</f>
        <v>Закупка товаров, работ и услуг для муниципальных нужд</v>
      </c>
      <c r="B373" s="54">
        <v>803</v>
      </c>
      <c r="C373" s="57" t="s">
        <v>190</v>
      </c>
      <c r="D373" s="57" t="s">
        <v>193</v>
      </c>
      <c r="E373" s="54" t="s">
        <v>348</v>
      </c>
      <c r="F373" s="54">
        <v>200</v>
      </c>
      <c r="G373" s="62">
        <f t="shared" si="171"/>
        <v>105131.1</v>
      </c>
      <c r="H373" s="62">
        <f t="shared" si="171"/>
        <v>90586</v>
      </c>
    </row>
    <row r="374" spans="1:8" ht="33">
      <c r="A374" s="55" t="str">
        <f ca="1">IF(ISERROR(MATCH(F374,Код_КВР,0)),"",INDIRECT(ADDRESS(MATCH(F374,Код_КВР,0)+1,2,,,"КВР")))</f>
        <v>Иные закупки товаров, работ и услуг для обеспечения муниципальных нужд</v>
      </c>
      <c r="B374" s="54">
        <v>803</v>
      </c>
      <c r="C374" s="57" t="s">
        <v>190</v>
      </c>
      <c r="D374" s="57" t="s">
        <v>193</v>
      </c>
      <c r="E374" s="54" t="s">
        <v>348</v>
      </c>
      <c r="F374" s="54">
        <v>240</v>
      </c>
      <c r="G374" s="62">
        <v>105131.1</v>
      </c>
      <c r="H374" s="62">
        <v>90586</v>
      </c>
    </row>
    <row r="375" spans="1:8" ht="33" hidden="1">
      <c r="A375" s="55" t="str">
        <f ca="1">IF(ISERROR(MATCH(E375,Код_КЦСР,0)),"",INDIRECT(ADDRESS(MATCH(E375,Код_КЦСР,0)+1,2,,,"КЦСР")))</f>
        <v>Непрограммные направления деятельности органов местного самоуправления</v>
      </c>
      <c r="B375" s="54">
        <v>803</v>
      </c>
      <c r="C375" s="57" t="s">
        <v>190</v>
      </c>
      <c r="D375" s="57" t="s">
        <v>193</v>
      </c>
      <c r="E375" s="54" t="s">
        <v>264</v>
      </c>
      <c r="F375" s="54"/>
      <c r="G375" s="62">
        <f aca="true" t="shared" si="172" ref="G375:H375">G376</f>
        <v>0</v>
      </c>
      <c r="H375" s="62">
        <f t="shared" si="172"/>
        <v>0</v>
      </c>
    </row>
    <row r="376" spans="1:8" ht="49.5" hidden="1">
      <c r="A376" s="55" t="str">
        <f ca="1">IF(ISERROR(MATCH(E376,Код_КЦСР,0)),"",INDIRECT(ADDRESS(MATCH(E376,Код_КЦСР,0)+1,2,,,"КЦСР")))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6" s="54">
        <v>803</v>
      </c>
      <c r="C376" s="57" t="s">
        <v>190</v>
      </c>
      <c r="D376" s="57" t="s">
        <v>193</v>
      </c>
      <c r="E376" s="54" t="s">
        <v>320</v>
      </c>
      <c r="F376" s="54"/>
      <c r="G376" s="62"/>
      <c r="H376" s="62"/>
    </row>
    <row r="377" spans="1:8" ht="12.75" hidden="1">
      <c r="A377" s="55" t="str">
        <f ca="1">IF(ISERROR(MATCH(F377,Код_КВР,0)),"",INDIRECT(ADDRESS(MATCH(F377,Код_КВР,0)+1,2,,,"КВР")))</f>
        <v>Иные бюджетные ассигнования</v>
      </c>
      <c r="B377" s="54">
        <v>803</v>
      </c>
      <c r="C377" s="57" t="s">
        <v>190</v>
      </c>
      <c r="D377" s="57" t="s">
        <v>193</v>
      </c>
      <c r="E377" s="54" t="s">
        <v>320</v>
      </c>
      <c r="F377" s="54">
        <v>800</v>
      </c>
      <c r="G377" s="62"/>
      <c r="H377" s="62"/>
    </row>
    <row r="378" spans="1:8" ht="49.7" customHeight="1" hidden="1">
      <c r="A378" s="55" t="str">
        <f ca="1">IF(ISERROR(MATCH(F378,Код_КВР,0)),"",INDIRECT(ADDRESS(MATCH(F378,Код_КВР,0)+1,2,,,"КВР")))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78" s="54">
        <v>803</v>
      </c>
      <c r="C378" s="57" t="s">
        <v>190</v>
      </c>
      <c r="D378" s="57" t="s">
        <v>193</v>
      </c>
      <c r="E378" s="54" t="s">
        <v>320</v>
      </c>
      <c r="F378" s="54">
        <v>840</v>
      </c>
      <c r="G378" s="62"/>
      <c r="H378" s="62"/>
    </row>
    <row r="379" spans="1:8" ht="12.75">
      <c r="A379" s="59" t="s">
        <v>197</v>
      </c>
      <c r="B379" s="54">
        <v>803</v>
      </c>
      <c r="C379" s="57" t="s">
        <v>190</v>
      </c>
      <c r="D379" s="57" t="s">
        <v>171</v>
      </c>
      <c r="E379" s="54"/>
      <c r="F379" s="54"/>
      <c r="G379" s="62">
        <f aca="true" t="shared" si="173" ref="G379:H379">G380+G387</f>
        <v>130</v>
      </c>
      <c r="H379" s="62">
        <f t="shared" si="173"/>
        <v>130</v>
      </c>
    </row>
    <row r="380" spans="1:8" ht="33">
      <c r="A380" s="55" t="str">
        <f ca="1">IF(ISERROR(MATCH(E380,Код_КЦСР,0)),"",INDIRECT(ADDRESS(MATCH(E380,Код_КЦСР,0)+1,2,,,"КЦСР")))</f>
        <v>Муниципальная программа «Развитие внутреннего и въездного туризма в г. Череповце» на 2014-2022 годы</v>
      </c>
      <c r="B380" s="54">
        <v>803</v>
      </c>
      <c r="C380" s="57" t="s">
        <v>190</v>
      </c>
      <c r="D380" s="57" t="s">
        <v>171</v>
      </c>
      <c r="E380" s="54" t="s">
        <v>1</v>
      </c>
      <c r="F380" s="54"/>
      <c r="G380" s="62">
        <f>G381+G384</f>
        <v>50</v>
      </c>
      <c r="H380" s="62">
        <f>H381+H384</f>
        <v>50</v>
      </c>
    </row>
    <row r="381" spans="1:8" ht="23.25" customHeight="1">
      <c r="A381" s="55" t="str">
        <f ca="1">IF(ISERROR(MATCH(E381,Код_КЦСР,0)),"",INDIRECT(ADDRESS(MATCH(E381,Код_КЦСР,0)+1,2,,,"КЦСР")))</f>
        <v>Продвижение городского туристского продукта на российском рынке</v>
      </c>
      <c r="B381" s="54">
        <v>803</v>
      </c>
      <c r="C381" s="57" t="s">
        <v>190</v>
      </c>
      <c r="D381" s="57" t="s">
        <v>171</v>
      </c>
      <c r="E381" s="54" t="s">
        <v>2</v>
      </c>
      <c r="F381" s="54"/>
      <c r="G381" s="62">
        <f aca="true" t="shared" si="174" ref="G381:H382">G382</f>
        <v>22</v>
      </c>
      <c r="H381" s="62">
        <f t="shared" si="174"/>
        <v>22</v>
      </c>
    </row>
    <row r="382" spans="1:8" ht="23.25" customHeight="1">
      <c r="A382" s="55" t="str">
        <f ca="1">IF(ISERROR(MATCH(F382,Код_КВР,0)),"",INDIRECT(ADDRESS(MATCH(F382,Код_КВР,0)+1,2,,,"КВР")))</f>
        <v>Закупка товаров, работ и услуг для муниципальных нужд</v>
      </c>
      <c r="B382" s="54">
        <v>803</v>
      </c>
      <c r="C382" s="57" t="s">
        <v>190</v>
      </c>
      <c r="D382" s="57" t="s">
        <v>171</v>
      </c>
      <c r="E382" s="54" t="s">
        <v>2</v>
      </c>
      <c r="F382" s="54">
        <v>200</v>
      </c>
      <c r="G382" s="62">
        <f t="shared" si="174"/>
        <v>22</v>
      </c>
      <c r="H382" s="62">
        <f t="shared" si="174"/>
        <v>22</v>
      </c>
    </row>
    <row r="383" spans="1:8" ht="33">
      <c r="A383" s="55" t="str">
        <f ca="1">IF(ISERROR(MATCH(F383,Код_КВР,0)),"",INDIRECT(ADDRESS(MATCH(F383,Код_КВР,0)+1,2,,,"КВР")))</f>
        <v>Иные закупки товаров, работ и услуг для обеспечения муниципальных нужд</v>
      </c>
      <c r="B383" s="54">
        <v>803</v>
      </c>
      <c r="C383" s="57" t="s">
        <v>190</v>
      </c>
      <c r="D383" s="57" t="s">
        <v>171</v>
      </c>
      <c r="E383" s="54" t="s">
        <v>2</v>
      </c>
      <c r="F383" s="54">
        <v>240</v>
      </c>
      <c r="G383" s="62">
        <v>22</v>
      </c>
      <c r="H383" s="62">
        <v>22</v>
      </c>
    </row>
    <row r="384" spans="1:8" ht="12.75">
      <c r="A384" s="55" t="str">
        <f ca="1">IF(ISERROR(MATCH(E384,Код_КЦСР,0)),"",INDIRECT(ADDRESS(MATCH(E384,Код_КЦСР,0)+1,2,,,"КЦСР")))</f>
        <v>Развитие туристской инфраструктуры</v>
      </c>
      <c r="B384" s="54">
        <v>803</v>
      </c>
      <c r="C384" s="57" t="s">
        <v>190</v>
      </c>
      <c r="D384" s="57" t="s">
        <v>171</v>
      </c>
      <c r="E384" s="54" t="s">
        <v>3</v>
      </c>
      <c r="F384" s="54"/>
      <c r="G384" s="61">
        <f aca="true" t="shared" si="175" ref="G384:H384">G385</f>
        <v>28</v>
      </c>
      <c r="H384" s="61">
        <f t="shared" si="175"/>
        <v>28</v>
      </c>
    </row>
    <row r="385" spans="1:8" ht="12.75">
      <c r="A385" s="55" t="str">
        <f ca="1">IF(ISERROR(MATCH(F385,Код_КВР,0)),"",INDIRECT(ADDRESS(MATCH(F385,Код_КВР,0)+1,2,,,"КВР")))</f>
        <v>Закупка товаров, работ и услуг для муниципальных нужд</v>
      </c>
      <c r="B385" s="54">
        <v>803</v>
      </c>
      <c r="C385" s="57" t="s">
        <v>190</v>
      </c>
      <c r="D385" s="57" t="s">
        <v>171</v>
      </c>
      <c r="E385" s="54" t="s">
        <v>3</v>
      </c>
      <c r="F385" s="54">
        <v>200</v>
      </c>
      <c r="G385" s="62">
        <f aca="true" t="shared" si="176" ref="G385:H385">G386</f>
        <v>28</v>
      </c>
      <c r="H385" s="62">
        <f t="shared" si="176"/>
        <v>28</v>
      </c>
    </row>
    <row r="386" spans="1:8" ht="33">
      <c r="A386" s="55" t="str">
        <f ca="1">IF(ISERROR(MATCH(F386,Код_КВР,0)),"",INDIRECT(ADDRESS(MATCH(F386,Код_КВР,0)+1,2,,,"КВР")))</f>
        <v>Иные закупки товаров, работ и услуг для обеспечения муниципальных нужд</v>
      </c>
      <c r="B386" s="54">
        <v>803</v>
      </c>
      <c r="C386" s="57" t="s">
        <v>190</v>
      </c>
      <c r="D386" s="57" t="s">
        <v>171</v>
      </c>
      <c r="E386" s="54" t="s">
        <v>3</v>
      </c>
      <c r="F386" s="54">
        <v>240</v>
      </c>
      <c r="G386" s="61">
        <v>28</v>
      </c>
      <c r="H386" s="61">
        <v>28</v>
      </c>
    </row>
    <row r="387" spans="1:8" ht="33">
      <c r="A387" s="55" t="str">
        <f ca="1">IF(ISERROR(MATCH(E387,Код_КЦСР,0)),"",INDIRECT(ADDRESS(MATCH(E387,Код_КЦСР,0)+1,2,,,"КЦСР")))</f>
        <v>Муниципальная программа «Развитие жилищно-коммунального хозяйства города Череповца» на 2014-2018 годы</v>
      </c>
      <c r="B387" s="54">
        <v>803</v>
      </c>
      <c r="C387" s="57" t="s">
        <v>190</v>
      </c>
      <c r="D387" s="57" t="s">
        <v>171</v>
      </c>
      <c r="E387" s="54" t="s">
        <v>44</v>
      </c>
      <c r="F387" s="54"/>
      <c r="G387" s="62">
        <f aca="true" t="shared" si="177" ref="G387:H390">G388</f>
        <v>80</v>
      </c>
      <c r="H387" s="62">
        <f t="shared" si="177"/>
        <v>80</v>
      </c>
    </row>
    <row r="388" spans="1:8" ht="12.75">
      <c r="A388" s="55" t="str">
        <f ca="1">IF(ISERROR(MATCH(E388,Код_КЦСР,0)),"",INDIRECT(ADDRESS(MATCH(E388,Код_КЦСР,0)+1,2,,,"КЦСР")))</f>
        <v>Развитие благоустройства города</v>
      </c>
      <c r="B388" s="54">
        <v>803</v>
      </c>
      <c r="C388" s="57" t="s">
        <v>190</v>
      </c>
      <c r="D388" s="57" t="s">
        <v>171</v>
      </c>
      <c r="E388" s="54" t="s">
        <v>45</v>
      </c>
      <c r="F388" s="54"/>
      <c r="G388" s="62">
        <f t="shared" si="177"/>
        <v>80</v>
      </c>
      <c r="H388" s="62">
        <f t="shared" si="177"/>
        <v>80</v>
      </c>
    </row>
    <row r="389" spans="1:8" ht="33">
      <c r="A389" s="55" t="str">
        <f ca="1">IF(ISERROR(MATCH(E389,Код_КЦСР,0)),"",INDIRECT(ADDRESS(MATCH(E389,Код_КЦСР,0)+1,2,,,"КЦСР")))</f>
        <v>Мероприятия по решению общегосударственных вопросов и вопросов в области национальной политики</v>
      </c>
      <c r="B389" s="54">
        <v>803</v>
      </c>
      <c r="C389" s="57" t="s">
        <v>190</v>
      </c>
      <c r="D389" s="57" t="s">
        <v>171</v>
      </c>
      <c r="E389" s="54" t="s">
        <v>51</v>
      </c>
      <c r="F389" s="54"/>
      <c r="G389" s="62">
        <f t="shared" si="177"/>
        <v>80</v>
      </c>
      <c r="H389" s="62">
        <f t="shared" si="177"/>
        <v>80</v>
      </c>
    </row>
    <row r="390" spans="1:8" ht="12.75">
      <c r="A390" s="55" t="str">
        <f ca="1">IF(ISERROR(MATCH(F390,Код_КВР,0)),"",INDIRECT(ADDRESS(MATCH(F390,Код_КВР,0)+1,2,,,"КВР")))</f>
        <v>Закупка товаров, работ и услуг для муниципальных нужд</v>
      </c>
      <c r="B390" s="54">
        <v>803</v>
      </c>
      <c r="C390" s="57" t="s">
        <v>190</v>
      </c>
      <c r="D390" s="57" t="s">
        <v>171</v>
      </c>
      <c r="E390" s="54" t="s">
        <v>51</v>
      </c>
      <c r="F390" s="54">
        <v>200</v>
      </c>
      <c r="G390" s="62">
        <f t="shared" si="177"/>
        <v>80</v>
      </c>
      <c r="H390" s="62">
        <f t="shared" si="177"/>
        <v>80</v>
      </c>
    </row>
    <row r="391" spans="1:8" ht="33">
      <c r="A391" s="55" t="str">
        <f ca="1">IF(ISERROR(MATCH(F391,Код_КВР,0)),"",INDIRECT(ADDRESS(MATCH(F391,Код_КВР,0)+1,2,,,"КВР")))</f>
        <v>Иные закупки товаров, работ и услуг для обеспечения муниципальных нужд</v>
      </c>
      <c r="B391" s="54">
        <v>803</v>
      </c>
      <c r="C391" s="57" t="s">
        <v>190</v>
      </c>
      <c r="D391" s="57" t="s">
        <v>171</v>
      </c>
      <c r="E391" s="54" t="s">
        <v>51</v>
      </c>
      <c r="F391" s="54">
        <v>240</v>
      </c>
      <c r="G391" s="62">
        <v>80</v>
      </c>
      <c r="H391" s="62">
        <v>80</v>
      </c>
    </row>
    <row r="392" spans="1:8" ht="12.75">
      <c r="A392" s="55" t="str">
        <f ca="1">IF(ISERROR(MATCH(C392,Код_Раздел,0)),"",INDIRECT(ADDRESS(MATCH(C392,Код_Раздел,0)+1,2,,,"Раздел")))</f>
        <v>Жилищно-коммунальное хозяйство</v>
      </c>
      <c r="B392" s="54">
        <v>803</v>
      </c>
      <c r="C392" s="57" t="s">
        <v>195</v>
      </c>
      <c r="D392" s="57"/>
      <c r="E392" s="54"/>
      <c r="F392" s="54"/>
      <c r="G392" s="62">
        <f>G393+G413+G425</f>
        <v>203926.00000000003</v>
      </c>
      <c r="H392" s="62">
        <f>H393+H413+H425</f>
        <v>208772.2</v>
      </c>
    </row>
    <row r="393" spans="1:8" ht="12.75">
      <c r="A393" s="59" t="s">
        <v>200</v>
      </c>
      <c r="B393" s="54">
        <v>803</v>
      </c>
      <c r="C393" s="57" t="s">
        <v>195</v>
      </c>
      <c r="D393" s="57" t="s">
        <v>187</v>
      </c>
      <c r="E393" s="54"/>
      <c r="F393" s="54"/>
      <c r="G393" s="62">
        <f aca="true" t="shared" si="178" ref="G393:H393">G394+G399</f>
        <v>44147.2</v>
      </c>
      <c r="H393" s="62">
        <f t="shared" si="178"/>
        <v>45545.1</v>
      </c>
    </row>
    <row r="394" spans="1:8" ht="49.5">
      <c r="A394" s="55" t="str">
        <f ca="1">IF(ISERROR(MATCH(E394,Код_КЦСР,0)),"",INDIRECT(ADDRESS(MATCH(E394,Код_КЦСР,0)+1,2,,,"КЦСР")))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394" s="54">
        <v>803</v>
      </c>
      <c r="C394" s="57" t="s">
        <v>195</v>
      </c>
      <c r="D394" s="57" t="s">
        <v>187</v>
      </c>
      <c r="E394" s="54" t="s">
        <v>32</v>
      </c>
      <c r="F394" s="54"/>
      <c r="G394" s="62">
        <f aca="true" t="shared" si="179" ref="G394:H397">G395</f>
        <v>892.7</v>
      </c>
      <c r="H394" s="62">
        <f t="shared" si="179"/>
        <v>892.7</v>
      </c>
    </row>
    <row r="395" spans="1:8" ht="33">
      <c r="A395" s="55" t="str">
        <f ca="1">IF(ISERROR(MATCH(E395,Код_КЦСР,0)),"",INDIRECT(ADDRESS(MATCH(E395,Код_КЦСР,0)+1,2,,,"КЦСР")))</f>
        <v>Энергосбережение и повышение энергетической эффективности в жилищном фонде</v>
      </c>
      <c r="B395" s="54">
        <v>803</v>
      </c>
      <c r="C395" s="57" t="s">
        <v>195</v>
      </c>
      <c r="D395" s="57" t="s">
        <v>187</v>
      </c>
      <c r="E395" s="54" t="s">
        <v>33</v>
      </c>
      <c r="F395" s="54"/>
      <c r="G395" s="62">
        <f t="shared" si="179"/>
        <v>892.7</v>
      </c>
      <c r="H395" s="62">
        <f t="shared" si="179"/>
        <v>892.7</v>
      </c>
    </row>
    <row r="396" spans="1:8" ht="33">
      <c r="A396" s="55" t="str">
        <f ca="1">IF(ISERROR(MATCH(E396,Код_КЦСР,0)),"",INDIRECT(ADDRESS(MATCH(E396,Код_КЦСР,0)+1,2,,,"КЦСР")))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396" s="54">
        <v>803</v>
      </c>
      <c r="C396" s="57" t="s">
        <v>195</v>
      </c>
      <c r="D396" s="57" t="s">
        <v>187</v>
      </c>
      <c r="E396" s="54" t="s">
        <v>35</v>
      </c>
      <c r="F396" s="54"/>
      <c r="G396" s="62">
        <f t="shared" si="179"/>
        <v>892.7</v>
      </c>
      <c r="H396" s="62">
        <f t="shared" si="179"/>
        <v>892.7</v>
      </c>
    </row>
    <row r="397" spans="1:8" ht="22.5" customHeight="1">
      <c r="A397" s="55" t="str">
        <f ca="1">IF(ISERROR(MATCH(F397,Код_КВР,0)),"",INDIRECT(ADDRESS(MATCH(F397,Код_КВР,0)+1,2,,,"КВР")))</f>
        <v>Закупка товаров, работ и услуг для муниципальных нужд</v>
      </c>
      <c r="B397" s="54">
        <v>803</v>
      </c>
      <c r="C397" s="57" t="s">
        <v>195</v>
      </c>
      <c r="D397" s="57" t="s">
        <v>187</v>
      </c>
      <c r="E397" s="54" t="s">
        <v>35</v>
      </c>
      <c r="F397" s="54">
        <v>200</v>
      </c>
      <c r="G397" s="62">
        <f t="shared" si="179"/>
        <v>892.7</v>
      </c>
      <c r="H397" s="62">
        <f t="shared" si="179"/>
        <v>892.7</v>
      </c>
    </row>
    <row r="398" spans="1:8" ht="33">
      <c r="A398" s="55" t="str">
        <f ca="1">IF(ISERROR(MATCH(F398,Код_КВР,0)),"",INDIRECT(ADDRESS(MATCH(F398,Код_КВР,0)+1,2,,,"КВР")))</f>
        <v>Иные закупки товаров, работ и услуг для обеспечения муниципальных нужд</v>
      </c>
      <c r="B398" s="54">
        <v>803</v>
      </c>
      <c r="C398" s="57" t="s">
        <v>195</v>
      </c>
      <c r="D398" s="57" t="s">
        <v>187</v>
      </c>
      <c r="E398" s="54" t="s">
        <v>35</v>
      </c>
      <c r="F398" s="54">
        <v>240</v>
      </c>
      <c r="G398" s="62">
        <v>892.7</v>
      </c>
      <c r="H398" s="62">
        <v>892.7</v>
      </c>
    </row>
    <row r="399" spans="1:8" ht="33">
      <c r="A399" s="55" t="str">
        <f ca="1">IF(ISERROR(MATCH(E399,Код_КЦСР,0)),"",INDIRECT(ADDRESS(MATCH(E399,Код_КЦСР,0)+1,2,,,"КЦСР")))</f>
        <v>Муниципальная программа «Развитие жилищно-коммунального хозяйства города Череповца» на 2014-2018 годы</v>
      </c>
      <c r="B399" s="54">
        <v>803</v>
      </c>
      <c r="C399" s="57" t="s">
        <v>195</v>
      </c>
      <c r="D399" s="57" t="s">
        <v>187</v>
      </c>
      <c r="E399" s="54" t="s">
        <v>44</v>
      </c>
      <c r="F399" s="54"/>
      <c r="G399" s="62">
        <f aca="true" t="shared" si="180" ref="G399:H399">G400</f>
        <v>43254.5</v>
      </c>
      <c r="H399" s="62">
        <f t="shared" si="180"/>
        <v>44652.4</v>
      </c>
    </row>
    <row r="400" spans="1:8" ht="12.75">
      <c r="A400" s="55" t="str">
        <f ca="1">IF(ISERROR(MATCH(E400,Код_КЦСР,0)),"",INDIRECT(ADDRESS(MATCH(E400,Код_КЦСР,0)+1,2,,,"КЦСР")))</f>
        <v>Содержание и ремонт жилищного фонда</v>
      </c>
      <c r="B400" s="54">
        <v>803</v>
      </c>
      <c r="C400" s="57" t="s">
        <v>195</v>
      </c>
      <c r="D400" s="57" t="s">
        <v>187</v>
      </c>
      <c r="E400" s="54" t="s">
        <v>53</v>
      </c>
      <c r="F400" s="54"/>
      <c r="G400" s="62">
        <f aca="true" t="shared" si="181" ref="G400:H400">G401+G404+G407+G410</f>
        <v>43254.5</v>
      </c>
      <c r="H400" s="62">
        <f t="shared" si="181"/>
        <v>44652.4</v>
      </c>
    </row>
    <row r="401" spans="1:8" ht="12.75">
      <c r="A401" s="55" t="str">
        <f ca="1">IF(ISERROR(MATCH(E401,Код_КЦСР,0)),"",INDIRECT(ADDRESS(MATCH(E401,Код_КЦСР,0)+1,2,,,"КЦСР")))</f>
        <v>Капитальный ремонт жилищного фонда</v>
      </c>
      <c r="B401" s="54">
        <v>803</v>
      </c>
      <c r="C401" s="57" t="s">
        <v>195</v>
      </c>
      <c r="D401" s="57" t="s">
        <v>187</v>
      </c>
      <c r="E401" s="54" t="s">
        <v>55</v>
      </c>
      <c r="F401" s="54"/>
      <c r="G401" s="62">
        <f aca="true" t="shared" si="182" ref="G401:H401">G402</f>
        <v>500</v>
      </c>
      <c r="H401" s="62">
        <f t="shared" si="182"/>
        <v>500</v>
      </c>
    </row>
    <row r="402" spans="1:8" ht="12.75">
      <c r="A402" s="55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54">
        <v>803</v>
      </c>
      <c r="C402" s="57" t="s">
        <v>195</v>
      </c>
      <c r="D402" s="57" t="s">
        <v>187</v>
      </c>
      <c r="E402" s="54" t="s">
        <v>55</v>
      </c>
      <c r="F402" s="54">
        <v>200</v>
      </c>
      <c r="G402" s="62">
        <f aca="true" t="shared" si="183" ref="G402:H402">G403</f>
        <v>500</v>
      </c>
      <c r="H402" s="62">
        <f t="shared" si="183"/>
        <v>500</v>
      </c>
    </row>
    <row r="403" spans="1:8" ht="33">
      <c r="A403" s="55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54">
        <v>803</v>
      </c>
      <c r="C403" s="57" t="s">
        <v>195</v>
      </c>
      <c r="D403" s="57" t="s">
        <v>187</v>
      </c>
      <c r="E403" s="54" t="s">
        <v>55</v>
      </c>
      <c r="F403" s="54">
        <v>240</v>
      </c>
      <c r="G403" s="62">
        <v>500</v>
      </c>
      <c r="H403" s="62">
        <v>500</v>
      </c>
    </row>
    <row r="404" spans="1:8" ht="33">
      <c r="A404" s="55" t="str">
        <f ca="1">IF(ISERROR(MATCH(E404,Код_КЦСР,0)),"",INDIRECT(ADDRESS(MATCH(E404,Код_КЦСР,0)+1,2,,,"КЦСР")))</f>
        <v>Содержание и ремонт временно незаселенных жилых помещений муниципального жилищного фонда</v>
      </c>
      <c r="B404" s="54">
        <v>803</v>
      </c>
      <c r="C404" s="57" t="s">
        <v>195</v>
      </c>
      <c r="D404" s="57" t="s">
        <v>187</v>
      </c>
      <c r="E404" s="54" t="s">
        <v>57</v>
      </c>
      <c r="F404" s="54"/>
      <c r="G404" s="62">
        <f aca="true" t="shared" si="184" ref="G404:H405">G405</f>
        <v>4974</v>
      </c>
      <c r="H404" s="62">
        <f t="shared" si="184"/>
        <v>4974</v>
      </c>
    </row>
    <row r="405" spans="1:8" ht="12.75">
      <c r="A405" s="55" t="str">
        <f ca="1">IF(ISERROR(MATCH(F405,Код_КВР,0)),"",INDIRECT(ADDRESS(MATCH(F405,Код_КВР,0)+1,2,,,"КВР")))</f>
        <v>Закупка товаров, работ и услуг для муниципальных нужд</v>
      </c>
      <c r="B405" s="54">
        <v>803</v>
      </c>
      <c r="C405" s="57" t="s">
        <v>195</v>
      </c>
      <c r="D405" s="57" t="s">
        <v>187</v>
      </c>
      <c r="E405" s="54" t="s">
        <v>57</v>
      </c>
      <c r="F405" s="54">
        <v>200</v>
      </c>
      <c r="G405" s="62">
        <f t="shared" si="184"/>
        <v>4974</v>
      </c>
      <c r="H405" s="62">
        <f t="shared" si="184"/>
        <v>4974</v>
      </c>
    </row>
    <row r="406" spans="1:8" ht="33">
      <c r="A406" s="55" t="str">
        <f ca="1">IF(ISERROR(MATCH(F406,Код_КВР,0)),"",INDIRECT(ADDRESS(MATCH(F406,Код_КВР,0)+1,2,,,"КВР")))</f>
        <v>Иные закупки товаров, работ и услуг для обеспечения муниципальных нужд</v>
      </c>
      <c r="B406" s="54">
        <v>803</v>
      </c>
      <c r="C406" s="57" t="s">
        <v>195</v>
      </c>
      <c r="D406" s="57" t="s">
        <v>187</v>
      </c>
      <c r="E406" s="54" t="s">
        <v>57</v>
      </c>
      <c r="F406" s="54">
        <v>240</v>
      </c>
      <c r="G406" s="62">
        <v>4974</v>
      </c>
      <c r="H406" s="62">
        <v>4974</v>
      </c>
    </row>
    <row r="407" spans="1:8" ht="60.75" customHeight="1">
      <c r="A407" s="55" t="str">
        <f ca="1">IF(ISERROR(MATCH(E407,Код_КЦСР,0)),"",INDIRECT(ADDRESS(MATCH(E407,Код_КЦСР,0)+1,2,,,"КЦСР")))</f>
        <v>Осуществление полномочий собственника муниципального жилищного фонда в части внесения взносов в региональный фонд капитального ремонта</v>
      </c>
      <c r="B407" s="54">
        <v>803</v>
      </c>
      <c r="C407" s="57" t="s">
        <v>195</v>
      </c>
      <c r="D407" s="57" t="s">
        <v>187</v>
      </c>
      <c r="E407" s="54" t="s">
        <v>487</v>
      </c>
      <c r="F407" s="54"/>
      <c r="G407" s="61">
        <f aca="true" t="shared" si="185" ref="G407:H408">G408</f>
        <v>37780.5</v>
      </c>
      <c r="H407" s="61">
        <f t="shared" si="185"/>
        <v>39178.4</v>
      </c>
    </row>
    <row r="408" spans="1:8" ht="12.75">
      <c r="A408" s="55" t="str">
        <f ca="1">IF(ISERROR(MATCH(F408,Код_КВР,0)),"",INDIRECT(ADDRESS(MATCH(F408,Код_КВР,0)+1,2,,,"КВР")))</f>
        <v>Закупка товаров, работ и услуг для муниципальных нужд</v>
      </c>
      <c r="B408" s="54">
        <v>803</v>
      </c>
      <c r="C408" s="57" t="s">
        <v>195</v>
      </c>
      <c r="D408" s="57" t="s">
        <v>187</v>
      </c>
      <c r="E408" s="54" t="s">
        <v>487</v>
      </c>
      <c r="F408" s="54">
        <v>200</v>
      </c>
      <c r="G408" s="61">
        <f t="shared" si="185"/>
        <v>37780.5</v>
      </c>
      <c r="H408" s="61">
        <f t="shared" si="185"/>
        <v>39178.4</v>
      </c>
    </row>
    <row r="409" spans="1:8" ht="33">
      <c r="A409" s="55" t="str">
        <f ca="1">IF(ISERROR(MATCH(F409,Код_КВР,0)),"",INDIRECT(ADDRESS(MATCH(F409,Код_КВР,0)+1,2,,,"КВР")))</f>
        <v>Иные закупки товаров, работ и услуг для обеспечения муниципальных нужд</v>
      </c>
      <c r="B409" s="54">
        <v>803</v>
      </c>
      <c r="C409" s="57" t="s">
        <v>195</v>
      </c>
      <c r="D409" s="57" t="s">
        <v>187</v>
      </c>
      <c r="E409" s="54" t="s">
        <v>487</v>
      </c>
      <c r="F409" s="54">
        <v>240</v>
      </c>
      <c r="G409" s="61">
        <v>37780.5</v>
      </c>
      <c r="H409" s="61">
        <v>39178.4</v>
      </c>
    </row>
    <row r="410" spans="1:8" ht="33" hidden="1">
      <c r="A410" s="55" t="str">
        <f ca="1">IF(ISERROR(MATCH(E410,Код_КЦСР,0)),"",INDIRECT(ADDRESS(MATCH(E410,Код_КЦСР,0)+1,2,,,"КЦСР")))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410" s="54">
        <v>803</v>
      </c>
      <c r="C410" s="57" t="s">
        <v>195</v>
      </c>
      <c r="D410" s="57" t="s">
        <v>187</v>
      </c>
      <c r="E410" s="54" t="s">
        <v>546</v>
      </c>
      <c r="F410" s="54"/>
      <c r="G410" s="61">
        <f aca="true" t="shared" si="186" ref="G410:H411">G411</f>
        <v>0</v>
      </c>
      <c r="H410" s="61">
        <f t="shared" si="186"/>
        <v>0</v>
      </c>
    </row>
    <row r="411" spans="1:8" ht="12.75" hidden="1">
      <c r="A411" s="55" t="str">
        <f ca="1">IF(ISERROR(MATCH(F411,Код_КВР,0)),"",INDIRECT(ADDRESS(MATCH(F411,Код_КВР,0)+1,2,,,"КВР")))</f>
        <v>Иные бюджетные ассигнования</v>
      </c>
      <c r="B411" s="54">
        <v>803</v>
      </c>
      <c r="C411" s="57" t="s">
        <v>195</v>
      </c>
      <c r="D411" s="57" t="s">
        <v>187</v>
      </c>
      <c r="E411" s="54" t="s">
        <v>546</v>
      </c>
      <c r="F411" s="54">
        <v>800</v>
      </c>
      <c r="G411" s="61">
        <f t="shared" si="186"/>
        <v>0</v>
      </c>
      <c r="H411" s="61">
        <f t="shared" si="186"/>
        <v>0</v>
      </c>
    </row>
    <row r="412" spans="1:8" ht="33" hidden="1">
      <c r="A412" s="55" t="str">
        <f ca="1">IF(ISERROR(MATCH(F412,Код_КВР,0)),"",INDIRECT(ADDRESS(MATCH(F412,Код_КВР,0)+1,2,,,"КВР")))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12" s="54">
        <v>803</v>
      </c>
      <c r="C412" s="57" t="s">
        <v>195</v>
      </c>
      <c r="D412" s="57" t="s">
        <v>187</v>
      </c>
      <c r="E412" s="54" t="s">
        <v>546</v>
      </c>
      <c r="F412" s="54">
        <v>810</v>
      </c>
      <c r="G412" s="61"/>
      <c r="H412" s="61"/>
    </row>
    <row r="413" spans="1:8" ht="12.75">
      <c r="A413" s="55" t="s">
        <v>222</v>
      </c>
      <c r="B413" s="54">
        <v>803</v>
      </c>
      <c r="C413" s="57" t="s">
        <v>195</v>
      </c>
      <c r="D413" s="57" t="s">
        <v>189</v>
      </c>
      <c r="E413" s="54"/>
      <c r="F413" s="54"/>
      <c r="G413" s="62">
        <f aca="true" t="shared" si="187" ref="G413:H413">G414+G421</f>
        <v>134617.40000000002</v>
      </c>
      <c r="H413" s="62">
        <f t="shared" si="187"/>
        <v>138065.7</v>
      </c>
    </row>
    <row r="414" spans="1:8" ht="33">
      <c r="A414" s="55" t="str">
        <f ca="1">IF(ISERROR(MATCH(E414,Код_КЦСР,0)),"",INDIRECT(ADDRESS(MATCH(E414,Код_КЦСР,0)+1,2,,,"КЦСР")))</f>
        <v>Муниципальная программа «Развитие жилищно-коммунального хозяйства города Череповца» на 2014-2018 годы</v>
      </c>
      <c r="B414" s="54">
        <v>803</v>
      </c>
      <c r="C414" s="57" t="s">
        <v>195</v>
      </c>
      <c r="D414" s="57" t="s">
        <v>189</v>
      </c>
      <c r="E414" s="54" t="s">
        <v>44</v>
      </c>
      <c r="F414" s="54"/>
      <c r="G414" s="62">
        <f aca="true" t="shared" si="188" ref="G414:H415">G415</f>
        <v>134533.2</v>
      </c>
      <c r="H414" s="62">
        <f t="shared" si="188"/>
        <v>137981.5</v>
      </c>
    </row>
    <row r="415" spans="1:8" ht="12.75">
      <c r="A415" s="55" t="str">
        <f ca="1">IF(ISERROR(MATCH(E415,Код_КЦСР,0)),"",INDIRECT(ADDRESS(MATCH(E415,Код_КЦСР,0)+1,2,,,"КЦСР")))</f>
        <v>Развитие благоустройства города</v>
      </c>
      <c r="B415" s="54">
        <v>803</v>
      </c>
      <c r="C415" s="57" t="s">
        <v>195</v>
      </c>
      <c r="D415" s="57" t="s">
        <v>189</v>
      </c>
      <c r="E415" s="54" t="s">
        <v>45</v>
      </c>
      <c r="F415" s="54"/>
      <c r="G415" s="62">
        <f t="shared" si="188"/>
        <v>134533.2</v>
      </c>
      <c r="H415" s="62">
        <f t="shared" si="188"/>
        <v>137981.5</v>
      </c>
    </row>
    <row r="416" spans="1:8" ht="33">
      <c r="A416" s="55" t="str">
        <f ca="1">IF(ISERROR(MATCH(E416,Код_КЦСР,0)),"",INDIRECT(ADDRESS(MATCH(E416,Код_КЦСР,0)+1,2,,,"КЦСР")))</f>
        <v>Мероприятия по благоустройству и повышению внешней привлекательности города</v>
      </c>
      <c r="B416" s="54">
        <v>803</v>
      </c>
      <c r="C416" s="57" t="s">
        <v>195</v>
      </c>
      <c r="D416" s="57" t="s">
        <v>189</v>
      </c>
      <c r="E416" s="54" t="s">
        <v>47</v>
      </c>
      <c r="F416" s="54"/>
      <c r="G416" s="62">
        <f aca="true" t="shared" si="189" ref="G416:H416">G417+G419</f>
        <v>134533.2</v>
      </c>
      <c r="H416" s="62">
        <f t="shared" si="189"/>
        <v>137981.5</v>
      </c>
    </row>
    <row r="417" spans="1:8" ht="12.75">
      <c r="A417" s="55" t="str">
        <f ca="1">IF(ISERROR(MATCH(F417,Код_КВР,0)),"",INDIRECT(ADDRESS(MATCH(F417,Код_КВР,0)+1,2,,,"КВР")))</f>
        <v>Закупка товаров, работ и услуг для муниципальных нужд</v>
      </c>
      <c r="B417" s="54">
        <v>803</v>
      </c>
      <c r="C417" s="57" t="s">
        <v>195</v>
      </c>
      <c r="D417" s="57" t="s">
        <v>189</v>
      </c>
      <c r="E417" s="54" t="s">
        <v>47</v>
      </c>
      <c r="F417" s="54">
        <v>200</v>
      </c>
      <c r="G417" s="62">
        <f aca="true" t="shared" si="190" ref="G417:H417">G418</f>
        <v>103536.8</v>
      </c>
      <c r="H417" s="62">
        <f t="shared" si="190"/>
        <v>106985.1</v>
      </c>
    </row>
    <row r="418" spans="1:8" ht="33">
      <c r="A418" s="55" t="str">
        <f ca="1">IF(ISERROR(MATCH(F418,Код_КВР,0)),"",INDIRECT(ADDRESS(MATCH(F418,Код_КВР,0)+1,2,,,"КВР")))</f>
        <v>Иные закупки товаров, работ и услуг для обеспечения муниципальных нужд</v>
      </c>
      <c r="B418" s="54">
        <v>803</v>
      </c>
      <c r="C418" s="57" t="s">
        <v>195</v>
      </c>
      <c r="D418" s="57" t="s">
        <v>189</v>
      </c>
      <c r="E418" s="54" t="s">
        <v>47</v>
      </c>
      <c r="F418" s="54">
        <v>240</v>
      </c>
      <c r="G418" s="62">
        <f>40144.4+3237.6+5784.8+19568.8+10338.4+2020+4618.6+12207.7+3563.3+1903.2+150</f>
        <v>103536.8</v>
      </c>
      <c r="H418" s="62">
        <f>42834.1+3237.6+5784.8+19568.8+10338.4+2020+4618.6+12854.7+3563.3+2014.8+150</f>
        <v>106985.1</v>
      </c>
    </row>
    <row r="419" spans="1:8" ht="12.75">
      <c r="A419" s="55" t="str">
        <f ca="1">IF(ISERROR(MATCH(F419,Код_КВР,0)),"",INDIRECT(ADDRESS(MATCH(F419,Код_КВР,0)+1,2,,,"КВР")))</f>
        <v>Иные бюджетные ассигнования</v>
      </c>
      <c r="B419" s="54">
        <v>803</v>
      </c>
      <c r="C419" s="57" t="s">
        <v>195</v>
      </c>
      <c r="D419" s="57" t="s">
        <v>189</v>
      </c>
      <c r="E419" s="54" t="s">
        <v>47</v>
      </c>
      <c r="F419" s="54">
        <v>800</v>
      </c>
      <c r="G419" s="62">
        <f aca="true" t="shared" si="191" ref="G419:H419">G420</f>
        <v>30996.399999999998</v>
      </c>
      <c r="H419" s="62">
        <f t="shared" si="191"/>
        <v>30996.399999999998</v>
      </c>
    </row>
    <row r="420" spans="1:8" ht="33">
      <c r="A420" s="55" t="str">
        <f ca="1">IF(ISERROR(MATCH(F420,Код_КВР,0)),"",INDIRECT(ADDRESS(MATCH(F420,Код_КВР,0)+1,2,,,"КВР")))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0" s="54">
        <v>803</v>
      </c>
      <c r="C420" s="57" t="s">
        <v>195</v>
      </c>
      <c r="D420" s="57" t="s">
        <v>189</v>
      </c>
      <c r="E420" s="54" t="s">
        <v>47</v>
      </c>
      <c r="F420" s="54">
        <v>810</v>
      </c>
      <c r="G420" s="61">
        <f>29118.8+1877.6</f>
        <v>30996.399999999998</v>
      </c>
      <c r="H420" s="61">
        <f>29118.8+1877.6</f>
        <v>30996.399999999998</v>
      </c>
    </row>
    <row r="421" spans="1:8" ht="49.5">
      <c r="A421" s="55" t="str">
        <f ca="1">IF(ISERROR(MATCH(E421,Код_КЦСР,0)),"",INDIRECT(ADDRESS(MATCH(E421,Код_КЦСР,0)+1,2,,,"КЦСР")))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421" s="54">
        <v>803</v>
      </c>
      <c r="C421" s="57" t="s">
        <v>195</v>
      </c>
      <c r="D421" s="57" t="s">
        <v>189</v>
      </c>
      <c r="E421" s="54" t="s">
        <v>121</v>
      </c>
      <c r="F421" s="54"/>
      <c r="G421" s="62">
        <f aca="true" t="shared" si="192" ref="G421:H423">G422</f>
        <v>84.2</v>
      </c>
      <c r="H421" s="62">
        <f t="shared" si="192"/>
        <v>84.2</v>
      </c>
    </row>
    <row r="422" spans="1:8" ht="66">
      <c r="A422" s="55" t="str">
        <f ca="1">IF(ISERROR(MATCH(E422,Код_КЦСР,0)),"",INDIRECT(ADDRESS(MATCH(E422,Код_КЦСР,0)+1,2,,,"КЦСР")))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422" s="54">
        <v>803</v>
      </c>
      <c r="C422" s="57" t="s">
        <v>195</v>
      </c>
      <c r="D422" s="57" t="s">
        <v>189</v>
      </c>
      <c r="E422" s="54" t="s">
        <v>123</v>
      </c>
      <c r="F422" s="54"/>
      <c r="G422" s="62">
        <f t="shared" si="192"/>
        <v>84.2</v>
      </c>
      <c r="H422" s="62">
        <f t="shared" si="192"/>
        <v>84.2</v>
      </c>
    </row>
    <row r="423" spans="1:8" ht="17.25" customHeight="1">
      <c r="A423" s="55" t="str">
        <f ca="1">IF(ISERROR(MATCH(F423,Код_КВР,0)),"",INDIRECT(ADDRESS(MATCH(F423,Код_КВР,0)+1,2,,,"КВР")))</f>
        <v>Закупка товаров, работ и услуг для муниципальных нужд</v>
      </c>
      <c r="B423" s="54">
        <v>803</v>
      </c>
      <c r="C423" s="57" t="s">
        <v>195</v>
      </c>
      <c r="D423" s="57" t="s">
        <v>189</v>
      </c>
      <c r="E423" s="54" t="s">
        <v>123</v>
      </c>
      <c r="F423" s="54">
        <v>200</v>
      </c>
      <c r="G423" s="62">
        <f t="shared" si="192"/>
        <v>84.2</v>
      </c>
      <c r="H423" s="62">
        <f t="shared" si="192"/>
        <v>84.2</v>
      </c>
    </row>
    <row r="424" spans="1:8" ht="33">
      <c r="A424" s="55" t="str">
        <f ca="1">IF(ISERROR(MATCH(F424,Код_КВР,0)),"",INDIRECT(ADDRESS(MATCH(F424,Код_КВР,0)+1,2,,,"КВР")))</f>
        <v>Иные закупки товаров, работ и услуг для обеспечения муниципальных нужд</v>
      </c>
      <c r="B424" s="54">
        <v>803</v>
      </c>
      <c r="C424" s="57" t="s">
        <v>195</v>
      </c>
      <c r="D424" s="57" t="s">
        <v>189</v>
      </c>
      <c r="E424" s="54" t="s">
        <v>123</v>
      </c>
      <c r="F424" s="54">
        <v>240</v>
      </c>
      <c r="G424" s="62">
        <v>84.2</v>
      </c>
      <c r="H424" s="62">
        <v>84.2</v>
      </c>
    </row>
    <row r="425" spans="1:8" ht="12.75">
      <c r="A425" s="59" t="s">
        <v>140</v>
      </c>
      <c r="B425" s="54">
        <v>803</v>
      </c>
      <c r="C425" s="57" t="s">
        <v>195</v>
      </c>
      <c r="D425" s="57" t="s">
        <v>195</v>
      </c>
      <c r="E425" s="54"/>
      <c r="F425" s="54"/>
      <c r="G425" s="62">
        <f aca="true" t="shared" si="193" ref="G425:H426">G426</f>
        <v>25161.4</v>
      </c>
      <c r="H425" s="62">
        <f t="shared" si="193"/>
        <v>25161.4</v>
      </c>
    </row>
    <row r="426" spans="1:8" ht="37.7" customHeight="1">
      <c r="A426" s="55" t="str">
        <f ca="1">IF(ISERROR(MATCH(E426,Код_КЦСР,0)),"",INDIRECT(ADDRESS(MATCH(E426,Код_КЦСР,0)+1,2,,,"КЦСР")))</f>
        <v>Муниципальная программа «Развитие жилищно-коммунального хозяйства города Череповца» на 2014-2018 годы</v>
      </c>
      <c r="B426" s="54">
        <v>803</v>
      </c>
      <c r="C426" s="57" t="s">
        <v>195</v>
      </c>
      <c r="D426" s="57" t="s">
        <v>195</v>
      </c>
      <c r="E426" s="54" t="s">
        <v>44</v>
      </c>
      <c r="F426" s="54"/>
      <c r="G426" s="62">
        <f t="shared" si="193"/>
        <v>25161.4</v>
      </c>
      <c r="H426" s="62">
        <f t="shared" si="193"/>
        <v>25161.4</v>
      </c>
    </row>
    <row r="427" spans="1:8" ht="50.25" customHeight="1">
      <c r="A427" s="55" t="str">
        <f ca="1">IF(ISERROR(MATCH(E427,Код_КЦСР,0)),"",INDIRECT(ADDRESS(MATCH(E427,Код_КЦСР,0)+1,2,,,"КЦСР")))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427" s="54">
        <v>803</v>
      </c>
      <c r="C427" s="57" t="s">
        <v>195</v>
      </c>
      <c r="D427" s="57" t="s">
        <v>195</v>
      </c>
      <c r="E427" s="54" t="s">
        <v>548</v>
      </c>
      <c r="F427" s="54"/>
      <c r="G427" s="62">
        <f aca="true" t="shared" si="194" ref="G427:H427">G428+G430+G432</f>
        <v>25161.4</v>
      </c>
      <c r="H427" s="62">
        <f t="shared" si="194"/>
        <v>25161.4</v>
      </c>
    </row>
    <row r="428" spans="1:8" ht="33">
      <c r="A428" s="55" t="str">
        <f aca="true" t="shared" si="195" ref="A428:A433">IF(ISERROR(MATCH(F428,Код_КВР,0)),"",INDIRECT(ADDRESS(MATCH(F428,Код_КВР,0)+1,2,,,"КВР")))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8" s="54">
        <v>803</v>
      </c>
      <c r="C428" s="57" t="s">
        <v>195</v>
      </c>
      <c r="D428" s="57" t="s">
        <v>195</v>
      </c>
      <c r="E428" s="54" t="s">
        <v>548</v>
      </c>
      <c r="F428" s="54">
        <v>100</v>
      </c>
      <c r="G428" s="62">
        <f aca="true" t="shared" si="196" ref="G428:H428">G429</f>
        <v>25127</v>
      </c>
      <c r="H428" s="62">
        <f t="shared" si="196"/>
        <v>25127</v>
      </c>
    </row>
    <row r="429" spans="1:8" ht="12.75">
      <c r="A429" s="55" t="str">
        <f ca="1" t="shared" si="195"/>
        <v>Расходы на выплаты персоналу муниципальных органов</v>
      </c>
      <c r="B429" s="54">
        <v>803</v>
      </c>
      <c r="C429" s="57" t="s">
        <v>195</v>
      </c>
      <c r="D429" s="57" t="s">
        <v>195</v>
      </c>
      <c r="E429" s="54" t="s">
        <v>548</v>
      </c>
      <c r="F429" s="54">
        <v>120</v>
      </c>
      <c r="G429" s="62">
        <f>22494.5+2632.5</f>
        <v>25127</v>
      </c>
      <c r="H429" s="62">
        <f>22494.5+2632.5</f>
        <v>25127</v>
      </c>
    </row>
    <row r="430" spans="1:8" ht="12.75">
      <c r="A430" s="55" t="str">
        <f ca="1" t="shared" si="195"/>
        <v>Закупка товаров, работ и услуг для муниципальных нужд</v>
      </c>
      <c r="B430" s="54">
        <v>803</v>
      </c>
      <c r="C430" s="57" t="s">
        <v>195</v>
      </c>
      <c r="D430" s="57" t="s">
        <v>195</v>
      </c>
      <c r="E430" s="54" t="s">
        <v>548</v>
      </c>
      <c r="F430" s="54">
        <v>200</v>
      </c>
      <c r="G430" s="62">
        <f aca="true" t="shared" si="197" ref="G430:H430">G431</f>
        <v>31.4</v>
      </c>
      <c r="H430" s="62">
        <f t="shared" si="197"/>
        <v>31.4</v>
      </c>
    </row>
    <row r="431" spans="1:8" ht="33">
      <c r="A431" s="55" t="str">
        <f ca="1" t="shared" si="195"/>
        <v>Иные закупки товаров, работ и услуг для обеспечения муниципальных нужд</v>
      </c>
      <c r="B431" s="54">
        <v>803</v>
      </c>
      <c r="C431" s="57" t="s">
        <v>195</v>
      </c>
      <c r="D431" s="57" t="s">
        <v>195</v>
      </c>
      <c r="E431" s="54" t="s">
        <v>548</v>
      </c>
      <c r="F431" s="54">
        <v>240</v>
      </c>
      <c r="G431" s="62">
        <v>31.4</v>
      </c>
      <c r="H431" s="62">
        <v>31.4</v>
      </c>
    </row>
    <row r="432" spans="1:8" ht="12.75">
      <c r="A432" s="55" t="str">
        <f ca="1" t="shared" si="195"/>
        <v>Иные бюджетные ассигнования</v>
      </c>
      <c r="B432" s="54">
        <v>803</v>
      </c>
      <c r="C432" s="57" t="s">
        <v>195</v>
      </c>
      <c r="D432" s="57" t="s">
        <v>195</v>
      </c>
      <c r="E432" s="54" t="s">
        <v>548</v>
      </c>
      <c r="F432" s="54">
        <v>800</v>
      </c>
      <c r="G432" s="62">
        <f aca="true" t="shared" si="198" ref="G432:H432">G433</f>
        <v>3</v>
      </c>
      <c r="H432" s="62">
        <f t="shared" si="198"/>
        <v>3</v>
      </c>
    </row>
    <row r="433" spans="1:8" ht="12.75">
      <c r="A433" s="55" t="str">
        <f ca="1" t="shared" si="195"/>
        <v>Уплата налогов, сборов и иных платежей</v>
      </c>
      <c r="B433" s="54">
        <v>803</v>
      </c>
      <c r="C433" s="57" t="s">
        <v>195</v>
      </c>
      <c r="D433" s="57" t="s">
        <v>195</v>
      </c>
      <c r="E433" s="54" t="s">
        <v>548</v>
      </c>
      <c r="F433" s="54">
        <v>850</v>
      </c>
      <c r="G433" s="62">
        <v>3</v>
      </c>
      <c r="H433" s="62">
        <v>3</v>
      </c>
    </row>
    <row r="434" spans="1:8" ht="12.75">
      <c r="A434" s="55" t="str">
        <f ca="1">IF(ISERROR(MATCH(C434,Код_Раздел,0)),"",INDIRECT(ADDRESS(MATCH(C434,Код_Раздел,0)+1,2,,,"Раздел")))</f>
        <v>Охрана окружающей среды</v>
      </c>
      <c r="B434" s="54">
        <v>803</v>
      </c>
      <c r="C434" s="57" t="s">
        <v>191</v>
      </c>
      <c r="D434" s="57"/>
      <c r="E434" s="54"/>
      <c r="F434" s="54"/>
      <c r="G434" s="62">
        <f aca="true" t="shared" si="199" ref="G434:H438">G435</f>
        <v>35.7</v>
      </c>
      <c r="H434" s="62">
        <f t="shared" si="199"/>
        <v>35.7</v>
      </c>
    </row>
    <row r="435" spans="1:8" ht="12.75">
      <c r="A435" s="59" t="s">
        <v>225</v>
      </c>
      <c r="B435" s="54">
        <v>803</v>
      </c>
      <c r="C435" s="57" t="s">
        <v>191</v>
      </c>
      <c r="D435" s="57" t="s">
        <v>195</v>
      </c>
      <c r="E435" s="54"/>
      <c r="F435" s="54"/>
      <c r="G435" s="62">
        <f t="shared" si="199"/>
        <v>35.7</v>
      </c>
      <c r="H435" s="62">
        <f t="shared" si="199"/>
        <v>35.7</v>
      </c>
    </row>
    <row r="436" spans="1:8" ht="33">
      <c r="A436" s="55" t="str">
        <f ca="1">IF(ISERROR(MATCH(E436,Код_КЦСР,0)),"",INDIRECT(ADDRESS(MATCH(E436,Код_КЦСР,0)+1,2,,,"КЦСР")))</f>
        <v>Муниципальная программа «Охрана окружающей среды» на 2013-2022 годы</v>
      </c>
      <c r="B436" s="54">
        <v>803</v>
      </c>
      <c r="C436" s="57" t="s">
        <v>191</v>
      </c>
      <c r="D436" s="57" t="s">
        <v>195</v>
      </c>
      <c r="E436" s="54" t="s">
        <v>424</v>
      </c>
      <c r="F436" s="54"/>
      <c r="G436" s="62">
        <f t="shared" si="199"/>
        <v>35.7</v>
      </c>
      <c r="H436" s="62">
        <f t="shared" si="199"/>
        <v>35.7</v>
      </c>
    </row>
    <row r="437" spans="1:8" ht="130.5" customHeight="1">
      <c r="A437" s="55" t="str">
        <f ca="1">IF(ISERROR(MATCH(E437,Код_КЦСР,0)),"",INDIRECT(ADDRESS(MATCH(E437,Код_КЦСР,0)+1,2,,,"КЦСР")))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37" s="54">
        <v>803</v>
      </c>
      <c r="C437" s="57" t="s">
        <v>191</v>
      </c>
      <c r="D437" s="57" t="s">
        <v>195</v>
      </c>
      <c r="E437" s="54" t="s">
        <v>431</v>
      </c>
      <c r="F437" s="54"/>
      <c r="G437" s="62">
        <f t="shared" si="199"/>
        <v>35.7</v>
      </c>
      <c r="H437" s="62">
        <f t="shared" si="199"/>
        <v>35.7</v>
      </c>
    </row>
    <row r="438" spans="1:8" ht="12.75">
      <c r="A438" s="55" t="str">
        <f ca="1">IF(ISERROR(MATCH(F438,Код_КВР,0)),"",INDIRECT(ADDRESS(MATCH(F438,Код_КВР,0)+1,2,,,"КВР")))</f>
        <v>Иные бюджетные ассигнования</v>
      </c>
      <c r="B438" s="54">
        <v>803</v>
      </c>
      <c r="C438" s="57" t="s">
        <v>191</v>
      </c>
      <c r="D438" s="57" t="s">
        <v>195</v>
      </c>
      <c r="E438" s="54" t="s">
        <v>431</v>
      </c>
      <c r="F438" s="54">
        <v>800</v>
      </c>
      <c r="G438" s="62">
        <f t="shared" si="199"/>
        <v>35.7</v>
      </c>
      <c r="H438" s="62">
        <f t="shared" si="199"/>
        <v>35.7</v>
      </c>
    </row>
    <row r="439" spans="1:8" ht="36" customHeight="1">
      <c r="A439" s="55" t="str">
        <f ca="1">IF(ISERROR(MATCH(F439,Код_КВР,0)),"",INDIRECT(ADDRESS(MATCH(F439,Код_КВР,0)+1,2,,,"КВР")))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9" s="54">
        <v>803</v>
      </c>
      <c r="C439" s="57" t="s">
        <v>191</v>
      </c>
      <c r="D439" s="57" t="s">
        <v>195</v>
      </c>
      <c r="E439" s="54" t="s">
        <v>431</v>
      </c>
      <c r="F439" s="54">
        <v>810</v>
      </c>
      <c r="G439" s="61">
        <v>35.7</v>
      </c>
      <c r="H439" s="61">
        <v>35.7</v>
      </c>
    </row>
    <row r="440" spans="1:8" ht="12.75">
      <c r="A440" s="55" t="str">
        <f ca="1">IF(ISERROR(MATCH(C440,Код_Раздел,0)),"",INDIRECT(ADDRESS(MATCH(C440,Код_Раздел,0)+1,2,,,"Раздел")))</f>
        <v>Здравоохранение</v>
      </c>
      <c r="B440" s="54">
        <v>803</v>
      </c>
      <c r="C440" s="57" t="s">
        <v>193</v>
      </c>
      <c r="D440" s="57"/>
      <c r="E440" s="54"/>
      <c r="F440" s="54"/>
      <c r="G440" s="62">
        <f aca="true" t="shared" si="200" ref="G440:H445">G441</f>
        <v>1957.5</v>
      </c>
      <c r="H440" s="62">
        <f t="shared" si="200"/>
        <v>1957.5</v>
      </c>
    </row>
    <row r="441" spans="1:8" ht="12.75">
      <c r="A441" s="87" t="s">
        <v>233</v>
      </c>
      <c r="B441" s="54">
        <v>803</v>
      </c>
      <c r="C441" s="57" t="s">
        <v>193</v>
      </c>
      <c r="D441" s="57" t="s">
        <v>170</v>
      </c>
      <c r="E441" s="54"/>
      <c r="F441" s="54"/>
      <c r="G441" s="62">
        <f t="shared" si="200"/>
        <v>1957.5</v>
      </c>
      <c r="H441" s="62">
        <f t="shared" si="200"/>
        <v>1957.5</v>
      </c>
    </row>
    <row r="442" spans="1:8" ht="33">
      <c r="A442" s="55" t="str">
        <f ca="1">IF(ISERROR(MATCH(E442,Код_КЦСР,0)),"",INDIRECT(ADDRESS(MATCH(E442,Код_КЦСР,0)+1,2,,,"КЦСР")))</f>
        <v>Муниципальная программа «Развитие жилищно-коммунального хозяйства города Череповца» на 2014-2018 годы</v>
      </c>
      <c r="B442" s="54">
        <v>803</v>
      </c>
      <c r="C442" s="57" t="s">
        <v>193</v>
      </c>
      <c r="D442" s="57" t="s">
        <v>170</v>
      </c>
      <c r="E442" s="54" t="s">
        <v>44</v>
      </c>
      <c r="F442" s="54"/>
      <c r="G442" s="62">
        <f t="shared" si="200"/>
        <v>1957.5</v>
      </c>
      <c r="H442" s="62">
        <f t="shared" si="200"/>
        <v>1957.5</v>
      </c>
    </row>
    <row r="443" spans="1:8" ht="12.75">
      <c r="A443" s="55" t="str">
        <f ca="1">IF(ISERROR(MATCH(E443,Код_КЦСР,0)),"",INDIRECT(ADDRESS(MATCH(E443,Код_КЦСР,0)+1,2,,,"КЦСР")))</f>
        <v>Развитие благоустройства города</v>
      </c>
      <c r="B443" s="54">
        <v>803</v>
      </c>
      <c r="C443" s="57" t="s">
        <v>193</v>
      </c>
      <c r="D443" s="57" t="s">
        <v>170</v>
      </c>
      <c r="E443" s="54" t="s">
        <v>45</v>
      </c>
      <c r="F443" s="54"/>
      <c r="G443" s="62">
        <f t="shared" si="200"/>
        <v>1957.5</v>
      </c>
      <c r="H443" s="62">
        <f t="shared" si="200"/>
        <v>1957.5</v>
      </c>
    </row>
    <row r="444" spans="1:8" ht="82.5">
      <c r="A444" s="55" t="str">
        <f ca="1">IF(ISERROR(MATCH(E444,Код_КЦСР,0)),"",INDIRECT(ADDRESS(MATCH(E444,Код_КЦСР,0)+1,2,,,"КЦСР")))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44" s="54">
        <v>803</v>
      </c>
      <c r="C444" s="57" t="s">
        <v>193</v>
      </c>
      <c r="D444" s="57" t="s">
        <v>170</v>
      </c>
      <c r="E444" s="54" t="s">
        <v>343</v>
      </c>
      <c r="F444" s="54"/>
      <c r="G444" s="62">
        <f t="shared" si="200"/>
        <v>1957.5</v>
      </c>
      <c r="H444" s="62">
        <f t="shared" si="200"/>
        <v>1957.5</v>
      </c>
    </row>
    <row r="445" spans="1:8" ht="12.75">
      <c r="A445" s="55" t="str">
        <f ca="1">IF(ISERROR(MATCH(F445,Код_КВР,0)),"",INDIRECT(ADDRESS(MATCH(F445,Код_КВР,0)+1,2,,,"КВР")))</f>
        <v>Закупка товаров, работ и услуг для муниципальных нужд</v>
      </c>
      <c r="B445" s="54">
        <v>803</v>
      </c>
      <c r="C445" s="57" t="s">
        <v>193</v>
      </c>
      <c r="D445" s="57" t="s">
        <v>170</v>
      </c>
      <c r="E445" s="54" t="s">
        <v>343</v>
      </c>
      <c r="F445" s="54">
        <v>200</v>
      </c>
      <c r="G445" s="62">
        <f t="shared" si="200"/>
        <v>1957.5</v>
      </c>
      <c r="H445" s="62">
        <f t="shared" si="200"/>
        <v>1957.5</v>
      </c>
    </row>
    <row r="446" spans="1:8" ht="33">
      <c r="A446" s="55" t="str">
        <f ca="1">IF(ISERROR(MATCH(F446,Код_КВР,0)),"",INDIRECT(ADDRESS(MATCH(F446,Код_КВР,0)+1,2,,,"КВР")))</f>
        <v>Иные закупки товаров, работ и услуг для обеспечения муниципальных нужд</v>
      </c>
      <c r="B446" s="54">
        <v>803</v>
      </c>
      <c r="C446" s="57" t="s">
        <v>193</v>
      </c>
      <c r="D446" s="57" t="s">
        <v>170</v>
      </c>
      <c r="E446" s="54" t="s">
        <v>343</v>
      </c>
      <c r="F446" s="54">
        <v>240</v>
      </c>
      <c r="G446" s="62">
        <v>1957.5</v>
      </c>
      <c r="H446" s="62">
        <v>1957.5</v>
      </c>
    </row>
    <row r="447" spans="1:8" ht="12.75">
      <c r="A447" s="55" t="str">
        <f ca="1">IF(ISERROR(MATCH(C447,Код_Раздел,0)),"",INDIRECT(ADDRESS(MATCH(C447,Код_Раздел,0)+1,2,,,"Раздел")))</f>
        <v>Социальная политика</v>
      </c>
      <c r="B447" s="54">
        <v>803</v>
      </c>
      <c r="C447" s="57" t="s">
        <v>163</v>
      </c>
      <c r="D447" s="57"/>
      <c r="E447" s="54"/>
      <c r="F447" s="54"/>
      <c r="G447" s="62">
        <f aca="true" t="shared" si="201" ref="G447:H451">G448</f>
        <v>71</v>
      </c>
      <c r="H447" s="62">
        <f t="shared" si="201"/>
        <v>71</v>
      </c>
    </row>
    <row r="448" spans="1:8" ht="12.75">
      <c r="A448" s="59" t="s">
        <v>154</v>
      </c>
      <c r="B448" s="54">
        <v>803</v>
      </c>
      <c r="C448" s="57" t="s">
        <v>163</v>
      </c>
      <c r="D448" s="57" t="s">
        <v>189</v>
      </c>
      <c r="E448" s="54"/>
      <c r="F448" s="54"/>
      <c r="G448" s="62">
        <f t="shared" si="201"/>
        <v>71</v>
      </c>
      <c r="H448" s="62">
        <f t="shared" si="201"/>
        <v>71</v>
      </c>
    </row>
    <row r="449" spans="1:8" ht="40.5" customHeight="1">
      <c r="A449" s="55" t="str">
        <f ca="1">IF(ISERROR(MATCH(E449,Код_КЦСР,0)),"",INDIRECT(ADDRESS(MATCH(E449,Код_КЦСР,0)+1,2,,,"КЦСР")))</f>
        <v>Муниципальная программа «Социальная поддержка граждан» на 2014-2018 годы</v>
      </c>
      <c r="B449" s="54">
        <v>803</v>
      </c>
      <c r="C449" s="57" t="s">
        <v>163</v>
      </c>
      <c r="D449" s="57" t="s">
        <v>189</v>
      </c>
      <c r="E449" s="54" t="s">
        <v>4</v>
      </c>
      <c r="F449" s="54"/>
      <c r="G449" s="62">
        <f t="shared" si="201"/>
        <v>71</v>
      </c>
      <c r="H449" s="62">
        <f t="shared" si="201"/>
        <v>71</v>
      </c>
    </row>
    <row r="450" spans="1:8" ht="12.75">
      <c r="A450" s="55" t="str">
        <f ca="1">IF(ISERROR(MATCH(E450,Код_КЦСР,0)),"",INDIRECT(ADDRESS(MATCH(E450,Код_КЦСР,0)+1,2,,,"КЦСР")))</f>
        <v>Оплата услуг бани по льготным помывкам</v>
      </c>
      <c r="B450" s="54">
        <v>803</v>
      </c>
      <c r="C450" s="57" t="s">
        <v>163</v>
      </c>
      <c r="D450" s="57" t="s">
        <v>189</v>
      </c>
      <c r="E450" s="54" t="s">
        <v>20</v>
      </c>
      <c r="F450" s="54"/>
      <c r="G450" s="62">
        <f t="shared" si="201"/>
        <v>71</v>
      </c>
      <c r="H450" s="62">
        <f t="shared" si="201"/>
        <v>71</v>
      </c>
    </row>
    <row r="451" spans="1:8" ht="12.75">
      <c r="A451" s="55" t="str">
        <f ca="1">IF(ISERROR(MATCH(F451,Код_КВР,0)),"",INDIRECT(ADDRESS(MATCH(F451,Код_КВР,0)+1,2,,,"КВР")))</f>
        <v>Социальное обеспечение и иные выплаты населению</v>
      </c>
      <c r="B451" s="54">
        <v>803</v>
      </c>
      <c r="C451" s="57" t="s">
        <v>163</v>
      </c>
      <c r="D451" s="57" t="s">
        <v>189</v>
      </c>
      <c r="E451" s="54" t="s">
        <v>20</v>
      </c>
      <c r="F451" s="54">
        <v>300</v>
      </c>
      <c r="G451" s="62">
        <f t="shared" si="201"/>
        <v>71</v>
      </c>
      <c r="H451" s="62">
        <f t="shared" si="201"/>
        <v>71</v>
      </c>
    </row>
    <row r="452" spans="1:8" ht="33">
      <c r="A452" s="55" t="str">
        <f ca="1">IF(ISERROR(MATCH(F452,Код_КВР,0)),"",INDIRECT(ADDRESS(MATCH(F452,Код_КВР,0)+1,2,,,"КВР")))</f>
        <v>Социальные выплаты гражданам, кроме публичных нормативных социальных выплат</v>
      </c>
      <c r="B452" s="54">
        <v>803</v>
      </c>
      <c r="C452" s="57" t="s">
        <v>163</v>
      </c>
      <c r="D452" s="57" t="s">
        <v>189</v>
      </c>
      <c r="E452" s="54" t="s">
        <v>20</v>
      </c>
      <c r="F452" s="54">
        <v>320</v>
      </c>
      <c r="G452" s="62">
        <v>71</v>
      </c>
      <c r="H452" s="62">
        <v>71</v>
      </c>
    </row>
    <row r="453" spans="1:8" ht="33">
      <c r="A453" s="55" t="str">
        <f ca="1">IF(ISERROR(MATCH(B453,Код_ППП,0)),"",INDIRECT(ADDRESS(MATCH(B453,Код_ППП,0)+1,2,,,"ППП")))</f>
        <v>УПРАВЛЕНИЕ АРХИТЕКТУРЫ И ГРАДОСТРОИТЕЛЬСТВА МЭРИИ ГОРОДА</v>
      </c>
      <c r="B453" s="54">
        <v>804</v>
      </c>
      <c r="C453" s="57"/>
      <c r="D453" s="57"/>
      <c r="E453" s="54"/>
      <c r="F453" s="54"/>
      <c r="G453" s="62">
        <f aca="true" t="shared" si="202" ref="G453:H453">G454</f>
        <v>34817.5</v>
      </c>
      <c r="H453" s="62">
        <f t="shared" si="202"/>
        <v>37154.1</v>
      </c>
    </row>
    <row r="454" spans="1:8" ht="12.75">
      <c r="A454" s="55" t="str">
        <f ca="1">IF(ISERROR(MATCH(C454,Код_Раздел,0)),"",INDIRECT(ADDRESS(MATCH(C454,Код_Раздел,0)+1,2,,,"Раздел")))</f>
        <v>Национальная экономика</v>
      </c>
      <c r="B454" s="54">
        <v>804</v>
      </c>
      <c r="C454" s="57" t="s">
        <v>190</v>
      </c>
      <c r="D454" s="57"/>
      <c r="E454" s="54"/>
      <c r="F454" s="54"/>
      <c r="G454" s="62">
        <f>G455</f>
        <v>34817.5</v>
      </c>
      <c r="H454" s="62">
        <f>H455</f>
        <v>37154.1</v>
      </c>
    </row>
    <row r="455" spans="1:8" ht="12.75">
      <c r="A455" s="59" t="s">
        <v>197</v>
      </c>
      <c r="B455" s="54">
        <v>804</v>
      </c>
      <c r="C455" s="57" t="s">
        <v>190</v>
      </c>
      <c r="D455" s="57" t="s">
        <v>171</v>
      </c>
      <c r="E455" s="54"/>
      <c r="F455" s="54"/>
      <c r="G455" s="62">
        <f aca="true" t="shared" si="203" ref="G455:H455">G456</f>
        <v>34817.5</v>
      </c>
      <c r="H455" s="62">
        <f t="shared" si="203"/>
        <v>37154.1</v>
      </c>
    </row>
    <row r="456" spans="1:8" ht="33">
      <c r="A456" s="55" t="str">
        <f ca="1">IF(ISERROR(MATCH(E456,Код_КЦСР,0)),"",INDIRECT(ADDRESS(MATCH(E456,Код_КЦСР,0)+1,2,,,"КЦСР")))</f>
        <v>Муниципальная программа «Реализация градостроительной политики города Череповца» на 2014-2022 годы</v>
      </c>
      <c r="B456" s="54">
        <v>804</v>
      </c>
      <c r="C456" s="57" t="s">
        <v>190</v>
      </c>
      <c r="D456" s="57" t="s">
        <v>171</v>
      </c>
      <c r="E456" s="54" t="s">
        <v>40</v>
      </c>
      <c r="F456" s="54"/>
      <c r="G456" s="62">
        <f aca="true" t="shared" si="204" ref="G456:H456">G457+G460+G463</f>
        <v>34817.5</v>
      </c>
      <c r="H456" s="62">
        <f t="shared" si="204"/>
        <v>37154.1</v>
      </c>
    </row>
    <row r="457" spans="1:8" ht="33">
      <c r="A457" s="55" t="str">
        <f ca="1">IF(ISERROR(MATCH(E457,Код_КЦСР,0)),"",INDIRECT(ADDRESS(MATCH(E457,Код_КЦСР,0)+1,2,,,"КЦСР")))</f>
        <v>Обеспечение подготовки градостроительной документации и нормативно-правовых актов</v>
      </c>
      <c r="B457" s="54">
        <v>804</v>
      </c>
      <c r="C457" s="57" t="s">
        <v>190</v>
      </c>
      <c r="D457" s="57" t="s">
        <v>171</v>
      </c>
      <c r="E457" s="54" t="s">
        <v>41</v>
      </c>
      <c r="F457" s="54"/>
      <c r="G457" s="62">
        <f aca="true" t="shared" si="205" ref="G457:H458">G458</f>
        <v>2651.2</v>
      </c>
      <c r="H457" s="62">
        <f t="shared" si="205"/>
        <v>3091.4</v>
      </c>
    </row>
    <row r="458" spans="1:8" ht="12.75">
      <c r="A458" s="55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54">
        <v>804</v>
      </c>
      <c r="C458" s="57" t="s">
        <v>190</v>
      </c>
      <c r="D458" s="57" t="s">
        <v>171</v>
      </c>
      <c r="E458" s="54" t="s">
        <v>41</v>
      </c>
      <c r="F458" s="54">
        <v>200</v>
      </c>
      <c r="G458" s="62">
        <f t="shared" si="205"/>
        <v>2651.2</v>
      </c>
      <c r="H458" s="62">
        <f t="shared" si="205"/>
        <v>3091.4</v>
      </c>
    </row>
    <row r="459" spans="1:8" ht="33">
      <c r="A459" s="55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54">
        <v>804</v>
      </c>
      <c r="C459" s="57" t="s">
        <v>190</v>
      </c>
      <c r="D459" s="57" t="s">
        <v>171</v>
      </c>
      <c r="E459" s="54" t="s">
        <v>41</v>
      </c>
      <c r="F459" s="54">
        <v>240</v>
      </c>
      <c r="G459" s="62">
        <v>2651.2</v>
      </c>
      <c r="H459" s="62">
        <v>3091.4</v>
      </c>
    </row>
    <row r="460" spans="1:8" ht="26.25" customHeight="1">
      <c r="A460" s="55" t="str">
        <f ca="1">IF(ISERROR(MATCH(E460,Код_КЦСР,0)),"",INDIRECT(ADDRESS(MATCH(E460,Код_КЦСР,0)+1,2,,,"КЦСР")))</f>
        <v>Создание условий для формирования комфортной городской среды</v>
      </c>
      <c r="B460" s="54">
        <v>804</v>
      </c>
      <c r="C460" s="57" t="s">
        <v>190</v>
      </c>
      <c r="D460" s="57" t="s">
        <v>171</v>
      </c>
      <c r="E460" s="54" t="s">
        <v>43</v>
      </c>
      <c r="F460" s="54"/>
      <c r="G460" s="62">
        <f aca="true" t="shared" si="206" ref="G460:H460">G461</f>
        <v>0</v>
      </c>
      <c r="H460" s="62">
        <f t="shared" si="206"/>
        <v>1896.4</v>
      </c>
    </row>
    <row r="461" spans="1:8" ht="12.75">
      <c r="A461" s="55" t="str">
        <f ca="1">IF(ISERROR(MATCH(F461,Код_КВР,0)),"",INDIRECT(ADDRESS(MATCH(F461,Код_КВР,0)+1,2,,,"КВР")))</f>
        <v>Закупка товаров, работ и услуг для муниципальных нужд</v>
      </c>
      <c r="B461" s="54">
        <v>804</v>
      </c>
      <c r="C461" s="57" t="s">
        <v>190</v>
      </c>
      <c r="D461" s="57" t="s">
        <v>171</v>
      </c>
      <c r="E461" s="54" t="s">
        <v>43</v>
      </c>
      <c r="F461" s="54">
        <v>200</v>
      </c>
      <c r="G461" s="62">
        <f>G462</f>
        <v>0</v>
      </c>
      <c r="H461" s="62">
        <f>H462</f>
        <v>1896.4</v>
      </c>
    </row>
    <row r="462" spans="1:8" ht="33">
      <c r="A462" s="55" t="str">
        <f ca="1">IF(ISERROR(MATCH(F462,Код_КВР,0)),"",INDIRECT(ADDRESS(MATCH(F462,Код_КВР,0)+1,2,,,"КВР")))</f>
        <v>Иные закупки товаров, работ и услуг для обеспечения муниципальных нужд</v>
      </c>
      <c r="B462" s="54">
        <v>804</v>
      </c>
      <c r="C462" s="57" t="s">
        <v>190</v>
      </c>
      <c r="D462" s="57" t="s">
        <v>171</v>
      </c>
      <c r="E462" s="54" t="s">
        <v>43</v>
      </c>
      <c r="F462" s="54">
        <v>240</v>
      </c>
      <c r="G462" s="62"/>
      <c r="H462" s="62">
        <v>1896.4</v>
      </c>
    </row>
    <row r="463" spans="1:8" ht="51.75" customHeight="1">
      <c r="A463" s="55" t="str">
        <f ca="1">IF(ISERROR(MATCH(E463,Код_КЦСР,0)),"",INDIRECT(ADDRESS(MATCH(E463,Код_КЦСР,0)+1,2,,,"КЦСР")))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463" s="54">
        <v>804</v>
      </c>
      <c r="C463" s="57" t="s">
        <v>190</v>
      </c>
      <c r="D463" s="57" t="s">
        <v>171</v>
      </c>
      <c r="E463" s="54" t="s">
        <v>544</v>
      </c>
      <c r="F463" s="54"/>
      <c r="G463" s="62">
        <f aca="true" t="shared" si="207" ref="G463:H463">G464+G466+G468</f>
        <v>32166.3</v>
      </c>
      <c r="H463" s="62">
        <f t="shared" si="207"/>
        <v>32166.3</v>
      </c>
    </row>
    <row r="464" spans="1:8" ht="33">
      <c r="A464" s="55" t="str">
        <f aca="true" t="shared" si="208" ref="A464:A469">IF(ISERROR(MATCH(F464,Код_КВР,0)),"",INDIRECT(ADDRESS(MATCH(F464,Код_КВР,0)+1,2,,,"КВР")))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4" s="54">
        <v>804</v>
      </c>
      <c r="C464" s="57" t="s">
        <v>190</v>
      </c>
      <c r="D464" s="57" t="s">
        <v>171</v>
      </c>
      <c r="E464" s="54" t="s">
        <v>544</v>
      </c>
      <c r="F464" s="54">
        <v>100</v>
      </c>
      <c r="G464" s="62">
        <f aca="true" t="shared" si="209" ref="G464:H464">G465</f>
        <v>32144.3</v>
      </c>
      <c r="H464" s="62">
        <f t="shared" si="209"/>
        <v>32144.3</v>
      </c>
    </row>
    <row r="465" spans="1:8" ht="12.75">
      <c r="A465" s="55" t="str">
        <f ca="1" t="shared" si="208"/>
        <v>Расходы на выплаты персоналу муниципальных органов</v>
      </c>
      <c r="B465" s="54">
        <v>804</v>
      </c>
      <c r="C465" s="57" t="s">
        <v>190</v>
      </c>
      <c r="D465" s="57" t="s">
        <v>171</v>
      </c>
      <c r="E465" s="54" t="s">
        <v>544</v>
      </c>
      <c r="F465" s="54">
        <v>120</v>
      </c>
      <c r="G465" s="62">
        <v>32144.3</v>
      </c>
      <c r="H465" s="62">
        <v>32144.3</v>
      </c>
    </row>
    <row r="466" spans="1:8" ht="12.75">
      <c r="A466" s="55" t="str">
        <f ca="1" t="shared" si="208"/>
        <v>Закупка товаров, работ и услуг для муниципальных нужд</v>
      </c>
      <c r="B466" s="54">
        <v>804</v>
      </c>
      <c r="C466" s="57" t="s">
        <v>190</v>
      </c>
      <c r="D466" s="57" t="s">
        <v>171</v>
      </c>
      <c r="E466" s="54" t="s">
        <v>544</v>
      </c>
      <c r="F466" s="54">
        <v>200</v>
      </c>
      <c r="G466" s="62">
        <f aca="true" t="shared" si="210" ref="G466:H466">G467</f>
        <v>20</v>
      </c>
      <c r="H466" s="62">
        <f t="shared" si="210"/>
        <v>20</v>
      </c>
    </row>
    <row r="467" spans="1:8" ht="33">
      <c r="A467" s="55" t="str">
        <f ca="1" t="shared" si="208"/>
        <v>Иные закупки товаров, работ и услуг для обеспечения муниципальных нужд</v>
      </c>
      <c r="B467" s="54">
        <v>804</v>
      </c>
      <c r="C467" s="57" t="s">
        <v>190</v>
      </c>
      <c r="D467" s="57" t="s">
        <v>171</v>
      </c>
      <c r="E467" s="54" t="s">
        <v>544</v>
      </c>
      <c r="F467" s="54">
        <v>240</v>
      </c>
      <c r="G467" s="62">
        <v>20</v>
      </c>
      <c r="H467" s="62">
        <v>20</v>
      </c>
    </row>
    <row r="468" spans="1:8" ht="12.75">
      <c r="A468" s="55" t="str">
        <f ca="1" t="shared" si="208"/>
        <v>Иные бюджетные ассигнования</v>
      </c>
      <c r="B468" s="54">
        <v>804</v>
      </c>
      <c r="C468" s="57" t="s">
        <v>190</v>
      </c>
      <c r="D468" s="57" t="s">
        <v>171</v>
      </c>
      <c r="E468" s="54" t="s">
        <v>544</v>
      </c>
      <c r="F468" s="54">
        <v>800</v>
      </c>
      <c r="G468" s="62">
        <f aca="true" t="shared" si="211" ref="G468:H468">G469</f>
        <v>2</v>
      </c>
      <c r="H468" s="62">
        <f t="shared" si="211"/>
        <v>2</v>
      </c>
    </row>
    <row r="469" spans="1:8" ht="12.75">
      <c r="A469" s="55" t="str">
        <f ca="1" t="shared" si="208"/>
        <v>Уплата налогов, сборов и иных платежей</v>
      </c>
      <c r="B469" s="54">
        <v>804</v>
      </c>
      <c r="C469" s="57" t="s">
        <v>190</v>
      </c>
      <c r="D469" s="57" t="s">
        <v>171</v>
      </c>
      <c r="E469" s="54" t="s">
        <v>544</v>
      </c>
      <c r="F469" s="54">
        <v>850</v>
      </c>
      <c r="G469" s="62">
        <v>2</v>
      </c>
      <c r="H469" s="62">
        <v>2</v>
      </c>
    </row>
    <row r="470" spans="1:8" ht="12.75">
      <c r="A470" s="55" t="str">
        <f ca="1">IF(ISERROR(MATCH(B470,Код_ППП,0)),"",INDIRECT(ADDRESS(MATCH(B470,Код_ППП,0)+1,2,,,"ППП")))</f>
        <v>УПРАВЛЕНИЕ ОБРАЗОВАНИЯ МЭРИИ ГОРОДА</v>
      </c>
      <c r="B470" s="54">
        <v>805</v>
      </c>
      <c r="C470" s="57"/>
      <c r="D470" s="57"/>
      <c r="E470" s="54"/>
      <c r="F470" s="54"/>
      <c r="G470" s="62">
        <f>G471+G614</f>
        <v>2881638.4</v>
      </c>
      <c r="H470" s="62">
        <f>H471+H614</f>
        <v>3242329.3</v>
      </c>
    </row>
    <row r="471" spans="1:8" ht="12.75">
      <c r="A471" s="55" t="str">
        <f ca="1">IF(ISERROR(MATCH(C471,Код_Раздел,0)),"",INDIRECT(ADDRESS(MATCH(C471,Код_Раздел,0)+1,2,,,"Раздел")))</f>
        <v>Образование</v>
      </c>
      <c r="B471" s="54">
        <v>805</v>
      </c>
      <c r="C471" s="57" t="s">
        <v>170</v>
      </c>
      <c r="D471" s="57"/>
      <c r="E471" s="54"/>
      <c r="F471" s="54"/>
      <c r="G471" s="62">
        <f>G472+G497+G541</f>
        <v>2819256.9</v>
      </c>
      <c r="H471" s="62">
        <f>H472+H497+H541</f>
        <v>3144813.3</v>
      </c>
    </row>
    <row r="472" spans="1:8" ht="12.75">
      <c r="A472" s="59" t="s">
        <v>228</v>
      </c>
      <c r="B472" s="54">
        <v>805</v>
      </c>
      <c r="C472" s="57" t="s">
        <v>170</v>
      </c>
      <c r="D472" s="57" t="s">
        <v>187</v>
      </c>
      <c r="E472" s="54"/>
      <c r="F472" s="54"/>
      <c r="G472" s="62">
        <f aca="true" t="shared" si="212" ref="G472:H472">G473</f>
        <v>1328288.7</v>
      </c>
      <c r="H472" s="62">
        <f t="shared" si="212"/>
        <v>1479285.5</v>
      </c>
    </row>
    <row r="473" spans="1:8" ht="12.75">
      <c r="A473" s="55" t="str">
        <f ca="1">IF(ISERROR(MATCH(E473,Код_КЦСР,0)),"",INDIRECT(ADDRESS(MATCH(E473,Код_КЦСР,0)+1,2,,,"КЦСР")))</f>
        <v>Муниципальная программа «Развитие образования» на 2013-2022 годы</v>
      </c>
      <c r="B473" s="54">
        <v>805</v>
      </c>
      <c r="C473" s="57" t="s">
        <v>170</v>
      </c>
      <c r="D473" s="57" t="s">
        <v>187</v>
      </c>
      <c r="E473" s="54" t="s">
        <v>237</v>
      </c>
      <c r="F473" s="54"/>
      <c r="G473" s="62">
        <f>G474+G488+G483</f>
        <v>1328288.7</v>
      </c>
      <c r="H473" s="62">
        <f>H474+H488+H483</f>
        <v>1479285.5</v>
      </c>
    </row>
    <row r="474" spans="1:8" ht="12.75">
      <c r="A474" s="55" t="str">
        <f ca="1">IF(ISERROR(MATCH(E474,Код_КЦСР,0)),"",INDIRECT(ADDRESS(MATCH(E474,Код_КЦСР,0)+1,2,,,"КЦСР")))</f>
        <v>Дошкольное образование</v>
      </c>
      <c r="B474" s="54">
        <v>805</v>
      </c>
      <c r="C474" s="57" t="s">
        <v>170</v>
      </c>
      <c r="D474" s="57" t="s">
        <v>187</v>
      </c>
      <c r="E474" s="54" t="s">
        <v>243</v>
      </c>
      <c r="F474" s="54"/>
      <c r="G474" s="62">
        <f>G475+G479</f>
        <v>1315412</v>
      </c>
      <c r="H474" s="62">
        <f>H475+H479</f>
        <v>1466408.8</v>
      </c>
    </row>
    <row r="475" spans="1:8" ht="72.75" customHeight="1">
      <c r="A475" s="55" t="str">
        <f ca="1">IF(ISERROR(MATCH(E475,Код_КЦСР,0)),"",INDIRECT(ADDRESS(MATCH(E475,Код_КЦСР,0)+1,2,,,"КЦСР")))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475" s="54">
        <v>805</v>
      </c>
      <c r="C475" s="57" t="s">
        <v>170</v>
      </c>
      <c r="D475" s="57" t="s">
        <v>187</v>
      </c>
      <c r="E475" s="54" t="s">
        <v>244</v>
      </c>
      <c r="F475" s="54"/>
      <c r="G475" s="62">
        <f aca="true" t="shared" si="213" ref="G475:H475">G476</f>
        <v>386997.4</v>
      </c>
      <c r="H475" s="62">
        <f t="shared" si="213"/>
        <v>395921.49999999994</v>
      </c>
    </row>
    <row r="476" spans="1:8" ht="40.5" customHeight="1">
      <c r="A476" s="55" t="str">
        <f ca="1">IF(ISERROR(MATCH(F476,Код_КВР,0)),"",INDIRECT(ADDRESS(MATCH(F476,Код_КВР,0)+1,2,,,"КВР")))</f>
        <v>Предоставление субсидий бюджетным, автономным учреждениям и иным некоммерческим организациям</v>
      </c>
      <c r="B476" s="54">
        <v>805</v>
      </c>
      <c r="C476" s="57" t="s">
        <v>170</v>
      </c>
      <c r="D476" s="57" t="s">
        <v>187</v>
      </c>
      <c r="E476" s="54" t="s">
        <v>244</v>
      </c>
      <c r="F476" s="54">
        <v>600</v>
      </c>
      <c r="G476" s="62">
        <f aca="true" t="shared" si="214" ref="G476:H476">G477+G478</f>
        <v>386997.4</v>
      </c>
      <c r="H476" s="62">
        <f t="shared" si="214"/>
        <v>395921.49999999994</v>
      </c>
    </row>
    <row r="477" spans="1:8" ht="12.75">
      <c r="A477" s="55" t="str">
        <f ca="1">IF(ISERROR(MATCH(F477,Код_КВР,0)),"",INDIRECT(ADDRESS(MATCH(F477,Код_КВР,0)+1,2,,,"КВР")))</f>
        <v>Субсидии бюджетным учреждениям</v>
      </c>
      <c r="B477" s="54">
        <v>805</v>
      </c>
      <c r="C477" s="57" t="s">
        <v>170</v>
      </c>
      <c r="D477" s="57" t="s">
        <v>187</v>
      </c>
      <c r="E477" s="54" t="s">
        <v>244</v>
      </c>
      <c r="F477" s="54">
        <v>610</v>
      </c>
      <c r="G477" s="62">
        <f>377141.5-33556.5</f>
        <v>343585</v>
      </c>
      <c r="H477" s="62">
        <f>385459.1-33477.2</f>
        <v>351981.89999999997</v>
      </c>
    </row>
    <row r="478" spans="1:8" ht="12.75">
      <c r="A478" s="55" t="str">
        <f ca="1">IF(ISERROR(MATCH(F478,Код_КВР,0)),"",INDIRECT(ADDRESS(MATCH(F478,Код_КВР,0)+1,2,,,"КВР")))</f>
        <v>Субсидии автономным учреждениям</v>
      </c>
      <c r="B478" s="54">
        <v>805</v>
      </c>
      <c r="C478" s="57" t="s">
        <v>170</v>
      </c>
      <c r="D478" s="57" t="s">
        <v>187</v>
      </c>
      <c r="E478" s="54" t="s">
        <v>244</v>
      </c>
      <c r="F478" s="54">
        <v>620</v>
      </c>
      <c r="G478" s="62">
        <f>46174.5-2762.1</f>
        <v>43412.4</v>
      </c>
      <c r="H478" s="62">
        <f>46701.7-2762.1</f>
        <v>43939.6</v>
      </c>
    </row>
    <row r="479" spans="1:8" ht="56.25" customHeight="1">
      <c r="A479" s="55" t="str">
        <f ca="1">IF(ISERROR(MATCH(E479,Код_КЦСР,0)),"",INDIRECT(ADDRESS(MATCH(E479,Код_КЦСР,0)+1,2,,,"КЦСР")))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9" s="54">
        <v>805</v>
      </c>
      <c r="C479" s="57" t="s">
        <v>170</v>
      </c>
      <c r="D479" s="57" t="s">
        <v>187</v>
      </c>
      <c r="E479" s="54" t="s">
        <v>345</v>
      </c>
      <c r="F479" s="54"/>
      <c r="G479" s="62">
        <f aca="true" t="shared" si="215" ref="G479:H479">G480</f>
        <v>928414.6</v>
      </c>
      <c r="H479" s="62">
        <f t="shared" si="215"/>
        <v>1070487.3</v>
      </c>
    </row>
    <row r="480" spans="1:8" ht="36.75" customHeight="1">
      <c r="A480" s="55" t="str">
        <f ca="1">IF(ISERROR(MATCH(F480,Код_КВР,0)),"",INDIRECT(ADDRESS(MATCH(F480,Код_КВР,0)+1,2,,,"КВР")))</f>
        <v>Предоставление субсидий бюджетным, автономным учреждениям и иным некоммерческим организациям</v>
      </c>
      <c r="B480" s="54">
        <v>805</v>
      </c>
      <c r="C480" s="57" t="s">
        <v>170</v>
      </c>
      <c r="D480" s="57" t="s">
        <v>187</v>
      </c>
      <c r="E480" s="54" t="s">
        <v>345</v>
      </c>
      <c r="F480" s="54">
        <v>600</v>
      </c>
      <c r="G480" s="62">
        <f aca="true" t="shared" si="216" ref="G480:H480">G481+G482</f>
        <v>928414.6</v>
      </c>
      <c r="H480" s="62">
        <f t="shared" si="216"/>
        <v>1070487.3</v>
      </c>
    </row>
    <row r="481" spans="1:8" ht="12.75">
      <c r="A481" s="55" t="str">
        <f ca="1">IF(ISERROR(MATCH(F481,Код_КВР,0)),"",INDIRECT(ADDRESS(MATCH(F481,Код_КВР,0)+1,2,,,"КВР")))</f>
        <v>Субсидии бюджетным учреждениям</v>
      </c>
      <c r="B481" s="54">
        <v>805</v>
      </c>
      <c r="C481" s="57" t="s">
        <v>170</v>
      </c>
      <c r="D481" s="57" t="s">
        <v>187</v>
      </c>
      <c r="E481" s="54" t="s">
        <v>345</v>
      </c>
      <c r="F481" s="54">
        <v>610</v>
      </c>
      <c r="G481" s="62">
        <f>872466.6+2392.1</f>
        <v>874858.7</v>
      </c>
      <c r="H481" s="62">
        <f>1006343.8+2392.1</f>
        <v>1008735.9</v>
      </c>
    </row>
    <row r="482" spans="1:8" ht="12.75">
      <c r="A482" s="55" t="str">
        <f ca="1">IF(ISERROR(MATCH(F482,Код_КВР,0)),"",INDIRECT(ADDRESS(MATCH(F482,Код_КВР,0)+1,2,,,"КВР")))</f>
        <v>Субсидии автономным учреждениям</v>
      </c>
      <c r="B482" s="54">
        <v>805</v>
      </c>
      <c r="C482" s="57" t="s">
        <v>170</v>
      </c>
      <c r="D482" s="57" t="s">
        <v>187</v>
      </c>
      <c r="E482" s="54" t="s">
        <v>345</v>
      </c>
      <c r="F482" s="54">
        <v>620</v>
      </c>
      <c r="G482" s="62">
        <f>53409.5+146.4</f>
        <v>53555.9</v>
      </c>
      <c r="H482" s="62">
        <f>61605+146.4</f>
        <v>61751.4</v>
      </c>
    </row>
    <row r="483" spans="1:8" ht="21" customHeight="1">
      <c r="A483" s="55" t="str">
        <f ca="1">IF(ISERROR(MATCH(E483,Код_КЦСР,0)),"",INDIRECT(ADDRESS(MATCH(E483,Код_КЦСР,0)+1,2,,,"КЦСР")))</f>
        <v>Общее образование</v>
      </c>
      <c r="B483" s="54">
        <v>805</v>
      </c>
      <c r="C483" s="57" t="s">
        <v>170</v>
      </c>
      <c r="D483" s="57" t="s">
        <v>187</v>
      </c>
      <c r="E483" s="54" t="s">
        <v>245</v>
      </c>
      <c r="F483" s="54"/>
      <c r="G483" s="62">
        <f>G484</f>
        <v>4322.5</v>
      </c>
      <c r="H483" s="62">
        <f>H484</f>
        <v>4322.5</v>
      </c>
    </row>
    <row r="484" spans="1:8" ht="82.5" customHeight="1">
      <c r="A484" s="55" t="str">
        <f ca="1">IF(ISERROR(MATCH(E484,Код_КЦСР,0)),"",INDIRECT(ADDRESS(MATCH(E484,Код_КЦСР,0)+1,2,,,"КЦСР")))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484" s="54">
        <v>805</v>
      </c>
      <c r="C484" s="57" t="s">
        <v>170</v>
      </c>
      <c r="D484" s="57" t="s">
        <v>187</v>
      </c>
      <c r="E484" s="54" t="s">
        <v>350</v>
      </c>
      <c r="F484" s="54"/>
      <c r="G484" s="62">
        <f aca="true" t="shared" si="217" ref="G484:H484">G485</f>
        <v>4322.5</v>
      </c>
      <c r="H484" s="62">
        <f t="shared" si="217"/>
        <v>4322.5</v>
      </c>
    </row>
    <row r="485" spans="1:8" ht="33">
      <c r="A485" s="55" t="str">
        <f ca="1">IF(ISERROR(MATCH(F485,Код_КВР,0)),"",INDIRECT(ADDRESS(MATCH(F485,Код_КВР,0)+1,2,,,"КВР")))</f>
        <v>Предоставление субсидий бюджетным, автономным учреждениям и иным некоммерческим организациям</v>
      </c>
      <c r="B485" s="54">
        <v>805</v>
      </c>
      <c r="C485" s="57" t="s">
        <v>170</v>
      </c>
      <c r="D485" s="57" t="s">
        <v>187</v>
      </c>
      <c r="E485" s="54" t="s">
        <v>350</v>
      </c>
      <c r="F485" s="54">
        <v>600</v>
      </c>
      <c r="G485" s="62">
        <f aca="true" t="shared" si="218" ref="G485:H485">G486+G487</f>
        <v>4322.5</v>
      </c>
      <c r="H485" s="62">
        <f t="shared" si="218"/>
        <v>4322.5</v>
      </c>
    </row>
    <row r="486" spans="1:8" ht="12.75">
      <c r="A486" s="55" t="str">
        <f ca="1">IF(ISERROR(MATCH(F486,Код_КВР,0)),"",INDIRECT(ADDRESS(MATCH(F486,Код_КВР,0)+1,2,,,"КВР")))</f>
        <v>Субсидии бюджетным учреждениям</v>
      </c>
      <c r="B486" s="54">
        <v>805</v>
      </c>
      <c r="C486" s="57" t="s">
        <v>170</v>
      </c>
      <c r="D486" s="57" t="s">
        <v>187</v>
      </c>
      <c r="E486" s="54" t="s">
        <v>350</v>
      </c>
      <c r="F486" s="54">
        <v>610</v>
      </c>
      <c r="G486" s="62">
        <v>4305.6</v>
      </c>
      <c r="H486" s="62">
        <v>4305.6</v>
      </c>
    </row>
    <row r="487" spans="1:8" ht="12.75">
      <c r="A487" s="55" t="str">
        <f ca="1">IF(ISERROR(MATCH(F487,Код_КВР,0)),"",INDIRECT(ADDRESS(MATCH(F487,Код_КВР,0)+1,2,,,"КВР")))</f>
        <v>Субсидии автономным учреждениям</v>
      </c>
      <c r="B487" s="54">
        <v>805</v>
      </c>
      <c r="C487" s="57" t="s">
        <v>170</v>
      </c>
      <c r="D487" s="57" t="s">
        <v>187</v>
      </c>
      <c r="E487" s="54" t="s">
        <v>350</v>
      </c>
      <c r="F487" s="54">
        <v>620</v>
      </c>
      <c r="G487" s="62">
        <v>16.9</v>
      </c>
      <c r="H487" s="62">
        <v>16.9</v>
      </c>
    </row>
    <row r="488" spans="1:8" ht="12.75">
      <c r="A488" s="55" t="str">
        <f ca="1">IF(ISERROR(MATCH(E488,Код_КЦСР,0)),"",INDIRECT(ADDRESS(MATCH(E488,Код_КЦСР,0)+1,2,,,"КЦСР")))</f>
        <v>Кадровое обеспечение муниципальной системы образования</v>
      </c>
      <c r="B488" s="54">
        <v>805</v>
      </c>
      <c r="C488" s="57" t="s">
        <v>170</v>
      </c>
      <c r="D488" s="57" t="s">
        <v>187</v>
      </c>
      <c r="E488" s="54" t="s">
        <v>256</v>
      </c>
      <c r="F488" s="54"/>
      <c r="G488" s="62">
        <f aca="true" t="shared" si="219" ref="G488:H488">G489+G493</f>
        <v>8554.2</v>
      </c>
      <c r="H488" s="62">
        <f t="shared" si="219"/>
        <v>8554.2</v>
      </c>
    </row>
    <row r="489" spans="1:8" ht="33">
      <c r="A489" s="55" t="str">
        <f ca="1">IF(ISERROR(MATCH(E489,Код_КЦСР,0)),"",INDIRECT(ADDRESS(MATCH(E489,Код_КЦСР,0)+1,2,,,"КЦСР")))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489" s="54">
        <v>805</v>
      </c>
      <c r="C489" s="57" t="s">
        <v>170</v>
      </c>
      <c r="D489" s="57" t="s">
        <v>187</v>
      </c>
      <c r="E489" s="54" t="s">
        <v>258</v>
      </c>
      <c r="F489" s="54"/>
      <c r="G489" s="62">
        <f aca="true" t="shared" si="220" ref="G489:H491">G490</f>
        <v>130.2</v>
      </c>
      <c r="H489" s="62">
        <f t="shared" si="220"/>
        <v>130.2</v>
      </c>
    </row>
    <row r="490" spans="1:8" ht="51.75" customHeight="1">
      <c r="A490" s="55" t="str">
        <f ca="1">IF(ISERROR(MATCH(E490,Код_КЦСР,0)),"",INDIRECT(ADDRESS(MATCH(E490,Код_КЦСР,0)+1,2,,,"КЦСР")))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490" s="54">
        <v>805</v>
      </c>
      <c r="C490" s="57" t="s">
        <v>170</v>
      </c>
      <c r="D490" s="57" t="s">
        <v>187</v>
      </c>
      <c r="E490" s="54" t="s">
        <v>260</v>
      </c>
      <c r="F490" s="54"/>
      <c r="G490" s="62">
        <f t="shared" si="220"/>
        <v>130.2</v>
      </c>
      <c r="H490" s="62">
        <f t="shared" si="220"/>
        <v>130.2</v>
      </c>
    </row>
    <row r="491" spans="1:8" ht="23.25" customHeight="1">
      <c r="A491" s="55" t="str">
        <f ca="1">IF(ISERROR(MATCH(F491,Код_КВР,0)),"",INDIRECT(ADDRESS(MATCH(F491,Код_КВР,0)+1,2,,,"КВР")))</f>
        <v>Социальное обеспечение и иные выплаты населению</v>
      </c>
      <c r="B491" s="54">
        <v>805</v>
      </c>
      <c r="C491" s="57" t="s">
        <v>170</v>
      </c>
      <c r="D491" s="57" t="s">
        <v>187</v>
      </c>
      <c r="E491" s="54" t="s">
        <v>260</v>
      </c>
      <c r="F491" s="54">
        <v>300</v>
      </c>
      <c r="G491" s="62">
        <f t="shared" si="220"/>
        <v>130.2</v>
      </c>
      <c r="H491" s="62">
        <f t="shared" si="220"/>
        <v>130.2</v>
      </c>
    </row>
    <row r="492" spans="1:8" ht="24" customHeight="1">
      <c r="A492" s="55" t="str">
        <f ca="1">IF(ISERROR(MATCH(F492,Код_КВР,0)),"",INDIRECT(ADDRESS(MATCH(F492,Код_КВР,0)+1,2,,,"КВР")))</f>
        <v>Публичные нормативные социальные выплаты гражданам</v>
      </c>
      <c r="B492" s="54">
        <v>805</v>
      </c>
      <c r="C492" s="57" t="s">
        <v>170</v>
      </c>
      <c r="D492" s="57" t="s">
        <v>187</v>
      </c>
      <c r="E492" s="54" t="s">
        <v>260</v>
      </c>
      <c r="F492" s="54">
        <v>310</v>
      </c>
      <c r="G492" s="62">
        <v>130.2</v>
      </c>
      <c r="H492" s="62">
        <v>130.2</v>
      </c>
    </row>
    <row r="493" spans="1:8" ht="33">
      <c r="A493" s="55" t="str">
        <f ca="1">IF(ISERROR(MATCH(E493,Код_КЦСР,0)),"",INDIRECT(ADDRESS(MATCH(E493,Код_КЦСР,0)+1,2,,,"КЦСР")))</f>
        <v xml:space="preserve">Осуществление денежных выплат работникам муниципальных образовательных учреждений     </v>
      </c>
      <c r="B493" s="54">
        <v>805</v>
      </c>
      <c r="C493" s="57" t="s">
        <v>170</v>
      </c>
      <c r="D493" s="57" t="s">
        <v>187</v>
      </c>
      <c r="E493" s="54" t="s">
        <v>261</v>
      </c>
      <c r="F493" s="54"/>
      <c r="G493" s="62">
        <f aca="true" t="shared" si="221" ref="G493:H495">G494</f>
        <v>8424</v>
      </c>
      <c r="H493" s="62">
        <f t="shared" si="221"/>
        <v>8424</v>
      </c>
    </row>
    <row r="494" spans="1:8" ht="114" customHeight="1">
      <c r="A494" s="55" t="str">
        <f ca="1">IF(ISERROR(MATCH(E494,Код_КЦСР,0)),"",INDIRECT(ADDRESS(MATCH(E494,Код_КЦСР,0)+1,2,,,"КЦСР")))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494" s="54">
        <v>805</v>
      </c>
      <c r="C494" s="57" t="s">
        <v>170</v>
      </c>
      <c r="D494" s="57" t="s">
        <v>187</v>
      </c>
      <c r="E494" s="54" t="s">
        <v>263</v>
      </c>
      <c r="F494" s="54"/>
      <c r="G494" s="62">
        <f t="shared" si="221"/>
        <v>8424</v>
      </c>
      <c r="H494" s="62">
        <f t="shared" si="221"/>
        <v>8424</v>
      </c>
    </row>
    <row r="495" spans="1:8" ht="12.75">
      <c r="A495" s="55" t="str">
        <f ca="1">IF(ISERROR(MATCH(F495,Код_КВР,0)),"",INDIRECT(ADDRESS(MATCH(F495,Код_КВР,0)+1,2,,,"КВР")))</f>
        <v>Социальное обеспечение и иные выплаты населению</v>
      </c>
      <c r="B495" s="54">
        <v>805</v>
      </c>
      <c r="C495" s="57" t="s">
        <v>170</v>
      </c>
      <c r="D495" s="57" t="s">
        <v>187</v>
      </c>
      <c r="E495" s="54" t="s">
        <v>263</v>
      </c>
      <c r="F495" s="54">
        <v>300</v>
      </c>
      <c r="G495" s="62">
        <f t="shared" si="221"/>
        <v>8424</v>
      </c>
      <c r="H495" s="62">
        <f t="shared" si="221"/>
        <v>8424</v>
      </c>
    </row>
    <row r="496" spans="1:8" ht="12.75">
      <c r="A496" s="55" t="str">
        <f ca="1">IF(ISERROR(MATCH(F496,Код_КВР,0)),"",INDIRECT(ADDRESS(MATCH(F496,Код_КВР,0)+1,2,,,"КВР")))</f>
        <v>Публичные нормативные социальные выплаты гражданам</v>
      </c>
      <c r="B496" s="54">
        <v>805</v>
      </c>
      <c r="C496" s="57" t="s">
        <v>170</v>
      </c>
      <c r="D496" s="57" t="s">
        <v>187</v>
      </c>
      <c r="E496" s="54" t="s">
        <v>263</v>
      </c>
      <c r="F496" s="54">
        <v>310</v>
      </c>
      <c r="G496" s="62">
        <v>8424</v>
      </c>
      <c r="H496" s="62">
        <v>8424</v>
      </c>
    </row>
    <row r="497" spans="1:8" ht="12.75">
      <c r="A497" s="59" t="s">
        <v>220</v>
      </c>
      <c r="B497" s="54">
        <v>805</v>
      </c>
      <c r="C497" s="57" t="s">
        <v>170</v>
      </c>
      <c r="D497" s="57" t="s">
        <v>188</v>
      </c>
      <c r="E497" s="54"/>
      <c r="F497" s="54"/>
      <c r="G497" s="62">
        <f>G498</f>
        <v>1405702.7</v>
      </c>
      <c r="H497" s="62">
        <f aca="true" t="shared" si="222" ref="H497">H498</f>
        <v>1571925.4</v>
      </c>
    </row>
    <row r="498" spans="1:8" ht="21" customHeight="1">
      <c r="A498" s="55" t="str">
        <f ca="1">IF(ISERROR(MATCH(E498,Код_КЦСР,0)),"",INDIRECT(ADDRESS(MATCH(E498,Код_КЦСР,0)+1,2,,,"КЦСР")))</f>
        <v>Муниципальная программа «Развитие образования» на 2013-2022 годы</v>
      </c>
      <c r="B498" s="54">
        <v>805</v>
      </c>
      <c r="C498" s="57" t="s">
        <v>170</v>
      </c>
      <c r="D498" s="57" t="s">
        <v>188</v>
      </c>
      <c r="E498" s="54" t="s">
        <v>237</v>
      </c>
      <c r="F498" s="54"/>
      <c r="G498" s="62">
        <f>G499+G522+G532</f>
        <v>1405702.7</v>
      </c>
      <c r="H498" s="62">
        <f aca="true" t="shared" si="223" ref="H498">H499+H522+H532</f>
        <v>1571925.4</v>
      </c>
    </row>
    <row r="499" spans="1:8" ht="12.75">
      <c r="A499" s="55" t="str">
        <f ca="1">IF(ISERROR(MATCH(E499,Код_КЦСР,0)),"",INDIRECT(ADDRESS(MATCH(E499,Код_КЦСР,0)+1,2,,,"КЦСР")))</f>
        <v>Общее образование</v>
      </c>
      <c r="B499" s="54">
        <v>805</v>
      </c>
      <c r="C499" s="57" t="s">
        <v>170</v>
      </c>
      <c r="D499" s="57" t="s">
        <v>188</v>
      </c>
      <c r="E499" s="54" t="s">
        <v>245</v>
      </c>
      <c r="F499" s="54"/>
      <c r="G499" s="62">
        <f aca="true" t="shared" si="224" ref="G499:H499">G500+G504+G507+G514+G511+G518</f>
        <v>1311610</v>
      </c>
      <c r="H499" s="62">
        <f t="shared" si="224"/>
        <v>1477696.9</v>
      </c>
    </row>
    <row r="500" spans="1:8" ht="49.5">
      <c r="A500" s="55" t="str">
        <f ca="1">IF(ISERROR(MATCH(E500,Код_КЦСР,0)),"",INDIRECT(ADDRESS(MATCH(E500,Код_КЦСР,0)+1,2,,,"КЦСР")))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500" s="54">
        <v>805</v>
      </c>
      <c r="C500" s="57" t="s">
        <v>170</v>
      </c>
      <c r="D500" s="57" t="s">
        <v>188</v>
      </c>
      <c r="E500" s="54" t="s">
        <v>246</v>
      </c>
      <c r="F500" s="54"/>
      <c r="G500" s="62">
        <f aca="true" t="shared" si="225" ref="G500:H500">G501</f>
        <v>207185.30000000002</v>
      </c>
      <c r="H500" s="62">
        <f t="shared" si="225"/>
        <v>211621.8</v>
      </c>
    </row>
    <row r="501" spans="1:8" ht="33">
      <c r="A501" s="55" t="str">
        <f ca="1">IF(ISERROR(MATCH(F501,Код_КВР,0)),"",INDIRECT(ADDRESS(MATCH(F501,Код_КВР,0)+1,2,,,"КВР")))</f>
        <v>Предоставление субсидий бюджетным, автономным учреждениям и иным некоммерческим организациям</v>
      </c>
      <c r="B501" s="54">
        <v>805</v>
      </c>
      <c r="C501" s="57" t="s">
        <v>170</v>
      </c>
      <c r="D501" s="57" t="s">
        <v>188</v>
      </c>
      <c r="E501" s="54" t="s">
        <v>246</v>
      </c>
      <c r="F501" s="54">
        <v>600</v>
      </c>
      <c r="G501" s="62">
        <f aca="true" t="shared" si="226" ref="G501:H501">G502+G503</f>
        <v>207185.30000000002</v>
      </c>
      <c r="H501" s="62">
        <f t="shared" si="226"/>
        <v>211621.8</v>
      </c>
    </row>
    <row r="502" spans="1:8" ht="12.75">
      <c r="A502" s="55" t="str">
        <f ca="1">IF(ISERROR(MATCH(F502,Код_КВР,0)),"",INDIRECT(ADDRESS(MATCH(F502,Код_КВР,0)+1,2,,,"КВР")))</f>
        <v>Субсидии бюджетным учреждениям</v>
      </c>
      <c r="B502" s="54">
        <v>805</v>
      </c>
      <c r="C502" s="57" t="s">
        <v>170</v>
      </c>
      <c r="D502" s="57" t="s">
        <v>188</v>
      </c>
      <c r="E502" s="54" t="s">
        <v>246</v>
      </c>
      <c r="F502" s="54">
        <v>610</v>
      </c>
      <c r="G502" s="62">
        <f>169720.9+33397.8</f>
        <v>203118.7</v>
      </c>
      <c r="H502" s="62">
        <f>174135+33318.5</f>
        <v>207453.5</v>
      </c>
    </row>
    <row r="503" spans="1:8" ht="12.75">
      <c r="A503" s="55" t="str">
        <f ca="1">IF(ISERROR(MATCH(F503,Код_КВР,0)),"",INDIRECT(ADDRESS(MATCH(F503,Код_КВР,0)+1,2,,,"КВР")))</f>
        <v>Субсидии автономным учреждениям</v>
      </c>
      <c r="B503" s="54">
        <v>805</v>
      </c>
      <c r="C503" s="57" t="s">
        <v>170</v>
      </c>
      <c r="D503" s="57" t="s">
        <v>188</v>
      </c>
      <c r="E503" s="54" t="s">
        <v>246</v>
      </c>
      <c r="F503" s="54">
        <v>620</v>
      </c>
      <c r="G503" s="62">
        <f>3522.9+543.7</f>
        <v>4066.6000000000004</v>
      </c>
      <c r="H503" s="62">
        <f>3624.6+543.7</f>
        <v>4168.3</v>
      </c>
    </row>
    <row r="504" spans="1:8" ht="82.5">
      <c r="A504" s="55" t="str">
        <f ca="1">IF(ISERROR(MATCH(E504,Код_КЦСР,0)),"",INDIRECT(ADDRESS(MATCH(E504,Код_КЦСР,0)+1,2,,,"КЦСР")))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04" s="54">
        <v>805</v>
      </c>
      <c r="C504" s="57" t="s">
        <v>170</v>
      </c>
      <c r="D504" s="57" t="s">
        <v>188</v>
      </c>
      <c r="E504" s="54" t="s">
        <v>247</v>
      </c>
      <c r="F504" s="54"/>
      <c r="G504" s="62">
        <f aca="true" t="shared" si="227" ref="G504:H505">G505</f>
        <v>12573.1</v>
      </c>
      <c r="H504" s="62">
        <f t="shared" si="227"/>
        <v>12867.2</v>
      </c>
    </row>
    <row r="505" spans="1:8" ht="33">
      <c r="A505" s="55" t="str">
        <f ca="1">IF(ISERROR(MATCH(F505,Код_КВР,0)),"",INDIRECT(ADDRESS(MATCH(F505,Код_КВР,0)+1,2,,,"КВР")))</f>
        <v>Предоставление субсидий бюджетным, автономным учреждениям и иным некоммерческим организациям</v>
      </c>
      <c r="B505" s="54">
        <v>805</v>
      </c>
      <c r="C505" s="57" t="s">
        <v>170</v>
      </c>
      <c r="D505" s="57" t="s">
        <v>188</v>
      </c>
      <c r="E505" s="54" t="s">
        <v>247</v>
      </c>
      <c r="F505" s="54">
        <v>600</v>
      </c>
      <c r="G505" s="62">
        <f t="shared" si="227"/>
        <v>12573.1</v>
      </c>
      <c r="H505" s="62">
        <f t="shared" si="227"/>
        <v>12867.2</v>
      </c>
    </row>
    <row r="506" spans="1:8" ht="12.75">
      <c r="A506" s="55" t="str">
        <f ca="1">IF(ISERROR(MATCH(F506,Код_КВР,0)),"",INDIRECT(ADDRESS(MATCH(F506,Код_КВР,0)+1,2,,,"КВР")))</f>
        <v>Субсидии бюджетным учреждениям</v>
      </c>
      <c r="B506" s="54">
        <v>805</v>
      </c>
      <c r="C506" s="57" t="s">
        <v>170</v>
      </c>
      <c r="D506" s="57" t="s">
        <v>188</v>
      </c>
      <c r="E506" s="54" t="s">
        <v>247</v>
      </c>
      <c r="F506" s="54">
        <v>610</v>
      </c>
      <c r="G506" s="62">
        <f>10196+2377.1</f>
        <v>12573.1</v>
      </c>
      <c r="H506" s="62">
        <f>10490.1+2377.1</f>
        <v>12867.2</v>
      </c>
    </row>
    <row r="507" spans="1:8" ht="33">
      <c r="A507" s="55" t="str">
        <f ca="1">IF(ISERROR(MATCH(E507,Код_КЦСР,0)),"",INDIRECT(ADDRESS(MATCH(E507,Код_КЦСР,0)+1,2,,,"КЦСР")))</f>
        <v>Формирование комплексной системы выявления, развития и поддержки одаренных детей и молодых талантов</v>
      </c>
      <c r="B507" s="54">
        <v>805</v>
      </c>
      <c r="C507" s="57" t="s">
        <v>170</v>
      </c>
      <c r="D507" s="57" t="s">
        <v>188</v>
      </c>
      <c r="E507" s="54" t="s">
        <v>248</v>
      </c>
      <c r="F507" s="54"/>
      <c r="G507" s="62">
        <f aca="true" t="shared" si="228" ref="G507:H507">G508</f>
        <v>458</v>
      </c>
      <c r="H507" s="62">
        <f t="shared" si="228"/>
        <v>458</v>
      </c>
    </row>
    <row r="508" spans="1:8" ht="12.75">
      <c r="A508" s="55" t="str">
        <f ca="1">IF(ISERROR(MATCH(F508,Код_КВР,0)),"",INDIRECT(ADDRESS(MATCH(F508,Код_КВР,0)+1,2,,,"КВР")))</f>
        <v>Социальное обеспечение и иные выплаты населению</v>
      </c>
      <c r="B508" s="54">
        <v>805</v>
      </c>
      <c r="C508" s="57" t="s">
        <v>170</v>
      </c>
      <c r="D508" s="57" t="s">
        <v>188</v>
      </c>
      <c r="E508" s="54" t="s">
        <v>248</v>
      </c>
      <c r="F508" s="54">
        <v>300</v>
      </c>
      <c r="G508" s="62">
        <f aca="true" t="shared" si="229" ref="G508:H508">SUM(G509:G510)</f>
        <v>458</v>
      </c>
      <c r="H508" s="62">
        <f t="shared" si="229"/>
        <v>458</v>
      </c>
    </row>
    <row r="509" spans="1:8" ht="12.75">
      <c r="A509" s="55" t="str">
        <f ca="1">IF(ISERROR(MATCH(F509,Код_КВР,0)),"",INDIRECT(ADDRESS(MATCH(F509,Код_КВР,0)+1,2,,,"КВР")))</f>
        <v>Стипендии</v>
      </c>
      <c r="B509" s="54">
        <v>805</v>
      </c>
      <c r="C509" s="57" t="s">
        <v>170</v>
      </c>
      <c r="D509" s="57" t="s">
        <v>188</v>
      </c>
      <c r="E509" s="54" t="s">
        <v>248</v>
      </c>
      <c r="F509" s="54">
        <v>340</v>
      </c>
      <c r="G509" s="61">
        <v>200</v>
      </c>
      <c r="H509" s="61">
        <v>200</v>
      </c>
    </row>
    <row r="510" spans="1:8" ht="12.75">
      <c r="A510" s="55" t="str">
        <f ca="1">IF(ISERROR(MATCH(F510,Код_КВР,0)),"",INDIRECT(ADDRESS(MATCH(F510,Код_КВР,0)+1,2,,,"КВР")))</f>
        <v>Премии и гранты</v>
      </c>
      <c r="B510" s="54">
        <v>805</v>
      </c>
      <c r="C510" s="57" t="s">
        <v>170</v>
      </c>
      <c r="D510" s="57" t="s">
        <v>188</v>
      </c>
      <c r="E510" s="54" t="s">
        <v>248</v>
      </c>
      <c r="F510" s="54">
        <v>350</v>
      </c>
      <c r="G510" s="61">
        <v>258</v>
      </c>
      <c r="H510" s="61">
        <v>258</v>
      </c>
    </row>
    <row r="511" spans="1:8" ht="33" hidden="1">
      <c r="A511" s="55" t="str">
        <f ca="1">IF(ISERROR(MATCH(E511,Код_КЦСР,0)),"",INDIRECT(ADDRESS(MATCH(E511,Код_КЦСР,0)+1,2,,,"КЦСР")))</f>
        <v>Просвещение обучающихся, формирование культуры, здорового и безопасного образа жизни</v>
      </c>
      <c r="B511" s="54">
        <v>805</v>
      </c>
      <c r="C511" s="57" t="s">
        <v>170</v>
      </c>
      <c r="D511" s="57" t="s">
        <v>188</v>
      </c>
      <c r="E511" s="54" t="s">
        <v>499</v>
      </c>
      <c r="F511" s="54"/>
      <c r="G511" s="61">
        <f aca="true" t="shared" si="230" ref="G511:H512">G512</f>
        <v>0</v>
      </c>
      <c r="H511" s="61">
        <f t="shared" si="230"/>
        <v>0</v>
      </c>
    </row>
    <row r="512" spans="1:8" ht="33" hidden="1">
      <c r="A512" s="55" t="str">
        <f ca="1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54">
        <v>805</v>
      </c>
      <c r="C512" s="57" t="s">
        <v>170</v>
      </c>
      <c r="D512" s="57" t="s">
        <v>188</v>
      </c>
      <c r="E512" s="54" t="s">
        <v>499</v>
      </c>
      <c r="F512" s="54">
        <v>600</v>
      </c>
      <c r="G512" s="61">
        <f t="shared" si="230"/>
        <v>0</v>
      </c>
      <c r="H512" s="61">
        <f t="shared" si="230"/>
        <v>0</v>
      </c>
    </row>
    <row r="513" spans="1:8" ht="12.75" hidden="1">
      <c r="A513" s="55" t="str">
        <f ca="1">IF(ISERROR(MATCH(F513,Код_КВР,0)),"",INDIRECT(ADDRESS(MATCH(F513,Код_КВР,0)+1,2,,,"КВР")))</f>
        <v>Субсидии бюджетным учреждениям</v>
      </c>
      <c r="B513" s="54">
        <v>805</v>
      </c>
      <c r="C513" s="57" t="s">
        <v>170</v>
      </c>
      <c r="D513" s="57" t="s">
        <v>188</v>
      </c>
      <c r="E513" s="54" t="s">
        <v>499</v>
      </c>
      <c r="F513" s="54">
        <v>610</v>
      </c>
      <c r="G513" s="61"/>
      <c r="H513" s="61"/>
    </row>
    <row r="514" spans="1:8" ht="66">
      <c r="A514" s="55" t="str">
        <f ca="1">IF(ISERROR(MATCH(E514,Код_КЦСР,0)),"",INDIRECT(ADDRESS(MATCH(E514,Код_КЦСР,0)+1,2,,,"КЦСР")))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14" s="54">
        <v>805</v>
      </c>
      <c r="C514" s="57" t="s">
        <v>170</v>
      </c>
      <c r="D514" s="57" t="s">
        <v>188</v>
      </c>
      <c r="E514" s="54" t="s">
        <v>351</v>
      </c>
      <c r="F514" s="54"/>
      <c r="G514" s="62">
        <f aca="true" t="shared" si="231" ref="G514:H514">G515</f>
        <v>1090618.2000000002</v>
      </c>
      <c r="H514" s="62">
        <f t="shared" si="231"/>
        <v>1251974.5</v>
      </c>
    </row>
    <row r="515" spans="1:8" ht="33">
      <c r="A515" s="55" t="str">
        <f aca="true" t="shared" si="232" ref="A515:A517">IF(ISERROR(MATCH(F515,Код_КВР,0)),"",INDIRECT(ADDRESS(MATCH(F515,Код_КВР,0)+1,2,,,"КВР")))</f>
        <v>Предоставление субсидий бюджетным, автономным учреждениям и иным некоммерческим организациям</v>
      </c>
      <c r="B515" s="54">
        <v>805</v>
      </c>
      <c r="C515" s="57" t="s">
        <v>170</v>
      </c>
      <c r="D515" s="57" t="s">
        <v>188</v>
      </c>
      <c r="E515" s="54" t="s">
        <v>351</v>
      </c>
      <c r="F515" s="54">
        <v>600</v>
      </c>
      <c r="G515" s="62">
        <f aca="true" t="shared" si="233" ref="G515:H515">G516+G517</f>
        <v>1090618.2000000002</v>
      </c>
      <c r="H515" s="62">
        <f t="shared" si="233"/>
        <v>1251974.5</v>
      </c>
    </row>
    <row r="516" spans="1:8" ht="12.75">
      <c r="A516" s="55" t="str">
        <f ca="1" t="shared" si="232"/>
        <v>Субсидии бюджетным учреждениям</v>
      </c>
      <c r="B516" s="54">
        <v>805</v>
      </c>
      <c r="C516" s="57" t="s">
        <v>170</v>
      </c>
      <c r="D516" s="57" t="s">
        <v>188</v>
      </c>
      <c r="E516" s="54" t="s">
        <v>351</v>
      </c>
      <c r="F516" s="54">
        <v>610</v>
      </c>
      <c r="G516" s="62">
        <f>1067258.1+5697.3</f>
        <v>1072955.4000000001</v>
      </c>
      <c r="H516" s="62">
        <f>1226001.2+5697.3</f>
        <v>1231698.5</v>
      </c>
    </row>
    <row r="517" spans="1:8" ht="12.75">
      <c r="A517" s="55" t="str">
        <f ca="1" t="shared" si="232"/>
        <v>Субсидии автономным учреждениям</v>
      </c>
      <c r="B517" s="54">
        <v>805</v>
      </c>
      <c r="C517" s="57" t="s">
        <v>170</v>
      </c>
      <c r="D517" s="57" t="s">
        <v>188</v>
      </c>
      <c r="E517" s="54" t="s">
        <v>351</v>
      </c>
      <c r="F517" s="54">
        <v>620</v>
      </c>
      <c r="G517" s="62">
        <f>17568.5+94.3</f>
        <v>17662.8</v>
      </c>
      <c r="H517" s="62">
        <f>20181.7+94.3</f>
        <v>20276</v>
      </c>
    </row>
    <row r="518" spans="1:8" ht="82.5">
      <c r="A518" s="55" t="str">
        <f ca="1">IF(ISERROR(MATCH(E518,Код_КЦСР,0)),"",INDIRECT(ADDRESS(MATCH(E518,Код_КЦСР,0)+1,2,,,"КЦСР")))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18" s="54">
        <v>805</v>
      </c>
      <c r="C518" s="57" t="s">
        <v>170</v>
      </c>
      <c r="D518" s="57" t="s">
        <v>188</v>
      </c>
      <c r="E518" s="54" t="s">
        <v>350</v>
      </c>
      <c r="F518" s="54"/>
      <c r="G518" s="62">
        <f aca="true" t="shared" si="234" ref="G518:H518">G519</f>
        <v>775.4</v>
      </c>
      <c r="H518" s="62">
        <f t="shared" si="234"/>
        <v>775.4</v>
      </c>
    </row>
    <row r="519" spans="1:8" ht="33">
      <c r="A519" s="55" t="str">
        <f aca="true" t="shared" si="235" ref="A519:A521">IF(ISERROR(MATCH(F519,Код_КВР,0)),"",INDIRECT(ADDRESS(MATCH(F519,Код_КВР,0)+1,2,,,"КВР")))</f>
        <v>Предоставление субсидий бюджетным, автономным учреждениям и иным некоммерческим организациям</v>
      </c>
      <c r="B519" s="54">
        <v>805</v>
      </c>
      <c r="C519" s="57" t="s">
        <v>170</v>
      </c>
      <c r="D519" s="57" t="s">
        <v>188</v>
      </c>
      <c r="E519" s="54" t="s">
        <v>350</v>
      </c>
      <c r="F519" s="54">
        <v>600</v>
      </c>
      <c r="G519" s="62">
        <f aca="true" t="shared" si="236" ref="G519:H519">G520+G521</f>
        <v>775.4</v>
      </c>
      <c r="H519" s="62">
        <f t="shared" si="236"/>
        <v>775.4</v>
      </c>
    </row>
    <row r="520" spans="1:8" ht="12.75">
      <c r="A520" s="55" t="str">
        <f ca="1" t="shared" si="235"/>
        <v>Субсидии бюджетным учреждениям</v>
      </c>
      <c r="B520" s="54">
        <v>805</v>
      </c>
      <c r="C520" s="57" t="s">
        <v>170</v>
      </c>
      <c r="D520" s="57" t="s">
        <v>188</v>
      </c>
      <c r="E520" s="54" t="s">
        <v>350</v>
      </c>
      <c r="F520" s="54">
        <v>610</v>
      </c>
      <c r="G520" s="62">
        <f>708+67.4</f>
        <v>775.4</v>
      </c>
      <c r="H520" s="62">
        <f>708+67.4</f>
        <v>775.4</v>
      </c>
    </row>
    <row r="521" spans="1:8" ht="12.75" hidden="1">
      <c r="A521" s="55" t="str">
        <f ca="1" t="shared" si="235"/>
        <v>Субсидии автономным учреждениям</v>
      </c>
      <c r="B521" s="54">
        <v>805</v>
      </c>
      <c r="C521" s="57" t="s">
        <v>170</v>
      </c>
      <c r="D521" s="57" t="s">
        <v>188</v>
      </c>
      <c r="E521" s="54" t="s">
        <v>350</v>
      </c>
      <c r="F521" s="54">
        <v>620</v>
      </c>
      <c r="G521" s="62"/>
      <c r="H521" s="62"/>
    </row>
    <row r="522" spans="1:8" ht="12.75">
      <c r="A522" s="55" t="str">
        <f ca="1">IF(ISERROR(MATCH(E522,Код_КЦСР,0)),"",INDIRECT(ADDRESS(MATCH(E522,Код_КЦСР,0)+1,2,,,"КЦСР")))</f>
        <v>Дополнительное образование</v>
      </c>
      <c r="B522" s="54">
        <v>805</v>
      </c>
      <c r="C522" s="57" t="s">
        <v>170</v>
      </c>
      <c r="D522" s="57" t="s">
        <v>188</v>
      </c>
      <c r="E522" s="54" t="s">
        <v>250</v>
      </c>
      <c r="F522" s="54"/>
      <c r="G522" s="62">
        <f aca="true" t="shared" si="237" ref="G522:H522">G523+G529+G526</f>
        <v>93864.8</v>
      </c>
      <c r="H522" s="62">
        <f t="shared" si="237"/>
        <v>94033.2</v>
      </c>
    </row>
    <row r="523" spans="1:8" ht="12.75">
      <c r="A523" s="55" t="str">
        <f ca="1">IF(ISERROR(MATCH(E523,Код_КЦСР,0)),"",INDIRECT(ADDRESS(MATCH(E523,Код_КЦСР,0)+1,2,,,"КЦСР")))</f>
        <v xml:space="preserve">Организация предоставления дополнительного образования детям </v>
      </c>
      <c r="B523" s="54">
        <v>805</v>
      </c>
      <c r="C523" s="57" t="s">
        <v>170</v>
      </c>
      <c r="D523" s="57" t="s">
        <v>188</v>
      </c>
      <c r="E523" s="54" t="s">
        <v>252</v>
      </c>
      <c r="F523" s="54"/>
      <c r="G523" s="62">
        <f aca="true" t="shared" si="238" ref="G523:H524">G524</f>
        <v>91749.3</v>
      </c>
      <c r="H523" s="62">
        <f t="shared" si="238"/>
        <v>91917.7</v>
      </c>
    </row>
    <row r="524" spans="1:8" ht="33">
      <c r="A524" s="55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54">
        <v>805</v>
      </c>
      <c r="C524" s="57" t="s">
        <v>170</v>
      </c>
      <c r="D524" s="57" t="s">
        <v>188</v>
      </c>
      <c r="E524" s="54" t="s">
        <v>252</v>
      </c>
      <c r="F524" s="54">
        <v>600</v>
      </c>
      <c r="G524" s="62">
        <f t="shared" si="238"/>
        <v>91749.3</v>
      </c>
      <c r="H524" s="62">
        <f t="shared" si="238"/>
        <v>91917.7</v>
      </c>
    </row>
    <row r="525" spans="1:8" ht="12.75">
      <c r="A525" s="55" t="str">
        <f ca="1">IF(ISERROR(MATCH(F525,Код_КВР,0)),"",INDIRECT(ADDRESS(MATCH(F525,Код_КВР,0)+1,2,,,"КВР")))</f>
        <v>Субсидии бюджетным учреждениям</v>
      </c>
      <c r="B525" s="54">
        <v>805</v>
      </c>
      <c r="C525" s="57" t="s">
        <v>170</v>
      </c>
      <c r="D525" s="57" t="s">
        <v>188</v>
      </c>
      <c r="E525" s="54" t="s">
        <v>252</v>
      </c>
      <c r="F525" s="54">
        <v>610</v>
      </c>
      <c r="G525" s="62">
        <v>91749.3</v>
      </c>
      <c r="H525" s="62">
        <v>91917.7</v>
      </c>
    </row>
    <row r="526" spans="1:8" ht="49.5">
      <c r="A526" s="55" t="str">
        <f ca="1">IF(ISERROR(MATCH(E526,Код_КЦСР,0)),"",INDIRECT(ADDRESS(MATCH(E526,Код_КЦСР,0)+1,2,,,"КЦСР")))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26" s="54">
        <v>805</v>
      </c>
      <c r="C526" s="57" t="s">
        <v>170</v>
      </c>
      <c r="D526" s="57" t="s">
        <v>188</v>
      </c>
      <c r="E526" s="54" t="s">
        <v>254</v>
      </c>
      <c r="F526" s="54"/>
      <c r="G526" s="62">
        <f aca="true" t="shared" si="239" ref="G526:H526">G527</f>
        <v>258</v>
      </c>
      <c r="H526" s="62">
        <f t="shared" si="239"/>
        <v>258</v>
      </c>
    </row>
    <row r="527" spans="1:8" ht="33">
      <c r="A527" s="55" t="str">
        <f ca="1">IF(ISERROR(MATCH(F527,Код_КВР,0)),"",INDIRECT(ADDRESS(MATCH(F527,Код_КВР,0)+1,2,,,"КВР")))</f>
        <v>Предоставление субсидий бюджетным, автономным учреждениям и иным некоммерческим организациям</v>
      </c>
      <c r="B527" s="54">
        <v>805</v>
      </c>
      <c r="C527" s="57" t="s">
        <v>170</v>
      </c>
      <c r="D527" s="57" t="s">
        <v>188</v>
      </c>
      <c r="E527" s="54" t="s">
        <v>254</v>
      </c>
      <c r="F527" s="54">
        <v>600</v>
      </c>
      <c r="G527" s="62">
        <f aca="true" t="shared" si="240" ref="G527:H527">G528</f>
        <v>258</v>
      </c>
      <c r="H527" s="62">
        <f t="shared" si="240"/>
        <v>258</v>
      </c>
    </row>
    <row r="528" spans="1:8" ht="12.75">
      <c r="A528" s="55" t="str">
        <f ca="1">IF(ISERROR(MATCH(F528,Код_КВР,0)),"",INDIRECT(ADDRESS(MATCH(F528,Код_КВР,0)+1,2,,,"КВР")))</f>
        <v>Субсидии бюджетным учреждениям</v>
      </c>
      <c r="B528" s="54">
        <v>805</v>
      </c>
      <c r="C528" s="57" t="s">
        <v>170</v>
      </c>
      <c r="D528" s="57" t="s">
        <v>188</v>
      </c>
      <c r="E528" s="54" t="s">
        <v>254</v>
      </c>
      <c r="F528" s="54">
        <v>610</v>
      </c>
      <c r="G528" s="62">
        <v>258</v>
      </c>
      <c r="H528" s="62">
        <v>258</v>
      </c>
    </row>
    <row r="529" spans="1:8" ht="63.75" customHeight="1">
      <c r="A529" s="55" t="str">
        <f ca="1">IF(ISERROR(MATCH(E529,Код_КЦСР,0)),"",INDIRECT(ADDRESS(MATCH(E529,Код_КЦСР,0)+1,2,,,"КЦСР")))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529" s="54">
        <v>805</v>
      </c>
      <c r="C529" s="57" t="s">
        <v>170</v>
      </c>
      <c r="D529" s="57" t="s">
        <v>188</v>
      </c>
      <c r="E529" s="54" t="s">
        <v>98</v>
      </c>
      <c r="F529" s="54"/>
      <c r="G529" s="62">
        <f aca="true" t="shared" si="241" ref="G529:H530">G530</f>
        <v>1857.5</v>
      </c>
      <c r="H529" s="62">
        <f t="shared" si="241"/>
        <v>1857.5</v>
      </c>
    </row>
    <row r="530" spans="1:8" ht="33">
      <c r="A530" s="55" t="str">
        <f ca="1">IF(ISERROR(MATCH(F530,Код_КВР,0)),"",INDIRECT(ADDRESS(MATCH(F530,Код_КВР,0)+1,2,,,"КВР")))</f>
        <v>Предоставление субсидий бюджетным, автономным учреждениям и иным некоммерческим организациям</v>
      </c>
      <c r="B530" s="54">
        <v>805</v>
      </c>
      <c r="C530" s="57" t="s">
        <v>170</v>
      </c>
      <c r="D530" s="57" t="s">
        <v>188</v>
      </c>
      <c r="E530" s="54" t="s">
        <v>98</v>
      </c>
      <c r="F530" s="54">
        <v>600</v>
      </c>
      <c r="G530" s="62">
        <f t="shared" si="241"/>
        <v>1857.5</v>
      </c>
      <c r="H530" s="62">
        <f t="shared" si="241"/>
        <v>1857.5</v>
      </c>
    </row>
    <row r="531" spans="1:8" ht="12.75">
      <c r="A531" s="55" t="str">
        <f ca="1">IF(ISERROR(MATCH(F531,Код_КВР,0)),"",INDIRECT(ADDRESS(MATCH(F531,Код_КВР,0)+1,2,,,"КВР")))</f>
        <v>Субсидии бюджетным учреждениям</v>
      </c>
      <c r="B531" s="54">
        <v>805</v>
      </c>
      <c r="C531" s="57" t="s">
        <v>170</v>
      </c>
      <c r="D531" s="57" t="s">
        <v>188</v>
      </c>
      <c r="E531" s="54" t="s">
        <v>98</v>
      </c>
      <c r="F531" s="54">
        <v>610</v>
      </c>
      <c r="G531" s="62">
        <v>1857.5</v>
      </c>
      <c r="H531" s="62">
        <v>1857.5</v>
      </c>
    </row>
    <row r="532" spans="1:8" ht="20.25" customHeight="1">
      <c r="A532" s="55" t="str">
        <f ca="1">IF(ISERROR(MATCH(E532,Код_КЦСР,0)),"",INDIRECT(ADDRESS(MATCH(E532,Код_КЦСР,0)+1,2,,,"КЦСР")))</f>
        <v>Кадровое обеспечение муниципальной системы образования</v>
      </c>
      <c r="B532" s="54">
        <v>805</v>
      </c>
      <c r="C532" s="57" t="s">
        <v>170</v>
      </c>
      <c r="D532" s="57" t="s">
        <v>188</v>
      </c>
      <c r="E532" s="54" t="s">
        <v>256</v>
      </c>
      <c r="F532" s="54"/>
      <c r="G532" s="62">
        <f aca="true" t="shared" si="242" ref="G532:H532">G533+G537</f>
        <v>227.9</v>
      </c>
      <c r="H532" s="62">
        <f t="shared" si="242"/>
        <v>195.3</v>
      </c>
    </row>
    <row r="533" spans="1:8" ht="33">
      <c r="A533" s="55" t="str">
        <f ca="1">IF(ISERROR(MATCH(E533,Код_КЦСР,0)),"",INDIRECT(ADDRESS(MATCH(E533,Код_КЦСР,0)+1,2,,,"КЦСР")))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33" s="54">
        <v>805</v>
      </c>
      <c r="C533" s="57" t="s">
        <v>170</v>
      </c>
      <c r="D533" s="57" t="s">
        <v>188</v>
      </c>
      <c r="E533" s="54" t="s">
        <v>258</v>
      </c>
      <c r="F533" s="54"/>
      <c r="G533" s="62">
        <f aca="true" t="shared" si="243" ref="G533:H535">G534</f>
        <v>195.3</v>
      </c>
      <c r="H533" s="62">
        <f t="shared" si="243"/>
        <v>195.3</v>
      </c>
    </row>
    <row r="534" spans="1:8" ht="49.5">
      <c r="A534" s="55" t="str">
        <f ca="1">IF(ISERROR(MATCH(E534,Код_КЦСР,0)),"",INDIRECT(ADDRESS(MATCH(E534,Код_КЦСР,0)+1,2,,,"КЦСР")))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34" s="54">
        <v>805</v>
      </c>
      <c r="C534" s="57" t="s">
        <v>170</v>
      </c>
      <c r="D534" s="57" t="s">
        <v>188</v>
      </c>
      <c r="E534" s="54" t="s">
        <v>260</v>
      </c>
      <c r="F534" s="54"/>
      <c r="G534" s="62">
        <f t="shared" si="243"/>
        <v>195.3</v>
      </c>
      <c r="H534" s="62">
        <f t="shared" si="243"/>
        <v>195.3</v>
      </c>
    </row>
    <row r="535" spans="1:8" ht="12.75">
      <c r="A535" s="55" t="str">
        <f ca="1">IF(ISERROR(MATCH(F535,Код_КВР,0)),"",INDIRECT(ADDRESS(MATCH(F535,Код_КВР,0)+1,2,,,"КВР")))</f>
        <v>Социальное обеспечение и иные выплаты населению</v>
      </c>
      <c r="B535" s="54">
        <v>805</v>
      </c>
      <c r="C535" s="57" t="s">
        <v>170</v>
      </c>
      <c r="D535" s="57" t="s">
        <v>188</v>
      </c>
      <c r="E535" s="54" t="s">
        <v>260</v>
      </c>
      <c r="F535" s="54">
        <v>300</v>
      </c>
      <c r="G535" s="62">
        <f t="shared" si="243"/>
        <v>195.3</v>
      </c>
      <c r="H535" s="62">
        <f t="shared" si="243"/>
        <v>195.3</v>
      </c>
    </row>
    <row r="536" spans="1:8" ht="12.75">
      <c r="A536" s="55" t="str">
        <f ca="1">IF(ISERROR(MATCH(F536,Код_КВР,0)),"",INDIRECT(ADDRESS(MATCH(F536,Код_КВР,0)+1,2,,,"КВР")))</f>
        <v>Публичные нормативные социальные выплаты гражданам</v>
      </c>
      <c r="B536" s="54">
        <v>805</v>
      </c>
      <c r="C536" s="57" t="s">
        <v>170</v>
      </c>
      <c r="D536" s="57" t="s">
        <v>188</v>
      </c>
      <c r="E536" s="54" t="s">
        <v>260</v>
      </c>
      <c r="F536" s="54">
        <v>310</v>
      </c>
      <c r="G536" s="62">
        <v>195.3</v>
      </c>
      <c r="H536" s="62">
        <v>195.3</v>
      </c>
    </row>
    <row r="537" spans="1:8" ht="33">
      <c r="A537" s="55" t="str">
        <f ca="1">IF(ISERROR(MATCH(E537,Код_КЦСР,0)),"",INDIRECT(ADDRESS(MATCH(E537,Код_КЦСР,0)+1,2,,,"КЦСР")))</f>
        <v>Представление лучших педагогов сферы образования к поощрению  наградами всех уровней</v>
      </c>
      <c r="B537" s="54">
        <v>805</v>
      </c>
      <c r="C537" s="57" t="s">
        <v>170</v>
      </c>
      <c r="D537" s="57" t="s">
        <v>188</v>
      </c>
      <c r="E537" s="54" t="s">
        <v>359</v>
      </c>
      <c r="F537" s="54"/>
      <c r="G537" s="62">
        <f aca="true" t="shared" si="244" ref="G537:H539">G538</f>
        <v>32.6</v>
      </c>
      <c r="H537" s="62">
        <f t="shared" si="244"/>
        <v>0</v>
      </c>
    </row>
    <row r="538" spans="1:8" ht="49.5">
      <c r="A538" s="55" t="str">
        <f ca="1">IF(ISERROR(MATCH(E538,Код_КЦСР,0)),"",INDIRECT(ADDRESS(MATCH(E538,Код_КЦСР,0)+1,2,,,"КЦСР")))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538" s="54">
        <v>805</v>
      </c>
      <c r="C538" s="57" t="s">
        <v>170</v>
      </c>
      <c r="D538" s="57" t="s">
        <v>188</v>
      </c>
      <c r="E538" s="54" t="s">
        <v>361</v>
      </c>
      <c r="F538" s="54"/>
      <c r="G538" s="62">
        <f t="shared" si="244"/>
        <v>32.6</v>
      </c>
      <c r="H538" s="62">
        <f t="shared" si="244"/>
        <v>0</v>
      </c>
    </row>
    <row r="539" spans="1:8" ht="12.75">
      <c r="A539" s="55" t="str">
        <f ca="1">IF(ISERROR(MATCH(F539,Код_КВР,0)),"",INDIRECT(ADDRESS(MATCH(F539,Код_КВР,0)+1,2,,,"КВР")))</f>
        <v>Социальное обеспечение и иные выплаты населению</v>
      </c>
      <c r="B539" s="54">
        <v>805</v>
      </c>
      <c r="C539" s="57" t="s">
        <v>170</v>
      </c>
      <c r="D539" s="57" t="s">
        <v>188</v>
      </c>
      <c r="E539" s="54" t="s">
        <v>361</v>
      </c>
      <c r="F539" s="54">
        <v>300</v>
      </c>
      <c r="G539" s="62">
        <f t="shared" si="244"/>
        <v>32.6</v>
      </c>
      <c r="H539" s="62">
        <f t="shared" si="244"/>
        <v>0</v>
      </c>
    </row>
    <row r="540" spans="1:8" ht="12.75">
      <c r="A540" s="55" t="str">
        <f ca="1">IF(ISERROR(MATCH(F540,Код_КВР,0)),"",INDIRECT(ADDRESS(MATCH(F540,Код_КВР,0)+1,2,,,"КВР")))</f>
        <v>Публичные нормативные социальные выплаты гражданам</v>
      </c>
      <c r="B540" s="54">
        <v>805</v>
      </c>
      <c r="C540" s="57" t="s">
        <v>170</v>
      </c>
      <c r="D540" s="57" t="s">
        <v>188</v>
      </c>
      <c r="E540" s="54" t="s">
        <v>361</v>
      </c>
      <c r="F540" s="54">
        <v>310</v>
      </c>
      <c r="G540" s="62">
        <v>32.6</v>
      </c>
      <c r="H540" s="62"/>
    </row>
    <row r="541" spans="1:8" ht="12.75">
      <c r="A541" s="59" t="s">
        <v>221</v>
      </c>
      <c r="B541" s="54">
        <v>805</v>
      </c>
      <c r="C541" s="57" t="s">
        <v>170</v>
      </c>
      <c r="D541" s="57" t="s">
        <v>193</v>
      </c>
      <c r="E541" s="54"/>
      <c r="F541" s="54"/>
      <c r="G541" s="62">
        <f>G542+G582+G589</f>
        <v>85265.49999999999</v>
      </c>
      <c r="H541" s="62">
        <f>H542+H582+H589</f>
        <v>93602.39999999998</v>
      </c>
    </row>
    <row r="542" spans="1:8" ht="18.75" customHeight="1">
      <c r="A542" s="55" t="str">
        <f ca="1">IF(ISERROR(MATCH(E542,Код_КЦСР,0)),"",INDIRECT(ADDRESS(MATCH(E542,Код_КЦСР,0)+1,2,,,"КЦСР")))</f>
        <v>Муниципальная программа «Развитие образования» на 2013-2022 годы</v>
      </c>
      <c r="B542" s="54">
        <v>805</v>
      </c>
      <c r="C542" s="57" t="s">
        <v>170</v>
      </c>
      <c r="D542" s="57" t="s">
        <v>193</v>
      </c>
      <c r="E542" s="54" t="s">
        <v>237</v>
      </c>
      <c r="F542" s="54"/>
      <c r="G542" s="62">
        <f>G543+G546+G550+G568+G572+G576+G553+G558+G561+G564</f>
        <v>82980.49999999999</v>
      </c>
      <c r="H542" s="62">
        <f>H543+H546+H550+H568+H572+H576+H553+H558+H561+H564</f>
        <v>90188.49999999999</v>
      </c>
    </row>
    <row r="543" spans="1:8" ht="36" customHeight="1">
      <c r="A543" s="55" t="str">
        <f ca="1">IF(ISERROR(MATCH(E543,Код_КЦСР,0)),"",INDIRECT(ADDRESS(MATCH(E543,Код_КЦСР,0)+1,2,,,"КЦСР")))</f>
        <v>Проведение мероприятий управлением образования мэрии (августовское совещание, День учителя, Учитель года, прием молодых специалистов)</v>
      </c>
      <c r="B543" s="54">
        <v>805</v>
      </c>
      <c r="C543" s="57" t="s">
        <v>170</v>
      </c>
      <c r="D543" s="57" t="s">
        <v>193</v>
      </c>
      <c r="E543" s="54" t="s">
        <v>239</v>
      </c>
      <c r="F543" s="54"/>
      <c r="G543" s="62">
        <f aca="true" t="shared" si="245" ref="G543:H544">G544</f>
        <v>92.7</v>
      </c>
      <c r="H543" s="62">
        <f t="shared" si="245"/>
        <v>92.7</v>
      </c>
    </row>
    <row r="544" spans="1:8" ht="12.75">
      <c r="A544" s="55" t="str">
        <f ca="1">IF(ISERROR(MATCH(F544,Код_КВР,0)),"",INDIRECT(ADDRESS(MATCH(F544,Код_КВР,0)+1,2,,,"КВР")))</f>
        <v>Закупка товаров, работ и услуг для муниципальных нужд</v>
      </c>
      <c r="B544" s="54">
        <v>805</v>
      </c>
      <c r="C544" s="57" t="s">
        <v>170</v>
      </c>
      <c r="D544" s="57" t="s">
        <v>193</v>
      </c>
      <c r="E544" s="54" t="s">
        <v>239</v>
      </c>
      <c r="F544" s="54">
        <v>200</v>
      </c>
      <c r="G544" s="62">
        <f t="shared" si="245"/>
        <v>92.7</v>
      </c>
      <c r="H544" s="62">
        <f t="shared" si="245"/>
        <v>92.7</v>
      </c>
    </row>
    <row r="545" spans="1:8" ht="33">
      <c r="A545" s="55" t="str">
        <f ca="1">IF(ISERROR(MATCH(F545,Код_КВР,0)),"",INDIRECT(ADDRESS(MATCH(F545,Код_КВР,0)+1,2,,,"КВР")))</f>
        <v>Иные закупки товаров, работ и услуг для обеспечения муниципальных нужд</v>
      </c>
      <c r="B545" s="54">
        <v>805</v>
      </c>
      <c r="C545" s="57" t="s">
        <v>170</v>
      </c>
      <c r="D545" s="57" t="s">
        <v>193</v>
      </c>
      <c r="E545" s="54" t="s">
        <v>239</v>
      </c>
      <c r="F545" s="54">
        <v>240</v>
      </c>
      <c r="G545" s="62">
        <v>92.7</v>
      </c>
      <c r="H545" s="62">
        <v>92.7</v>
      </c>
    </row>
    <row r="546" spans="1:8" ht="12.75">
      <c r="A546" s="55" t="str">
        <f ca="1">IF(ISERROR(MATCH(E546,Код_КЦСР,0)),"",INDIRECT(ADDRESS(MATCH(E546,Код_КЦСР,0)+1,2,,,"КЦСР")))</f>
        <v xml:space="preserve">Обеспечение питанием обучающихся в МОУ </v>
      </c>
      <c r="B546" s="54">
        <v>805</v>
      </c>
      <c r="C546" s="57" t="s">
        <v>170</v>
      </c>
      <c r="D546" s="57" t="s">
        <v>193</v>
      </c>
      <c r="E546" s="54" t="s">
        <v>240</v>
      </c>
      <c r="F546" s="54"/>
      <c r="G546" s="62">
        <f aca="true" t="shared" si="246" ref="G546:H546">G547</f>
        <v>3722.9</v>
      </c>
      <c r="H546" s="62">
        <f t="shared" si="246"/>
        <v>3722.9</v>
      </c>
    </row>
    <row r="547" spans="1:8" ht="33">
      <c r="A547" s="55" t="str">
        <f aca="true" t="shared" si="247" ref="A547:A549">IF(ISERROR(MATCH(F547,Код_КВР,0)),"",INDIRECT(ADDRESS(MATCH(F547,Код_КВР,0)+1,2,,,"КВР")))</f>
        <v>Предоставление субсидий бюджетным, автономным учреждениям и иным некоммерческим организациям</v>
      </c>
      <c r="B547" s="54">
        <v>805</v>
      </c>
      <c r="C547" s="57" t="s">
        <v>170</v>
      </c>
      <c r="D547" s="57" t="s">
        <v>193</v>
      </c>
      <c r="E547" s="54" t="s">
        <v>240</v>
      </c>
      <c r="F547" s="54">
        <v>600</v>
      </c>
      <c r="G547" s="62">
        <f aca="true" t="shared" si="248" ref="G547:H547">G548+G549</f>
        <v>3722.9</v>
      </c>
      <c r="H547" s="62">
        <f t="shared" si="248"/>
        <v>3722.9</v>
      </c>
    </row>
    <row r="548" spans="1:8" ht="12.75">
      <c r="A548" s="55" t="str">
        <f ca="1" t="shared" si="247"/>
        <v>Субсидии бюджетным учреждениям</v>
      </c>
      <c r="B548" s="54">
        <v>805</v>
      </c>
      <c r="C548" s="57" t="s">
        <v>170</v>
      </c>
      <c r="D548" s="57" t="s">
        <v>193</v>
      </c>
      <c r="E548" s="54" t="s">
        <v>240</v>
      </c>
      <c r="F548" s="54">
        <v>610</v>
      </c>
      <c r="G548" s="62"/>
      <c r="H548" s="62"/>
    </row>
    <row r="549" spans="1:8" ht="12.75">
      <c r="A549" s="55" t="str">
        <f ca="1" t="shared" si="247"/>
        <v>Субсидии автономным учреждениям</v>
      </c>
      <c r="B549" s="54">
        <v>805</v>
      </c>
      <c r="C549" s="57" t="s">
        <v>170</v>
      </c>
      <c r="D549" s="57" t="s">
        <v>193</v>
      </c>
      <c r="E549" s="54" t="s">
        <v>240</v>
      </c>
      <c r="F549" s="54">
        <v>620</v>
      </c>
      <c r="G549" s="61">
        <v>3722.9</v>
      </c>
      <c r="H549" s="61">
        <v>3722.9</v>
      </c>
    </row>
    <row r="550" spans="1:8" ht="33">
      <c r="A550" s="55" t="str">
        <f ca="1">IF(ISERROR(MATCH(E550,Код_КЦСР,0)),"",INDIRECT(ADDRESS(MATCH(E550,Код_КЦСР,0)+1,2,,,"КЦСР")))</f>
        <v>Обеспечение работы по организации и ведению бухгалтерского (бюджетного) учета и отчетности</v>
      </c>
      <c r="B550" s="54">
        <v>805</v>
      </c>
      <c r="C550" s="57" t="s">
        <v>170</v>
      </c>
      <c r="D550" s="57" t="s">
        <v>193</v>
      </c>
      <c r="E550" s="54" t="s">
        <v>241</v>
      </c>
      <c r="F550" s="54"/>
      <c r="G550" s="62">
        <f aca="true" t="shared" si="249" ref="G550:H551">G551</f>
        <v>13072.5</v>
      </c>
      <c r="H550" s="62">
        <f t="shared" si="249"/>
        <v>13183</v>
      </c>
    </row>
    <row r="551" spans="1:8" ht="33">
      <c r="A551" s="55" t="str">
        <f ca="1">IF(ISERROR(MATCH(F551,Код_КВР,0)),"",INDIRECT(ADDRESS(MATCH(F551,Код_КВР,0)+1,2,,,"КВР")))</f>
        <v>Предоставление субсидий бюджетным, автономным учреждениям и иным некоммерческим организациям</v>
      </c>
      <c r="B551" s="54">
        <v>805</v>
      </c>
      <c r="C551" s="57" t="s">
        <v>170</v>
      </c>
      <c r="D551" s="57" t="s">
        <v>193</v>
      </c>
      <c r="E551" s="54" t="s">
        <v>241</v>
      </c>
      <c r="F551" s="54">
        <v>600</v>
      </c>
      <c r="G551" s="62">
        <f t="shared" si="249"/>
        <v>13072.5</v>
      </c>
      <c r="H551" s="62">
        <f t="shared" si="249"/>
        <v>13183</v>
      </c>
    </row>
    <row r="552" spans="1:8" ht="12.75">
      <c r="A552" s="55" t="str">
        <f ca="1">IF(ISERROR(MATCH(F552,Код_КВР,0)),"",INDIRECT(ADDRESS(MATCH(F552,Код_КВР,0)+1,2,,,"КВР")))</f>
        <v>Субсидии бюджетным учреждениям</v>
      </c>
      <c r="B552" s="54">
        <v>805</v>
      </c>
      <c r="C552" s="57" t="s">
        <v>170</v>
      </c>
      <c r="D552" s="57" t="s">
        <v>193</v>
      </c>
      <c r="E552" s="54" t="s">
        <v>241</v>
      </c>
      <c r="F552" s="54">
        <v>610</v>
      </c>
      <c r="G552" s="62">
        <v>13072.5</v>
      </c>
      <c r="H552" s="62">
        <v>13183</v>
      </c>
    </row>
    <row r="553" spans="1:8" ht="49.5">
      <c r="A553" s="55" t="str">
        <f ca="1">IF(ISERROR(MATCH(E553,Код_КЦСР,0)),"",INDIRECT(ADDRESS(MATCH(E553,Код_КЦСР,0)+1,2,,,"КЦСР")))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553" s="54">
        <v>805</v>
      </c>
      <c r="C553" s="57" t="s">
        <v>170</v>
      </c>
      <c r="D553" s="57" t="s">
        <v>193</v>
      </c>
      <c r="E553" s="54" t="s">
        <v>494</v>
      </c>
      <c r="F553" s="54"/>
      <c r="G553" s="62">
        <f aca="true" t="shared" si="250" ref="G553:H553">G554+G556</f>
        <v>21484.199999999997</v>
      </c>
      <c r="H553" s="62">
        <f t="shared" si="250"/>
        <v>21484.199999999997</v>
      </c>
    </row>
    <row r="554" spans="1:8" ht="33">
      <c r="A554" s="55" t="str">
        <f ca="1">IF(ISERROR(MATCH(F554,Код_КВР,0)),"",INDIRECT(ADDRESS(MATCH(F554,Код_КВР,0)+1,2,,,"КВР")))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4" s="54">
        <v>805</v>
      </c>
      <c r="C554" s="57" t="s">
        <v>170</v>
      </c>
      <c r="D554" s="57" t="s">
        <v>193</v>
      </c>
      <c r="E554" s="54" t="s">
        <v>494</v>
      </c>
      <c r="F554" s="54">
        <v>100</v>
      </c>
      <c r="G554" s="62">
        <f aca="true" t="shared" si="251" ref="G554:H554">G555</f>
        <v>21449.1</v>
      </c>
      <c r="H554" s="62">
        <f t="shared" si="251"/>
        <v>21449.1</v>
      </c>
    </row>
    <row r="555" spans="1:8" ht="12.75">
      <c r="A555" s="55" t="str">
        <f ca="1">IF(ISERROR(MATCH(F555,Код_КВР,0)),"",INDIRECT(ADDRESS(MATCH(F555,Код_КВР,0)+1,2,,,"КВР")))</f>
        <v>Расходы на выплаты персоналу муниципальных органов</v>
      </c>
      <c r="B555" s="54">
        <v>805</v>
      </c>
      <c r="C555" s="57" t="s">
        <v>170</v>
      </c>
      <c r="D555" s="57" t="s">
        <v>193</v>
      </c>
      <c r="E555" s="54" t="s">
        <v>494</v>
      </c>
      <c r="F555" s="54">
        <v>120</v>
      </c>
      <c r="G555" s="62">
        <v>21449.1</v>
      </c>
      <c r="H555" s="62">
        <v>21449.1</v>
      </c>
    </row>
    <row r="556" spans="1:8" ht="12.75">
      <c r="A556" s="55" t="str">
        <f ca="1">IF(ISERROR(MATCH(F556,Код_КВР,0)),"",INDIRECT(ADDRESS(MATCH(F556,Код_КВР,0)+1,2,,,"КВР")))</f>
        <v>Закупка товаров, работ и услуг для муниципальных нужд</v>
      </c>
      <c r="B556" s="54">
        <v>805</v>
      </c>
      <c r="C556" s="57" t="s">
        <v>170</v>
      </c>
      <c r="D556" s="57" t="s">
        <v>193</v>
      </c>
      <c r="E556" s="54" t="s">
        <v>494</v>
      </c>
      <c r="F556" s="54">
        <v>200</v>
      </c>
      <c r="G556" s="62">
        <f aca="true" t="shared" si="252" ref="G556:H556">G557</f>
        <v>35.1</v>
      </c>
      <c r="H556" s="62">
        <f t="shared" si="252"/>
        <v>35.1</v>
      </c>
    </row>
    <row r="557" spans="1:8" ht="39.75" customHeight="1">
      <c r="A557" s="55" t="str">
        <f ca="1">IF(ISERROR(MATCH(F557,Код_КВР,0)),"",INDIRECT(ADDRESS(MATCH(F557,Код_КВР,0)+1,2,,,"КВР")))</f>
        <v>Иные закупки товаров, работ и услуг для обеспечения муниципальных нужд</v>
      </c>
      <c r="B557" s="54">
        <v>805</v>
      </c>
      <c r="C557" s="57" t="s">
        <v>170</v>
      </c>
      <c r="D557" s="57" t="s">
        <v>193</v>
      </c>
      <c r="E557" s="54" t="s">
        <v>494</v>
      </c>
      <c r="F557" s="54">
        <v>240</v>
      </c>
      <c r="G557" s="62">
        <v>35.1</v>
      </c>
      <c r="H557" s="62">
        <v>35.1</v>
      </c>
    </row>
    <row r="558" spans="1:8" ht="12.75" hidden="1">
      <c r="A558" s="55" t="str">
        <f ca="1">IF(ISERROR(MATCH(E558,Код_КЦСР,0)),"",INDIRECT(ADDRESS(MATCH(E558,Код_КЦСР,0)+1,2,,,"КЦСР")))</f>
        <v>Проведение городского патриотического фестиваля «Город Победы»</v>
      </c>
      <c r="B558" s="54">
        <v>805</v>
      </c>
      <c r="C558" s="57" t="s">
        <v>170</v>
      </c>
      <c r="D558" s="57" t="s">
        <v>193</v>
      </c>
      <c r="E558" s="54" t="s">
        <v>495</v>
      </c>
      <c r="F558" s="54"/>
      <c r="G558" s="62">
        <f aca="true" t="shared" si="253" ref="G558:H558">G559</f>
        <v>0</v>
      </c>
      <c r="H558" s="62">
        <f t="shared" si="253"/>
        <v>0</v>
      </c>
    </row>
    <row r="559" spans="1:8" ht="12.75" hidden="1">
      <c r="A559" s="55" t="str">
        <f ca="1">IF(ISERROR(MATCH(F559,Код_КВР,0)),"",INDIRECT(ADDRESS(MATCH(F559,Код_КВР,0)+1,2,,,"КВР")))</f>
        <v>Закупка товаров, работ и услуг для муниципальных нужд</v>
      </c>
      <c r="B559" s="54">
        <v>805</v>
      </c>
      <c r="C559" s="57" t="s">
        <v>170</v>
      </c>
      <c r="D559" s="57" t="s">
        <v>193</v>
      </c>
      <c r="E559" s="54" t="s">
        <v>495</v>
      </c>
      <c r="F559" s="54">
        <v>200</v>
      </c>
      <c r="G559" s="62">
        <f aca="true" t="shared" si="254" ref="G559:H559">G560</f>
        <v>0</v>
      </c>
      <c r="H559" s="62">
        <f t="shared" si="254"/>
        <v>0</v>
      </c>
    </row>
    <row r="560" spans="1:8" ht="33" hidden="1">
      <c r="A560" s="55" t="str">
        <f ca="1">IF(ISERROR(MATCH(F560,Код_КВР,0)),"",INDIRECT(ADDRESS(MATCH(F560,Код_КВР,0)+1,2,,,"КВР")))</f>
        <v>Иные закупки товаров, работ и услуг для обеспечения муниципальных нужд</v>
      </c>
      <c r="B560" s="54">
        <v>805</v>
      </c>
      <c r="C560" s="57" t="s">
        <v>170</v>
      </c>
      <c r="D560" s="57" t="s">
        <v>193</v>
      </c>
      <c r="E560" s="54" t="s">
        <v>495</v>
      </c>
      <c r="F560" s="54">
        <v>240</v>
      </c>
      <c r="G560" s="62"/>
      <c r="H560" s="62"/>
    </row>
    <row r="561" spans="1:8" ht="33">
      <c r="A561" s="55" t="str">
        <f ca="1">IF(ISERROR(MATCH(E561,Код_КЦСР,0)),"",INDIRECT(ADDRESS(MATCH(E561,Код_КЦСР,0)+1,2,,,"КЦСР")))</f>
        <v>Обеспечение питанием обучающихся в МОУ за счет субвенций из областного бюджета</v>
      </c>
      <c r="B561" s="54">
        <v>805</v>
      </c>
      <c r="C561" s="57" t="s">
        <v>170</v>
      </c>
      <c r="D561" s="57" t="s">
        <v>193</v>
      </c>
      <c r="E561" s="54" t="s">
        <v>577</v>
      </c>
      <c r="F561" s="54"/>
      <c r="G561" s="62">
        <f aca="true" t="shared" si="255" ref="G561:H561">G562</f>
        <v>8013.8</v>
      </c>
      <c r="H561" s="62">
        <f t="shared" si="255"/>
        <v>16611.3</v>
      </c>
    </row>
    <row r="562" spans="1:8" ht="33">
      <c r="A562" s="55" t="str">
        <f ca="1">IF(ISERROR(MATCH(F562,Код_КВР,0)),"",INDIRECT(ADDRESS(MATCH(F562,Код_КВР,0)+1,2,,,"КВР")))</f>
        <v>Предоставление субсидий бюджетным, автономным учреждениям и иным некоммерческим организациям</v>
      </c>
      <c r="B562" s="54">
        <v>805</v>
      </c>
      <c r="C562" s="57" t="s">
        <v>170</v>
      </c>
      <c r="D562" s="57" t="s">
        <v>193</v>
      </c>
      <c r="E562" s="54" t="s">
        <v>577</v>
      </c>
      <c r="F562" s="54">
        <v>600</v>
      </c>
      <c r="G562" s="62">
        <f aca="true" t="shared" si="256" ref="G562:H562">G563</f>
        <v>8013.8</v>
      </c>
      <c r="H562" s="62">
        <f t="shared" si="256"/>
        <v>16611.3</v>
      </c>
    </row>
    <row r="563" spans="1:8" ht="12.75">
      <c r="A563" s="55" t="str">
        <f ca="1">IF(ISERROR(MATCH(F563,Код_КВР,0)),"",INDIRECT(ADDRESS(MATCH(F563,Код_КВР,0)+1,2,,,"КВР")))</f>
        <v>Субсидии автономным учреждениям</v>
      </c>
      <c r="B563" s="54">
        <v>805</v>
      </c>
      <c r="C563" s="57" t="s">
        <v>170</v>
      </c>
      <c r="D563" s="57" t="s">
        <v>193</v>
      </c>
      <c r="E563" s="54" t="s">
        <v>577</v>
      </c>
      <c r="F563" s="54">
        <v>620</v>
      </c>
      <c r="G563" s="62">
        <f>8013.8</f>
        <v>8013.8</v>
      </c>
      <c r="H563" s="62">
        <f>16611.3</f>
        <v>16611.3</v>
      </c>
    </row>
    <row r="564" spans="1:8" ht="12.75">
      <c r="A564" s="55" t="str">
        <f ca="1">IF(ISERROR(MATCH(E564,Код_КЦСР,0)),"",INDIRECT(ADDRESS(MATCH(E564,Код_КЦСР,0)+1,2,,,"КЦСР")))</f>
        <v>Общее образование</v>
      </c>
      <c r="B564" s="139">
        <v>805</v>
      </c>
      <c r="C564" s="57" t="s">
        <v>170</v>
      </c>
      <c r="D564" s="57" t="s">
        <v>193</v>
      </c>
      <c r="E564" s="139" t="s">
        <v>245</v>
      </c>
      <c r="F564" s="139"/>
      <c r="G564" s="62">
        <f>G565</f>
        <v>4494.4</v>
      </c>
      <c r="H564" s="62">
        <f>H565</f>
        <v>4494.4</v>
      </c>
    </row>
    <row r="565" spans="1:8" ht="85.5" customHeight="1">
      <c r="A565" s="55" t="str">
        <f ca="1">IF(ISERROR(MATCH(E565,Код_КЦСР,0)),"",INDIRECT(ADDRESS(MATCH(E565,Код_КЦСР,0)+1,2,,,"КЦСР")))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65" s="54">
        <v>805</v>
      </c>
      <c r="C565" s="57" t="s">
        <v>170</v>
      </c>
      <c r="D565" s="57" t="s">
        <v>193</v>
      </c>
      <c r="E565" s="54" t="s">
        <v>350</v>
      </c>
      <c r="F565" s="54"/>
      <c r="G565" s="62">
        <f>G566</f>
        <v>4494.4</v>
      </c>
      <c r="H565" s="62">
        <f>H566</f>
        <v>4494.4</v>
      </c>
    </row>
    <row r="566" spans="1:8" ht="33">
      <c r="A566" s="55" t="str">
        <f ca="1">IF(ISERROR(MATCH(F566,Код_КВР,0)),"",INDIRECT(ADDRESS(MATCH(F566,Код_КВР,0)+1,2,,,"КВР")))</f>
        <v>Предоставление субсидий бюджетным, автономным учреждениям и иным некоммерческим организациям</v>
      </c>
      <c r="B566" s="54">
        <v>805</v>
      </c>
      <c r="C566" s="57" t="s">
        <v>170</v>
      </c>
      <c r="D566" s="57" t="s">
        <v>193</v>
      </c>
      <c r="E566" s="54" t="s">
        <v>350</v>
      </c>
      <c r="F566" s="54">
        <v>600</v>
      </c>
      <c r="G566" s="62">
        <f aca="true" t="shared" si="257" ref="G566:H566">G567</f>
        <v>4494.4</v>
      </c>
      <c r="H566" s="62">
        <f t="shared" si="257"/>
        <v>4494.4</v>
      </c>
    </row>
    <row r="567" spans="1:8" ht="12.75">
      <c r="A567" s="55" t="str">
        <f ca="1">IF(ISERROR(MATCH(F567,Код_КВР,0)),"",INDIRECT(ADDRESS(MATCH(F567,Код_КВР,0)+1,2,,,"КВР")))</f>
        <v>Субсидии автономным учреждениям</v>
      </c>
      <c r="B567" s="54">
        <v>805</v>
      </c>
      <c r="C567" s="57" t="s">
        <v>170</v>
      </c>
      <c r="D567" s="57" t="s">
        <v>193</v>
      </c>
      <c r="E567" s="54" t="s">
        <v>350</v>
      </c>
      <c r="F567" s="54">
        <v>620</v>
      </c>
      <c r="G567" s="62">
        <v>4494.4</v>
      </c>
      <c r="H567" s="62">
        <v>4494.4</v>
      </c>
    </row>
    <row r="568" spans="1:8" ht="12.75" hidden="1">
      <c r="A568" s="55" t="str">
        <f ca="1">IF(ISERROR(MATCH(E568,Код_КЦСР,0)),"",INDIRECT(ADDRESS(MATCH(E568,Код_КЦСР,0)+1,2,,,"КЦСР")))</f>
        <v>Дополнительное образование</v>
      </c>
      <c r="B568" s="54">
        <v>805</v>
      </c>
      <c r="C568" s="57" t="s">
        <v>170</v>
      </c>
      <c r="D568" s="57" t="s">
        <v>193</v>
      </c>
      <c r="E568" s="54" t="s">
        <v>250</v>
      </c>
      <c r="F568" s="54"/>
      <c r="G568" s="62">
        <f>G569</f>
        <v>0</v>
      </c>
      <c r="H568" s="62">
        <f>H569</f>
        <v>0</v>
      </c>
    </row>
    <row r="569" spans="1:8" ht="49.5" hidden="1">
      <c r="A569" s="55" t="str">
        <f ca="1">IF(ISERROR(MATCH(E569,Код_КЦСР,0)),"",INDIRECT(ADDRESS(MATCH(E569,Код_КЦСР,0)+1,2,,,"КЦСР")))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69" s="54">
        <v>805</v>
      </c>
      <c r="C569" s="57" t="s">
        <v>170</v>
      </c>
      <c r="D569" s="57" t="s">
        <v>193</v>
      </c>
      <c r="E569" s="54" t="s">
        <v>254</v>
      </c>
      <c r="F569" s="54"/>
      <c r="G569" s="62">
        <f aca="true" t="shared" si="258" ref="G569:H570">G570</f>
        <v>0</v>
      </c>
      <c r="H569" s="62">
        <f t="shared" si="258"/>
        <v>0</v>
      </c>
    </row>
    <row r="570" spans="1:8" ht="33" hidden="1">
      <c r="A570" s="55" t="str">
        <f ca="1">IF(ISERROR(MATCH(F570,Код_КВР,0)),"",INDIRECT(ADDRESS(MATCH(F570,Код_КВР,0)+1,2,,,"КВР")))</f>
        <v>Предоставление субсидий бюджетным, автономным учреждениям и иным некоммерческим организациям</v>
      </c>
      <c r="B570" s="54">
        <v>805</v>
      </c>
      <c r="C570" s="57" t="s">
        <v>170</v>
      </c>
      <c r="D570" s="57" t="s">
        <v>193</v>
      </c>
      <c r="E570" s="54" t="s">
        <v>254</v>
      </c>
      <c r="F570" s="54">
        <v>600</v>
      </c>
      <c r="G570" s="62">
        <f t="shared" si="258"/>
        <v>0</v>
      </c>
      <c r="H570" s="62">
        <f t="shared" si="258"/>
        <v>0</v>
      </c>
    </row>
    <row r="571" spans="1:8" ht="12.75" hidden="1">
      <c r="A571" s="55" t="str">
        <f ca="1">IF(ISERROR(MATCH(F571,Код_КВР,0)),"",INDIRECT(ADDRESS(MATCH(F571,Код_КВР,0)+1,2,,,"КВР")))</f>
        <v>Субсидии бюджетным учреждениям</v>
      </c>
      <c r="B571" s="54">
        <v>805</v>
      </c>
      <c r="C571" s="57" t="s">
        <v>170</v>
      </c>
      <c r="D571" s="57" t="s">
        <v>193</v>
      </c>
      <c r="E571" s="54" t="s">
        <v>254</v>
      </c>
      <c r="F571" s="54">
        <v>610</v>
      </c>
      <c r="G571" s="62"/>
      <c r="H571" s="62"/>
    </row>
    <row r="572" spans="1:8" ht="12.75">
      <c r="A572" s="55" t="str">
        <f ca="1">IF(ISERROR(MATCH(E572,Код_КЦСР,0)),"",INDIRECT(ADDRESS(MATCH(E572,Код_КЦСР,0)+1,2,,,"КЦСР")))</f>
        <v>Одаренные дети</v>
      </c>
      <c r="B572" s="54">
        <v>805</v>
      </c>
      <c r="C572" s="57" t="s">
        <v>170</v>
      </c>
      <c r="D572" s="57" t="s">
        <v>193</v>
      </c>
      <c r="E572" s="54" t="s">
        <v>362</v>
      </c>
      <c r="F572" s="54"/>
      <c r="G572" s="62">
        <f aca="true" t="shared" si="259" ref="G572:H572">G573</f>
        <v>1500</v>
      </c>
      <c r="H572" s="62">
        <f t="shared" si="259"/>
        <v>0</v>
      </c>
    </row>
    <row r="573" spans="1:8" ht="33">
      <c r="A573" s="55" t="str">
        <f ca="1">IF(ISERROR(MATCH(F573,Код_КВР,0)),"",INDIRECT(ADDRESS(MATCH(F573,Код_КВР,0)+1,2,,,"КВР")))</f>
        <v>Предоставление субсидий бюджетным, автономным учреждениям и иным некоммерческим организациям</v>
      </c>
      <c r="B573" s="54">
        <v>805</v>
      </c>
      <c r="C573" s="57" t="s">
        <v>170</v>
      </c>
      <c r="D573" s="57" t="s">
        <v>193</v>
      </c>
      <c r="E573" s="54" t="s">
        <v>362</v>
      </c>
      <c r="F573" s="54">
        <v>600</v>
      </c>
      <c r="G573" s="62">
        <f aca="true" t="shared" si="260" ref="G573:H573">G574+G575</f>
        <v>1500</v>
      </c>
      <c r="H573" s="62">
        <f t="shared" si="260"/>
        <v>0</v>
      </c>
    </row>
    <row r="574" spans="1:8" ht="12.75">
      <c r="A574" s="55" t="str">
        <f ca="1">IF(ISERROR(MATCH(F574,Код_КВР,0)),"",INDIRECT(ADDRESS(MATCH(F574,Код_КВР,0)+1,2,,,"КВР")))</f>
        <v>Субсидии бюджетным учреждениям</v>
      </c>
      <c r="B574" s="54">
        <v>805</v>
      </c>
      <c r="C574" s="57" t="s">
        <v>170</v>
      </c>
      <c r="D574" s="57" t="s">
        <v>193</v>
      </c>
      <c r="E574" s="54" t="s">
        <v>362</v>
      </c>
      <c r="F574" s="54">
        <v>610</v>
      </c>
      <c r="G574" s="62">
        <v>1466</v>
      </c>
      <c r="H574" s="62"/>
    </row>
    <row r="575" spans="1:8" ht="12.75">
      <c r="A575" s="55" t="str">
        <f ca="1">IF(ISERROR(MATCH(F575,Код_КВР,0)),"",INDIRECT(ADDRESS(MATCH(F575,Код_КВР,0)+1,2,,,"КВР")))</f>
        <v>Субсидии автономным учреждениям</v>
      </c>
      <c r="B575" s="54">
        <v>805</v>
      </c>
      <c r="C575" s="57" t="s">
        <v>170</v>
      </c>
      <c r="D575" s="57" t="s">
        <v>193</v>
      </c>
      <c r="E575" s="54" t="s">
        <v>362</v>
      </c>
      <c r="F575" s="54">
        <v>620</v>
      </c>
      <c r="G575" s="62">
        <v>34</v>
      </c>
      <c r="H575" s="62"/>
    </row>
    <row r="576" spans="1:8" ht="33">
      <c r="A576" s="55" t="str">
        <f ca="1">IF(ISERROR(MATCH(E576,Код_КЦСР,0)),"",INDIRECT(ADDRESS(MATCH(E576,Код_КЦСР,0)+1,2,,,"КЦСР")))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576" s="54">
        <v>805</v>
      </c>
      <c r="C576" s="57" t="s">
        <v>170</v>
      </c>
      <c r="D576" s="57" t="s">
        <v>193</v>
      </c>
      <c r="E576" s="54" t="s">
        <v>364</v>
      </c>
      <c r="F576" s="54"/>
      <c r="G576" s="62">
        <f aca="true" t="shared" si="261" ref="G576:H576">G577+G579</f>
        <v>30600</v>
      </c>
      <c r="H576" s="62">
        <f t="shared" si="261"/>
        <v>30600</v>
      </c>
    </row>
    <row r="577" spans="1:8" ht="12.75">
      <c r="A577" s="55" t="str">
        <f aca="true" t="shared" si="262" ref="A577:A581">IF(ISERROR(MATCH(F577,Код_КВР,0)),"",INDIRECT(ADDRESS(MATCH(F577,Код_КВР,0)+1,2,,,"КВР")))</f>
        <v>Закупка товаров, работ и услуг для муниципальных нужд</v>
      </c>
      <c r="B577" s="54">
        <v>805</v>
      </c>
      <c r="C577" s="57" t="s">
        <v>170</v>
      </c>
      <c r="D577" s="57" t="s">
        <v>193</v>
      </c>
      <c r="E577" s="54" t="s">
        <v>364</v>
      </c>
      <c r="F577" s="54">
        <v>200</v>
      </c>
      <c r="G577" s="62">
        <f aca="true" t="shared" si="263" ref="G577:H577">G578</f>
        <v>5500</v>
      </c>
      <c r="H577" s="62">
        <f t="shared" si="263"/>
        <v>9000</v>
      </c>
    </row>
    <row r="578" spans="1:8" ht="33">
      <c r="A578" s="55" t="str">
        <f ca="1" t="shared" si="262"/>
        <v>Иные закупки товаров, работ и услуг для обеспечения муниципальных нужд</v>
      </c>
      <c r="B578" s="54">
        <v>805</v>
      </c>
      <c r="C578" s="57" t="s">
        <v>170</v>
      </c>
      <c r="D578" s="57" t="s">
        <v>193</v>
      </c>
      <c r="E578" s="54" t="s">
        <v>364</v>
      </c>
      <c r="F578" s="54">
        <v>240</v>
      </c>
      <c r="G578" s="62">
        <v>5500</v>
      </c>
      <c r="H578" s="62">
        <v>9000</v>
      </c>
    </row>
    <row r="579" spans="1:8" ht="33">
      <c r="A579" s="55" t="str">
        <f ca="1" t="shared" si="262"/>
        <v>Предоставление субсидий бюджетным, автономным учреждениям и иным некоммерческим организациям</v>
      </c>
      <c r="B579" s="54">
        <v>805</v>
      </c>
      <c r="C579" s="57" t="s">
        <v>170</v>
      </c>
      <c r="D579" s="57" t="s">
        <v>193</v>
      </c>
      <c r="E579" s="54" t="s">
        <v>364</v>
      </c>
      <c r="F579" s="54">
        <v>600</v>
      </c>
      <c r="G579" s="61">
        <f aca="true" t="shared" si="264" ref="G579:H579">G580+G581</f>
        <v>25100</v>
      </c>
      <c r="H579" s="61">
        <f t="shared" si="264"/>
        <v>21600</v>
      </c>
    </row>
    <row r="580" spans="1:8" ht="12.75">
      <c r="A580" s="55" t="str">
        <f ca="1" t="shared" si="262"/>
        <v>Субсидии бюджетным учреждениям</v>
      </c>
      <c r="B580" s="54">
        <v>805</v>
      </c>
      <c r="C580" s="57" t="s">
        <v>170</v>
      </c>
      <c r="D580" s="57" t="s">
        <v>193</v>
      </c>
      <c r="E580" s="54" t="s">
        <v>364</v>
      </c>
      <c r="F580" s="54">
        <v>610</v>
      </c>
      <c r="G580" s="62">
        <v>20600</v>
      </c>
      <c r="H580" s="62">
        <v>21500</v>
      </c>
    </row>
    <row r="581" spans="1:8" ht="12.75">
      <c r="A581" s="55" t="str">
        <f ca="1" t="shared" si="262"/>
        <v>Субсидии автономным учреждениям</v>
      </c>
      <c r="B581" s="54">
        <v>805</v>
      </c>
      <c r="C581" s="57" t="s">
        <v>170</v>
      </c>
      <c r="D581" s="57" t="s">
        <v>193</v>
      </c>
      <c r="E581" s="54" t="s">
        <v>364</v>
      </c>
      <c r="F581" s="54">
        <v>620</v>
      </c>
      <c r="G581" s="62">
        <v>4500</v>
      </c>
      <c r="H581" s="62">
        <v>100</v>
      </c>
    </row>
    <row r="582" spans="1:8" ht="33">
      <c r="A582" s="55" t="str">
        <f ca="1">IF(ISERROR(MATCH(E582,Код_КЦСР,0)),"",INDIRECT(ADDRESS(MATCH(E582,Код_КЦСР,0)+1,2,,,"КЦСР")))</f>
        <v>Муниципальная программа «Охрана окружающей среды» на 2013-2022 годы</v>
      </c>
      <c r="B582" s="54">
        <v>805</v>
      </c>
      <c r="C582" s="57" t="s">
        <v>170</v>
      </c>
      <c r="D582" s="57" t="s">
        <v>193</v>
      </c>
      <c r="E582" s="54" t="s">
        <v>424</v>
      </c>
      <c r="F582" s="54"/>
      <c r="G582" s="62">
        <f aca="true" t="shared" si="265" ref="G582:H582">G583+G586</f>
        <v>485</v>
      </c>
      <c r="H582" s="62">
        <f t="shared" si="265"/>
        <v>475</v>
      </c>
    </row>
    <row r="583" spans="1:8" ht="33">
      <c r="A583" s="55" t="str">
        <f ca="1">IF(ISERROR(MATCH(E583,Код_КЦСР,0)),"",INDIRECT(ADDRESS(MATCH(E583,Код_КЦСР,0)+1,2,,,"КЦСР")))</f>
        <v>Организация мероприятий по экологическому образованию и воспитанию населения</v>
      </c>
      <c r="B583" s="54">
        <v>805</v>
      </c>
      <c r="C583" s="57" t="s">
        <v>170</v>
      </c>
      <c r="D583" s="57" t="s">
        <v>193</v>
      </c>
      <c r="E583" s="54" t="s">
        <v>428</v>
      </c>
      <c r="F583" s="54"/>
      <c r="G583" s="62">
        <f aca="true" t="shared" si="266" ref="G583:H584">G584</f>
        <v>455</v>
      </c>
      <c r="H583" s="62">
        <f t="shared" si="266"/>
        <v>445</v>
      </c>
    </row>
    <row r="584" spans="1:8" ht="33">
      <c r="A584" s="55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54">
        <v>805</v>
      </c>
      <c r="C584" s="57" t="s">
        <v>170</v>
      </c>
      <c r="D584" s="57" t="s">
        <v>193</v>
      </c>
      <c r="E584" s="54" t="s">
        <v>428</v>
      </c>
      <c r="F584" s="54">
        <v>600</v>
      </c>
      <c r="G584" s="62">
        <f t="shared" si="266"/>
        <v>455</v>
      </c>
      <c r="H584" s="62">
        <f t="shared" si="266"/>
        <v>445</v>
      </c>
    </row>
    <row r="585" spans="1:8" ht="12.75">
      <c r="A585" s="55" t="str">
        <f ca="1">IF(ISERROR(MATCH(F585,Код_КВР,0)),"",INDIRECT(ADDRESS(MATCH(F585,Код_КВР,0)+1,2,,,"КВР")))</f>
        <v>Субсидии бюджетным учреждениям</v>
      </c>
      <c r="B585" s="54">
        <v>805</v>
      </c>
      <c r="C585" s="57" t="s">
        <v>170</v>
      </c>
      <c r="D585" s="57" t="s">
        <v>193</v>
      </c>
      <c r="E585" s="54" t="s">
        <v>428</v>
      </c>
      <c r="F585" s="54">
        <v>610</v>
      </c>
      <c r="G585" s="62">
        <f>455</f>
        <v>455</v>
      </c>
      <c r="H585" s="62">
        <f>445</f>
        <v>445</v>
      </c>
    </row>
    <row r="586" spans="1:8" ht="24.75" customHeight="1">
      <c r="A586" s="55" t="str">
        <f ca="1">IF(ISERROR(MATCH(E586,Код_КЦСР,0)),"",INDIRECT(ADDRESS(MATCH(E586,Код_КЦСР,0)+1,2,,,"КЦСР")))</f>
        <v>Оборудование основных помещений МБДОУ бактерицидными лампами</v>
      </c>
      <c r="B586" s="54">
        <v>805</v>
      </c>
      <c r="C586" s="57" t="s">
        <v>170</v>
      </c>
      <c r="D586" s="57" t="s">
        <v>193</v>
      </c>
      <c r="E586" s="54" t="s">
        <v>430</v>
      </c>
      <c r="F586" s="54"/>
      <c r="G586" s="62">
        <f aca="true" t="shared" si="267" ref="G586:H587">G587</f>
        <v>30</v>
      </c>
      <c r="H586" s="62">
        <f t="shared" si="267"/>
        <v>30</v>
      </c>
    </row>
    <row r="587" spans="1:8" ht="33">
      <c r="A587" s="55" t="str">
        <f ca="1">IF(ISERROR(MATCH(F587,Код_КВР,0)),"",INDIRECT(ADDRESS(MATCH(F587,Код_КВР,0)+1,2,,,"КВР")))</f>
        <v>Предоставление субсидий бюджетным, автономным учреждениям и иным некоммерческим организациям</v>
      </c>
      <c r="B587" s="54">
        <v>805</v>
      </c>
      <c r="C587" s="57" t="s">
        <v>170</v>
      </c>
      <c r="D587" s="57" t="s">
        <v>193</v>
      </c>
      <c r="E587" s="54" t="s">
        <v>430</v>
      </c>
      <c r="F587" s="54">
        <v>600</v>
      </c>
      <c r="G587" s="62">
        <f t="shared" si="267"/>
        <v>30</v>
      </c>
      <c r="H587" s="62">
        <f t="shared" si="267"/>
        <v>30</v>
      </c>
    </row>
    <row r="588" spans="1:8" ht="12.75">
      <c r="A588" s="55" t="str">
        <f ca="1">IF(ISERROR(MATCH(F588,Код_КВР,0)),"",INDIRECT(ADDRESS(MATCH(F588,Код_КВР,0)+1,2,,,"КВР")))</f>
        <v>Субсидии бюджетным учреждениям</v>
      </c>
      <c r="B588" s="54">
        <v>805</v>
      </c>
      <c r="C588" s="57" t="s">
        <v>170</v>
      </c>
      <c r="D588" s="57" t="s">
        <v>193</v>
      </c>
      <c r="E588" s="54" t="s">
        <v>430</v>
      </c>
      <c r="F588" s="54">
        <v>610</v>
      </c>
      <c r="G588" s="62">
        <v>30</v>
      </c>
      <c r="H588" s="62">
        <v>30</v>
      </c>
    </row>
    <row r="589" spans="1:8" ht="39.95" customHeight="1">
      <c r="A589" s="55" t="str">
        <f ca="1">IF(ISERROR(MATCH(E589,Код_КЦСР,0)),"",INDIRECT(ADDRESS(MATCH(E589,Код_КЦСР,0)+1,2,,,"КЦСР")))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589" s="54">
        <v>805</v>
      </c>
      <c r="C589" s="57" t="s">
        <v>170</v>
      </c>
      <c r="D589" s="57" t="s">
        <v>193</v>
      </c>
      <c r="E589" s="54" t="s">
        <v>75</v>
      </c>
      <c r="F589" s="54"/>
      <c r="G589" s="62">
        <f aca="true" t="shared" si="268" ref="G589:H589">G590</f>
        <v>1800</v>
      </c>
      <c r="H589" s="62">
        <f t="shared" si="268"/>
        <v>2938.9</v>
      </c>
    </row>
    <row r="590" spans="1:8" ht="32.25" customHeight="1">
      <c r="A590" s="55" t="str">
        <f ca="1">IF(ISERROR(MATCH(E590,Код_КЦСР,0)),"",INDIRECT(ADDRESS(MATCH(E590,Код_КЦСР,0)+1,2,,,"КЦСР")))</f>
        <v>Обеспечение пожарной безопасности муниципальных учреждений города</v>
      </c>
      <c r="B590" s="54">
        <v>805</v>
      </c>
      <c r="C590" s="57" t="s">
        <v>170</v>
      </c>
      <c r="D590" s="57" t="s">
        <v>193</v>
      </c>
      <c r="E590" s="54" t="s">
        <v>77</v>
      </c>
      <c r="F590" s="54"/>
      <c r="G590" s="62">
        <f aca="true" t="shared" si="269" ref="G590:H590">G591+G599+G596+G602+G605+G608+G611</f>
        <v>1800</v>
      </c>
      <c r="H590" s="62">
        <f t="shared" si="269"/>
        <v>2938.9</v>
      </c>
    </row>
    <row r="591" spans="1:8" ht="49.5">
      <c r="A591" s="55" t="str">
        <f ca="1">IF(ISERROR(MATCH(E591,Код_КЦСР,0)),"",INDIRECT(ADDRESS(MATCH(E591,Код_КЦСР,0)+1,2,,,"КЦСР")))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591" s="54">
        <v>805</v>
      </c>
      <c r="C591" s="57" t="s">
        <v>170</v>
      </c>
      <c r="D591" s="57" t="s">
        <v>193</v>
      </c>
      <c r="E591" s="54" t="s">
        <v>79</v>
      </c>
      <c r="F591" s="54"/>
      <c r="G591" s="62">
        <f aca="true" t="shared" si="270" ref="G591:H591">G592+G594</f>
        <v>450</v>
      </c>
      <c r="H591" s="62">
        <f t="shared" si="270"/>
        <v>941.9</v>
      </c>
    </row>
    <row r="592" spans="1:8" ht="12.75" hidden="1">
      <c r="A592" s="55" t="str">
        <f aca="true" t="shared" si="271" ref="A592:A595">IF(ISERROR(MATCH(F592,Код_КВР,0)),"",INDIRECT(ADDRESS(MATCH(F592,Код_КВР,0)+1,2,,,"КВР")))</f>
        <v>Закупка товаров, работ и услуг для муниципальных нужд</v>
      </c>
      <c r="B592" s="54">
        <v>805</v>
      </c>
      <c r="C592" s="57" t="s">
        <v>170</v>
      </c>
      <c r="D592" s="57" t="s">
        <v>193</v>
      </c>
      <c r="E592" s="54" t="s">
        <v>79</v>
      </c>
      <c r="F592" s="54">
        <v>200</v>
      </c>
      <c r="G592" s="62">
        <f aca="true" t="shared" si="272" ref="G592:H592">G593</f>
        <v>0</v>
      </c>
      <c r="H592" s="62">
        <f t="shared" si="272"/>
        <v>0</v>
      </c>
    </row>
    <row r="593" spans="1:8" ht="33" hidden="1">
      <c r="A593" s="55" t="str">
        <f ca="1" t="shared" si="271"/>
        <v>Иные закупки товаров, работ и услуг для обеспечения муниципальных нужд</v>
      </c>
      <c r="B593" s="54">
        <v>805</v>
      </c>
      <c r="C593" s="57" t="s">
        <v>170</v>
      </c>
      <c r="D593" s="57" t="s">
        <v>193</v>
      </c>
      <c r="E593" s="54" t="s">
        <v>79</v>
      </c>
      <c r="F593" s="54">
        <v>240</v>
      </c>
      <c r="G593" s="62"/>
      <c r="H593" s="62"/>
    </row>
    <row r="594" spans="1:8" ht="33">
      <c r="A594" s="55" t="str">
        <f ca="1" t="shared" si="271"/>
        <v>Предоставление субсидий бюджетным, автономным учреждениям и иным некоммерческим организациям</v>
      </c>
      <c r="B594" s="54">
        <v>805</v>
      </c>
      <c r="C594" s="57" t="s">
        <v>170</v>
      </c>
      <c r="D594" s="57" t="s">
        <v>193</v>
      </c>
      <c r="E594" s="54" t="s">
        <v>79</v>
      </c>
      <c r="F594" s="54">
        <v>600</v>
      </c>
      <c r="G594" s="62">
        <f aca="true" t="shared" si="273" ref="G594:H594">G595</f>
        <v>450</v>
      </c>
      <c r="H594" s="62">
        <f t="shared" si="273"/>
        <v>941.9</v>
      </c>
    </row>
    <row r="595" spans="1:8" ht="12.75">
      <c r="A595" s="55" t="str">
        <f ca="1" t="shared" si="271"/>
        <v>Субсидии бюджетным учреждениям</v>
      </c>
      <c r="B595" s="54">
        <v>805</v>
      </c>
      <c r="C595" s="57" t="s">
        <v>170</v>
      </c>
      <c r="D595" s="57" t="s">
        <v>193</v>
      </c>
      <c r="E595" s="54" t="s">
        <v>79</v>
      </c>
      <c r="F595" s="54">
        <v>610</v>
      </c>
      <c r="G595" s="62">
        <v>450</v>
      </c>
      <c r="H595" s="62">
        <v>941.9</v>
      </c>
    </row>
    <row r="596" spans="1:8" ht="33" hidden="1">
      <c r="A596" s="55" t="str">
        <f ca="1">IF(ISERROR(MATCH(E596,Код_КЦСР,0)),"",INDIRECT(ADDRESS(MATCH(E596,Код_КЦСР,0)+1,2,,,"КЦСР")))</f>
        <v>Приобретение первичных средств пожаротушения, перезарядка огнетушителей</v>
      </c>
      <c r="B596" s="54">
        <v>805</v>
      </c>
      <c r="C596" s="57" t="s">
        <v>170</v>
      </c>
      <c r="D596" s="57" t="s">
        <v>193</v>
      </c>
      <c r="E596" s="54" t="s">
        <v>81</v>
      </c>
      <c r="F596" s="54"/>
      <c r="G596" s="62">
        <f aca="true" t="shared" si="274" ref="G596:H597">G597</f>
        <v>0</v>
      </c>
      <c r="H596" s="62">
        <f t="shared" si="274"/>
        <v>0</v>
      </c>
    </row>
    <row r="597" spans="1:8" ht="33" hidden="1">
      <c r="A597" s="55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54">
        <v>805</v>
      </c>
      <c r="C597" s="57" t="s">
        <v>170</v>
      </c>
      <c r="D597" s="57" t="s">
        <v>193</v>
      </c>
      <c r="E597" s="54" t="s">
        <v>81</v>
      </c>
      <c r="F597" s="54">
        <v>600</v>
      </c>
      <c r="G597" s="62">
        <f t="shared" si="274"/>
        <v>0</v>
      </c>
      <c r="H597" s="62">
        <f t="shared" si="274"/>
        <v>0</v>
      </c>
    </row>
    <row r="598" spans="1:8" ht="12.75" hidden="1">
      <c r="A598" s="55" t="str">
        <f ca="1">IF(ISERROR(MATCH(F598,Код_КВР,0)),"",INDIRECT(ADDRESS(MATCH(F598,Код_КВР,0)+1,2,,,"КВР")))</f>
        <v>Субсидии бюджетным учреждениям</v>
      </c>
      <c r="B598" s="54">
        <v>805</v>
      </c>
      <c r="C598" s="57" t="s">
        <v>170</v>
      </c>
      <c r="D598" s="57" t="s">
        <v>193</v>
      </c>
      <c r="E598" s="54" t="s">
        <v>81</v>
      </c>
      <c r="F598" s="54">
        <v>610</v>
      </c>
      <c r="G598" s="62"/>
      <c r="H598" s="62"/>
    </row>
    <row r="599" spans="1:8" ht="12.75">
      <c r="A599" s="55" t="str">
        <f ca="1">IF(ISERROR(MATCH(E599,Код_КЦСР,0)),"",INDIRECT(ADDRESS(MATCH(E599,Код_КЦСР,0)+1,2,,,"КЦСР")))</f>
        <v>Ремонт и оборудование эвакуационных путей  зданий</v>
      </c>
      <c r="B599" s="54">
        <v>805</v>
      </c>
      <c r="C599" s="57" t="s">
        <v>170</v>
      </c>
      <c r="D599" s="57" t="s">
        <v>193</v>
      </c>
      <c r="E599" s="54" t="s">
        <v>83</v>
      </c>
      <c r="F599" s="54"/>
      <c r="G599" s="61">
        <f aca="true" t="shared" si="275" ref="G599:H599">G600</f>
        <v>1350</v>
      </c>
      <c r="H599" s="61">
        <f t="shared" si="275"/>
        <v>1625</v>
      </c>
    </row>
    <row r="600" spans="1:8" ht="33">
      <c r="A600" s="55" t="str">
        <f ca="1">IF(ISERROR(MATCH(F600,Код_КВР,0)),"",INDIRECT(ADDRESS(MATCH(F600,Код_КВР,0)+1,2,,,"КВР")))</f>
        <v>Предоставление субсидий бюджетным, автономным учреждениям и иным некоммерческим организациям</v>
      </c>
      <c r="B600" s="54">
        <v>805</v>
      </c>
      <c r="C600" s="57" t="s">
        <v>170</v>
      </c>
      <c r="D600" s="57" t="s">
        <v>193</v>
      </c>
      <c r="E600" s="54" t="s">
        <v>83</v>
      </c>
      <c r="F600" s="54">
        <v>600</v>
      </c>
      <c r="G600" s="62">
        <f aca="true" t="shared" si="276" ref="G600:H600">G601</f>
        <v>1350</v>
      </c>
      <c r="H600" s="62">
        <f t="shared" si="276"/>
        <v>1625</v>
      </c>
    </row>
    <row r="601" spans="1:8" ht="12.75">
      <c r="A601" s="55" t="str">
        <f ca="1">IF(ISERROR(MATCH(F601,Код_КВР,0)),"",INDIRECT(ADDRESS(MATCH(F601,Код_КВР,0)+1,2,,,"КВР")))</f>
        <v>Субсидии бюджетным учреждениям</v>
      </c>
      <c r="B601" s="54">
        <v>805</v>
      </c>
      <c r="C601" s="57" t="s">
        <v>170</v>
      </c>
      <c r="D601" s="57" t="s">
        <v>193</v>
      </c>
      <c r="E601" s="54" t="s">
        <v>83</v>
      </c>
      <c r="F601" s="54">
        <v>610</v>
      </c>
      <c r="G601" s="62">
        <v>1350</v>
      </c>
      <c r="H601" s="62">
        <v>1625</v>
      </c>
    </row>
    <row r="602" spans="1:8" ht="12.75">
      <c r="A602" s="55" t="str">
        <f ca="1">IF(ISERROR(MATCH(E602,Код_КЦСР,0)),"",INDIRECT(ADDRESS(MATCH(E602,Код_КЦСР,0)+1,2,,,"КЦСР")))</f>
        <v>Ремонт и обслуживание электрооборудования зданий</v>
      </c>
      <c r="B602" s="54">
        <v>805</v>
      </c>
      <c r="C602" s="57" t="s">
        <v>170</v>
      </c>
      <c r="D602" s="57" t="s">
        <v>193</v>
      </c>
      <c r="E602" s="54" t="s">
        <v>85</v>
      </c>
      <c r="F602" s="54"/>
      <c r="G602" s="62">
        <f aca="true" t="shared" si="277" ref="G602:H603">G603</f>
        <v>0</v>
      </c>
      <c r="H602" s="62">
        <f t="shared" si="277"/>
        <v>372</v>
      </c>
    </row>
    <row r="603" spans="1:8" ht="41.25" customHeight="1">
      <c r="A603" s="55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54">
        <v>805</v>
      </c>
      <c r="C603" s="57" t="s">
        <v>170</v>
      </c>
      <c r="D603" s="57" t="s">
        <v>193</v>
      </c>
      <c r="E603" s="54" t="s">
        <v>85</v>
      </c>
      <c r="F603" s="54">
        <v>600</v>
      </c>
      <c r="G603" s="62">
        <f t="shared" si="277"/>
        <v>0</v>
      </c>
      <c r="H603" s="62">
        <f t="shared" si="277"/>
        <v>372</v>
      </c>
    </row>
    <row r="604" spans="1:8" ht="12.75">
      <c r="A604" s="55" t="str">
        <f ca="1">IF(ISERROR(MATCH(F604,Код_КВР,0)),"",INDIRECT(ADDRESS(MATCH(F604,Код_КВР,0)+1,2,,,"КВР")))</f>
        <v>Субсидии бюджетным учреждениям</v>
      </c>
      <c r="B604" s="54">
        <v>805</v>
      </c>
      <c r="C604" s="57" t="s">
        <v>170</v>
      </c>
      <c r="D604" s="57" t="s">
        <v>193</v>
      </c>
      <c r="E604" s="54" t="s">
        <v>85</v>
      </c>
      <c r="F604" s="54">
        <v>610</v>
      </c>
      <c r="G604" s="62"/>
      <c r="H604" s="62">
        <v>372</v>
      </c>
    </row>
    <row r="605" spans="1:8" ht="12.75" hidden="1">
      <c r="A605" s="55" t="str">
        <f ca="1">IF(ISERROR(MATCH(E605,Код_КЦСР,0)),"",INDIRECT(ADDRESS(MATCH(E605,Код_КЦСР,0)+1,2,,,"КЦСР")))</f>
        <v>Ремонт и испытание наружных пожарных лестниц</v>
      </c>
      <c r="B605" s="54">
        <v>805</v>
      </c>
      <c r="C605" s="57" t="s">
        <v>170</v>
      </c>
      <c r="D605" s="57" t="s">
        <v>193</v>
      </c>
      <c r="E605" s="54" t="s">
        <v>87</v>
      </c>
      <c r="F605" s="54"/>
      <c r="G605" s="62">
        <f aca="true" t="shared" si="278" ref="G605:H606">G606</f>
        <v>0</v>
      </c>
      <c r="H605" s="62">
        <f t="shared" si="278"/>
        <v>0</v>
      </c>
    </row>
    <row r="606" spans="1:8" ht="33" hidden="1">
      <c r="A606" s="55" t="str">
        <f ca="1">IF(ISERROR(MATCH(F606,Код_КВР,0)),"",INDIRECT(ADDRESS(MATCH(F606,Код_КВР,0)+1,2,,,"КВР")))</f>
        <v>Предоставление субсидий бюджетным, автономным учреждениям и иным некоммерческим организациям</v>
      </c>
      <c r="B606" s="54">
        <v>805</v>
      </c>
      <c r="C606" s="57" t="s">
        <v>170</v>
      </c>
      <c r="D606" s="57" t="s">
        <v>193</v>
      </c>
      <c r="E606" s="54" t="s">
        <v>87</v>
      </c>
      <c r="F606" s="54">
        <v>600</v>
      </c>
      <c r="G606" s="62">
        <f t="shared" si="278"/>
        <v>0</v>
      </c>
      <c r="H606" s="62">
        <f t="shared" si="278"/>
        <v>0</v>
      </c>
    </row>
    <row r="607" spans="1:8" ht="12.75" hidden="1">
      <c r="A607" s="55" t="str">
        <f ca="1">IF(ISERROR(MATCH(F607,Код_КВР,0)),"",INDIRECT(ADDRESS(MATCH(F607,Код_КВР,0)+1,2,,,"КВР")))</f>
        <v>Субсидии бюджетным учреждениям</v>
      </c>
      <c r="B607" s="54">
        <v>805</v>
      </c>
      <c r="C607" s="57" t="s">
        <v>170</v>
      </c>
      <c r="D607" s="57" t="s">
        <v>193</v>
      </c>
      <c r="E607" s="54" t="s">
        <v>87</v>
      </c>
      <c r="F607" s="54">
        <v>610</v>
      </c>
      <c r="G607" s="62"/>
      <c r="H607" s="62"/>
    </row>
    <row r="608" spans="1:8" ht="33" hidden="1">
      <c r="A608" s="55" t="str">
        <f ca="1">IF(ISERROR(MATCH(E608,Код_КЦСР,0)),"",INDIRECT(ADDRESS(MATCH(E608,Код_КЦСР,0)+1,2,,,"КЦСР")))</f>
        <v>Комплектование, ремонт и испытание внутреннего противопожарного водоснабжения зданий (ПК)</v>
      </c>
      <c r="B608" s="54">
        <v>805</v>
      </c>
      <c r="C608" s="57" t="s">
        <v>170</v>
      </c>
      <c r="D608" s="57" t="s">
        <v>193</v>
      </c>
      <c r="E608" s="54" t="s">
        <v>89</v>
      </c>
      <c r="F608" s="54"/>
      <c r="G608" s="62">
        <f aca="true" t="shared" si="279" ref="G608:H609">G609</f>
        <v>0</v>
      </c>
      <c r="H608" s="62">
        <f t="shared" si="279"/>
        <v>0</v>
      </c>
    </row>
    <row r="609" spans="1:8" ht="33" hidden="1">
      <c r="A609" s="55" t="str">
        <f ca="1">IF(ISERROR(MATCH(F609,Код_КВР,0)),"",INDIRECT(ADDRESS(MATCH(F609,Код_КВР,0)+1,2,,,"КВР")))</f>
        <v>Предоставление субсидий бюджетным, автономным учреждениям и иным некоммерческим организациям</v>
      </c>
      <c r="B609" s="54">
        <v>805</v>
      </c>
      <c r="C609" s="57" t="s">
        <v>170</v>
      </c>
      <c r="D609" s="57" t="s">
        <v>193</v>
      </c>
      <c r="E609" s="54" t="s">
        <v>89</v>
      </c>
      <c r="F609" s="54">
        <v>600</v>
      </c>
      <c r="G609" s="62">
        <f t="shared" si="279"/>
        <v>0</v>
      </c>
      <c r="H609" s="62">
        <f t="shared" si="279"/>
        <v>0</v>
      </c>
    </row>
    <row r="610" spans="1:8" ht="12.75" hidden="1">
      <c r="A610" s="55" t="str">
        <f ca="1">IF(ISERROR(MATCH(F610,Код_КВР,0)),"",INDIRECT(ADDRESS(MATCH(F610,Код_КВР,0)+1,2,,,"КВР")))</f>
        <v>Субсидии бюджетным учреждениям</v>
      </c>
      <c r="B610" s="54">
        <v>805</v>
      </c>
      <c r="C610" s="57" t="s">
        <v>170</v>
      </c>
      <c r="D610" s="57" t="s">
        <v>193</v>
      </c>
      <c r="E610" s="54" t="s">
        <v>89</v>
      </c>
      <c r="F610" s="54">
        <v>610</v>
      </c>
      <c r="G610" s="62"/>
      <c r="H610" s="62"/>
    </row>
    <row r="611" spans="1:8" ht="33" hidden="1">
      <c r="A611" s="55" t="str">
        <f ca="1">IF(ISERROR(MATCH(E611,Код_КЦСР,0)),"",INDIRECT(ADDRESS(MATCH(E611,Код_КЦСР,0)+1,2,,,"КЦСР")))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611" s="54">
        <v>805</v>
      </c>
      <c r="C611" s="57" t="s">
        <v>170</v>
      </c>
      <c r="D611" s="57" t="s">
        <v>193</v>
      </c>
      <c r="E611" s="54" t="s">
        <v>91</v>
      </c>
      <c r="F611" s="54"/>
      <c r="G611" s="62">
        <f aca="true" t="shared" si="280" ref="G611:H612">G612</f>
        <v>0</v>
      </c>
      <c r="H611" s="62">
        <f t="shared" si="280"/>
        <v>0</v>
      </c>
    </row>
    <row r="612" spans="1:8" ht="33" hidden="1">
      <c r="A612" s="55" t="str">
        <f ca="1">IF(ISERROR(MATCH(F612,Код_КВР,0)),"",INDIRECT(ADDRESS(MATCH(F612,Код_КВР,0)+1,2,,,"КВР")))</f>
        <v>Предоставление субсидий бюджетным, автономным учреждениям и иным некоммерческим организациям</v>
      </c>
      <c r="B612" s="54">
        <v>805</v>
      </c>
      <c r="C612" s="57" t="s">
        <v>170</v>
      </c>
      <c r="D612" s="57" t="s">
        <v>193</v>
      </c>
      <c r="E612" s="54" t="s">
        <v>91</v>
      </c>
      <c r="F612" s="54">
        <v>600</v>
      </c>
      <c r="G612" s="62">
        <f t="shared" si="280"/>
        <v>0</v>
      </c>
      <c r="H612" s="62">
        <f t="shared" si="280"/>
        <v>0</v>
      </c>
    </row>
    <row r="613" spans="1:8" ht="12.75" hidden="1">
      <c r="A613" s="55" t="str">
        <f ca="1">IF(ISERROR(MATCH(F613,Код_КВР,0)),"",INDIRECT(ADDRESS(MATCH(F613,Код_КВР,0)+1,2,,,"КВР")))</f>
        <v>Субсидии бюджетным учреждениям</v>
      </c>
      <c r="B613" s="54">
        <v>805</v>
      </c>
      <c r="C613" s="57" t="s">
        <v>170</v>
      </c>
      <c r="D613" s="57" t="s">
        <v>193</v>
      </c>
      <c r="E613" s="54" t="s">
        <v>91</v>
      </c>
      <c r="F613" s="54">
        <v>610</v>
      </c>
      <c r="G613" s="62"/>
      <c r="H613" s="62"/>
    </row>
    <row r="614" spans="1:8" ht="12.75">
      <c r="A614" s="55" t="str">
        <f ca="1">IF(ISERROR(MATCH(C614,Код_Раздел,0)),"",INDIRECT(ADDRESS(MATCH(C614,Код_Раздел,0)+1,2,,,"Раздел")))</f>
        <v>Социальная политика</v>
      </c>
      <c r="B614" s="54">
        <v>805</v>
      </c>
      <c r="C614" s="57" t="s">
        <v>163</v>
      </c>
      <c r="D614" s="57"/>
      <c r="E614" s="54"/>
      <c r="F614" s="54"/>
      <c r="G614" s="62">
        <f>G615+G626</f>
        <v>62381.5</v>
      </c>
      <c r="H614" s="62">
        <f>H615+H626</f>
        <v>97516</v>
      </c>
    </row>
    <row r="615" spans="1:8" ht="12.75">
      <c r="A615" s="59" t="s">
        <v>154</v>
      </c>
      <c r="B615" s="54">
        <v>805</v>
      </c>
      <c r="C615" s="57" t="s">
        <v>163</v>
      </c>
      <c r="D615" s="57" t="s">
        <v>189</v>
      </c>
      <c r="E615" s="54"/>
      <c r="F615" s="54"/>
      <c r="G615" s="62">
        <f aca="true" t="shared" si="281" ref="G615:H615">G616</f>
        <v>11634.9</v>
      </c>
      <c r="H615" s="62">
        <f t="shared" si="281"/>
        <v>11634.9</v>
      </c>
    </row>
    <row r="616" spans="1:8" ht="27" customHeight="1">
      <c r="A616" s="55" t="str">
        <f ca="1">IF(ISERROR(MATCH(E616,Код_КЦСР,0)),"",INDIRECT(ADDRESS(MATCH(E616,Код_КЦСР,0)+1,2,,,"КЦСР")))</f>
        <v>Муниципальная программа «Развитие образования» на 2013-2022 годы</v>
      </c>
      <c r="B616" s="54">
        <v>805</v>
      </c>
      <c r="C616" s="57" t="s">
        <v>163</v>
      </c>
      <c r="D616" s="57" t="s">
        <v>189</v>
      </c>
      <c r="E616" s="54" t="s">
        <v>237</v>
      </c>
      <c r="F616" s="54"/>
      <c r="G616" s="62">
        <f aca="true" t="shared" si="282" ref="G616:H616">G617+G621</f>
        <v>11634.9</v>
      </c>
      <c r="H616" s="62">
        <f t="shared" si="282"/>
        <v>11634.9</v>
      </c>
    </row>
    <row r="617" spans="1:8" ht="12.75" hidden="1">
      <c r="A617" s="55" t="str">
        <f ca="1">IF(ISERROR(MATCH(E617,Код_КЦСР,0)),"",INDIRECT(ADDRESS(MATCH(E617,Код_КЦСР,0)+1,2,,,"КЦСР")))</f>
        <v>Общее образование</v>
      </c>
      <c r="B617" s="54">
        <v>805</v>
      </c>
      <c r="C617" s="57" t="s">
        <v>163</v>
      </c>
      <c r="D617" s="57" t="s">
        <v>189</v>
      </c>
      <c r="E617" s="54" t="s">
        <v>245</v>
      </c>
      <c r="F617" s="54"/>
      <c r="G617" s="62">
        <f aca="true" t="shared" si="283" ref="G617:H619">G618</f>
        <v>0</v>
      </c>
      <c r="H617" s="62">
        <f t="shared" si="283"/>
        <v>0</v>
      </c>
    </row>
    <row r="618" spans="1:8" ht="82.5" hidden="1">
      <c r="A618" s="55" t="str">
        <f ca="1">IF(ISERROR(MATCH(E618,Код_КЦСР,0)),"",INDIRECT(ADDRESS(MATCH(E618,Код_КЦСР,0)+1,2,,,"КЦСР")))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18" s="54">
        <v>805</v>
      </c>
      <c r="C618" s="57" t="s">
        <v>163</v>
      </c>
      <c r="D618" s="57" t="s">
        <v>189</v>
      </c>
      <c r="E618" s="54" t="s">
        <v>350</v>
      </c>
      <c r="F618" s="54"/>
      <c r="G618" s="62">
        <f t="shared" si="283"/>
        <v>0</v>
      </c>
      <c r="H618" s="62">
        <f t="shared" si="283"/>
        <v>0</v>
      </c>
    </row>
    <row r="619" spans="1:8" ht="12.75" hidden="1">
      <c r="A619" s="55" t="str">
        <f ca="1">IF(ISERROR(MATCH(F619,Код_КВР,0)),"",INDIRECT(ADDRESS(MATCH(F619,Код_КВР,0)+1,2,,,"КВР")))</f>
        <v>Социальное обеспечение и иные выплаты населению</v>
      </c>
      <c r="B619" s="54">
        <v>805</v>
      </c>
      <c r="C619" s="57" t="s">
        <v>163</v>
      </c>
      <c r="D619" s="57" t="s">
        <v>189</v>
      </c>
      <c r="E619" s="54" t="s">
        <v>350</v>
      </c>
      <c r="F619" s="54">
        <v>300</v>
      </c>
      <c r="G619" s="62">
        <f t="shared" si="283"/>
        <v>0</v>
      </c>
      <c r="H619" s="62">
        <f t="shared" si="283"/>
        <v>0</v>
      </c>
    </row>
    <row r="620" spans="1:8" ht="33" hidden="1">
      <c r="A620" s="55" t="str">
        <f ca="1">IF(ISERROR(MATCH(F620,Код_КВР,0)),"",INDIRECT(ADDRESS(MATCH(F620,Код_КВР,0)+1,2,,,"КВР")))</f>
        <v>Социальные выплаты гражданам, кроме публичных нормативных социальных выплат</v>
      </c>
      <c r="B620" s="54">
        <v>805</v>
      </c>
      <c r="C620" s="57" t="s">
        <v>163</v>
      </c>
      <c r="D620" s="57" t="s">
        <v>189</v>
      </c>
      <c r="E620" s="54" t="s">
        <v>350</v>
      </c>
      <c r="F620" s="54">
        <v>320</v>
      </c>
      <c r="G620" s="62"/>
      <c r="H620" s="62"/>
    </row>
    <row r="621" spans="1:8" ht="12.75">
      <c r="A621" s="55" t="str">
        <f ca="1">IF(ISERROR(MATCH(E621,Код_КЦСР,0)),"",INDIRECT(ADDRESS(MATCH(E621,Код_КЦСР,0)+1,2,,,"КЦСР")))</f>
        <v>Кадровое обеспечение муниципальной системы образования</v>
      </c>
      <c r="B621" s="54">
        <v>805</v>
      </c>
      <c r="C621" s="57" t="s">
        <v>163</v>
      </c>
      <c r="D621" s="57" t="s">
        <v>189</v>
      </c>
      <c r="E621" s="54" t="s">
        <v>256</v>
      </c>
      <c r="F621" s="54"/>
      <c r="G621" s="62">
        <f aca="true" t="shared" si="284" ref="G621:H624">G622</f>
        <v>11634.9</v>
      </c>
      <c r="H621" s="62">
        <f t="shared" si="284"/>
        <v>11634.9</v>
      </c>
    </row>
    <row r="622" spans="1:8" ht="33">
      <c r="A622" s="55" t="str">
        <f ca="1">IF(ISERROR(MATCH(E622,Код_КЦСР,0)),"",INDIRECT(ADDRESS(MATCH(E622,Код_КЦСР,0)+1,2,,,"КЦСР")))</f>
        <v xml:space="preserve">Осуществление денежных выплат работникам муниципальных образовательных учреждений     </v>
      </c>
      <c r="B622" s="54">
        <v>805</v>
      </c>
      <c r="C622" s="57" t="s">
        <v>163</v>
      </c>
      <c r="D622" s="57" t="s">
        <v>189</v>
      </c>
      <c r="E622" s="54" t="s">
        <v>261</v>
      </c>
      <c r="F622" s="54"/>
      <c r="G622" s="62">
        <f t="shared" si="284"/>
        <v>11634.9</v>
      </c>
      <c r="H622" s="62">
        <f t="shared" si="284"/>
        <v>11634.9</v>
      </c>
    </row>
    <row r="623" spans="1:8" ht="71.25" customHeight="1">
      <c r="A623" s="55" t="str">
        <f ca="1">IF(ISERROR(MATCH(E623,Код_КЦСР,0)),"",INDIRECT(ADDRESS(MATCH(E623,Код_КЦСР,0)+1,2,,,"КЦСР")))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623" s="54">
        <v>805</v>
      </c>
      <c r="C623" s="57" t="s">
        <v>163</v>
      </c>
      <c r="D623" s="57" t="s">
        <v>189</v>
      </c>
      <c r="E623" s="54" t="s">
        <v>357</v>
      </c>
      <c r="F623" s="54"/>
      <c r="G623" s="62">
        <f t="shared" si="284"/>
        <v>11634.9</v>
      </c>
      <c r="H623" s="62">
        <f t="shared" si="284"/>
        <v>11634.9</v>
      </c>
    </row>
    <row r="624" spans="1:8" ht="12.75">
      <c r="A624" s="55" t="str">
        <f ca="1">IF(ISERROR(MATCH(F624,Код_КВР,0)),"",INDIRECT(ADDRESS(MATCH(F624,Код_КВР,0)+1,2,,,"КВР")))</f>
        <v>Социальное обеспечение и иные выплаты населению</v>
      </c>
      <c r="B624" s="54">
        <v>805</v>
      </c>
      <c r="C624" s="57" t="s">
        <v>163</v>
      </c>
      <c r="D624" s="57" t="s">
        <v>189</v>
      </c>
      <c r="E624" s="54" t="s">
        <v>357</v>
      </c>
      <c r="F624" s="54">
        <v>300</v>
      </c>
      <c r="G624" s="62">
        <f t="shared" si="284"/>
        <v>11634.9</v>
      </c>
      <c r="H624" s="62">
        <f t="shared" si="284"/>
        <v>11634.9</v>
      </c>
    </row>
    <row r="625" spans="1:8" ht="12.75">
      <c r="A625" s="55" t="str">
        <f ca="1">IF(ISERROR(MATCH(F625,Код_КВР,0)),"",INDIRECT(ADDRESS(MATCH(F625,Код_КВР,0)+1,2,,,"КВР")))</f>
        <v>Публичные нормативные социальные выплаты гражданам</v>
      </c>
      <c r="B625" s="54">
        <v>805</v>
      </c>
      <c r="C625" s="57" t="s">
        <v>163</v>
      </c>
      <c r="D625" s="57" t="s">
        <v>189</v>
      </c>
      <c r="E625" s="54" t="s">
        <v>357</v>
      </c>
      <c r="F625" s="54">
        <v>310</v>
      </c>
      <c r="G625" s="62">
        <v>11634.9</v>
      </c>
      <c r="H625" s="62">
        <v>11634.9</v>
      </c>
    </row>
    <row r="626" spans="1:8" ht="12.75">
      <c r="A626" s="60" t="s">
        <v>179</v>
      </c>
      <c r="B626" s="54">
        <v>805</v>
      </c>
      <c r="C626" s="57" t="s">
        <v>163</v>
      </c>
      <c r="D626" s="57" t="s">
        <v>190</v>
      </c>
      <c r="E626" s="54"/>
      <c r="F626" s="54"/>
      <c r="G626" s="62">
        <f aca="true" t="shared" si="285" ref="G626:H626">G627</f>
        <v>50746.6</v>
      </c>
      <c r="H626" s="62">
        <f t="shared" si="285"/>
        <v>85881.1</v>
      </c>
    </row>
    <row r="627" spans="1:8" ht="24" customHeight="1">
      <c r="A627" s="55" t="str">
        <f ca="1">IF(ISERROR(MATCH(E627,Код_КЦСР,0)),"",INDIRECT(ADDRESS(MATCH(E627,Код_КЦСР,0)+1,2,,,"КЦСР")))</f>
        <v>Муниципальная программа «Развитие образования» на 2013-2022 годы</v>
      </c>
      <c r="B627" s="54">
        <v>805</v>
      </c>
      <c r="C627" s="57" t="s">
        <v>163</v>
      </c>
      <c r="D627" s="57" t="s">
        <v>190</v>
      </c>
      <c r="E627" s="54" t="s">
        <v>237</v>
      </c>
      <c r="F627" s="54"/>
      <c r="G627" s="62">
        <f aca="true" t="shared" si="286" ref="G627:H627">G628+G636+G632</f>
        <v>50746.6</v>
      </c>
      <c r="H627" s="62">
        <f t="shared" si="286"/>
        <v>85881.1</v>
      </c>
    </row>
    <row r="628" spans="1:8" ht="12.75">
      <c r="A628" s="55" t="str">
        <f ca="1">IF(ISERROR(MATCH(E628,Код_КЦСР,0)),"",INDIRECT(ADDRESS(MATCH(E628,Код_КЦСР,0)+1,2,,,"КЦСР")))</f>
        <v>Дошкольное образование</v>
      </c>
      <c r="B628" s="54">
        <v>805</v>
      </c>
      <c r="C628" s="57" t="s">
        <v>163</v>
      </c>
      <c r="D628" s="57" t="s">
        <v>190</v>
      </c>
      <c r="E628" s="54" t="s">
        <v>243</v>
      </c>
      <c r="F628" s="54"/>
      <c r="G628" s="62">
        <f aca="true" t="shared" si="287" ref="G628:H630">G629</f>
        <v>30993.8</v>
      </c>
      <c r="H628" s="62">
        <f t="shared" si="287"/>
        <v>61979.4</v>
      </c>
    </row>
    <row r="629" spans="1:8" ht="75.95" customHeight="1">
      <c r="A629" s="55" t="str">
        <f ca="1">IF(ISERROR(MATCH(E629,Код_КЦСР,0)),"",INDIRECT(ADDRESS(MATCH(E629,Код_КЦСР,0)+1,2,,,"КЦСР")))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29" s="54">
        <v>805</v>
      </c>
      <c r="C629" s="57" t="s">
        <v>163</v>
      </c>
      <c r="D629" s="57" t="s">
        <v>190</v>
      </c>
      <c r="E629" s="54" t="s">
        <v>578</v>
      </c>
      <c r="F629" s="54"/>
      <c r="G629" s="62">
        <f t="shared" si="287"/>
        <v>30993.8</v>
      </c>
      <c r="H629" s="62">
        <f t="shared" si="287"/>
        <v>61979.4</v>
      </c>
    </row>
    <row r="630" spans="1:8" ht="12.75">
      <c r="A630" s="55" t="str">
        <f ca="1">IF(ISERROR(MATCH(F630,Код_КВР,0)),"",INDIRECT(ADDRESS(MATCH(F630,Код_КВР,0)+1,2,,,"КВР")))</f>
        <v>Социальное обеспечение и иные выплаты населению</v>
      </c>
      <c r="B630" s="54">
        <v>805</v>
      </c>
      <c r="C630" s="57" t="s">
        <v>163</v>
      </c>
      <c r="D630" s="57" t="s">
        <v>190</v>
      </c>
      <c r="E630" s="54" t="s">
        <v>578</v>
      </c>
      <c r="F630" s="54">
        <v>300</v>
      </c>
      <c r="G630" s="62">
        <f t="shared" si="287"/>
        <v>30993.8</v>
      </c>
      <c r="H630" s="62">
        <f t="shared" si="287"/>
        <v>61979.4</v>
      </c>
    </row>
    <row r="631" spans="1:8" ht="33">
      <c r="A631" s="55" t="str">
        <f ca="1">IF(ISERROR(MATCH(F631,Код_КВР,0)),"",INDIRECT(ADDRESS(MATCH(F631,Код_КВР,0)+1,2,,,"КВР")))</f>
        <v>Социальные выплаты гражданам, кроме публичных нормативных социальных выплат</v>
      </c>
      <c r="B631" s="54">
        <v>805</v>
      </c>
      <c r="C631" s="57" t="s">
        <v>163</v>
      </c>
      <c r="D631" s="57" t="s">
        <v>190</v>
      </c>
      <c r="E631" s="54" t="s">
        <v>578</v>
      </c>
      <c r="F631" s="54">
        <v>320</v>
      </c>
      <c r="G631" s="62">
        <v>30993.8</v>
      </c>
      <c r="H631" s="62">
        <f aca="true" t="shared" si="288" ref="H631">61979.4</f>
        <v>61979.4</v>
      </c>
    </row>
    <row r="632" spans="1:8" ht="12.75">
      <c r="A632" s="55" t="str">
        <f ca="1">IF(ISERROR(MATCH(E632,Код_КЦСР,0)),"",INDIRECT(ADDRESS(MATCH(E632,Код_КЦСР,0)+1,2,,,"КЦСР")))</f>
        <v>Общее образование</v>
      </c>
      <c r="B632" s="54">
        <v>805</v>
      </c>
      <c r="C632" s="57" t="s">
        <v>163</v>
      </c>
      <c r="D632" s="57" t="s">
        <v>190</v>
      </c>
      <c r="E632" s="54" t="s">
        <v>245</v>
      </c>
      <c r="F632" s="54"/>
      <c r="G632" s="62">
        <f aca="true" t="shared" si="289" ref="G632:H632">G633</f>
        <v>2249.1000000000004</v>
      </c>
      <c r="H632" s="62">
        <f t="shared" si="289"/>
        <v>6398</v>
      </c>
    </row>
    <row r="633" spans="1:8" ht="82.5">
      <c r="A633" s="55" t="str">
        <f ca="1">IF(ISERROR(MATCH(E633,Код_КЦСР,0)),"",INDIRECT(ADDRESS(MATCH(E633,Код_КЦСР,0)+1,2,,,"КЦСР")))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33" s="54">
        <v>805</v>
      </c>
      <c r="C633" s="57" t="s">
        <v>163</v>
      </c>
      <c r="D633" s="57" t="s">
        <v>190</v>
      </c>
      <c r="E633" s="54" t="s">
        <v>350</v>
      </c>
      <c r="F633" s="54"/>
      <c r="G633" s="62">
        <f aca="true" t="shared" si="290" ref="G633:H633">G634</f>
        <v>2249.1000000000004</v>
      </c>
      <c r="H633" s="62">
        <f t="shared" si="290"/>
        <v>6398</v>
      </c>
    </row>
    <row r="634" spans="1:8" ht="12.75">
      <c r="A634" s="55" t="str">
        <f ca="1">IF(ISERROR(MATCH(F634,Код_КВР,0)),"",INDIRECT(ADDRESS(MATCH(F634,Код_КВР,0)+1,2,,,"КВР")))</f>
        <v>Социальное обеспечение и иные выплаты населению</v>
      </c>
      <c r="B634" s="54">
        <v>805</v>
      </c>
      <c r="C634" s="57" t="s">
        <v>163</v>
      </c>
      <c r="D634" s="57" t="s">
        <v>190</v>
      </c>
      <c r="E634" s="54" t="s">
        <v>350</v>
      </c>
      <c r="F634" s="54">
        <v>300</v>
      </c>
      <c r="G634" s="62">
        <f aca="true" t="shared" si="291" ref="G634">G635</f>
        <v>2249.1000000000004</v>
      </c>
      <c r="H634" s="62">
        <f>H635</f>
        <v>6398</v>
      </c>
    </row>
    <row r="635" spans="1:8" ht="33">
      <c r="A635" s="55" t="str">
        <f ca="1">IF(ISERROR(MATCH(F635,Код_КВР,0)),"",INDIRECT(ADDRESS(MATCH(F635,Код_КВР,0)+1,2,,,"КВР")))</f>
        <v>Социальные выплаты гражданам, кроме публичных нормативных социальных выплат</v>
      </c>
      <c r="B635" s="54">
        <v>805</v>
      </c>
      <c r="C635" s="57" t="s">
        <v>163</v>
      </c>
      <c r="D635" s="57" t="s">
        <v>190</v>
      </c>
      <c r="E635" s="54" t="s">
        <v>350</v>
      </c>
      <c r="F635" s="54">
        <v>320</v>
      </c>
      <c r="G635" s="62">
        <f>2106.3+142.8</f>
        <v>2249.1000000000004</v>
      </c>
      <c r="H635" s="62">
        <f>6398</f>
        <v>6398</v>
      </c>
    </row>
    <row r="636" spans="1:8" ht="12.75">
      <c r="A636" s="55" t="str">
        <f ca="1">IF(ISERROR(MATCH(E636,Код_КЦСР,0)),"",INDIRECT(ADDRESS(MATCH(E636,Код_КЦСР,0)+1,2,,,"КЦСР")))</f>
        <v>Кадровое обеспечение муниципальной системы образования</v>
      </c>
      <c r="B636" s="54">
        <v>805</v>
      </c>
      <c r="C636" s="57" t="s">
        <v>163</v>
      </c>
      <c r="D636" s="57" t="s">
        <v>190</v>
      </c>
      <c r="E636" s="54" t="s">
        <v>256</v>
      </c>
      <c r="F636" s="54"/>
      <c r="G636" s="62">
        <f aca="true" t="shared" si="292" ref="G636:H639">G637</f>
        <v>17503.7</v>
      </c>
      <c r="H636" s="62">
        <f t="shared" si="292"/>
        <v>17503.7</v>
      </c>
    </row>
    <row r="637" spans="1:8" ht="33">
      <c r="A637" s="55" t="str">
        <f ca="1">IF(ISERROR(MATCH(E637,Код_КЦСР,0)),"",INDIRECT(ADDRESS(MATCH(E637,Код_КЦСР,0)+1,2,,,"КЦСР")))</f>
        <v xml:space="preserve">Осуществление денежных выплат работникам муниципальных образовательных учреждений     </v>
      </c>
      <c r="B637" s="54">
        <v>805</v>
      </c>
      <c r="C637" s="57" t="s">
        <v>163</v>
      </c>
      <c r="D637" s="57" t="s">
        <v>190</v>
      </c>
      <c r="E637" s="54" t="s">
        <v>261</v>
      </c>
      <c r="F637" s="54"/>
      <c r="G637" s="62">
        <f t="shared" si="292"/>
        <v>17503.7</v>
      </c>
      <c r="H637" s="62">
        <f t="shared" si="292"/>
        <v>17503.7</v>
      </c>
    </row>
    <row r="638" spans="1:8" ht="81" customHeight="1">
      <c r="A638" s="55" t="str">
        <f ca="1">IF(ISERROR(MATCH(E638,Код_КЦСР,0)),"",INDIRECT(ADDRESS(MATCH(E638,Код_КЦСР,0)+1,2,,,"КЦСР")))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638" s="54">
        <v>805</v>
      </c>
      <c r="C638" s="57" t="s">
        <v>163</v>
      </c>
      <c r="D638" s="57" t="s">
        <v>190</v>
      </c>
      <c r="E638" s="54" t="s">
        <v>358</v>
      </c>
      <c r="F638" s="54"/>
      <c r="G638" s="62">
        <f t="shared" si="292"/>
        <v>17503.7</v>
      </c>
      <c r="H638" s="62">
        <f t="shared" si="292"/>
        <v>17503.7</v>
      </c>
    </row>
    <row r="639" spans="1:8" ht="12.75">
      <c r="A639" s="55" t="str">
        <f ca="1">IF(ISERROR(MATCH(F639,Код_КВР,0)),"",INDIRECT(ADDRESS(MATCH(F639,Код_КВР,0)+1,2,,,"КВР")))</f>
        <v>Социальное обеспечение и иные выплаты населению</v>
      </c>
      <c r="B639" s="54">
        <v>805</v>
      </c>
      <c r="C639" s="57" t="s">
        <v>163</v>
      </c>
      <c r="D639" s="57" t="s">
        <v>190</v>
      </c>
      <c r="E639" s="54" t="s">
        <v>358</v>
      </c>
      <c r="F639" s="54">
        <v>300</v>
      </c>
      <c r="G639" s="62">
        <f t="shared" si="292"/>
        <v>17503.7</v>
      </c>
      <c r="H639" s="62">
        <f t="shared" si="292"/>
        <v>17503.7</v>
      </c>
    </row>
    <row r="640" spans="1:8" ht="12.75">
      <c r="A640" s="55" t="str">
        <f ca="1">IF(ISERROR(MATCH(F640,Код_КВР,0)),"",INDIRECT(ADDRESS(MATCH(F640,Код_КВР,0)+1,2,,,"КВР")))</f>
        <v>Публичные нормативные социальные выплаты гражданам</v>
      </c>
      <c r="B640" s="54">
        <v>805</v>
      </c>
      <c r="C640" s="57" t="s">
        <v>163</v>
      </c>
      <c r="D640" s="57" t="s">
        <v>190</v>
      </c>
      <c r="E640" s="54" t="s">
        <v>358</v>
      </c>
      <c r="F640" s="54">
        <v>310</v>
      </c>
      <c r="G640" s="62">
        <v>17503.7</v>
      </c>
      <c r="H640" s="62">
        <v>17503.7</v>
      </c>
    </row>
    <row r="641" spans="1:8" ht="12.75">
      <c r="A641" s="55" t="str">
        <f ca="1">IF(ISERROR(MATCH(B641,Код_ППП,0)),"",INDIRECT(ADDRESS(MATCH(B641,Код_ППП,0)+1,2,,,"ППП")))</f>
        <v>ФИНАНСОВОЕ УПРАВЛЕНИЕ МЭРИИ ГОРОДА</v>
      </c>
      <c r="B641" s="54">
        <v>807</v>
      </c>
      <c r="C641" s="57"/>
      <c r="D641" s="57"/>
      <c r="E641" s="54"/>
      <c r="F641" s="54"/>
      <c r="G641" s="62">
        <f aca="true" t="shared" si="293" ref="G641:H641">G642+G671</f>
        <v>232387.40000000002</v>
      </c>
      <c r="H641" s="62">
        <f t="shared" si="293"/>
        <v>262532.4</v>
      </c>
    </row>
    <row r="642" spans="1:8" ht="12.75">
      <c r="A642" s="55" t="str">
        <f ca="1">IF(ISERROR(MATCH(C642,Код_Раздел,0)),"",INDIRECT(ADDRESS(MATCH(C642,Код_Раздел,0)+1,2,,,"Раздел")))</f>
        <v>Общегосударственные  вопросы</v>
      </c>
      <c r="B642" s="54">
        <v>807</v>
      </c>
      <c r="C642" s="57" t="s">
        <v>187</v>
      </c>
      <c r="D642" s="57"/>
      <c r="E642" s="54"/>
      <c r="F642" s="54"/>
      <c r="G642" s="62">
        <f aca="true" t="shared" si="294" ref="G642:H642">G643+G664+G657</f>
        <v>92230.90000000001</v>
      </c>
      <c r="H642" s="62">
        <f t="shared" si="294"/>
        <v>92170.90000000001</v>
      </c>
    </row>
    <row r="643" spans="1:8" ht="33">
      <c r="A643" s="59" t="s">
        <v>141</v>
      </c>
      <c r="B643" s="54">
        <v>807</v>
      </c>
      <c r="C643" s="57" t="s">
        <v>187</v>
      </c>
      <c r="D643" s="57" t="s">
        <v>191</v>
      </c>
      <c r="E643" s="54"/>
      <c r="F643" s="54"/>
      <c r="G643" s="62">
        <f aca="true" t="shared" si="295" ref="G643:H644">G644</f>
        <v>35085.600000000006</v>
      </c>
      <c r="H643" s="62">
        <f t="shared" si="295"/>
        <v>35025.600000000006</v>
      </c>
    </row>
    <row r="644" spans="1:8" ht="33">
      <c r="A644" s="55" t="str">
        <f ca="1">IF(ISERROR(MATCH(E644,Код_КЦСР,0)),"",INDIRECT(ADDRESS(MATCH(E644,Код_КЦСР,0)+1,2,,,"КЦСР")))</f>
        <v>Непрограммные направления деятельности органов местного самоуправления</v>
      </c>
      <c r="B644" s="54">
        <v>807</v>
      </c>
      <c r="C644" s="57" t="s">
        <v>187</v>
      </c>
      <c r="D644" s="57" t="s">
        <v>191</v>
      </c>
      <c r="E644" s="54" t="s">
        <v>264</v>
      </c>
      <c r="F644" s="54"/>
      <c r="G644" s="62">
        <f t="shared" si="295"/>
        <v>35085.600000000006</v>
      </c>
      <c r="H644" s="62">
        <f t="shared" si="295"/>
        <v>35025.600000000006</v>
      </c>
    </row>
    <row r="645" spans="1:8" ht="12.75">
      <c r="A645" s="55" t="str">
        <f ca="1">IF(ISERROR(MATCH(E645,Код_КЦСР,0)),"",INDIRECT(ADDRESS(MATCH(E645,Код_КЦСР,0)+1,2,,,"КЦСР")))</f>
        <v>Расходы, не включенные в муниципальные программы города Череповца</v>
      </c>
      <c r="B645" s="54">
        <v>807</v>
      </c>
      <c r="C645" s="57" t="s">
        <v>187</v>
      </c>
      <c r="D645" s="57" t="s">
        <v>191</v>
      </c>
      <c r="E645" s="54" t="s">
        <v>266</v>
      </c>
      <c r="F645" s="54"/>
      <c r="G645" s="62">
        <f aca="true" t="shared" si="296" ref="G645:H645">G646+G654</f>
        <v>35085.600000000006</v>
      </c>
      <c r="H645" s="62">
        <f t="shared" si="296"/>
        <v>35025.600000000006</v>
      </c>
    </row>
    <row r="646" spans="1:8" ht="33">
      <c r="A646" s="55" t="str">
        <f ca="1">IF(ISERROR(MATCH(E646,Код_КЦСР,0)),"",INDIRECT(ADDRESS(MATCH(E646,Код_КЦСР,0)+1,2,,,"КЦСР")))</f>
        <v>Руководство и управление в сфере установленных функций органов местного самоуправления</v>
      </c>
      <c r="B646" s="54">
        <v>807</v>
      </c>
      <c r="C646" s="57" t="s">
        <v>187</v>
      </c>
      <c r="D646" s="57" t="s">
        <v>191</v>
      </c>
      <c r="E646" s="54" t="s">
        <v>268</v>
      </c>
      <c r="F646" s="54"/>
      <c r="G646" s="62">
        <f aca="true" t="shared" si="297" ref="G646:H646">G647</f>
        <v>34853.700000000004</v>
      </c>
      <c r="H646" s="62">
        <f t="shared" si="297"/>
        <v>34793.700000000004</v>
      </c>
    </row>
    <row r="647" spans="1:8" ht="12.75">
      <c r="A647" s="55" t="str">
        <f ca="1">IF(ISERROR(MATCH(E647,Код_КЦСР,0)),"",INDIRECT(ADDRESS(MATCH(E647,Код_КЦСР,0)+1,2,,,"КЦСР")))</f>
        <v>Центральный аппарат</v>
      </c>
      <c r="B647" s="54">
        <v>807</v>
      </c>
      <c r="C647" s="57" t="s">
        <v>187</v>
      </c>
      <c r="D647" s="57" t="s">
        <v>191</v>
      </c>
      <c r="E647" s="54" t="s">
        <v>271</v>
      </c>
      <c r="F647" s="54"/>
      <c r="G647" s="62">
        <f aca="true" t="shared" si="298" ref="G647:H647">G648+G650+G652</f>
        <v>34853.700000000004</v>
      </c>
      <c r="H647" s="62">
        <f t="shared" si="298"/>
        <v>34793.700000000004</v>
      </c>
    </row>
    <row r="648" spans="1:8" ht="33">
      <c r="A648" s="55" t="str">
        <f aca="true" t="shared" si="299" ref="A648:A653">IF(ISERROR(MATCH(F648,Код_КВР,0)),"",INDIRECT(ADDRESS(MATCH(F648,Код_КВР,0)+1,2,,,"КВР")))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8" s="54">
        <v>807</v>
      </c>
      <c r="C648" s="57" t="s">
        <v>187</v>
      </c>
      <c r="D648" s="57" t="s">
        <v>191</v>
      </c>
      <c r="E648" s="54" t="s">
        <v>271</v>
      </c>
      <c r="F648" s="54">
        <v>100</v>
      </c>
      <c r="G648" s="62">
        <f aca="true" t="shared" si="300" ref="G648:H648">G649</f>
        <v>34718.9</v>
      </c>
      <c r="H648" s="62">
        <f t="shared" si="300"/>
        <v>34718.9</v>
      </c>
    </row>
    <row r="649" spans="1:8" ht="12.75">
      <c r="A649" s="55" t="str">
        <f ca="1" t="shared" si="299"/>
        <v>Расходы на выплаты персоналу муниципальных органов</v>
      </c>
      <c r="B649" s="54">
        <v>807</v>
      </c>
      <c r="C649" s="57" t="s">
        <v>187</v>
      </c>
      <c r="D649" s="57" t="s">
        <v>191</v>
      </c>
      <c r="E649" s="54" t="s">
        <v>271</v>
      </c>
      <c r="F649" s="54">
        <v>120</v>
      </c>
      <c r="G649" s="62">
        <v>34718.9</v>
      </c>
      <c r="H649" s="62">
        <v>34718.9</v>
      </c>
    </row>
    <row r="650" spans="1:8" ht="12.75">
      <c r="A650" s="55" t="str">
        <f ca="1" t="shared" si="299"/>
        <v>Закупка товаров, работ и услуг для муниципальных нужд</v>
      </c>
      <c r="B650" s="54">
        <v>807</v>
      </c>
      <c r="C650" s="57" t="s">
        <v>187</v>
      </c>
      <c r="D650" s="57" t="s">
        <v>191</v>
      </c>
      <c r="E650" s="54" t="s">
        <v>271</v>
      </c>
      <c r="F650" s="54">
        <v>200</v>
      </c>
      <c r="G650" s="62">
        <f aca="true" t="shared" si="301" ref="G650:H650">G651</f>
        <v>133.3</v>
      </c>
      <c r="H650" s="62">
        <f t="shared" si="301"/>
        <v>73.3</v>
      </c>
    </row>
    <row r="651" spans="1:8" ht="33">
      <c r="A651" s="55" t="str">
        <f ca="1" t="shared" si="299"/>
        <v>Иные закупки товаров, работ и услуг для обеспечения муниципальных нужд</v>
      </c>
      <c r="B651" s="54">
        <v>807</v>
      </c>
      <c r="C651" s="57" t="s">
        <v>187</v>
      </c>
      <c r="D651" s="57" t="s">
        <v>191</v>
      </c>
      <c r="E651" s="54" t="s">
        <v>271</v>
      </c>
      <c r="F651" s="54">
        <v>240</v>
      </c>
      <c r="G651" s="62">
        <v>133.3</v>
      </c>
      <c r="H651" s="62">
        <v>73.3</v>
      </c>
    </row>
    <row r="652" spans="1:8" ht="12.75">
      <c r="A652" s="55" t="str">
        <f ca="1" t="shared" si="299"/>
        <v>Иные бюджетные ассигнования</v>
      </c>
      <c r="B652" s="54">
        <v>807</v>
      </c>
      <c r="C652" s="57" t="s">
        <v>187</v>
      </c>
      <c r="D652" s="57" t="s">
        <v>191</v>
      </c>
      <c r="E652" s="54" t="s">
        <v>271</v>
      </c>
      <c r="F652" s="54">
        <v>800</v>
      </c>
      <c r="G652" s="62">
        <f aca="true" t="shared" si="302" ref="G652:H652">G653</f>
        <v>1.5</v>
      </c>
      <c r="H652" s="62">
        <f t="shared" si="302"/>
        <v>1.5</v>
      </c>
    </row>
    <row r="653" spans="1:8" ht="12.75">
      <c r="A653" s="55" t="str">
        <f ca="1" t="shared" si="299"/>
        <v>Уплата налогов, сборов и иных платежей</v>
      </c>
      <c r="B653" s="54">
        <v>807</v>
      </c>
      <c r="C653" s="57" t="s">
        <v>187</v>
      </c>
      <c r="D653" s="57" t="s">
        <v>191</v>
      </c>
      <c r="E653" s="54" t="s">
        <v>271</v>
      </c>
      <c r="F653" s="54">
        <v>850</v>
      </c>
      <c r="G653" s="62">
        <v>1.5</v>
      </c>
      <c r="H653" s="62">
        <v>1.5</v>
      </c>
    </row>
    <row r="654" spans="1:8" ht="99.75" customHeight="1">
      <c r="A654" s="55" t="str">
        <f ca="1">IF(ISERROR(MATCH(E654,Код_КЦСР,0)),"",INDIRECT(ADDRESS(MATCH(E654,Код_КЦСР,0)+1,2,,,"КЦСР")))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654" s="54">
        <v>807</v>
      </c>
      <c r="C654" s="57" t="s">
        <v>187</v>
      </c>
      <c r="D654" s="57" t="s">
        <v>191</v>
      </c>
      <c r="E654" s="54" t="s">
        <v>330</v>
      </c>
      <c r="F654" s="54"/>
      <c r="G654" s="62">
        <f aca="true" t="shared" si="303" ref="G654:H655">G655</f>
        <v>231.9</v>
      </c>
      <c r="H654" s="62">
        <f t="shared" si="303"/>
        <v>231.9</v>
      </c>
    </row>
    <row r="655" spans="1:8" ht="33">
      <c r="A655" s="55" t="str">
        <f ca="1">IF(ISERROR(MATCH(F655,Код_КВР,0)),"",INDIRECT(ADDRESS(MATCH(F655,Код_КВР,0)+1,2,,,"КВР")))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5" s="54">
        <v>807</v>
      </c>
      <c r="C655" s="57" t="s">
        <v>187</v>
      </c>
      <c r="D655" s="57" t="s">
        <v>191</v>
      </c>
      <c r="E655" s="54" t="s">
        <v>330</v>
      </c>
      <c r="F655" s="54">
        <v>100</v>
      </c>
      <c r="G655" s="62">
        <f t="shared" si="303"/>
        <v>231.9</v>
      </c>
      <c r="H655" s="62">
        <f t="shared" si="303"/>
        <v>231.9</v>
      </c>
    </row>
    <row r="656" spans="1:8" ht="23.25" customHeight="1">
      <c r="A656" s="55" t="str">
        <f ca="1">IF(ISERROR(MATCH(F656,Код_КВР,0)),"",INDIRECT(ADDRESS(MATCH(F656,Код_КВР,0)+1,2,,,"КВР")))</f>
        <v>Расходы на выплаты персоналу муниципальных органов</v>
      </c>
      <c r="B656" s="54">
        <v>807</v>
      </c>
      <c r="C656" s="57" t="s">
        <v>187</v>
      </c>
      <c r="D656" s="57" t="s">
        <v>191</v>
      </c>
      <c r="E656" s="54" t="s">
        <v>330</v>
      </c>
      <c r="F656" s="54">
        <v>120</v>
      </c>
      <c r="G656" s="62">
        <v>231.9</v>
      </c>
      <c r="H656" s="62">
        <v>231.9</v>
      </c>
    </row>
    <row r="657" spans="1:8" ht="21" customHeight="1">
      <c r="A657" s="59" t="s">
        <v>175</v>
      </c>
      <c r="B657" s="54">
        <v>807</v>
      </c>
      <c r="C657" s="57" t="s">
        <v>187</v>
      </c>
      <c r="D657" s="57" t="s">
        <v>198</v>
      </c>
      <c r="E657" s="54"/>
      <c r="F657" s="54"/>
      <c r="G657" s="62">
        <f aca="true" t="shared" si="304" ref="G657:H657">G659</f>
        <v>56845.3</v>
      </c>
      <c r="H657" s="62">
        <f t="shared" si="304"/>
        <v>56845.3</v>
      </c>
    </row>
    <row r="658" spans="1:8" ht="31.5" customHeight="1">
      <c r="A658" s="55" t="str">
        <f ca="1">IF(ISERROR(MATCH(E658,Код_КЦСР,0)),"",INDIRECT(ADDRESS(MATCH(E658,Код_КЦСР,0)+1,2,,,"КЦСР")))</f>
        <v>Непрограммные направления деятельности органов местного самоуправления</v>
      </c>
      <c r="B658" s="54">
        <v>807</v>
      </c>
      <c r="C658" s="57" t="s">
        <v>187</v>
      </c>
      <c r="D658" s="57" t="s">
        <v>198</v>
      </c>
      <c r="E658" s="54" t="s">
        <v>264</v>
      </c>
      <c r="F658" s="54"/>
      <c r="G658" s="62">
        <f aca="true" t="shared" si="305" ref="G658:H658">G659</f>
        <v>56845.3</v>
      </c>
      <c r="H658" s="62">
        <f t="shared" si="305"/>
        <v>56845.3</v>
      </c>
    </row>
    <row r="659" spans="1:8" ht="24.75" customHeight="1">
      <c r="A659" s="55" t="str">
        <f ca="1">IF(ISERROR(MATCH(E659,Код_КЦСР,0)),"",INDIRECT(ADDRESS(MATCH(E659,Код_КЦСР,0)+1,2,,,"КЦСР")))</f>
        <v>Расходы, не включенные в муниципальные программы города Череповца</v>
      </c>
      <c r="B659" s="54">
        <v>807</v>
      </c>
      <c r="C659" s="57" t="s">
        <v>187</v>
      </c>
      <c r="D659" s="57" t="s">
        <v>198</v>
      </c>
      <c r="E659" s="54" t="s">
        <v>266</v>
      </c>
      <c r="F659" s="54"/>
      <c r="G659" s="62">
        <f aca="true" t="shared" si="306" ref="G659:H659">G660</f>
        <v>56845.3</v>
      </c>
      <c r="H659" s="62">
        <f t="shared" si="306"/>
        <v>56845.3</v>
      </c>
    </row>
    <row r="660" spans="1:8" ht="19.5" customHeight="1">
      <c r="A660" s="55" t="str">
        <f ca="1">IF(ISERROR(MATCH(E660,Код_КЦСР,0)),"",INDIRECT(ADDRESS(MATCH(E660,Код_КЦСР,0)+1,2,,,"КЦСР")))</f>
        <v>Резервные фонды</v>
      </c>
      <c r="B660" s="54">
        <v>807</v>
      </c>
      <c r="C660" s="57" t="s">
        <v>187</v>
      </c>
      <c r="D660" s="57" t="s">
        <v>198</v>
      </c>
      <c r="E660" s="54" t="s">
        <v>353</v>
      </c>
      <c r="F660" s="54"/>
      <c r="G660" s="62">
        <f aca="true" t="shared" si="307" ref="G660:H660">G661</f>
        <v>56845.3</v>
      </c>
      <c r="H660" s="62">
        <f t="shared" si="307"/>
        <v>56845.3</v>
      </c>
    </row>
    <row r="661" spans="1:8" ht="21" customHeight="1">
      <c r="A661" s="55" t="str">
        <f ca="1">IF(ISERROR(MATCH(E661,Код_КЦСР,0)),"",INDIRECT(ADDRESS(MATCH(E661,Код_КЦСР,0)+1,2,,,"КЦСР")))</f>
        <v>Резервные фонды мэрии города</v>
      </c>
      <c r="B661" s="54">
        <v>807</v>
      </c>
      <c r="C661" s="57" t="s">
        <v>187</v>
      </c>
      <c r="D661" s="57" t="s">
        <v>198</v>
      </c>
      <c r="E661" s="54" t="s">
        <v>354</v>
      </c>
      <c r="F661" s="54"/>
      <c r="G661" s="62">
        <f aca="true" t="shared" si="308" ref="G661:H661">G662</f>
        <v>56845.3</v>
      </c>
      <c r="H661" s="62">
        <f t="shared" si="308"/>
        <v>56845.3</v>
      </c>
    </row>
    <row r="662" spans="1:8" ht="23.25" customHeight="1">
      <c r="A662" s="55" t="str">
        <f ca="1">IF(ISERROR(MATCH(F662,Код_КВР,0)),"",INDIRECT(ADDRESS(MATCH(F662,Код_КВР,0)+1,2,,,"КВР")))</f>
        <v>Иные бюджетные ассигнования</v>
      </c>
      <c r="B662" s="54">
        <v>807</v>
      </c>
      <c r="C662" s="57" t="s">
        <v>187</v>
      </c>
      <c r="D662" s="57" t="s">
        <v>198</v>
      </c>
      <c r="E662" s="54" t="s">
        <v>354</v>
      </c>
      <c r="F662" s="54">
        <v>800</v>
      </c>
      <c r="G662" s="62">
        <f aca="true" t="shared" si="309" ref="G662:H662">G663</f>
        <v>56845.3</v>
      </c>
      <c r="H662" s="62">
        <f t="shared" si="309"/>
        <v>56845.3</v>
      </c>
    </row>
    <row r="663" spans="1:8" ht="19.5" customHeight="1">
      <c r="A663" s="55" t="str">
        <f ca="1">IF(ISERROR(MATCH(F663,Код_КВР,0)),"",INDIRECT(ADDRESS(MATCH(F663,Код_КВР,0)+1,2,,,"КВР")))</f>
        <v>Резервные средства</v>
      </c>
      <c r="B663" s="54">
        <v>807</v>
      </c>
      <c r="C663" s="57" t="s">
        <v>187</v>
      </c>
      <c r="D663" s="57" t="s">
        <v>198</v>
      </c>
      <c r="E663" s="54" t="s">
        <v>354</v>
      </c>
      <c r="F663" s="54">
        <v>870</v>
      </c>
      <c r="G663" s="62">
        <f>56378.3+467</f>
        <v>56845.3</v>
      </c>
      <c r="H663" s="62">
        <f>56378.3+467</f>
        <v>56845.3</v>
      </c>
    </row>
    <row r="664" spans="1:8" ht="15.95" customHeight="1">
      <c r="A664" s="59" t="s">
        <v>209</v>
      </c>
      <c r="B664" s="54">
        <v>807</v>
      </c>
      <c r="C664" s="57" t="s">
        <v>187</v>
      </c>
      <c r="D664" s="57" t="s">
        <v>165</v>
      </c>
      <c r="E664" s="54"/>
      <c r="F664" s="54"/>
      <c r="G664" s="62">
        <f aca="true" t="shared" si="310" ref="G664:H669">G665</f>
        <v>300</v>
      </c>
      <c r="H664" s="62">
        <f t="shared" si="310"/>
        <v>300</v>
      </c>
    </row>
    <row r="665" spans="1:8" ht="33">
      <c r="A665" s="55" t="str">
        <f ca="1">IF(ISERROR(MATCH(E665,Код_КЦСР,0)),"",INDIRECT(ADDRESS(MATCH(E665,Код_КЦСР,0)+1,2,,,"КЦСР")))</f>
        <v>Непрограммные направления деятельности органов местного самоуправления</v>
      </c>
      <c r="B665" s="54">
        <v>807</v>
      </c>
      <c r="C665" s="57" t="s">
        <v>187</v>
      </c>
      <c r="D665" s="57" t="s">
        <v>165</v>
      </c>
      <c r="E665" s="54" t="s">
        <v>264</v>
      </c>
      <c r="F665" s="54"/>
      <c r="G665" s="62">
        <f t="shared" si="310"/>
        <v>300</v>
      </c>
      <c r="H665" s="62">
        <f t="shared" si="310"/>
        <v>300</v>
      </c>
    </row>
    <row r="666" spans="1:8" ht="28.5" customHeight="1">
      <c r="A666" s="55" t="str">
        <f ca="1">IF(ISERROR(MATCH(E666,Код_КЦСР,0)),"",INDIRECT(ADDRESS(MATCH(E666,Код_КЦСР,0)+1,2,,,"КЦСР")))</f>
        <v>Расходы, не включенные в муниципальные программы города Череповца</v>
      </c>
      <c r="B666" s="54">
        <v>807</v>
      </c>
      <c r="C666" s="57" t="s">
        <v>187</v>
      </c>
      <c r="D666" s="57" t="s">
        <v>165</v>
      </c>
      <c r="E666" s="54" t="s">
        <v>266</v>
      </c>
      <c r="F666" s="54"/>
      <c r="G666" s="62">
        <f t="shared" si="310"/>
        <v>300</v>
      </c>
      <c r="H666" s="62">
        <f t="shared" si="310"/>
        <v>300</v>
      </c>
    </row>
    <row r="667" spans="1:8" ht="33">
      <c r="A667" s="55" t="str">
        <f ca="1">IF(ISERROR(MATCH(E667,Код_КЦСР,0)),"",INDIRECT(ADDRESS(MATCH(E667,Код_КЦСР,0)+1,2,,,"КЦСР")))</f>
        <v>Реализация функций органов местного самоуправления города, связанных с общегородским управлением</v>
      </c>
      <c r="B667" s="54">
        <v>807</v>
      </c>
      <c r="C667" s="57" t="s">
        <v>187</v>
      </c>
      <c r="D667" s="57" t="s">
        <v>165</v>
      </c>
      <c r="E667" s="54" t="s">
        <v>274</v>
      </c>
      <c r="F667" s="54"/>
      <c r="G667" s="62">
        <f t="shared" si="310"/>
        <v>300</v>
      </c>
      <c r="H667" s="62">
        <f t="shared" si="310"/>
        <v>300</v>
      </c>
    </row>
    <row r="668" spans="1:8" ht="24.75" customHeight="1">
      <c r="A668" s="55" t="str">
        <f ca="1">IF(ISERROR(MATCH(E668,Код_КЦСР,0)),"",INDIRECT(ADDRESS(MATCH(E668,Код_КЦСР,0)+1,2,,,"КЦСР")))</f>
        <v>Расходы на судебные издержки и исполнение судебных решений</v>
      </c>
      <c r="B668" s="54">
        <v>807</v>
      </c>
      <c r="C668" s="57" t="s">
        <v>187</v>
      </c>
      <c r="D668" s="57" t="s">
        <v>165</v>
      </c>
      <c r="E668" s="54" t="s">
        <v>276</v>
      </c>
      <c r="F668" s="54"/>
      <c r="G668" s="62">
        <f t="shared" si="310"/>
        <v>300</v>
      </c>
      <c r="H668" s="62">
        <f t="shared" si="310"/>
        <v>300</v>
      </c>
    </row>
    <row r="669" spans="1:8" ht="12.75">
      <c r="A669" s="55" t="str">
        <f ca="1">IF(ISERROR(MATCH(F669,Код_КВР,0)),"",INDIRECT(ADDRESS(MATCH(F669,Код_КВР,0)+1,2,,,"КВР")))</f>
        <v>Иные бюджетные ассигнования</v>
      </c>
      <c r="B669" s="54">
        <v>807</v>
      </c>
      <c r="C669" s="57" t="s">
        <v>187</v>
      </c>
      <c r="D669" s="57" t="s">
        <v>165</v>
      </c>
      <c r="E669" s="54" t="s">
        <v>276</v>
      </c>
      <c r="F669" s="54">
        <v>800</v>
      </c>
      <c r="G669" s="62">
        <f t="shared" si="310"/>
        <v>300</v>
      </c>
      <c r="H669" s="62">
        <f t="shared" si="310"/>
        <v>300</v>
      </c>
    </row>
    <row r="670" spans="1:8" ht="12.75">
      <c r="A670" s="55" t="str">
        <f ca="1">IF(ISERROR(MATCH(F670,Код_КВР,0)),"",INDIRECT(ADDRESS(MATCH(F670,Код_КВР,0)+1,2,,,"КВР")))</f>
        <v>Исполнение судебных актов</v>
      </c>
      <c r="B670" s="54">
        <v>807</v>
      </c>
      <c r="C670" s="57" t="s">
        <v>187</v>
      </c>
      <c r="D670" s="57" t="s">
        <v>165</v>
      </c>
      <c r="E670" s="54" t="s">
        <v>276</v>
      </c>
      <c r="F670" s="54">
        <v>830</v>
      </c>
      <c r="G670" s="62">
        <v>300</v>
      </c>
      <c r="H670" s="62">
        <v>300</v>
      </c>
    </row>
    <row r="671" spans="1:8" ht="12.75">
      <c r="A671" s="55" t="str">
        <f ca="1">IF(ISERROR(MATCH(C671,Код_Раздел,0)),"",INDIRECT(ADDRESS(MATCH(C671,Код_Раздел,0)+1,2,,,"Раздел")))</f>
        <v>Обслуживание государственного и муниципального долга</v>
      </c>
      <c r="B671" s="54">
        <v>807</v>
      </c>
      <c r="C671" s="57" t="s">
        <v>165</v>
      </c>
      <c r="D671" s="57"/>
      <c r="E671" s="54"/>
      <c r="F671" s="54"/>
      <c r="G671" s="62">
        <f aca="true" t="shared" si="311" ref="G671:H677">G672</f>
        <v>140156.5</v>
      </c>
      <c r="H671" s="62">
        <f t="shared" si="311"/>
        <v>170361.5</v>
      </c>
    </row>
    <row r="672" spans="1:8" ht="12.75">
      <c r="A672" s="59" t="s">
        <v>230</v>
      </c>
      <c r="B672" s="54">
        <v>807</v>
      </c>
      <c r="C672" s="57" t="s">
        <v>165</v>
      </c>
      <c r="D672" s="57" t="s">
        <v>187</v>
      </c>
      <c r="E672" s="54"/>
      <c r="F672" s="54"/>
      <c r="G672" s="62">
        <f t="shared" si="311"/>
        <v>140156.5</v>
      </c>
      <c r="H672" s="62">
        <f t="shared" si="311"/>
        <v>170361.5</v>
      </c>
    </row>
    <row r="673" spans="1:8" ht="33">
      <c r="A673" s="55" t="str">
        <f ca="1">IF(ISERROR(MATCH(E673,Код_КЦСР,0)),"",INDIRECT(ADDRESS(MATCH(E673,Код_КЦСР,0)+1,2,,,"КЦСР")))</f>
        <v>Непрограммные направления деятельности органов местного самоуправления</v>
      </c>
      <c r="B673" s="54">
        <v>807</v>
      </c>
      <c r="C673" s="57" t="s">
        <v>165</v>
      </c>
      <c r="D673" s="57" t="s">
        <v>187</v>
      </c>
      <c r="E673" s="54" t="s">
        <v>264</v>
      </c>
      <c r="F673" s="54"/>
      <c r="G673" s="62">
        <f t="shared" si="311"/>
        <v>140156.5</v>
      </c>
      <c r="H673" s="62">
        <f t="shared" si="311"/>
        <v>170361.5</v>
      </c>
    </row>
    <row r="674" spans="1:8" ht="12.75">
      <c r="A674" s="55" t="str">
        <f ca="1">IF(ISERROR(MATCH(E674,Код_КЦСР,0)),"",INDIRECT(ADDRESS(MATCH(E674,Код_КЦСР,0)+1,2,,,"КЦСР")))</f>
        <v>Расходы, не включенные в муниципальные программы города Череповца</v>
      </c>
      <c r="B674" s="54">
        <v>807</v>
      </c>
      <c r="C674" s="57" t="s">
        <v>165</v>
      </c>
      <c r="D674" s="57" t="s">
        <v>187</v>
      </c>
      <c r="E674" s="54" t="s">
        <v>266</v>
      </c>
      <c r="F674" s="54"/>
      <c r="G674" s="62">
        <f t="shared" si="311"/>
        <v>140156.5</v>
      </c>
      <c r="H674" s="62">
        <f t="shared" si="311"/>
        <v>170361.5</v>
      </c>
    </row>
    <row r="675" spans="1:8" ht="12.75">
      <c r="A675" s="55" t="str">
        <f ca="1">IF(ISERROR(MATCH(E675,Код_КЦСР,0)),"",INDIRECT(ADDRESS(MATCH(E675,Код_КЦСР,0)+1,2,,,"КЦСР")))</f>
        <v>Процентные платежи по долговым обязательствам</v>
      </c>
      <c r="B675" s="54">
        <v>807</v>
      </c>
      <c r="C675" s="57" t="s">
        <v>165</v>
      </c>
      <c r="D675" s="57" t="s">
        <v>187</v>
      </c>
      <c r="E675" s="54" t="s">
        <v>279</v>
      </c>
      <c r="F675" s="54"/>
      <c r="G675" s="62">
        <f t="shared" si="311"/>
        <v>140156.5</v>
      </c>
      <c r="H675" s="62">
        <f t="shared" si="311"/>
        <v>170361.5</v>
      </c>
    </row>
    <row r="676" spans="1:8" ht="12.75">
      <c r="A676" s="55" t="str">
        <f ca="1">IF(ISERROR(MATCH(E676,Код_КЦСР,0)),"",INDIRECT(ADDRESS(MATCH(E676,Код_КЦСР,0)+1,2,,,"КЦСР")))</f>
        <v>Процентные платежи по муниципальному долгу</v>
      </c>
      <c r="B676" s="54">
        <v>807</v>
      </c>
      <c r="C676" s="57" t="s">
        <v>165</v>
      </c>
      <c r="D676" s="57" t="s">
        <v>187</v>
      </c>
      <c r="E676" s="54" t="s">
        <v>280</v>
      </c>
      <c r="F676" s="54"/>
      <c r="G676" s="62">
        <f t="shared" si="311"/>
        <v>140156.5</v>
      </c>
      <c r="H676" s="62">
        <f t="shared" si="311"/>
        <v>170361.5</v>
      </c>
    </row>
    <row r="677" spans="1:8" ht="12.75">
      <c r="A677" s="55" t="str">
        <f ca="1">IF(ISERROR(MATCH(F677,Код_КВР,0)),"",INDIRECT(ADDRESS(MATCH(F677,Код_КВР,0)+1,2,,,"КВР")))</f>
        <v>Обслуживание государственного (муниципального) долга</v>
      </c>
      <c r="B677" s="54">
        <v>807</v>
      </c>
      <c r="C677" s="57" t="s">
        <v>165</v>
      </c>
      <c r="D677" s="57" t="s">
        <v>187</v>
      </c>
      <c r="E677" s="54" t="s">
        <v>280</v>
      </c>
      <c r="F677" s="54">
        <v>700</v>
      </c>
      <c r="G677" s="62">
        <f t="shared" si="311"/>
        <v>140156.5</v>
      </c>
      <c r="H677" s="62">
        <f t="shared" si="311"/>
        <v>170361.5</v>
      </c>
    </row>
    <row r="678" spans="1:8" ht="12.75">
      <c r="A678" s="55" t="str">
        <f ca="1">IF(ISERROR(MATCH(F678,Код_КВР,0)),"",INDIRECT(ADDRESS(MATCH(F678,Код_КВР,0)+1,2,,,"КВР")))</f>
        <v>Обслуживание муниципального долга</v>
      </c>
      <c r="B678" s="54">
        <v>807</v>
      </c>
      <c r="C678" s="57" t="s">
        <v>165</v>
      </c>
      <c r="D678" s="57" t="s">
        <v>187</v>
      </c>
      <c r="E678" s="54" t="s">
        <v>280</v>
      </c>
      <c r="F678" s="54">
        <v>730</v>
      </c>
      <c r="G678" s="62">
        <v>140156.5</v>
      </c>
      <c r="H678" s="62">
        <v>170361.5</v>
      </c>
    </row>
    <row r="679" spans="1:8" ht="12.75">
      <c r="A679" s="55" t="str">
        <f ca="1">IF(ISERROR(MATCH(B679,Код_ППП,0)),"",INDIRECT(ADDRESS(MATCH(B679,Код_ППП,0)+1,2,,,"ППП")))</f>
        <v>УПРАВЛЕНИЕ ПО ДЕЛАМ КУЛЬТУРЫ МЭРИИ ГОРОДА</v>
      </c>
      <c r="B679" s="54">
        <v>808</v>
      </c>
      <c r="C679" s="57"/>
      <c r="D679" s="57"/>
      <c r="E679" s="54"/>
      <c r="F679" s="54"/>
      <c r="G679" s="62">
        <f>G680+G698</f>
        <v>331766.5</v>
      </c>
      <c r="H679" s="62">
        <f>H680+H698</f>
        <v>332854.5</v>
      </c>
    </row>
    <row r="680" spans="1:8" ht="12.75">
      <c r="A680" s="55" t="str">
        <f ca="1">IF(ISERROR(MATCH(C680,Код_Раздел,0)),"",INDIRECT(ADDRESS(MATCH(C680,Код_Раздел,0)+1,2,,,"Раздел")))</f>
        <v>Образование</v>
      </c>
      <c r="B680" s="54">
        <v>808</v>
      </c>
      <c r="C680" s="57" t="s">
        <v>170</v>
      </c>
      <c r="D680" s="57"/>
      <c r="E680" s="54"/>
      <c r="F680" s="54"/>
      <c r="G680" s="62">
        <f aca="true" t="shared" si="312" ref="G680:H680">G681+G687</f>
        <v>67169.8</v>
      </c>
      <c r="H680" s="62">
        <f t="shared" si="312"/>
        <v>67274.2</v>
      </c>
    </row>
    <row r="681" spans="1:8" ht="12.75">
      <c r="A681" s="59" t="s">
        <v>220</v>
      </c>
      <c r="B681" s="54">
        <v>808</v>
      </c>
      <c r="C681" s="57" t="s">
        <v>170</v>
      </c>
      <c r="D681" s="57" t="s">
        <v>188</v>
      </c>
      <c r="E681" s="54"/>
      <c r="F681" s="54"/>
      <c r="G681" s="62">
        <f aca="true" t="shared" si="313" ref="G681:H685">G682</f>
        <v>67169.8</v>
      </c>
      <c r="H681" s="62">
        <f t="shared" si="313"/>
        <v>67273.2</v>
      </c>
    </row>
    <row r="682" spans="1:8" ht="33">
      <c r="A682" s="55" t="str">
        <f ca="1">IF(ISERROR(MATCH(E682,Код_КЦСР,0)),"",INDIRECT(ADDRESS(MATCH(E682,Код_КЦСР,0)+1,2,,,"КЦСР")))</f>
        <v>Муниципальная программа «Культура, традиции и народное творчество в городе Череповце» на 2013-2018 годы</v>
      </c>
      <c r="B682" s="54">
        <v>808</v>
      </c>
      <c r="C682" s="57" t="s">
        <v>170</v>
      </c>
      <c r="D682" s="57" t="s">
        <v>188</v>
      </c>
      <c r="E682" s="54" t="s">
        <v>366</v>
      </c>
      <c r="F682" s="54"/>
      <c r="G682" s="62">
        <f t="shared" si="313"/>
        <v>67169.8</v>
      </c>
      <c r="H682" s="62">
        <f t="shared" si="313"/>
        <v>67273.2</v>
      </c>
    </row>
    <row r="683" spans="1:8" ht="33">
      <c r="A683" s="55" t="str">
        <f ca="1">IF(ISERROR(MATCH(E683,Код_КЦСР,0)),"",INDIRECT(ADDRESS(MATCH(E683,Код_КЦСР,0)+1,2,,,"КЦСР")))</f>
        <v>Дополнительное образование в сфере культуры и искусства, поддержка юных дарований</v>
      </c>
      <c r="B683" s="54">
        <v>808</v>
      </c>
      <c r="C683" s="57" t="s">
        <v>170</v>
      </c>
      <c r="D683" s="57" t="s">
        <v>188</v>
      </c>
      <c r="E683" s="54" t="s">
        <v>404</v>
      </c>
      <c r="F683" s="54"/>
      <c r="G683" s="62">
        <f t="shared" si="313"/>
        <v>67169.8</v>
      </c>
      <c r="H683" s="62">
        <f t="shared" si="313"/>
        <v>67273.2</v>
      </c>
    </row>
    <row r="684" spans="1:8" ht="12.75">
      <c r="A684" s="55" t="str">
        <f ca="1">IF(ISERROR(MATCH(E684,Код_КЦСР,0)),"",INDIRECT(ADDRESS(MATCH(E684,Код_КЦСР,0)+1,2,,,"КЦСР")))</f>
        <v>Оказание муниципальных услуг</v>
      </c>
      <c r="B684" s="54">
        <v>808</v>
      </c>
      <c r="C684" s="57" t="s">
        <v>170</v>
      </c>
      <c r="D684" s="57" t="s">
        <v>188</v>
      </c>
      <c r="E684" s="54" t="s">
        <v>406</v>
      </c>
      <c r="F684" s="54"/>
      <c r="G684" s="62">
        <f t="shared" si="313"/>
        <v>67169.8</v>
      </c>
      <c r="H684" s="62">
        <f t="shared" si="313"/>
        <v>67273.2</v>
      </c>
    </row>
    <row r="685" spans="1:8" ht="33">
      <c r="A685" s="55" t="str">
        <f ca="1">IF(ISERROR(MATCH(F685,Код_КВР,0)),"",INDIRECT(ADDRESS(MATCH(F685,Код_КВР,0)+1,2,,,"КВР")))</f>
        <v>Предоставление субсидий бюджетным, автономным учреждениям и иным некоммерческим организациям</v>
      </c>
      <c r="B685" s="54">
        <v>808</v>
      </c>
      <c r="C685" s="57" t="s">
        <v>170</v>
      </c>
      <c r="D685" s="57" t="s">
        <v>188</v>
      </c>
      <c r="E685" s="54" t="s">
        <v>406</v>
      </c>
      <c r="F685" s="54">
        <v>600</v>
      </c>
      <c r="G685" s="62">
        <f t="shared" si="313"/>
        <v>67169.8</v>
      </c>
      <c r="H685" s="62">
        <f t="shared" si="313"/>
        <v>67273.2</v>
      </c>
    </row>
    <row r="686" spans="1:8" ht="12.75">
      <c r="A686" s="55" t="str">
        <f ca="1">IF(ISERROR(MATCH(F686,Код_КВР,0)),"",INDIRECT(ADDRESS(MATCH(F686,Код_КВР,0)+1,2,,,"КВР")))</f>
        <v>Субсидии бюджетным учреждениям</v>
      </c>
      <c r="B686" s="54">
        <v>808</v>
      </c>
      <c r="C686" s="57" t="s">
        <v>170</v>
      </c>
      <c r="D686" s="57" t="s">
        <v>188</v>
      </c>
      <c r="E686" s="54" t="s">
        <v>406</v>
      </c>
      <c r="F686" s="54">
        <v>610</v>
      </c>
      <c r="G686" s="62">
        <v>67169.8</v>
      </c>
      <c r="H686" s="62">
        <v>67273.2</v>
      </c>
    </row>
    <row r="687" spans="1:8" ht="12.75">
      <c r="A687" s="59" t="s">
        <v>221</v>
      </c>
      <c r="B687" s="54">
        <v>808</v>
      </c>
      <c r="C687" s="57" t="s">
        <v>170</v>
      </c>
      <c r="D687" s="57" t="s">
        <v>193</v>
      </c>
      <c r="E687" s="54"/>
      <c r="F687" s="54"/>
      <c r="G687" s="62">
        <f aca="true" t="shared" si="314" ref="G687:H687">G693+G688</f>
        <v>0</v>
      </c>
      <c r="H687" s="62">
        <f t="shared" si="314"/>
        <v>1</v>
      </c>
    </row>
    <row r="688" spans="1:8" ht="33" hidden="1">
      <c r="A688" s="55" t="str">
        <f ca="1">IF(ISERROR(MATCH(E688,Код_КЦСР,0)),"",INDIRECT(ADDRESS(MATCH(E688,Код_КЦСР,0)+1,2,,,"КЦСР")))</f>
        <v>Муниципальная программа «Культура, традиции и народное творчество в городе Череповце» на 2013-2018 годы</v>
      </c>
      <c r="B688" s="54">
        <v>808</v>
      </c>
      <c r="C688" s="57" t="s">
        <v>170</v>
      </c>
      <c r="D688" s="57" t="s">
        <v>193</v>
      </c>
      <c r="E688" s="54" t="s">
        <v>366</v>
      </c>
      <c r="F688" s="54"/>
      <c r="G688" s="62">
        <f aca="true" t="shared" si="315" ref="G688:H691">G689</f>
        <v>0</v>
      </c>
      <c r="H688" s="62">
        <f t="shared" si="315"/>
        <v>0</v>
      </c>
    </row>
    <row r="689" spans="1:8" ht="33" hidden="1">
      <c r="A689" s="55" t="str">
        <f ca="1">IF(ISERROR(MATCH(E689,Код_КЦСР,0)),"",INDIRECT(ADDRESS(MATCH(E689,Код_КЦСР,0)+1,2,,,"КЦСР")))</f>
        <v>Дополнительное образование в сфере культуры и искусства, поддержка юных дарований</v>
      </c>
      <c r="B689" s="54">
        <v>808</v>
      </c>
      <c r="C689" s="57" t="s">
        <v>170</v>
      </c>
      <c r="D689" s="57" t="s">
        <v>193</v>
      </c>
      <c r="E689" s="54" t="s">
        <v>404</v>
      </c>
      <c r="F689" s="54"/>
      <c r="G689" s="62">
        <f t="shared" si="315"/>
        <v>0</v>
      </c>
      <c r="H689" s="62">
        <f t="shared" si="315"/>
        <v>0</v>
      </c>
    </row>
    <row r="690" spans="1:8" ht="12.75" hidden="1">
      <c r="A690" s="55" t="str">
        <f ca="1">IF(ISERROR(MATCH(E690,Код_КЦСР,0)),"",INDIRECT(ADDRESS(MATCH(E690,Код_КЦСР,0)+1,2,,,"КЦСР")))</f>
        <v>Укрепление материально-технической базы муниципальных учреждений</v>
      </c>
      <c r="B690" s="54">
        <v>808</v>
      </c>
      <c r="C690" s="57" t="s">
        <v>170</v>
      </c>
      <c r="D690" s="57" t="s">
        <v>193</v>
      </c>
      <c r="E690" s="54" t="s">
        <v>521</v>
      </c>
      <c r="F690" s="54"/>
      <c r="G690" s="62">
        <f t="shared" si="315"/>
        <v>0</v>
      </c>
      <c r="H690" s="62">
        <f t="shared" si="315"/>
        <v>0</v>
      </c>
    </row>
    <row r="691" spans="1:8" ht="33" hidden="1">
      <c r="A691" s="55" t="str">
        <f ca="1">IF(ISERROR(MATCH(F691,Код_КВР,0)),"",INDIRECT(ADDRESS(MATCH(F691,Код_КВР,0)+1,2,,,"КВР")))</f>
        <v>Предоставление субсидий бюджетным, автономным учреждениям и иным некоммерческим организациям</v>
      </c>
      <c r="B691" s="54">
        <v>808</v>
      </c>
      <c r="C691" s="57" t="s">
        <v>170</v>
      </c>
      <c r="D691" s="57" t="s">
        <v>193</v>
      </c>
      <c r="E691" s="54" t="s">
        <v>521</v>
      </c>
      <c r="F691" s="54">
        <v>600</v>
      </c>
      <c r="G691" s="62">
        <f t="shared" si="315"/>
        <v>0</v>
      </c>
      <c r="H691" s="62">
        <f t="shared" si="315"/>
        <v>0</v>
      </c>
    </row>
    <row r="692" spans="1:8" ht="12.75" hidden="1">
      <c r="A692" s="55" t="str">
        <f ca="1">IF(ISERROR(MATCH(F692,Код_КВР,0)),"",INDIRECT(ADDRESS(MATCH(F692,Код_КВР,0)+1,2,,,"КВР")))</f>
        <v>Субсидии бюджетным учреждениям</v>
      </c>
      <c r="B692" s="54">
        <v>808</v>
      </c>
      <c r="C692" s="57" t="s">
        <v>170</v>
      </c>
      <c r="D692" s="57" t="s">
        <v>193</v>
      </c>
      <c r="E692" s="54" t="s">
        <v>521</v>
      </c>
      <c r="F692" s="54">
        <v>610</v>
      </c>
      <c r="G692" s="62"/>
      <c r="H692" s="62"/>
    </row>
    <row r="693" spans="1:8" ht="39.75" customHeight="1">
      <c r="A693" s="55" t="str">
        <f ca="1">IF(ISERROR(MATCH(E693,Код_КЦСР,0)),"",INDIRECT(ADDRESS(MATCH(E693,Код_КЦСР,0)+1,2,,,"КЦСР")))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93" s="54">
        <v>808</v>
      </c>
      <c r="C693" s="57" t="s">
        <v>170</v>
      </c>
      <c r="D693" s="57" t="s">
        <v>193</v>
      </c>
      <c r="E693" s="54" t="s">
        <v>75</v>
      </c>
      <c r="F693" s="54"/>
      <c r="G693" s="62">
        <f aca="true" t="shared" si="316" ref="G693:H694">G694</f>
        <v>0</v>
      </c>
      <c r="H693" s="62">
        <f t="shared" si="316"/>
        <v>1</v>
      </c>
    </row>
    <row r="694" spans="1:8" ht="24.75" customHeight="1">
      <c r="A694" s="55" t="str">
        <f ca="1">IF(ISERROR(MATCH(E694,Код_КЦСР,0)),"",INDIRECT(ADDRESS(MATCH(E694,Код_КЦСР,0)+1,2,,,"КЦСР")))</f>
        <v>Обеспечение пожарной безопасности муниципальных учреждений города</v>
      </c>
      <c r="B694" s="54">
        <v>808</v>
      </c>
      <c r="C694" s="57" t="s">
        <v>170</v>
      </c>
      <c r="D694" s="57" t="s">
        <v>193</v>
      </c>
      <c r="E694" s="54" t="s">
        <v>77</v>
      </c>
      <c r="F694" s="54"/>
      <c r="G694" s="62">
        <f t="shared" si="316"/>
        <v>0</v>
      </c>
      <c r="H694" s="62">
        <f t="shared" si="316"/>
        <v>1</v>
      </c>
    </row>
    <row r="695" spans="1:8" ht="23.25" customHeight="1">
      <c r="A695" s="55" t="str">
        <f ca="1">IF(ISERROR(MATCH(E695,Код_КЦСР,0)),"",INDIRECT(ADDRESS(MATCH(E695,Код_КЦСР,0)+1,2,,,"КЦСР")))</f>
        <v>Обучение по программе пожарно-технического минимума</v>
      </c>
      <c r="B695" s="54">
        <v>808</v>
      </c>
      <c r="C695" s="57" t="s">
        <v>170</v>
      </c>
      <c r="D695" s="57" t="s">
        <v>193</v>
      </c>
      <c r="E695" s="54" t="s">
        <v>93</v>
      </c>
      <c r="F695" s="54"/>
      <c r="G695" s="62"/>
      <c r="H695" s="62">
        <f>H696</f>
        <v>1</v>
      </c>
    </row>
    <row r="696" spans="1:8" ht="33">
      <c r="A696" s="55" t="str">
        <f ca="1">IF(ISERROR(MATCH(F696,Код_КВР,0)),"",INDIRECT(ADDRESS(MATCH(F696,Код_КВР,0)+1,2,,,"КВР")))</f>
        <v>Предоставление субсидий бюджетным, автономным учреждениям и иным некоммерческим организациям</v>
      </c>
      <c r="B696" s="54">
        <v>808</v>
      </c>
      <c r="C696" s="57" t="s">
        <v>170</v>
      </c>
      <c r="D696" s="57" t="s">
        <v>193</v>
      </c>
      <c r="E696" s="54" t="s">
        <v>93</v>
      </c>
      <c r="F696" s="54">
        <v>600</v>
      </c>
      <c r="G696" s="62"/>
      <c r="H696" s="62">
        <f>H697</f>
        <v>1</v>
      </c>
    </row>
    <row r="697" spans="1:8" ht="12.75">
      <c r="A697" s="55" t="str">
        <f ca="1">IF(ISERROR(MATCH(F697,Код_КВР,0)),"",INDIRECT(ADDRESS(MATCH(F697,Код_КВР,0)+1,2,,,"КВР")))</f>
        <v>Субсидии бюджетным учреждениям</v>
      </c>
      <c r="B697" s="54">
        <v>808</v>
      </c>
      <c r="C697" s="57" t="s">
        <v>170</v>
      </c>
      <c r="D697" s="57" t="s">
        <v>193</v>
      </c>
      <c r="E697" s="54" t="s">
        <v>93</v>
      </c>
      <c r="F697" s="54">
        <v>610</v>
      </c>
      <c r="G697" s="62"/>
      <c r="H697" s="62">
        <v>1</v>
      </c>
    </row>
    <row r="698" spans="1:8" ht="12.75">
      <c r="A698" s="55" t="str">
        <f ca="1">IF(ISERROR(MATCH(C698,Код_Раздел,0)),"",INDIRECT(ADDRESS(MATCH(C698,Код_Раздел,0)+1,2,,,"Раздел")))</f>
        <v>Культура, кинематография</v>
      </c>
      <c r="B698" s="54">
        <v>808</v>
      </c>
      <c r="C698" s="57" t="s">
        <v>196</v>
      </c>
      <c r="D698" s="57"/>
      <c r="E698" s="54"/>
      <c r="F698" s="54"/>
      <c r="G698" s="62">
        <f>G699+G757</f>
        <v>264596.7</v>
      </c>
      <c r="H698" s="62">
        <f>H699+H757</f>
        <v>265580.3</v>
      </c>
    </row>
    <row r="699" spans="1:8" ht="12.75">
      <c r="A699" s="59" t="s">
        <v>159</v>
      </c>
      <c r="B699" s="54">
        <v>808</v>
      </c>
      <c r="C699" s="57" t="s">
        <v>196</v>
      </c>
      <c r="D699" s="57" t="s">
        <v>187</v>
      </c>
      <c r="E699" s="54"/>
      <c r="F699" s="54"/>
      <c r="G699" s="62">
        <f aca="true" t="shared" si="317" ref="G699:H699">G700</f>
        <v>246801.6</v>
      </c>
      <c r="H699" s="62">
        <f t="shared" si="317"/>
        <v>247767</v>
      </c>
    </row>
    <row r="700" spans="1:8" ht="33">
      <c r="A700" s="55" t="str">
        <f ca="1">IF(ISERROR(MATCH(E700,Код_КЦСР,0)),"",INDIRECT(ADDRESS(MATCH(E700,Код_КЦСР,0)+1,2,,,"КЦСР")))</f>
        <v>Муниципальная программа «Культура, традиции и народное творчество в городе Череповце» на 2013-2018 годы</v>
      </c>
      <c r="B700" s="54">
        <v>808</v>
      </c>
      <c r="C700" s="57" t="s">
        <v>196</v>
      </c>
      <c r="D700" s="57" t="s">
        <v>187</v>
      </c>
      <c r="E700" s="54" t="s">
        <v>366</v>
      </c>
      <c r="F700" s="54"/>
      <c r="G700" s="62">
        <f>G701+G707+G720+G733+G740+G745+G753</f>
        <v>246801.6</v>
      </c>
      <c r="H700" s="62">
        <f>H701+H707+H720+H733+H740+H745+H753</f>
        <v>247767</v>
      </c>
    </row>
    <row r="701" spans="1:8" ht="33">
      <c r="A701" s="55" t="str">
        <f ca="1">IF(ISERROR(MATCH(E701,Код_КЦСР,0)),"",INDIRECT(ADDRESS(MATCH(E701,Код_КЦСР,0)+1,2,,,"КЦСР")))</f>
        <v>Сохранение, эффективное использование  и популяризация объектов культурного наследия</v>
      </c>
      <c r="B701" s="54">
        <v>808</v>
      </c>
      <c r="C701" s="57" t="s">
        <v>196</v>
      </c>
      <c r="D701" s="57" t="s">
        <v>187</v>
      </c>
      <c r="E701" s="54" t="s">
        <v>368</v>
      </c>
      <c r="F701" s="54"/>
      <c r="G701" s="62">
        <f aca="true" t="shared" si="318" ref="G701:H701">G702</f>
        <v>758.7</v>
      </c>
      <c r="H701" s="62">
        <f t="shared" si="318"/>
        <v>766.2</v>
      </c>
    </row>
    <row r="702" spans="1:8" ht="12.75">
      <c r="A702" s="55" t="str">
        <f ca="1">IF(ISERROR(MATCH(E702,Код_КЦСР,0)),"",INDIRECT(ADDRESS(MATCH(E702,Код_КЦСР,0)+1,2,,,"КЦСР")))</f>
        <v>Сохранение, ремонт и  реставрация объектов культурного наследия</v>
      </c>
      <c r="B702" s="54">
        <v>808</v>
      </c>
      <c r="C702" s="57" t="s">
        <v>196</v>
      </c>
      <c r="D702" s="57" t="s">
        <v>187</v>
      </c>
      <c r="E702" s="54" t="s">
        <v>370</v>
      </c>
      <c r="F702" s="54"/>
      <c r="G702" s="62">
        <f aca="true" t="shared" si="319" ref="G702:H702">G705+G703</f>
        <v>758.7</v>
      </c>
      <c r="H702" s="62">
        <f t="shared" si="319"/>
        <v>766.2</v>
      </c>
    </row>
    <row r="703" spans="1:8" ht="27.75" customHeight="1" hidden="1">
      <c r="A703" s="55" t="str">
        <f aca="true" t="shared" si="320" ref="A703:A706">IF(ISERROR(MATCH(F703,Код_КВР,0)),"",INDIRECT(ADDRESS(MATCH(F703,Код_КВР,0)+1,2,,,"КВР")))</f>
        <v>Закупка товаров, работ и услуг для муниципальных нужд</v>
      </c>
      <c r="B703" s="54">
        <v>808</v>
      </c>
      <c r="C703" s="57" t="s">
        <v>196</v>
      </c>
      <c r="D703" s="57" t="s">
        <v>187</v>
      </c>
      <c r="E703" s="54" t="s">
        <v>370</v>
      </c>
      <c r="F703" s="54">
        <v>200</v>
      </c>
      <c r="G703" s="62">
        <f aca="true" t="shared" si="321" ref="G703:H703">G704</f>
        <v>0</v>
      </c>
      <c r="H703" s="62">
        <f t="shared" si="321"/>
        <v>0</v>
      </c>
    </row>
    <row r="704" spans="1:8" ht="33" hidden="1">
      <c r="A704" s="55" t="str">
        <f ca="1" t="shared" si="320"/>
        <v>Иные закупки товаров, работ и услуг для обеспечения муниципальных нужд</v>
      </c>
      <c r="B704" s="54">
        <v>808</v>
      </c>
      <c r="C704" s="57" t="s">
        <v>196</v>
      </c>
      <c r="D704" s="57" t="s">
        <v>187</v>
      </c>
      <c r="E704" s="54" t="s">
        <v>370</v>
      </c>
      <c r="F704" s="54">
        <v>240</v>
      </c>
      <c r="G704" s="62"/>
      <c r="H704" s="62"/>
    </row>
    <row r="705" spans="1:8" ht="33">
      <c r="A705" s="55" t="str">
        <f ca="1" t="shared" si="320"/>
        <v>Предоставление субсидий бюджетным, автономным учреждениям и иным некоммерческим организациям</v>
      </c>
      <c r="B705" s="54">
        <v>808</v>
      </c>
      <c r="C705" s="57" t="s">
        <v>196</v>
      </c>
      <c r="D705" s="57" t="s">
        <v>187</v>
      </c>
      <c r="E705" s="54" t="s">
        <v>370</v>
      </c>
      <c r="F705" s="54">
        <v>600</v>
      </c>
      <c r="G705" s="62">
        <f aca="true" t="shared" si="322" ref="G705:H705">G706</f>
        <v>758.7</v>
      </c>
      <c r="H705" s="62">
        <f t="shared" si="322"/>
        <v>766.2</v>
      </c>
    </row>
    <row r="706" spans="1:8" ht="12.75">
      <c r="A706" s="55" t="str">
        <f ca="1" t="shared" si="320"/>
        <v>Субсидии бюджетным учреждениям</v>
      </c>
      <c r="B706" s="54">
        <v>808</v>
      </c>
      <c r="C706" s="57" t="s">
        <v>196</v>
      </c>
      <c r="D706" s="57" t="s">
        <v>187</v>
      </c>
      <c r="E706" s="54" t="s">
        <v>370</v>
      </c>
      <c r="F706" s="54">
        <v>610</v>
      </c>
      <c r="G706" s="62">
        <v>758.7</v>
      </c>
      <c r="H706" s="62">
        <v>766.2</v>
      </c>
    </row>
    <row r="707" spans="1:8" ht="12.75">
      <c r="A707" s="55" t="str">
        <f ca="1">IF(ISERROR(MATCH(E707,Код_КЦСР,0)),"",INDIRECT(ADDRESS(MATCH(E707,Код_КЦСР,0)+1,2,,,"КЦСР")))</f>
        <v>Развитие музейного дела</v>
      </c>
      <c r="B707" s="54">
        <v>808</v>
      </c>
      <c r="C707" s="57" t="s">
        <v>196</v>
      </c>
      <c r="D707" s="57" t="s">
        <v>187</v>
      </c>
      <c r="E707" s="54" t="s">
        <v>372</v>
      </c>
      <c r="F707" s="54"/>
      <c r="G707" s="62">
        <f aca="true" t="shared" si="323" ref="G707:H707">G708+G711+G714+G717</f>
        <v>49403.2</v>
      </c>
      <c r="H707" s="62">
        <f t="shared" si="323"/>
        <v>49523.4</v>
      </c>
    </row>
    <row r="708" spans="1:8" ht="12.75">
      <c r="A708" s="55" t="str">
        <f ca="1">IF(ISERROR(MATCH(E708,Код_КЦСР,0)),"",INDIRECT(ADDRESS(MATCH(E708,Код_КЦСР,0)+1,2,,,"КЦСР")))</f>
        <v xml:space="preserve">Оказание муниципальных услуг </v>
      </c>
      <c r="B708" s="54">
        <v>808</v>
      </c>
      <c r="C708" s="57" t="s">
        <v>196</v>
      </c>
      <c r="D708" s="57" t="s">
        <v>187</v>
      </c>
      <c r="E708" s="54" t="s">
        <v>373</v>
      </c>
      <c r="F708" s="54"/>
      <c r="G708" s="62">
        <f aca="true" t="shared" si="324" ref="G708:H709">G709</f>
        <v>28766.6</v>
      </c>
      <c r="H708" s="62">
        <f t="shared" si="324"/>
        <v>28849.6</v>
      </c>
    </row>
    <row r="709" spans="1:8" ht="33">
      <c r="A709" s="55" t="str">
        <f ca="1">IF(ISERROR(MATCH(F709,Код_КВР,0)),"",INDIRECT(ADDRESS(MATCH(F709,Код_КВР,0)+1,2,,,"КВР")))</f>
        <v>Предоставление субсидий бюджетным, автономным учреждениям и иным некоммерческим организациям</v>
      </c>
      <c r="B709" s="54">
        <v>808</v>
      </c>
      <c r="C709" s="57" t="s">
        <v>196</v>
      </c>
      <c r="D709" s="57" t="s">
        <v>187</v>
      </c>
      <c r="E709" s="54" t="s">
        <v>373</v>
      </c>
      <c r="F709" s="54">
        <v>600</v>
      </c>
      <c r="G709" s="62">
        <f t="shared" si="324"/>
        <v>28766.6</v>
      </c>
      <c r="H709" s="62">
        <f t="shared" si="324"/>
        <v>28849.6</v>
      </c>
    </row>
    <row r="710" spans="1:8" ht="12.75">
      <c r="A710" s="55" t="str">
        <f ca="1">IF(ISERROR(MATCH(F710,Код_КВР,0)),"",INDIRECT(ADDRESS(MATCH(F710,Код_КВР,0)+1,2,,,"КВР")))</f>
        <v>Субсидии бюджетным учреждениям</v>
      </c>
      <c r="B710" s="54">
        <v>808</v>
      </c>
      <c r="C710" s="57" t="s">
        <v>196</v>
      </c>
      <c r="D710" s="57" t="s">
        <v>187</v>
      </c>
      <c r="E710" s="54" t="s">
        <v>373</v>
      </c>
      <c r="F710" s="54">
        <v>610</v>
      </c>
      <c r="G710" s="62">
        <v>28766.6</v>
      </c>
      <c r="H710" s="62">
        <v>28849.6</v>
      </c>
    </row>
    <row r="711" spans="1:8" ht="25.5" customHeight="1">
      <c r="A711" s="55" t="str">
        <f ca="1">IF(ISERROR(MATCH(E711,Код_КЦСР,0)),"",INDIRECT(ADDRESS(MATCH(E711,Код_КЦСР,0)+1,2,,,"КЦСР")))</f>
        <v xml:space="preserve">Хранение, изучение и обеспечение сохранности музейных предметов </v>
      </c>
      <c r="B711" s="54">
        <v>808</v>
      </c>
      <c r="C711" s="57" t="s">
        <v>196</v>
      </c>
      <c r="D711" s="57" t="s">
        <v>187</v>
      </c>
      <c r="E711" s="54" t="s">
        <v>375</v>
      </c>
      <c r="F711" s="54"/>
      <c r="G711" s="62">
        <f aca="true" t="shared" si="325" ref="G711:H712">G712</f>
        <v>15295.3</v>
      </c>
      <c r="H711" s="62">
        <f t="shared" si="325"/>
        <v>15321.2</v>
      </c>
    </row>
    <row r="712" spans="1:8" ht="33">
      <c r="A712" s="55" t="str">
        <f ca="1">IF(ISERROR(MATCH(F712,Код_КВР,0)),"",INDIRECT(ADDRESS(MATCH(F712,Код_КВР,0)+1,2,,,"КВР")))</f>
        <v>Предоставление субсидий бюджетным, автономным учреждениям и иным некоммерческим организациям</v>
      </c>
      <c r="B712" s="54">
        <v>808</v>
      </c>
      <c r="C712" s="57" t="s">
        <v>196</v>
      </c>
      <c r="D712" s="57" t="s">
        <v>187</v>
      </c>
      <c r="E712" s="54" t="s">
        <v>375</v>
      </c>
      <c r="F712" s="54">
        <v>600</v>
      </c>
      <c r="G712" s="62">
        <f t="shared" si="325"/>
        <v>15295.3</v>
      </c>
      <c r="H712" s="62">
        <f t="shared" si="325"/>
        <v>15321.2</v>
      </c>
    </row>
    <row r="713" spans="1:8" ht="12.75">
      <c r="A713" s="55" t="str">
        <f ca="1">IF(ISERROR(MATCH(F713,Код_КВР,0)),"",INDIRECT(ADDRESS(MATCH(F713,Код_КВР,0)+1,2,,,"КВР")))</f>
        <v>Субсидии бюджетным учреждениям</v>
      </c>
      <c r="B713" s="54">
        <v>808</v>
      </c>
      <c r="C713" s="57" t="s">
        <v>196</v>
      </c>
      <c r="D713" s="57" t="s">
        <v>187</v>
      </c>
      <c r="E713" s="54" t="s">
        <v>375</v>
      </c>
      <c r="F713" s="54">
        <v>610</v>
      </c>
      <c r="G713" s="62">
        <v>15295.3</v>
      </c>
      <c r="H713" s="62">
        <v>15321.2</v>
      </c>
    </row>
    <row r="714" spans="1:8" ht="12.75">
      <c r="A714" s="55" t="str">
        <f ca="1">IF(ISERROR(MATCH(E714,Код_КЦСР,0)),"",INDIRECT(ADDRESS(MATCH(E714,Код_КЦСР,0)+1,2,,,"КЦСР")))</f>
        <v>Формирование и учет музейного фонда</v>
      </c>
      <c r="B714" s="54">
        <v>808</v>
      </c>
      <c r="C714" s="57" t="s">
        <v>196</v>
      </c>
      <c r="D714" s="57" t="s">
        <v>187</v>
      </c>
      <c r="E714" s="54" t="s">
        <v>377</v>
      </c>
      <c r="F714" s="54"/>
      <c r="G714" s="62">
        <f aca="true" t="shared" si="326" ref="G714:H715">G715</f>
        <v>5341.3</v>
      </c>
      <c r="H714" s="62">
        <f t="shared" si="326"/>
        <v>5352.6</v>
      </c>
    </row>
    <row r="715" spans="1:8" ht="33">
      <c r="A715" s="55" t="str">
        <f ca="1">IF(ISERROR(MATCH(F715,Код_КВР,0)),"",INDIRECT(ADDRESS(MATCH(F715,Код_КВР,0)+1,2,,,"КВР")))</f>
        <v>Предоставление субсидий бюджетным, автономным учреждениям и иным некоммерческим организациям</v>
      </c>
      <c r="B715" s="54">
        <v>808</v>
      </c>
      <c r="C715" s="57" t="s">
        <v>196</v>
      </c>
      <c r="D715" s="57" t="s">
        <v>187</v>
      </c>
      <c r="E715" s="54" t="s">
        <v>377</v>
      </c>
      <c r="F715" s="54">
        <v>600</v>
      </c>
      <c r="G715" s="62">
        <f t="shared" si="326"/>
        <v>5341.3</v>
      </c>
      <c r="H715" s="62">
        <f t="shared" si="326"/>
        <v>5352.6</v>
      </c>
    </row>
    <row r="716" spans="1:8" ht="12.75">
      <c r="A716" s="55" t="str">
        <f ca="1">IF(ISERROR(MATCH(F716,Код_КВР,0)),"",INDIRECT(ADDRESS(MATCH(F716,Код_КВР,0)+1,2,,,"КВР")))</f>
        <v>Субсидии бюджетным учреждениям</v>
      </c>
      <c r="B716" s="54">
        <v>808</v>
      </c>
      <c r="C716" s="57" t="s">
        <v>196</v>
      </c>
      <c r="D716" s="57" t="s">
        <v>187</v>
      </c>
      <c r="E716" s="54" t="s">
        <v>377</v>
      </c>
      <c r="F716" s="54">
        <v>610</v>
      </c>
      <c r="G716" s="62">
        <v>5341.3</v>
      </c>
      <c r="H716" s="62">
        <v>5352.6</v>
      </c>
    </row>
    <row r="717" spans="1:8" ht="12.75" hidden="1">
      <c r="A717" s="55" t="str">
        <f ca="1">IF(ISERROR(MATCH(E717,Код_КЦСР,0)),"",INDIRECT(ADDRESS(MATCH(E717,Код_КЦСР,0)+1,2,,,"КЦСР")))</f>
        <v/>
      </c>
      <c r="B717" s="54">
        <v>808</v>
      </c>
      <c r="C717" s="57" t="s">
        <v>196</v>
      </c>
      <c r="D717" s="57" t="s">
        <v>187</v>
      </c>
      <c r="E717" s="54" t="s">
        <v>490</v>
      </c>
      <c r="F717" s="54"/>
      <c r="G717" s="62">
        <f aca="true" t="shared" si="327" ref="G717:H718">G718</f>
        <v>0</v>
      </c>
      <c r="H717" s="62">
        <f t="shared" si="327"/>
        <v>0</v>
      </c>
    </row>
    <row r="718" spans="1:8" ht="33" hidden="1">
      <c r="A718" s="55" t="str">
        <f ca="1">IF(ISERROR(MATCH(F718,Код_КВР,0)),"",INDIRECT(ADDRESS(MATCH(F718,Код_КВР,0)+1,2,,,"КВР")))</f>
        <v>Предоставление субсидий бюджетным, автономным учреждениям и иным некоммерческим организациям</v>
      </c>
      <c r="B718" s="54">
        <v>808</v>
      </c>
      <c r="C718" s="57" t="s">
        <v>196</v>
      </c>
      <c r="D718" s="57" t="s">
        <v>187</v>
      </c>
      <c r="E718" s="54" t="s">
        <v>490</v>
      </c>
      <c r="F718" s="54">
        <v>600</v>
      </c>
      <c r="G718" s="62">
        <f t="shared" si="327"/>
        <v>0</v>
      </c>
      <c r="H718" s="62">
        <f t="shared" si="327"/>
        <v>0</v>
      </c>
    </row>
    <row r="719" spans="1:8" ht="12.75" hidden="1">
      <c r="A719" s="55" t="str">
        <f ca="1">IF(ISERROR(MATCH(F719,Код_КВР,0)),"",INDIRECT(ADDRESS(MATCH(F719,Код_КВР,0)+1,2,,,"КВР")))</f>
        <v>Субсидии бюджетным учреждениям</v>
      </c>
      <c r="B719" s="54">
        <v>808</v>
      </c>
      <c r="C719" s="57" t="s">
        <v>196</v>
      </c>
      <c r="D719" s="57" t="s">
        <v>187</v>
      </c>
      <c r="E719" s="54" t="s">
        <v>490</v>
      </c>
      <c r="F719" s="54">
        <v>610</v>
      </c>
      <c r="G719" s="62"/>
      <c r="H719" s="62"/>
    </row>
    <row r="720" spans="1:8" ht="12.75">
      <c r="A720" s="55" t="str">
        <f ca="1">IF(ISERROR(MATCH(E720,Код_КЦСР,0)),"",INDIRECT(ADDRESS(MATCH(E720,Код_КЦСР,0)+1,2,,,"КЦСР")))</f>
        <v>Развитие библиотечного дела</v>
      </c>
      <c r="B720" s="54">
        <v>808</v>
      </c>
      <c r="C720" s="57" t="s">
        <v>196</v>
      </c>
      <c r="D720" s="57" t="s">
        <v>187</v>
      </c>
      <c r="E720" s="54" t="s">
        <v>379</v>
      </c>
      <c r="F720" s="54"/>
      <c r="G720" s="62">
        <f aca="true" t="shared" si="328" ref="G720:H720">G721+G724+G727+G730</f>
        <v>47148.99999999999</v>
      </c>
      <c r="H720" s="62">
        <f t="shared" si="328"/>
        <v>47345.3</v>
      </c>
    </row>
    <row r="721" spans="1:8" ht="12.75">
      <c r="A721" s="55" t="str">
        <f ca="1">IF(ISERROR(MATCH(E721,Код_КЦСР,0)),"",INDIRECT(ADDRESS(MATCH(E721,Код_КЦСР,0)+1,2,,,"КЦСР")))</f>
        <v>Оказание муниципальных услуг</v>
      </c>
      <c r="B721" s="54">
        <v>808</v>
      </c>
      <c r="C721" s="57" t="s">
        <v>196</v>
      </c>
      <c r="D721" s="57" t="s">
        <v>187</v>
      </c>
      <c r="E721" s="54" t="s">
        <v>380</v>
      </c>
      <c r="F721" s="54"/>
      <c r="G721" s="62">
        <f aca="true" t="shared" si="329" ref="G721:H722">G722</f>
        <v>35765.2</v>
      </c>
      <c r="H721" s="62">
        <f t="shared" si="329"/>
        <v>35922.1</v>
      </c>
    </row>
    <row r="722" spans="1:8" ht="33">
      <c r="A722" s="55" t="str">
        <f ca="1">IF(ISERROR(MATCH(F722,Код_КВР,0)),"",INDIRECT(ADDRESS(MATCH(F722,Код_КВР,0)+1,2,,,"КВР")))</f>
        <v>Предоставление субсидий бюджетным, автономным учреждениям и иным некоммерческим организациям</v>
      </c>
      <c r="B722" s="54">
        <v>808</v>
      </c>
      <c r="C722" s="57" t="s">
        <v>196</v>
      </c>
      <c r="D722" s="57" t="s">
        <v>187</v>
      </c>
      <c r="E722" s="54" t="s">
        <v>380</v>
      </c>
      <c r="F722" s="54">
        <v>600</v>
      </c>
      <c r="G722" s="62">
        <f t="shared" si="329"/>
        <v>35765.2</v>
      </c>
      <c r="H722" s="62">
        <f t="shared" si="329"/>
        <v>35922.1</v>
      </c>
    </row>
    <row r="723" spans="1:8" ht="12.75">
      <c r="A723" s="55" t="str">
        <f ca="1">IF(ISERROR(MATCH(F723,Код_КВР,0)),"",INDIRECT(ADDRESS(MATCH(F723,Код_КВР,0)+1,2,,,"КВР")))</f>
        <v>Субсидии бюджетным учреждениям</v>
      </c>
      <c r="B723" s="54">
        <v>808</v>
      </c>
      <c r="C723" s="57" t="s">
        <v>196</v>
      </c>
      <c r="D723" s="57" t="s">
        <v>187</v>
      </c>
      <c r="E723" s="54" t="s">
        <v>380</v>
      </c>
      <c r="F723" s="54">
        <v>610</v>
      </c>
      <c r="G723" s="62">
        <v>35765.2</v>
      </c>
      <c r="H723" s="62">
        <v>35922.1</v>
      </c>
    </row>
    <row r="724" spans="1:8" ht="12.75">
      <c r="A724" s="55" t="str">
        <f ca="1">IF(ISERROR(MATCH(E724,Код_КЦСР,0)),"",INDIRECT(ADDRESS(MATCH(E724,Код_КЦСР,0)+1,2,,,"КЦСР")))</f>
        <v>Формирование и учет фондов библиотеки</v>
      </c>
      <c r="B724" s="54">
        <v>808</v>
      </c>
      <c r="C724" s="57" t="s">
        <v>196</v>
      </c>
      <c r="D724" s="57" t="s">
        <v>187</v>
      </c>
      <c r="E724" s="54" t="s">
        <v>382</v>
      </c>
      <c r="F724" s="54"/>
      <c r="G724" s="62">
        <f aca="true" t="shared" si="330" ref="G724:H725">G725</f>
        <v>3642.7</v>
      </c>
      <c r="H724" s="62">
        <f t="shared" si="330"/>
        <v>3655.3</v>
      </c>
    </row>
    <row r="725" spans="1:8" ht="33">
      <c r="A725" s="55" t="str">
        <f ca="1">IF(ISERROR(MATCH(F725,Код_КВР,0)),"",INDIRECT(ADDRESS(MATCH(F725,Код_КВР,0)+1,2,,,"КВР")))</f>
        <v>Предоставление субсидий бюджетным, автономным учреждениям и иным некоммерческим организациям</v>
      </c>
      <c r="B725" s="54">
        <v>808</v>
      </c>
      <c r="C725" s="57" t="s">
        <v>196</v>
      </c>
      <c r="D725" s="57" t="s">
        <v>187</v>
      </c>
      <c r="E725" s="54" t="s">
        <v>382</v>
      </c>
      <c r="F725" s="54">
        <v>600</v>
      </c>
      <c r="G725" s="62">
        <f t="shared" si="330"/>
        <v>3642.7</v>
      </c>
      <c r="H725" s="62">
        <f t="shared" si="330"/>
        <v>3655.3</v>
      </c>
    </row>
    <row r="726" spans="1:8" ht="12.75">
      <c r="A726" s="55" t="str">
        <f ca="1">IF(ISERROR(MATCH(F726,Код_КВР,0)),"",INDIRECT(ADDRESS(MATCH(F726,Код_КВР,0)+1,2,,,"КВР")))</f>
        <v>Субсидии бюджетным учреждениям</v>
      </c>
      <c r="B726" s="54">
        <v>808</v>
      </c>
      <c r="C726" s="57" t="s">
        <v>196</v>
      </c>
      <c r="D726" s="57" t="s">
        <v>187</v>
      </c>
      <c r="E726" s="54" t="s">
        <v>382</v>
      </c>
      <c r="F726" s="54">
        <v>610</v>
      </c>
      <c r="G726" s="62">
        <v>3642.7</v>
      </c>
      <c r="H726" s="62">
        <v>3655.3</v>
      </c>
    </row>
    <row r="727" spans="1:8" ht="27" customHeight="1">
      <c r="A727" s="55" t="str">
        <f ca="1">IF(ISERROR(MATCH(E727,Код_КЦСР,0)),"",INDIRECT(ADDRESS(MATCH(E727,Код_КЦСР,0)+1,2,,,"КЦСР")))</f>
        <v>Обеспечение физической сохранности  и безопасности фонда библиотеки</v>
      </c>
      <c r="B727" s="54">
        <v>808</v>
      </c>
      <c r="C727" s="57" t="s">
        <v>196</v>
      </c>
      <c r="D727" s="57" t="s">
        <v>187</v>
      </c>
      <c r="E727" s="54" t="s">
        <v>384</v>
      </c>
      <c r="F727" s="54"/>
      <c r="G727" s="62">
        <f aca="true" t="shared" si="331" ref="G727:H728">G728</f>
        <v>5464.4</v>
      </c>
      <c r="H727" s="62">
        <f t="shared" si="331"/>
        <v>5483.3</v>
      </c>
    </row>
    <row r="728" spans="1:8" ht="33">
      <c r="A728" s="55" t="str">
        <f ca="1">IF(ISERROR(MATCH(F728,Код_КВР,0)),"",INDIRECT(ADDRESS(MATCH(F728,Код_КВР,0)+1,2,,,"КВР")))</f>
        <v>Предоставление субсидий бюджетным, автономным учреждениям и иным некоммерческим организациям</v>
      </c>
      <c r="B728" s="54">
        <v>808</v>
      </c>
      <c r="C728" s="57" t="s">
        <v>196</v>
      </c>
      <c r="D728" s="57" t="s">
        <v>187</v>
      </c>
      <c r="E728" s="54" t="s">
        <v>384</v>
      </c>
      <c r="F728" s="54">
        <v>600</v>
      </c>
      <c r="G728" s="62">
        <f t="shared" si="331"/>
        <v>5464.4</v>
      </c>
      <c r="H728" s="62">
        <f t="shared" si="331"/>
        <v>5483.3</v>
      </c>
    </row>
    <row r="729" spans="1:8" ht="12.75">
      <c r="A729" s="55" t="str">
        <f ca="1">IF(ISERROR(MATCH(F729,Код_КВР,0)),"",INDIRECT(ADDRESS(MATCH(F729,Код_КВР,0)+1,2,,,"КВР")))</f>
        <v>Субсидии бюджетным учреждениям</v>
      </c>
      <c r="B729" s="54">
        <v>808</v>
      </c>
      <c r="C729" s="57" t="s">
        <v>196</v>
      </c>
      <c r="D729" s="57" t="s">
        <v>187</v>
      </c>
      <c r="E729" s="54" t="s">
        <v>384</v>
      </c>
      <c r="F729" s="54">
        <v>610</v>
      </c>
      <c r="G729" s="62">
        <v>5464.4</v>
      </c>
      <c r="H729" s="62">
        <v>5483.3</v>
      </c>
    </row>
    <row r="730" spans="1:8" ht="12.75">
      <c r="A730" s="55" t="str">
        <f ca="1">IF(ISERROR(MATCH(E730,Код_КЦСР,0)),"",INDIRECT(ADDRESS(MATCH(E730,Код_КЦСР,0)+1,2,,,"КЦСР")))</f>
        <v>Библиографическая обработка документов и организация  каталогов</v>
      </c>
      <c r="B730" s="54">
        <v>808</v>
      </c>
      <c r="C730" s="57" t="s">
        <v>196</v>
      </c>
      <c r="D730" s="57" t="s">
        <v>187</v>
      </c>
      <c r="E730" s="54" t="s">
        <v>386</v>
      </c>
      <c r="F730" s="54"/>
      <c r="G730" s="62">
        <f aca="true" t="shared" si="332" ref="G730:H731">G731</f>
        <v>2276.7</v>
      </c>
      <c r="H730" s="62">
        <f t="shared" si="332"/>
        <v>2284.6</v>
      </c>
    </row>
    <row r="731" spans="1:8" ht="33">
      <c r="A731" s="55" t="str">
        <f ca="1">IF(ISERROR(MATCH(F731,Код_КВР,0)),"",INDIRECT(ADDRESS(MATCH(F731,Код_КВР,0)+1,2,,,"КВР")))</f>
        <v>Предоставление субсидий бюджетным, автономным учреждениям и иным некоммерческим организациям</v>
      </c>
      <c r="B731" s="54">
        <v>808</v>
      </c>
      <c r="C731" s="57" t="s">
        <v>196</v>
      </c>
      <c r="D731" s="57" t="s">
        <v>187</v>
      </c>
      <c r="E731" s="54" t="s">
        <v>386</v>
      </c>
      <c r="F731" s="54">
        <v>600</v>
      </c>
      <c r="G731" s="62">
        <f t="shared" si="332"/>
        <v>2276.7</v>
      </c>
      <c r="H731" s="62">
        <f t="shared" si="332"/>
        <v>2284.6</v>
      </c>
    </row>
    <row r="732" spans="1:8" ht="12.75">
      <c r="A732" s="55" t="str">
        <f ca="1">IF(ISERROR(MATCH(F732,Код_КВР,0)),"",INDIRECT(ADDRESS(MATCH(F732,Код_КВР,0)+1,2,,,"КВР")))</f>
        <v>Субсидии бюджетным учреждениям</v>
      </c>
      <c r="B732" s="54">
        <v>808</v>
      </c>
      <c r="C732" s="57" t="s">
        <v>196</v>
      </c>
      <c r="D732" s="57" t="s">
        <v>187</v>
      </c>
      <c r="E732" s="54" t="s">
        <v>386</v>
      </c>
      <c r="F732" s="54">
        <v>610</v>
      </c>
      <c r="G732" s="62">
        <v>2276.7</v>
      </c>
      <c r="H732" s="62">
        <v>2284.6</v>
      </c>
    </row>
    <row r="733" spans="1:8" ht="12.75">
      <c r="A733" s="55" t="str">
        <f ca="1">IF(ISERROR(MATCH(E733,Код_КЦСР,0)),"",INDIRECT(ADDRESS(MATCH(E733,Код_КЦСР,0)+1,2,,,"КЦСР")))</f>
        <v>Совершенствование культурно-досуговой деятельности</v>
      </c>
      <c r="B733" s="54">
        <v>808</v>
      </c>
      <c r="C733" s="57" t="s">
        <v>196</v>
      </c>
      <c r="D733" s="57" t="s">
        <v>187</v>
      </c>
      <c r="E733" s="54" t="s">
        <v>388</v>
      </c>
      <c r="F733" s="54"/>
      <c r="G733" s="62">
        <f aca="true" t="shared" si="333" ref="G733:H733">G734+G737</f>
        <v>40908.4</v>
      </c>
      <c r="H733" s="62">
        <f t="shared" si="333"/>
        <v>41136.3</v>
      </c>
    </row>
    <row r="734" spans="1:8" ht="12.75">
      <c r="A734" s="55" t="str">
        <f ca="1">IF(ISERROR(MATCH(E734,Код_КЦСР,0)),"",INDIRECT(ADDRESS(MATCH(E734,Код_КЦСР,0)+1,2,,,"КЦСР")))</f>
        <v>Оказание муниципальных услуг</v>
      </c>
      <c r="B734" s="54">
        <v>808</v>
      </c>
      <c r="C734" s="57" t="s">
        <v>196</v>
      </c>
      <c r="D734" s="57" t="s">
        <v>187</v>
      </c>
      <c r="E734" s="54" t="s">
        <v>390</v>
      </c>
      <c r="F734" s="54"/>
      <c r="G734" s="62">
        <f aca="true" t="shared" si="334" ref="G734:H735">G735</f>
        <v>38668.5</v>
      </c>
      <c r="H734" s="62">
        <f t="shared" si="334"/>
        <v>38886.5</v>
      </c>
    </row>
    <row r="735" spans="1:8" ht="33">
      <c r="A735" s="55" t="str">
        <f ca="1">IF(ISERROR(MATCH(F735,Код_КВР,0)),"",INDIRECT(ADDRESS(MATCH(F735,Код_КВР,0)+1,2,,,"КВР")))</f>
        <v>Предоставление субсидий бюджетным, автономным учреждениям и иным некоммерческим организациям</v>
      </c>
      <c r="B735" s="54">
        <v>808</v>
      </c>
      <c r="C735" s="57" t="s">
        <v>196</v>
      </c>
      <c r="D735" s="57" t="s">
        <v>187</v>
      </c>
      <c r="E735" s="54" t="s">
        <v>390</v>
      </c>
      <c r="F735" s="54">
        <v>600</v>
      </c>
      <c r="G735" s="62">
        <f t="shared" si="334"/>
        <v>38668.5</v>
      </c>
      <c r="H735" s="62">
        <f t="shared" si="334"/>
        <v>38886.5</v>
      </c>
    </row>
    <row r="736" spans="1:8" ht="12.75">
      <c r="A736" s="55" t="str">
        <f ca="1">IF(ISERROR(MATCH(F736,Код_КВР,0)),"",INDIRECT(ADDRESS(MATCH(F736,Код_КВР,0)+1,2,,,"КВР")))</f>
        <v>Субсидии бюджетным учреждениям</v>
      </c>
      <c r="B736" s="54">
        <v>808</v>
      </c>
      <c r="C736" s="57" t="s">
        <v>196</v>
      </c>
      <c r="D736" s="57" t="s">
        <v>187</v>
      </c>
      <c r="E736" s="54" t="s">
        <v>390</v>
      </c>
      <c r="F736" s="54">
        <v>610</v>
      </c>
      <c r="G736" s="62">
        <v>38668.5</v>
      </c>
      <c r="H736" s="62">
        <v>38886.5</v>
      </c>
    </row>
    <row r="737" spans="1:8" ht="33">
      <c r="A737" s="55" t="str">
        <f ca="1">IF(ISERROR(MATCH(E737,Код_КЦСР,0)),"",INDIRECT(ADDRESS(MATCH(E737,Код_КЦСР,0)+1,2,,,"КЦСР")))</f>
        <v>Сохранение нематериального культурного наследия народов традиционной народной культуры</v>
      </c>
      <c r="B737" s="54">
        <v>808</v>
      </c>
      <c r="C737" s="57" t="s">
        <v>196</v>
      </c>
      <c r="D737" s="57" t="s">
        <v>187</v>
      </c>
      <c r="E737" s="54" t="s">
        <v>391</v>
      </c>
      <c r="F737" s="54"/>
      <c r="G737" s="62">
        <f aca="true" t="shared" si="335" ref="G737:H738">G738</f>
        <v>2239.9</v>
      </c>
      <c r="H737" s="62">
        <f t="shared" si="335"/>
        <v>2249.8</v>
      </c>
    </row>
    <row r="738" spans="1:8" ht="33">
      <c r="A738" s="55" t="str">
        <f ca="1">IF(ISERROR(MATCH(F738,Код_КВР,0)),"",INDIRECT(ADDRESS(MATCH(F738,Код_КВР,0)+1,2,,,"КВР")))</f>
        <v>Предоставление субсидий бюджетным, автономным учреждениям и иным некоммерческим организациям</v>
      </c>
      <c r="B738" s="54">
        <v>808</v>
      </c>
      <c r="C738" s="57" t="s">
        <v>196</v>
      </c>
      <c r="D738" s="57" t="s">
        <v>187</v>
      </c>
      <c r="E738" s="54" t="s">
        <v>391</v>
      </c>
      <c r="F738" s="54">
        <v>600</v>
      </c>
      <c r="G738" s="62">
        <f t="shared" si="335"/>
        <v>2239.9</v>
      </c>
      <c r="H738" s="62">
        <f t="shared" si="335"/>
        <v>2249.8</v>
      </c>
    </row>
    <row r="739" spans="1:8" ht="12.75">
      <c r="A739" s="55" t="str">
        <f ca="1">IF(ISERROR(MATCH(F739,Код_КВР,0)),"",INDIRECT(ADDRESS(MATCH(F739,Код_КВР,0)+1,2,,,"КВР")))</f>
        <v>Субсидии бюджетным учреждениям</v>
      </c>
      <c r="B739" s="54">
        <v>808</v>
      </c>
      <c r="C739" s="57" t="s">
        <v>196</v>
      </c>
      <c r="D739" s="57" t="s">
        <v>187</v>
      </c>
      <c r="E739" s="54" t="s">
        <v>391</v>
      </c>
      <c r="F739" s="54">
        <v>610</v>
      </c>
      <c r="G739" s="62">
        <v>2239.9</v>
      </c>
      <c r="H739" s="62">
        <v>2249.8</v>
      </c>
    </row>
    <row r="740" spans="1:8" ht="12.75">
      <c r="A740" s="55" t="str">
        <f ca="1">IF(ISERROR(MATCH(E740,Код_КЦСР,0)),"",INDIRECT(ADDRESS(MATCH(E740,Код_КЦСР,0)+1,2,,,"КЦСР")))</f>
        <v>Развитие исполнительских искусств</v>
      </c>
      <c r="B740" s="54">
        <v>808</v>
      </c>
      <c r="C740" s="57" t="s">
        <v>196</v>
      </c>
      <c r="D740" s="57" t="s">
        <v>187</v>
      </c>
      <c r="E740" s="54" t="s">
        <v>393</v>
      </c>
      <c r="F740" s="54"/>
      <c r="G740" s="62">
        <f aca="true" t="shared" si="336" ref="G740:H740">G741</f>
        <v>97701.1</v>
      </c>
      <c r="H740" s="62">
        <f t="shared" si="336"/>
        <v>98090.9</v>
      </c>
    </row>
    <row r="741" spans="1:8" ht="12.75">
      <c r="A741" s="55" t="str">
        <f ca="1">IF(ISERROR(MATCH(E741,Код_КЦСР,0)),"",INDIRECT(ADDRESS(MATCH(E741,Код_КЦСР,0)+1,2,,,"КЦСР")))</f>
        <v>Оказание муниципальных услуг</v>
      </c>
      <c r="B741" s="54">
        <v>808</v>
      </c>
      <c r="C741" s="57" t="s">
        <v>196</v>
      </c>
      <c r="D741" s="57" t="s">
        <v>187</v>
      </c>
      <c r="E741" s="54" t="s">
        <v>395</v>
      </c>
      <c r="F741" s="54"/>
      <c r="G741" s="62">
        <f aca="true" t="shared" si="337" ref="G741:H741">G742</f>
        <v>97701.1</v>
      </c>
      <c r="H741" s="62">
        <f t="shared" si="337"/>
        <v>98090.9</v>
      </c>
    </row>
    <row r="742" spans="1:8" ht="33">
      <c r="A742" s="55" t="str">
        <f ca="1">IF(ISERROR(MATCH(F742,Код_КВР,0)),"",INDIRECT(ADDRESS(MATCH(F742,Код_КВР,0)+1,2,,,"КВР")))</f>
        <v>Предоставление субсидий бюджетным, автономным учреждениям и иным некоммерческим организациям</v>
      </c>
      <c r="B742" s="54">
        <v>808</v>
      </c>
      <c r="C742" s="57" t="s">
        <v>196</v>
      </c>
      <c r="D742" s="57" t="s">
        <v>187</v>
      </c>
      <c r="E742" s="54" t="s">
        <v>395</v>
      </c>
      <c r="F742" s="54">
        <v>600</v>
      </c>
      <c r="G742" s="62">
        <f aca="true" t="shared" si="338" ref="G742:H742">G743+G744</f>
        <v>97701.1</v>
      </c>
      <c r="H742" s="62">
        <f t="shared" si="338"/>
        <v>98090.9</v>
      </c>
    </row>
    <row r="743" spans="1:8" ht="12.75">
      <c r="A743" s="55" t="str">
        <f ca="1">IF(ISERROR(MATCH(F743,Код_КВР,0)),"",INDIRECT(ADDRESS(MATCH(F743,Код_КВР,0)+1,2,,,"КВР")))</f>
        <v>Субсидии бюджетным учреждениям</v>
      </c>
      <c r="B743" s="54">
        <v>808</v>
      </c>
      <c r="C743" s="57" t="s">
        <v>196</v>
      </c>
      <c r="D743" s="57" t="s">
        <v>187</v>
      </c>
      <c r="E743" s="54" t="s">
        <v>395</v>
      </c>
      <c r="F743" s="54">
        <v>610</v>
      </c>
      <c r="G743" s="62">
        <v>85433.3</v>
      </c>
      <c r="H743" s="62">
        <v>85712</v>
      </c>
    </row>
    <row r="744" spans="1:8" ht="12.75">
      <c r="A744" s="55" t="str">
        <f ca="1">IF(ISERROR(MATCH(F744,Код_КВР,0)),"",INDIRECT(ADDRESS(MATCH(F744,Код_КВР,0)+1,2,,,"КВР")))</f>
        <v>Субсидии автономным учреждениям</v>
      </c>
      <c r="B744" s="54">
        <v>808</v>
      </c>
      <c r="C744" s="57" t="s">
        <v>196</v>
      </c>
      <c r="D744" s="57" t="s">
        <v>187</v>
      </c>
      <c r="E744" s="54" t="s">
        <v>395</v>
      </c>
      <c r="F744" s="54">
        <v>620</v>
      </c>
      <c r="G744" s="62">
        <v>12267.8</v>
      </c>
      <c r="H744" s="62">
        <v>12378.9</v>
      </c>
    </row>
    <row r="745" spans="1:8" ht="12.75">
      <c r="A745" s="55" t="str">
        <f ca="1">IF(ISERROR(MATCH(E745,Код_КЦСР,0)),"",INDIRECT(ADDRESS(MATCH(E745,Код_КЦСР,0)+1,2,,,"КЦСР")))</f>
        <v>Формирование постиндустриального образа города Череповца</v>
      </c>
      <c r="B745" s="54">
        <v>808</v>
      </c>
      <c r="C745" s="57" t="s">
        <v>196</v>
      </c>
      <c r="D745" s="57" t="s">
        <v>187</v>
      </c>
      <c r="E745" s="54" t="s">
        <v>396</v>
      </c>
      <c r="F745" s="54"/>
      <c r="G745" s="62">
        <f aca="true" t="shared" si="339" ref="G745:H747">G746</f>
        <v>6499</v>
      </c>
      <c r="H745" s="62">
        <f t="shared" si="339"/>
        <v>6499</v>
      </c>
    </row>
    <row r="746" spans="1:8" ht="24" customHeight="1">
      <c r="A746" s="55" t="str">
        <f ca="1">IF(ISERROR(MATCH(E746,Код_КЦСР,0)),"",INDIRECT(ADDRESS(MATCH(E746,Код_КЦСР,0)+1,2,,,"КЦСР")))</f>
        <v xml:space="preserve">Организация и проведение городских культурно- массовых мероприятий </v>
      </c>
      <c r="B746" s="54">
        <v>808</v>
      </c>
      <c r="C746" s="57" t="s">
        <v>196</v>
      </c>
      <c r="D746" s="57" t="s">
        <v>187</v>
      </c>
      <c r="E746" s="54" t="s">
        <v>398</v>
      </c>
      <c r="F746" s="54"/>
      <c r="G746" s="62">
        <f t="shared" si="339"/>
        <v>6499</v>
      </c>
      <c r="H746" s="62">
        <f t="shared" si="339"/>
        <v>6499</v>
      </c>
    </row>
    <row r="747" spans="1:8" ht="33">
      <c r="A747" s="55" t="str">
        <f ca="1">IF(ISERROR(MATCH(F747,Код_КВР,0)),"",INDIRECT(ADDRESS(MATCH(F747,Код_КВР,0)+1,2,,,"КВР")))</f>
        <v>Предоставление субсидий бюджетным, автономным учреждениям и иным некоммерческим организациям</v>
      </c>
      <c r="B747" s="54">
        <v>808</v>
      </c>
      <c r="C747" s="57" t="s">
        <v>196</v>
      </c>
      <c r="D747" s="57" t="s">
        <v>187</v>
      </c>
      <c r="E747" s="54" t="s">
        <v>398</v>
      </c>
      <c r="F747" s="54">
        <v>600</v>
      </c>
      <c r="G747" s="62">
        <f t="shared" si="339"/>
        <v>6499</v>
      </c>
      <c r="H747" s="62">
        <f t="shared" si="339"/>
        <v>6499</v>
      </c>
    </row>
    <row r="748" spans="1:8" ht="12.75">
      <c r="A748" s="55" t="str">
        <f ca="1">IF(ISERROR(MATCH(F748,Код_КВР,0)),"",INDIRECT(ADDRESS(MATCH(F748,Код_КВР,0)+1,2,,,"КВР")))</f>
        <v>Субсидии бюджетным учреждениям</v>
      </c>
      <c r="B748" s="54">
        <v>808</v>
      </c>
      <c r="C748" s="57" t="s">
        <v>196</v>
      </c>
      <c r="D748" s="57" t="s">
        <v>187</v>
      </c>
      <c r="E748" s="54" t="s">
        <v>398</v>
      </c>
      <c r="F748" s="54">
        <v>610</v>
      </c>
      <c r="G748" s="62">
        <v>6499</v>
      </c>
      <c r="H748" s="62">
        <v>6499</v>
      </c>
    </row>
    <row r="749" spans="1:8" ht="12.75" hidden="1">
      <c r="A749" s="55" t="str">
        <f ca="1">IF(ISERROR(MATCH(E749,Код_КЦСР,0)),"",INDIRECT(ADDRESS(MATCH(E749,Код_КЦСР,0)+1,2,,,"КЦСР")))</f>
        <v>Развитие кадрового потенциала отрасли</v>
      </c>
      <c r="B749" s="54">
        <v>808</v>
      </c>
      <c r="C749" s="57" t="s">
        <v>196</v>
      </c>
      <c r="D749" s="57" t="s">
        <v>187</v>
      </c>
      <c r="E749" s="54" t="s">
        <v>517</v>
      </c>
      <c r="F749" s="54"/>
      <c r="G749" s="62"/>
      <c r="H749" s="62"/>
    </row>
    <row r="750" spans="1:8" ht="12.75" hidden="1">
      <c r="A750" s="55" t="str">
        <f ca="1">IF(ISERROR(MATCH(E750,Код_КЦСР,0)),"",INDIRECT(ADDRESS(MATCH(E750,Код_КЦСР,0)+1,2,,,"КЦСР")))</f>
        <v>Сохранение и укрепление кадрового состава учреждений</v>
      </c>
      <c r="B750" s="54">
        <v>808</v>
      </c>
      <c r="C750" s="57" t="s">
        <v>196</v>
      </c>
      <c r="D750" s="57" t="s">
        <v>187</v>
      </c>
      <c r="E750" s="54" t="s">
        <v>518</v>
      </c>
      <c r="F750" s="54"/>
      <c r="G750" s="62"/>
      <c r="H750" s="62"/>
    </row>
    <row r="751" spans="1:8" ht="33" hidden="1">
      <c r="A751" s="55" t="str">
        <f ca="1">IF(ISERROR(MATCH(F751,Код_КВР,0)),"",INDIRECT(ADDRESS(MATCH(F751,Код_КВР,0)+1,2,,,"КВР")))</f>
        <v>Предоставление субсидий бюджетным, автономным учреждениям и иным некоммерческим организациям</v>
      </c>
      <c r="B751" s="54">
        <v>808</v>
      </c>
      <c r="C751" s="57" t="s">
        <v>196</v>
      </c>
      <c r="D751" s="57" t="s">
        <v>187</v>
      </c>
      <c r="E751" s="54" t="s">
        <v>518</v>
      </c>
      <c r="F751" s="54">
        <v>600</v>
      </c>
      <c r="G751" s="62"/>
      <c r="H751" s="62"/>
    </row>
    <row r="752" spans="1:8" ht="12.75" hidden="1">
      <c r="A752" s="55" t="str">
        <f ca="1">IF(ISERROR(MATCH(F752,Код_КВР,0)),"",INDIRECT(ADDRESS(MATCH(F752,Код_КВР,0)+1,2,,,"КВР")))</f>
        <v>Субсидии бюджетным учреждениям</v>
      </c>
      <c r="B752" s="54">
        <v>808</v>
      </c>
      <c r="C752" s="57" t="s">
        <v>196</v>
      </c>
      <c r="D752" s="57" t="s">
        <v>187</v>
      </c>
      <c r="E752" s="54" t="s">
        <v>518</v>
      </c>
      <c r="F752" s="54">
        <v>610</v>
      </c>
      <c r="G752" s="62"/>
      <c r="H752" s="62"/>
    </row>
    <row r="753" spans="1:8" ht="22.5" customHeight="1">
      <c r="A753" s="55" t="str">
        <f ca="1">IF(ISERROR(MATCH(E753,Код_КЦСР,0)),"",INDIRECT(ADDRESS(MATCH(E753,Код_КЦСР,0)+1,2,,,"КЦСР")))</f>
        <v xml:space="preserve">Индустрия отдыха на территориях парков культуры и отдыха </v>
      </c>
      <c r="B753" s="54">
        <v>808</v>
      </c>
      <c r="C753" s="57" t="s">
        <v>196</v>
      </c>
      <c r="D753" s="57" t="s">
        <v>187</v>
      </c>
      <c r="E753" s="54" t="s">
        <v>400</v>
      </c>
      <c r="F753" s="54"/>
      <c r="G753" s="62">
        <f aca="true" t="shared" si="340" ref="G753:H755">G754</f>
        <v>4382.2</v>
      </c>
      <c r="H753" s="62">
        <f t="shared" si="340"/>
        <v>4405.9</v>
      </c>
    </row>
    <row r="754" spans="1:8" ht="34.5" customHeight="1">
      <c r="A754" s="55" t="str">
        <f ca="1">IF(ISERROR(MATCH(E754,Код_КЦСР,0)),"",INDIRECT(ADDRESS(MATCH(E754,Код_КЦСР,0)+1,2,,,"КЦСР")))</f>
        <v>Работа по организации досуга населения на базе парков культуры и отдыха</v>
      </c>
      <c r="B754" s="54">
        <v>808</v>
      </c>
      <c r="C754" s="57" t="s">
        <v>196</v>
      </c>
      <c r="D754" s="57" t="s">
        <v>187</v>
      </c>
      <c r="E754" s="54" t="s">
        <v>402</v>
      </c>
      <c r="F754" s="54"/>
      <c r="G754" s="62">
        <f t="shared" si="340"/>
        <v>4382.2</v>
      </c>
      <c r="H754" s="62">
        <f t="shared" si="340"/>
        <v>4405.9</v>
      </c>
    </row>
    <row r="755" spans="1:8" ht="33">
      <c r="A755" s="55" t="str">
        <f ca="1">IF(ISERROR(MATCH(F755,Код_КВР,0)),"",INDIRECT(ADDRESS(MATCH(F755,Код_КВР,0)+1,2,,,"КВР")))</f>
        <v>Предоставление субсидий бюджетным, автономным учреждениям и иным некоммерческим организациям</v>
      </c>
      <c r="B755" s="54">
        <v>808</v>
      </c>
      <c r="C755" s="57" t="s">
        <v>196</v>
      </c>
      <c r="D755" s="57" t="s">
        <v>187</v>
      </c>
      <c r="E755" s="54" t="s">
        <v>402</v>
      </c>
      <c r="F755" s="54">
        <v>600</v>
      </c>
      <c r="G755" s="62">
        <f t="shared" si="340"/>
        <v>4382.2</v>
      </c>
      <c r="H755" s="62">
        <f t="shared" si="340"/>
        <v>4405.9</v>
      </c>
    </row>
    <row r="756" spans="1:8" ht="12.75">
      <c r="A756" s="55" t="str">
        <f ca="1">IF(ISERROR(MATCH(F756,Код_КВР,0)),"",INDIRECT(ADDRESS(MATCH(F756,Код_КВР,0)+1,2,,,"КВР")))</f>
        <v>Субсидии автономным учреждениям</v>
      </c>
      <c r="B756" s="54">
        <v>808</v>
      </c>
      <c r="C756" s="57" t="s">
        <v>196</v>
      </c>
      <c r="D756" s="57" t="s">
        <v>187</v>
      </c>
      <c r="E756" s="54" t="s">
        <v>402</v>
      </c>
      <c r="F756" s="54">
        <v>620</v>
      </c>
      <c r="G756" s="62">
        <v>4382.2</v>
      </c>
      <c r="H756" s="62">
        <v>4405.9</v>
      </c>
    </row>
    <row r="757" spans="1:8" ht="12.75">
      <c r="A757" s="59" t="s">
        <v>139</v>
      </c>
      <c r="B757" s="54">
        <v>808</v>
      </c>
      <c r="C757" s="57" t="s">
        <v>196</v>
      </c>
      <c r="D757" s="57" t="s">
        <v>190</v>
      </c>
      <c r="E757" s="54"/>
      <c r="F757" s="54"/>
      <c r="G757" s="62">
        <f>G758+G797+G801+G811</f>
        <v>17795.100000000002</v>
      </c>
      <c r="H757" s="62">
        <f>H758+H797+H801+H811</f>
        <v>17813.300000000003</v>
      </c>
    </row>
    <row r="758" spans="1:8" ht="33">
      <c r="A758" s="55" t="str">
        <f ca="1">IF(ISERROR(MATCH(E758,Код_КЦСР,0)),"",INDIRECT(ADDRESS(MATCH(E758,Код_КЦСР,0)+1,2,,,"КЦСР")))</f>
        <v>Муниципальная программа «Культура, традиции и народное творчество в городе Череповце» на 2013-2018 годы</v>
      </c>
      <c r="B758" s="54">
        <v>808</v>
      </c>
      <c r="C758" s="57" t="s">
        <v>196</v>
      </c>
      <c r="D758" s="57" t="s">
        <v>190</v>
      </c>
      <c r="E758" s="54" t="s">
        <v>366</v>
      </c>
      <c r="F758" s="54"/>
      <c r="G758" s="62">
        <f>G767+G762+G771+G778+G785+G789+G793+G759</f>
        <v>16916.8</v>
      </c>
      <c r="H758" s="62">
        <f>H767+H762+H771+H778+H785+H789+H793+H759</f>
        <v>16926</v>
      </c>
    </row>
    <row r="759" spans="1:8" ht="33">
      <c r="A759" s="55" t="str">
        <f ca="1">IF(ISERROR(MATCH(E759,Код_КЦСР,0)),"",INDIRECT(ADDRESS(MATCH(E759,Код_КЦСР,0)+1,2,,,"КЦСР")))</f>
        <v>Работа по организации и ведению бухгалтерского (бюджетного) учета и отчетности</v>
      </c>
      <c r="B759" s="54">
        <v>808</v>
      </c>
      <c r="C759" s="57" t="s">
        <v>196</v>
      </c>
      <c r="D759" s="57" t="s">
        <v>190</v>
      </c>
      <c r="E759" s="54" t="s">
        <v>407</v>
      </c>
      <c r="F759" s="54"/>
      <c r="G759" s="62">
        <f aca="true" t="shared" si="341" ref="G759:H759">G760</f>
        <v>7764.3</v>
      </c>
      <c r="H759" s="62">
        <f t="shared" si="341"/>
        <v>7773.5</v>
      </c>
    </row>
    <row r="760" spans="1:8" ht="33">
      <c r="A760" s="55" t="str">
        <f ca="1">IF(ISERROR(MATCH(F760,Код_КВР,0)),"",INDIRECT(ADDRESS(MATCH(F760,Код_КВР,0)+1,2,,,"КВР")))</f>
        <v>Предоставление субсидий бюджетным, автономным учреждениям и иным некоммерческим организациям</v>
      </c>
      <c r="B760" s="54">
        <v>808</v>
      </c>
      <c r="C760" s="57" t="s">
        <v>196</v>
      </c>
      <c r="D760" s="57" t="s">
        <v>190</v>
      </c>
      <c r="E760" s="54" t="s">
        <v>407</v>
      </c>
      <c r="F760" s="54">
        <v>600</v>
      </c>
      <c r="G760" s="62">
        <f aca="true" t="shared" si="342" ref="G760:H760">G761</f>
        <v>7764.3</v>
      </c>
      <c r="H760" s="62">
        <f t="shared" si="342"/>
        <v>7773.5</v>
      </c>
    </row>
    <row r="761" spans="1:8" ht="12.75">
      <c r="A761" s="55" t="str">
        <f ca="1">IF(ISERROR(MATCH(F761,Код_КВР,0)),"",INDIRECT(ADDRESS(MATCH(F761,Код_КВР,0)+1,2,,,"КВР")))</f>
        <v>Субсидии бюджетным учреждениям</v>
      </c>
      <c r="B761" s="54">
        <v>808</v>
      </c>
      <c r="C761" s="57" t="s">
        <v>196</v>
      </c>
      <c r="D761" s="57" t="s">
        <v>190</v>
      </c>
      <c r="E761" s="54" t="s">
        <v>407</v>
      </c>
      <c r="F761" s="54">
        <v>610</v>
      </c>
      <c r="G761" s="62">
        <v>7764.3</v>
      </c>
      <c r="H761" s="62">
        <v>7773.5</v>
      </c>
    </row>
    <row r="762" spans="1:8" ht="33">
      <c r="A762" s="55" t="str">
        <f ca="1">IF(ISERROR(MATCH(E762,Код_КЦСР,0)),"",INDIRECT(ADDRESS(MATCH(E762,Код_КЦСР,0)+1,2,,,"КЦСР")))</f>
        <v>Организация работы по реализации целей, задач управления и выполнения его функциональных обязанностей</v>
      </c>
      <c r="B762" s="54">
        <v>808</v>
      </c>
      <c r="C762" s="57" t="s">
        <v>196</v>
      </c>
      <c r="D762" s="57" t="s">
        <v>190</v>
      </c>
      <c r="E762" s="54" t="s">
        <v>522</v>
      </c>
      <c r="F762" s="54"/>
      <c r="G762" s="62">
        <f aca="true" t="shared" si="343" ref="G762:H762">G763+G765</f>
        <v>9152.499999999998</v>
      </c>
      <c r="H762" s="62">
        <f t="shared" si="343"/>
        <v>9152.499999999998</v>
      </c>
    </row>
    <row r="763" spans="1:8" ht="33">
      <c r="A763" s="55" t="str">
        <f ca="1">IF(ISERROR(MATCH(F763,Код_КВР,0)),"",INDIRECT(ADDRESS(MATCH(F763,Код_КВР,0)+1,2,,,"КВР")))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3" s="54">
        <v>808</v>
      </c>
      <c r="C763" s="57" t="s">
        <v>196</v>
      </c>
      <c r="D763" s="57" t="s">
        <v>190</v>
      </c>
      <c r="E763" s="54" t="s">
        <v>522</v>
      </c>
      <c r="F763" s="54">
        <v>100</v>
      </c>
      <c r="G763" s="62">
        <f aca="true" t="shared" si="344" ref="G763:H763">G764</f>
        <v>9138.199999999999</v>
      </c>
      <c r="H763" s="62">
        <f t="shared" si="344"/>
        <v>9138.199999999999</v>
      </c>
    </row>
    <row r="764" spans="1:8" ht="24" customHeight="1">
      <c r="A764" s="55" t="str">
        <f ca="1">IF(ISERROR(MATCH(F764,Код_КВР,0)),"",INDIRECT(ADDRESS(MATCH(F764,Код_КВР,0)+1,2,,,"КВР")))</f>
        <v>Расходы на выплаты персоналу муниципальных органов</v>
      </c>
      <c r="B764" s="54">
        <v>808</v>
      </c>
      <c r="C764" s="57" t="s">
        <v>196</v>
      </c>
      <c r="D764" s="57" t="s">
        <v>190</v>
      </c>
      <c r="E764" s="54" t="s">
        <v>522</v>
      </c>
      <c r="F764" s="54">
        <v>120</v>
      </c>
      <c r="G764" s="62">
        <f aca="true" t="shared" si="345" ref="G764:H764">9094.5+3.5+20.8+19.4</f>
        <v>9138.199999999999</v>
      </c>
      <c r="H764" s="62">
        <f t="shared" si="345"/>
        <v>9138.199999999999</v>
      </c>
    </row>
    <row r="765" spans="1:8" ht="24" customHeight="1">
      <c r="A765" s="55" t="str">
        <f ca="1">IF(ISERROR(MATCH(F765,Код_КВР,0)),"",INDIRECT(ADDRESS(MATCH(F765,Код_КВР,0)+1,2,,,"КВР")))</f>
        <v>Закупка товаров, работ и услуг для муниципальных нужд</v>
      </c>
      <c r="B765" s="54">
        <v>808</v>
      </c>
      <c r="C765" s="57" t="s">
        <v>196</v>
      </c>
      <c r="D765" s="57" t="s">
        <v>190</v>
      </c>
      <c r="E765" s="54" t="s">
        <v>522</v>
      </c>
      <c r="F765" s="54">
        <v>200</v>
      </c>
      <c r="G765" s="62">
        <f aca="true" t="shared" si="346" ref="G765:H765">G766</f>
        <v>14.3</v>
      </c>
      <c r="H765" s="62">
        <f t="shared" si="346"/>
        <v>14.3</v>
      </c>
    </row>
    <row r="766" spans="1:8" ht="33">
      <c r="A766" s="55" t="str">
        <f ca="1">IF(ISERROR(MATCH(F766,Код_КВР,0)),"",INDIRECT(ADDRESS(MATCH(F766,Код_КВР,0)+1,2,,,"КВР")))</f>
        <v>Иные закупки товаров, работ и услуг для обеспечения муниципальных нужд</v>
      </c>
      <c r="B766" s="54">
        <v>808</v>
      </c>
      <c r="C766" s="57" t="s">
        <v>196</v>
      </c>
      <c r="D766" s="57" t="s">
        <v>190</v>
      </c>
      <c r="E766" s="54" t="s">
        <v>522</v>
      </c>
      <c r="F766" s="54">
        <v>240</v>
      </c>
      <c r="G766" s="62">
        <f aca="true" t="shared" si="347" ref="G766:H766">12.8+1.5</f>
        <v>14.3</v>
      </c>
      <c r="H766" s="62">
        <f t="shared" si="347"/>
        <v>14.3</v>
      </c>
    </row>
    <row r="767" spans="1:8" ht="12.75" hidden="1">
      <c r="A767" s="55" t="str">
        <f ca="1">IF(ISERROR(MATCH(E767,Код_КЦСР,0)),"",INDIRECT(ADDRESS(MATCH(E767,Код_КЦСР,0)+1,2,,,"КЦСР")))</f>
        <v>Развитие музейного дела</v>
      </c>
      <c r="B767" s="54">
        <v>808</v>
      </c>
      <c r="C767" s="57" t="s">
        <v>196</v>
      </c>
      <c r="D767" s="57" t="s">
        <v>190</v>
      </c>
      <c r="E767" s="54" t="s">
        <v>372</v>
      </c>
      <c r="F767" s="54"/>
      <c r="G767" s="62">
        <f aca="true" t="shared" si="348" ref="G767:H767">G768</f>
        <v>0</v>
      </c>
      <c r="H767" s="62">
        <f t="shared" si="348"/>
        <v>0</v>
      </c>
    </row>
    <row r="768" spans="1:8" ht="49.5" hidden="1">
      <c r="A768" s="55" t="str">
        <f ca="1">IF(ISERROR(MATCH(E768,Код_КЦСР,0)),"",INDIRECT(ADDRESS(MATCH(E768,Код_КЦСР,0)+1,2,,,"КЦСР")))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768" s="54">
        <v>808</v>
      </c>
      <c r="C768" s="57" t="s">
        <v>196</v>
      </c>
      <c r="D768" s="57" t="s">
        <v>190</v>
      </c>
      <c r="E768" s="54" t="s">
        <v>502</v>
      </c>
      <c r="F768" s="54"/>
      <c r="G768" s="62"/>
      <c r="H768" s="62"/>
    </row>
    <row r="769" spans="1:8" ht="33" hidden="1">
      <c r="A769" s="55" t="str">
        <f ca="1">IF(ISERROR(MATCH(F769,Код_КВР,0)),"",INDIRECT(ADDRESS(MATCH(F769,Код_КВР,0)+1,2,,,"КВР")))</f>
        <v>Предоставление субсидий бюджетным, автономным учреждениям и иным некоммерческим организациям</v>
      </c>
      <c r="B769" s="54">
        <v>808</v>
      </c>
      <c r="C769" s="57" t="s">
        <v>196</v>
      </c>
      <c r="D769" s="57" t="s">
        <v>190</v>
      </c>
      <c r="E769" s="54" t="s">
        <v>502</v>
      </c>
      <c r="F769" s="54">
        <v>600</v>
      </c>
      <c r="G769" s="62">
        <f aca="true" t="shared" si="349" ref="G769:H769">G770</f>
        <v>0</v>
      </c>
      <c r="H769" s="62">
        <f t="shared" si="349"/>
        <v>0</v>
      </c>
    </row>
    <row r="770" spans="1:8" ht="12.75" hidden="1">
      <c r="A770" s="55" t="str">
        <f ca="1">IF(ISERROR(MATCH(F770,Код_КВР,0)),"",INDIRECT(ADDRESS(MATCH(F770,Код_КВР,0)+1,2,,,"КВР")))</f>
        <v>Субсидии бюджетным учреждениям</v>
      </c>
      <c r="B770" s="54">
        <v>808</v>
      </c>
      <c r="C770" s="57" t="s">
        <v>196</v>
      </c>
      <c r="D770" s="57" t="s">
        <v>190</v>
      </c>
      <c r="E770" s="54" t="s">
        <v>502</v>
      </c>
      <c r="F770" s="54">
        <v>610</v>
      </c>
      <c r="G770" s="62"/>
      <c r="H770" s="62"/>
    </row>
    <row r="771" spans="1:8" ht="12.75" hidden="1">
      <c r="A771" s="55" t="str">
        <f ca="1">IF(ISERROR(MATCH(E771,Код_КЦСР,0)),"",INDIRECT(ADDRESS(MATCH(E771,Код_КЦСР,0)+1,2,,,"КЦСР")))</f>
        <v>Развитие библиотечного дела</v>
      </c>
      <c r="B771" s="54">
        <v>808</v>
      </c>
      <c r="C771" s="57" t="s">
        <v>196</v>
      </c>
      <c r="D771" s="57" t="s">
        <v>190</v>
      </c>
      <c r="E771" s="54" t="s">
        <v>379</v>
      </c>
      <c r="F771" s="54"/>
      <c r="G771" s="62">
        <f aca="true" t="shared" si="350" ref="G771:H771">G772+G775</f>
        <v>0</v>
      </c>
      <c r="H771" s="62">
        <f t="shared" si="350"/>
        <v>0</v>
      </c>
    </row>
    <row r="772" spans="1:8" ht="12.75" hidden="1">
      <c r="A772" s="55" t="str">
        <f ca="1">IF(ISERROR(MATCH(E772,Код_КЦСР,0)),"",INDIRECT(ADDRESS(MATCH(E772,Код_КЦСР,0)+1,2,,,"КЦСР")))</f>
        <v>Формирование и учет фондов библиотеки</v>
      </c>
      <c r="B772" s="54">
        <v>808</v>
      </c>
      <c r="C772" s="57" t="s">
        <v>196</v>
      </c>
      <c r="D772" s="57" t="s">
        <v>190</v>
      </c>
      <c r="E772" s="54" t="s">
        <v>382</v>
      </c>
      <c r="F772" s="54"/>
      <c r="G772" s="62">
        <f aca="true" t="shared" si="351" ref="G772:H772">G773</f>
        <v>0</v>
      </c>
      <c r="H772" s="62">
        <f t="shared" si="351"/>
        <v>0</v>
      </c>
    </row>
    <row r="773" spans="1:8" ht="33" hidden="1">
      <c r="A773" s="55" t="str">
        <f ca="1">IF(ISERROR(MATCH(F773,Код_КВР,0)),"",INDIRECT(ADDRESS(MATCH(F773,Код_КВР,0)+1,2,,,"КВР")))</f>
        <v>Предоставление субсидий бюджетным, автономным учреждениям и иным некоммерческим организациям</v>
      </c>
      <c r="B773" s="54">
        <v>808</v>
      </c>
      <c r="C773" s="57" t="s">
        <v>196</v>
      </c>
      <c r="D773" s="57" t="s">
        <v>190</v>
      </c>
      <c r="E773" s="54" t="s">
        <v>382</v>
      </c>
      <c r="F773" s="54">
        <v>600</v>
      </c>
      <c r="G773" s="62">
        <f aca="true" t="shared" si="352" ref="G773:H773">G774</f>
        <v>0</v>
      </c>
      <c r="H773" s="62">
        <f t="shared" si="352"/>
        <v>0</v>
      </c>
    </row>
    <row r="774" spans="1:8" ht="12.75" hidden="1">
      <c r="A774" s="55" t="str">
        <f ca="1">IF(ISERROR(MATCH(F774,Код_КВР,0)),"",INDIRECT(ADDRESS(MATCH(F774,Код_КВР,0)+1,2,,,"КВР")))</f>
        <v>Субсидии бюджетным учреждениям</v>
      </c>
      <c r="B774" s="54">
        <v>808</v>
      </c>
      <c r="C774" s="57" t="s">
        <v>196</v>
      </c>
      <c r="D774" s="57" t="s">
        <v>190</v>
      </c>
      <c r="E774" s="54" t="s">
        <v>382</v>
      </c>
      <c r="F774" s="54">
        <v>610</v>
      </c>
      <c r="G774" s="62"/>
      <c r="H774" s="62"/>
    </row>
    <row r="775" spans="1:8" ht="35.65" customHeight="1" hidden="1">
      <c r="A775" s="55" t="str">
        <f ca="1">IF(ISERROR(MATCH(E775,Код_КЦСР,0)),"",INDIRECT(ADDRESS(MATCH(E775,Код_КЦСР,0)+1,2,,,"КЦСР")))</f>
        <v>Предоставление пользователям информационных продуктов, подписка на печатные периодические издания</v>
      </c>
      <c r="B775" s="54">
        <v>808</v>
      </c>
      <c r="C775" s="57" t="s">
        <v>196</v>
      </c>
      <c r="D775" s="57" t="s">
        <v>190</v>
      </c>
      <c r="E775" s="54" t="s">
        <v>506</v>
      </c>
      <c r="F775" s="54"/>
      <c r="G775" s="62">
        <f aca="true" t="shared" si="353" ref="G775:H775">G776</f>
        <v>0</v>
      </c>
      <c r="H775" s="62">
        <f t="shared" si="353"/>
        <v>0</v>
      </c>
    </row>
    <row r="776" spans="1:8" ht="33" hidden="1">
      <c r="A776" s="55" t="str">
        <f ca="1">IF(ISERROR(MATCH(F776,Код_КВР,0)),"",INDIRECT(ADDRESS(MATCH(F776,Код_КВР,0)+1,2,,,"КВР")))</f>
        <v>Предоставление субсидий бюджетным, автономным учреждениям и иным некоммерческим организациям</v>
      </c>
      <c r="B776" s="54">
        <v>808</v>
      </c>
      <c r="C776" s="57" t="s">
        <v>196</v>
      </c>
      <c r="D776" s="57" t="s">
        <v>190</v>
      </c>
      <c r="E776" s="54" t="s">
        <v>506</v>
      </c>
      <c r="F776" s="54">
        <v>600</v>
      </c>
      <c r="G776" s="62">
        <f aca="true" t="shared" si="354" ref="G776:H776">G777</f>
        <v>0</v>
      </c>
      <c r="H776" s="62">
        <f t="shared" si="354"/>
        <v>0</v>
      </c>
    </row>
    <row r="777" spans="1:8" ht="12.75" hidden="1">
      <c r="A777" s="55" t="str">
        <f ca="1">IF(ISERROR(MATCH(F777,Код_КВР,0)),"",INDIRECT(ADDRESS(MATCH(F777,Код_КВР,0)+1,2,,,"КВР")))</f>
        <v>Субсидии бюджетным учреждениям</v>
      </c>
      <c r="B777" s="54">
        <v>808</v>
      </c>
      <c r="C777" s="57" t="s">
        <v>196</v>
      </c>
      <c r="D777" s="57" t="s">
        <v>190</v>
      </c>
      <c r="E777" s="54" t="s">
        <v>506</v>
      </c>
      <c r="F777" s="54">
        <v>610</v>
      </c>
      <c r="G777" s="62"/>
      <c r="H777" s="62"/>
    </row>
    <row r="778" spans="1:8" ht="19.7" customHeight="1" hidden="1">
      <c r="A778" s="55" t="str">
        <f ca="1">IF(ISERROR(MATCH(E778,Код_КЦСР,0)),"",INDIRECT(ADDRESS(MATCH(E778,Код_КЦСР,0)+1,2,,,"КЦСР")))</f>
        <v>Совершенствование культурно-досуговой деятельности</v>
      </c>
      <c r="B778" s="54">
        <v>808</v>
      </c>
      <c r="C778" s="57" t="s">
        <v>196</v>
      </c>
      <c r="D778" s="57" t="s">
        <v>190</v>
      </c>
      <c r="E778" s="54" t="s">
        <v>388</v>
      </c>
      <c r="F778" s="54"/>
      <c r="G778" s="62">
        <f aca="true" t="shared" si="355" ref="G778:H778">G779+G782</f>
        <v>0</v>
      </c>
      <c r="H778" s="62">
        <f t="shared" si="355"/>
        <v>0</v>
      </c>
    </row>
    <row r="779" spans="1:8" ht="21.95" customHeight="1" hidden="1">
      <c r="A779" s="55" t="str">
        <f ca="1">IF(ISERROR(MATCH(E779,Код_КЦСР,0)),"",INDIRECT(ADDRESS(MATCH(E779,Код_КЦСР,0)+1,2,,,"КЦСР")))</f>
        <v>Укрепление материально-технической базы муниципальных учреждений</v>
      </c>
      <c r="B779" s="54">
        <v>808</v>
      </c>
      <c r="C779" s="57" t="s">
        <v>196</v>
      </c>
      <c r="D779" s="57" t="s">
        <v>190</v>
      </c>
      <c r="E779" s="54" t="s">
        <v>508</v>
      </c>
      <c r="F779" s="54"/>
      <c r="G779" s="62"/>
      <c r="H779" s="62"/>
    </row>
    <row r="780" spans="1:8" ht="33" hidden="1">
      <c r="A780" s="55" t="str">
        <f ca="1">IF(ISERROR(MATCH(F780,Код_КВР,0)),"",INDIRECT(ADDRESS(MATCH(F780,Код_КВР,0)+1,2,,,"КВР")))</f>
        <v>Предоставление субсидий бюджетным, автономным учреждениям и иным некоммерческим организациям</v>
      </c>
      <c r="B780" s="54">
        <v>808</v>
      </c>
      <c r="C780" s="57" t="s">
        <v>196</v>
      </c>
      <c r="D780" s="57" t="s">
        <v>190</v>
      </c>
      <c r="E780" s="54" t="s">
        <v>508</v>
      </c>
      <c r="F780" s="54">
        <v>600</v>
      </c>
      <c r="G780" s="62"/>
      <c r="H780" s="62"/>
    </row>
    <row r="781" spans="1:8" ht="12.75" hidden="1">
      <c r="A781" s="55" t="str">
        <f ca="1">IF(ISERROR(MATCH(F781,Код_КВР,0)),"",INDIRECT(ADDRESS(MATCH(F781,Код_КВР,0)+1,2,,,"КВР")))</f>
        <v>Субсидии бюджетным учреждениям</v>
      </c>
      <c r="B781" s="54">
        <v>808</v>
      </c>
      <c r="C781" s="57" t="s">
        <v>196</v>
      </c>
      <c r="D781" s="57" t="s">
        <v>190</v>
      </c>
      <c r="E781" s="54" t="s">
        <v>508</v>
      </c>
      <c r="F781" s="54">
        <v>610</v>
      </c>
      <c r="G781" s="62"/>
      <c r="H781" s="62"/>
    </row>
    <row r="782" spans="1:8" ht="35.65" customHeight="1" hidden="1">
      <c r="A782" s="55" t="str">
        <f ca="1">IF(ISERROR(MATCH(E782,Код_КЦСР,0)),"",INDIRECT(ADDRESS(MATCH(E782,Код_КЦСР,0)+1,2,,,"КЦСР")))</f>
        <v>Приобщение населения города к народным традициям, старинному быту и обычаям русского народа</v>
      </c>
      <c r="B782" s="54">
        <v>808</v>
      </c>
      <c r="C782" s="57" t="s">
        <v>196</v>
      </c>
      <c r="D782" s="57" t="s">
        <v>190</v>
      </c>
      <c r="E782" s="54" t="s">
        <v>509</v>
      </c>
      <c r="F782" s="54"/>
      <c r="G782" s="62">
        <f aca="true" t="shared" si="356" ref="G782:H782">G783</f>
        <v>0</v>
      </c>
      <c r="H782" s="62">
        <f t="shared" si="356"/>
        <v>0</v>
      </c>
    </row>
    <row r="783" spans="1:8" ht="33" hidden="1">
      <c r="A783" s="55" t="str">
        <f ca="1">IF(ISERROR(MATCH(F783,Код_КВР,0)),"",INDIRECT(ADDRESS(MATCH(F783,Код_КВР,0)+1,2,,,"КВР")))</f>
        <v>Предоставление субсидий бюджетным, автономным учреждениям и иным некоммерческим организациям</v>
      </c>
      <c r="B783" s="54">
        <v>808</v>
      </c>
      <c r="C783" s="57" t="s">
        <v>196</v>
      </c>
      <c r="D783" s="57" t="s">
        <v>190</v>
      </c>
      <c r="E783" s="54" t="s">
        <v>509</v>
      </c>
      <c r="F783" s="54">
        <v>600</v>
      </c>
      <c r="G783" s="62"/>
      <c r="H783" s="62"/>
    </row>
    <row r="784" spans="1:8" ht="12.75" hidden="1">
      <c r="A784" s="55" t="str">
        <f ca="1">IF(ISERROR(MATCH(F784,Код_КВР,0)),"",INDIRECT(ADDRESS(MATCH(F784,Код_КВР,0)+1,2,,,"КВР")))</f>
        <v>Субсидии бюджетным учреждениям</v>
      </c>
      <c r="B784" s="54">
        <v>808</v>
      </c>
      <c r="C784" s="57" t="s">
        <v>196</v>
      </c>
      <c r="D784" s="57" t="s">
        <v>190</v>
      </c>
      <c r="E784" s="54" t="s">
        <v>509</v>
      </c>
      <c r="F784" s="54">
        <v>610</v>
      </c>
      <c r="G784" s="62"/>
      <c r="H784" s="62"/>
    </row>
    <row r="785" spans="1:8" ht="20.45" customHeight="1" hidden="1">
      <c r="A785" s="55" t="str">
        <f ca="1">IF(ISERROR(MATCH(E785,Код_КЦСР,0)),"",INDIRECT(ADDRESS(MATCH(E785,Код_КЦСР,0)+1,2,,,"КЦСР")))</f>
        <v>Развитие исполнительских искусств</v>
      </c>
      <c r="B785" s="54">
        <v>808</v>
      </c>
      <c r="C785" s="57" t="s">
        <v>196</v>
      </c>
      <c r="D785" s="57" t="s">
        <v>190</v>
      </c>
      <c r="E785" s="54" t="s">
        <v>393</v>
      </c>
      <c r="F785" s="54"/>
      <c r="G785" s="62"/>
      <c r="H785" s="62"/>
    </row>
    <row r="786" spans="1:8" ht="33" hidden="1">
      <c r="A786" s="55" t="str">
        <f ca="1">IF(ISERROR(MATCH(E786,Код_КЦСР,0)),"",INDIRECT(ADDRESS(MATCH(E786,Код_КЦСР,0)+1,2,,,"КЦСР")))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786" s="54">
        <v>808</v>
      </c>
      <c r="C786" s="57" t="s">
        <v>196</v>
      </c>
      <c r="D786" s="57" t="s">
        <v>190</v>
      </c>
      <c r="E786" s="54" t="s">
        <v>513</v>
      </c>
      <c r="F786" s="54"/>
      <c r="G786" s="62">
        <f aca="true" t="shared" si="357" ref="G786:H787">G787</f>
        <v>0</v>
      </c>
      <c r="H786" s="62">
        <f t="shared" si="357"/>
        <v>0</v>
      </c>
    </row>
    <row r="787" spans="1:8" ht="33" hidden="1">
      <c r="A787" s="55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54">
        <v>808</v>
      </c>
      <c r="C787" s="57" t="s">
        <v>196</v>
      </c>
      <c r="D787" s="57" t="s">
        <v>190</v>
      </c>
      <c r="E787" s="54" t="s">
        <v>513</v>
      </c>
      <c r="F787" s="54">
        <v>600</v>
      </c>
      <c r="G787" s="62">
        <f t="shared" si="357"/>
        <v>0</v>
      </c>
      <c r="H787" s="62">
        <f t="shared" si="357"/>
        <v>0</v>
      </c>
    </row>
    <row r="788" spans="1:8" ht="12.75" hidden="1">
      <c r="A788" s="55" t="str">
        <f ca="1">IF(ISERROR(MATCH(F788,Код_КВР,0)),"",INDIRECT(ADDRESS(MATCH(F788,Код_КВР,0)+1,2,,,"КВР")))</f>
        <v>Субсидии автономным учреждениям</v>
      </c>
      <c r="B788" s="54">
        <v>808</v>
      </c>
      <c r="C788" s="57" t="s">
        <v>196</v>
      </c>
      <c r="D788" s="57" t="s">
        <v>190</v>
      </c>
      <c r="E788" s="54" t="s">
        <v>513</v>
      </c>
      <c r="F788" s="54">
        <v>620</v>
      </c>
      <c r="G788" s="62"/>
      <c r="H788" s="62"/>
    </row>
    <row r="789" spans="1:8" ht="24.2" customHeight="1" hidden="1">
      <c r="A789" s="55" t="str">
        <f ca="1">IF(ISERROR(MATCH(E789,Код_КЦСР,0)),"",INDIRECT(ADDRESS(MATCH(E789,Код_КЦСР,0)+1,2,,,"КЦСР")))</f>
        <v>Формирование постиндустриального образа города Череповца</v>
      </c>
      <c r="B789" s="54">
        <v>808</v>
      </c>
      <c r="C789" s="57" t="s">
        <v>196</v>
      </c>
      <c r="D789" s="57" t="s">
        <v>190</v>
      </c>
      <c r="E789" s="54" t="s">
        <v>396</v>
      </c>
      <c r="F789" s="54"/>
      <c r="G789" s="62">
        <f aca="true" t="shared" si="358" ref="G789:H791">G790</f>
        <v>0</v>
      </c>
      <c r="H789" s="62">
        <f t="shared" si="358"/>
        <v>0</v>
      </c>
    </row>
    <row r="790" spans="1:8" ht="24.2" customHeight="1" hidden="1">
      <c r="A790" s="55" t="str">
        <f ca="1">IF(ISERROR(MATCH(E790,Код_КЦСР,0)),"",INDIRECT(ADDRESS(MATCH(E790,Код_КЦСР,0)+1,2,,,"КЦСР")))</f>
        <v xml:space="preserve">Организация и проведение городских культурно- массовых мероприятий </v>
      </c>
      <c r="B790" s="54">
        <v>808</v>
      </c>
      <c r="C790" s="57" t="s">
        <v>196</v>
      </c>
      <c r="D790" s="57" t="s">
        <v>190</v>
      </c>
      <c r="E790" s="54" t="s">
        <v>398</v>
      </c>
      <c r="F790" s="54"/>
      <c r="G790" s="62">
        <f t="shared" si="358"/>
        <v>0</v>
      </c>
      <c r="H790" s="62">
        <f t="shared" si="358"/>
        <v>0</v>
      </c>
    </row>
    <row r="791" spans="1:8" ht="33" hidden="1">
      <c r="A791" s="55" t="str">
        <f ca="1">IF(ISERROR(MATCH(F791,Код_КВР,0)),"",INDIRECT(ADDRESS(MATCH(F791,Код_КВР,0)+1,2,,,"КВР")))</f>
        <v>Предоставление субсидий бюджетным, автономным учреждениям и иным некоммерческим организациям</v>
      </c>
      <c r="B791" s="54">
        <v>808</v>
      </c>
      <c r="C791" s="57" t="s">
        <v>196</v>
      </c>
      <c r="D791" s="57" t="s">
        <v>190</v>
      </c>
      <c r="E791" s="54" t="s">
        <v>398</v>
      </c>
      <c r="F791" s="54">
        <v>600</v>
      </c>
      <c r="G791" s="62">
        <f t="shared" si="358"/>
        <v>0</v>
      </c>
      <c r="H791" s="62">
        <f t="shared" si="358"/>
        <v>0</v>
      </c>
    </row>
    <row r="792" spans="1:8" ht="12.75" hidden="1">
      <c r="A792" s="55" t="str">
        <f ca="1">IF(ISERROR(MATCH(F792,Код_КВР,0)),"",INDIRECT(ADDRESS(MATCH(F792,Код_КВР,0)+1,2,,,"КВР")))</f>
        <v>Субсидии бюджетным учреждениям</v>
      </c>
      <c r="B792" s="54">
        <v>808</v>
      </c>
      <c r="C792" s="57" t="s">
        <v>196</v>
      </c>
      <c r="D792" s="57" t="s">
        <v>190</v>
      </c>
      <c r="E792" s="54" t="s">
        <v>398</v>
      </c>
      <c r="F792" s="54">
        <v>610</v>
      </c>
      <c r="G792" s="62"/>
      <c r="H792" s="62"/>
    </row>
    <row r="793" spans="1:8" ht="12.75" hidden="1">
      <c r="A793" s="55" t="str">
        <f ca="1">IF(ISERROR(MATCH(E793,Код_КЦСР,0)),"",INDIRECT(ADDRESS(MATCH(E793,Код_КЦСР,0)+1,2,,,"КЦСР")))</f>
        <v>Развитие кадрового потенциала отрасли</v>
      </c>
      <c r="B793" s="54">
        <v>808</v>
      </c>
      <c r="C793" s="57" t="s">
        <v>196</v>
      </c>
      <c r="D793" s="57" t="s">
        <v>190</v>
      </c>
      <c r="E793" s="54" t="s">
        <v>517</v>
      </c>
      <c r="F793" s="54"/>
      <c r="G793" s="62">
        <f aca="true" t="shared" si="359" ref="G793:H795">G794</f>
        <v>0</v>
      </c>
      <c r="H793" s="62">
        <f t="shared" si="359"/>
        <v>0</v>
      </c>
    </row>
    <row r="794" spans="1:8" ht="12.75" hidden="1">
      <c r="A794" s="55" t="str">
        <f ca="1">IF(ISERROR(MATCH(E794,Код_КЦСР,0)),"",INDIRECT(ADDRESS(MATCH(E794,Код_КЦСР,0)+1,2,,,"КЦСР")))</f>
        <v>Сохранение и укрепление кадрового состава учреждений</v>
      </c>
      <c r="B794" s="54">
        <v>808</v>
      </c>
      <c r="C794" s="57" t="s">
        <v>196</v>
      </c>
      <c r="D794" s="57" t="s">
        <v>190</v>
      </c>
      <c r="E794" s="54" t="s">
        <v>518</v>
      </c>
      <c r="F794" s="54"/>
      <c r="G794" s="62">
        <f t="shared" si="359"/>
        <v>0</v>
      </c>
      <c r="H794" s="62">
        <f t="shared" si="359"/>
        <v>0</v>
      </c>
    </row>
    <row r="795" spans="1:8" ht="33" hidden="1">
      <c r="A795" s="55" t="str">
        <f ca="1">IF(ISERROR(MATCH(F795,Код_КВР,0)),"",INDIRECT(ADDRESS(MATCH(F795,Код_КВР,0)+1,2,,,"КВР")))</f>
        <v>Предоставление субсидий бюджетным, автономным учреждениям и иным некоммерческим организациям</v>
      </c>
      <c r="B795" s="54">
        <v>808</v>
      </c>
      <c r="C795" s="57" t="s">
        <v>196</v>
      </c>
      <c r="D795" s="57" t="s">
        <v>190</v>
      </c>
      <c r="E795" s="54" t="s">
        <v>518</v>
      </c>
      <c r="F795" s="54">
        <v>600</v>
      </c>
      <c r="G795" s="62">
        <f t="shared" si="359"/>
        <v>0</v>
      </c>
      <c r="H795" s="62">
        <f t="shared" si="359"/>
        <v>0</v>
      </c>
    </row>
    <row r="796" spans="1:8" ht="12.75" hidden="1">
      <c r="A796" s="55" t="str">
        <f ca="1">IF(ISERROR(MATCH(F796,Код_КВР,0)),"",INDIRECT(ADDRESS(MATCH(F796,Код_КВР,0)+1,2,,,"КВР")))</f>
        <v>Субсидии бюджетным учреждениям</v>
      </c>
      <c r="B796" s="54">
        <v>808</v>
      </c>
      <c r="C796" s="57" t="s">
        <v>196</v>
      </c>
      <c r="D796" s="57" t="s">
        <v>190</v>
      </c>
      <c r="E796" s="54" t="s">
        <v>518</v>
      </c>
      <c r="F796" s="54">
        <v>610</v>
      </c>
      <c r="G796" s="62"/>
      <c r="H796" s="62"/>
    </row>
    <row r="797" spans="1:8" ht="33">
      <c r="A797" s="55" t="str">
        <f ca="1">IF(ISERROR(MATCH(E797,Код_КЦСР,0)),"",INDIRECT(ADDRESS(MATCH(E797,Код_КЦСР,0)+1,2,,,"КЦСР")))</f>
        <v>Муниципальная программа «Охрана окружающей среды» на 2013-2022 годы</v>
      </c>
      <c r="B797" s="54">
        <v>808</v>
      </c>
      <c r="C797" s="57" t="s">
        <v>196</v>
      </c>
      <c r="D797" s="57" t="s">
        <v>190</v>
      </c>
      <c r="E797" s="54" t="s">
        <v>424</v>
      </c>
      <c r="F797" s="54"/>
      <c r="G797" s="62">
        <f aca="true" t="shared" si="360" ref="G797:H799">G798</f>
        <v>20</v>
      </c>
      <c r="H797" s="62">
        <f t="shared" si="360"/>
        <v>30</v>
      </c>
    </row>
    <row r="798" spans="1:8" ht="31.35" customHeight="1">
      <c r="A798" s="55" t="str">
        <f ca="1">IF(ISERROR(MATCH(E798,Код_КЦСР,0)),"",INDIRECT(ADDRESS(MATCH(E798,Код_КЦСР,0)+1,2,,,"КЦСР")))</f>
        <v>Организация мероприятий по экологическому образованию и воспитанию населения</v>
      </c>
      <c r="B798" s="54">
        <v>808</v>
      </c>
      <c r="C798" s="57" t="s">
        <v>196</v>
      </c>
      <c r="D798" s="57" t="s">
        <v>190</v>
      </c>
      <c r="E798" s="54" t="s">
        <v>428</v>
      </c>
      <c r="F798" s="54"/>
      <c r="G798" s="62">
        <f t="shared" si="360"/>
        <v>20</v>
      </c>
      <c r="H798" s="62">
        <f t="shared" si="360"/>
        <v>30</v>
      </c>
    </row>
    <row r="799" spans="1:8" ht="33">
      <c r="A799" s="55" t="str">
        <f ca="1">IF(ISERROR(MATCH(F799,Код_КВР,0)),"",INDIRECT(ADDRESS(MATCH(F799,Код_КВР,0)+1,2,,,"КВР")))</f>
        <v>Предоставление субсидий бюджетным, автономным учреждениям и иным некоммерческим организациям</v>
      </c>
      <c r="B799" s="54">
        <v>808</v>
      </c>
      <c r="C799" s="57" t="s">
        <v>196</v>
      </c>
      <c r="D799" s="57" t="s">
        <v>190</v>
      </c>
      <c r="E799" s="54" t="s">
        <v>428</v>
      </c>
      <c r="F799" s="54">
        <v>600</v>
      </c>
      <c r="G799" s="62">
        <f t="shared" si="360"/>
        <v>20</v>
      </c>
      <c r="H799" s="62">
        <f t="shared" si="360"/>
        <v>30</v>
      </c>
    </row>
    <row r="800" spans="1:8" ht="12.75">
      <c r="A800" s="55" t="str">
        <f ca="1">IF(ISERROR(MATCH(F800,Код_КВР,0)),"",INDIRECT(ADDRESS(MATCH(F800,Код_КВР,0)+1,2,,,"КВР")))</f>
        <v>Субсидии бюджетным учреждениям</v>
      </c>
      <c r="B800" s="54">
        <v>808</v>
      </c>
      <c r="C800" s="57" t="s">
        <v>196</v>
      </c>
      <c r="D800" s="57" t="s">
        <v>190</v>
      </c>
      <c r="E800" s="54" t="s">
        <v>428</v>
      </c>
      <c r="F800" s="54">
        <v>610</v>
      </c>
      <c r="G800" s="62">
        <v>20</v>
      </c>
      <c r="H800" s="62">
        <v>30</v>
      </c>
    </row>
    <row r="801" spans="1:8" ht="12.75">
      <c r="A801" s="55" t="str">
        <f ca="1">IF(ISERROR(MATCH(E801,Код_КЦСР,0)),"",INDIRECT(ADDRESS(MATCH(E801,Код_КЦСР,0)+1,2,,,"КЦСР")))</f>
        <v>Муниципальная программа «Здоровый город» на 2014-2022 годы</v>
      </c>
      <c r="B801" s="54">
        <v>808</v>
      </c>
      <c r="C801" s="57" t="s">
        <v>196</v>
      </c>
      <c r="D801" s="57" t="s">
        <v>190</v>
      </c>
      <c r="E801" s="54" t="s">
        <v>450</v>
      </c>
      <c r="F801" s="54"/>
      <c r="G801" s="62">
        <f aca="true" t="shared" si="361" ref="G801:H801">G802+G805+G808</f>
        <v>148.4</v>
      </c>
      <c r="H801" s="62">
        <f t="shared" si="361"/>
        <v>148.4</v>
      </c>
    </row>
    <row r="802" spans="1:8" ht="12.75" hidden="1">
      <c r="A802" s="55" t="str">
        <f ca="1">IF(ISERROR(MATCH(E802,Код_КЦСР,0)),"",INDIRECT(ADDRESS(MATCH(E802,Код_КЦСР,0)+1,2,,,"КЦСР")))</f>
        <v>Сохранение и укрепление здоровья детей и подростков</v>
      </c>
      <c r="B802" s="54">
        <v>808</v>
      </c>
      <c r="C802" s="57" t="s">
        <v>196</v>
      </c>
      <c r="D802" s="57" t="s">
        <v>190</v>
      </c>
      <c r="E802" s="54" t="s">
        <v>453</v>
      </c>
      <c r="F802" s="54"/>
      <c r="G802" s="62">
        <f aca="true" t="shared" si="362" ref="G802:H803">G803</f>
        <v>0</v>
      </c>
      <c r="H802" s="62">
        <f t="shared" si="362"/>
        <v>0</v>
      </c>
    </row>
    <row r="803" spans="1:8" ht="33" hidden="1">
      <c r="A803" s="55" t="str">
        <f ca="1">IF(ISERROR(MATCH(F803,Код_КВР,0)),"",INDIRECT(ADDRESS(MATCH(F803,Код_КВР,0)+1,2,,,"КВР")))</f>
        <v>Предоставление субсидий бюджетным, автономным учреждениям и иным некоммерческим организациям</v>
      </c>
      <c r="B803" s="54">
        <v>808</v>
      </c>
      <c r="C803" s="57" t="s">
        <v>196</v>
      </c>
      <c r="D803" s="57" t="s">
        <v>190</v>
      </c>
      <c r="E803" s="54" t="s">
        <v>453</v>
      </c>
      <c r="F803" s="54">
        <v>600</v>
      </c>
      <c r="G803" s="62">
        <f t="shared" si="362"/>
        <v>0</v>
      </c>
      <c r="H803" s="62">
        <f t="shared" si="362"/>
        <v>0</v>
      </c>
    </row>
    <row r="804" spans="1:8" ht="12.75" hidden="1">
      <c r="A804" s="55" t="str">
        <f ca="1">IF(ISERROR(MATCH(F804,Код_КВР,0)),"",INDIRECT(ADDRESS(MATCH(F804,Код_КВР,0)+1,2,,,"КВР")))</f>
        <v>Субсидии бюджетным учреждениям</v>
      </c>
      <c r="B804" s="54">
        <v>808</v>
      </c>
      <c r="C804" s="57" t="s">
        <v>196</v>
      </c>
      <c r="D804" s="57" t="s">
        <v>190</v>
      </c>
      <c r="E804" s="54" t="s">
        <v>453</v>
      </c>
      <c r="F804" s="54">
        <v>610</v>
      </c>
      <c r="G804" s="62"/>
      <c r="H804" s="62"/>
    </row>
    <row r="805" spans="1:8" ht="24" customHeight="1">
      <c r="A805" s="55" t="str">
        <f ca="1">IF(ISERROR(MATCH(E805,Код_КЦСР,0)),"",INDIRECT(ADDRESS(MATCH(E805,Код_КЦСР,0)+1,2,,,"КЦСР")))</f>
        <v>Пропаганда здорового образа жизни</v>
      </c>
      <c r="B805" s="54">
        <v>808</v>
      </c>
      <c r="C805" s="57" t="s">
        <v>196</v>
      </c>
      <c r="D805" s="57" t="s">
        <v>190</v>
      </c>
      <c r="E805" s="54" t="s">
        <v>455</v>
      </c>
      <c r="F805" s="54"/>
      <c r="G805" s="62">
        <f aca="true" t="shared" si="363" ref="G805:H805">G806</f>
        <v>148.4</v>
      </c>
      <c r="H805" s="62">
        <f t="shared" si="363"/>
        <v>148.4</v>
      </c>
    </row>
    <row r="806" spans="1:8" ht="33">
      <c r="A806" s="55" t="str">
        <f ca="1">IF(ISERROR(MATCH(F806,Код_КВР,0)),"",INDIRECT(ADDRESS(MATCH(F806,Код_КВР,0)+1,2,,,"КВР")))</f>
        <v>Предоставление субсидий бюджетным, автономным учреждениям и иным некоммерческим организациям</v>
      </c>
      <c r="B806" s="54">
        <v>808</v>
      </c>
      <c r="C806" s="57" t="s">
        <v>196</v>
      </c>
      <c r="D806" s="57" t="s">
        <v>190</v>
      </c>
      <c r="E806" s="54" t="s">
        <v>455</v>
      </c>
      <c r="F806" s="54">
        <v>600</v>
      </c>
      <c r="G806" s="62">
        <f aca="true" t="shared" si="364" ref="G806:H806">G807</f>
        <v>148.4</v>
      </c>
      <c r="H806" s="62">
        <f t="shared" si="364"/>
        <v>148.4</v>
      </c>
    </row>
    <row r="807" spans="1:8" ht="12.75">
      <c r="A807" s="55" t="str">
        <f ca="1">IF(ISERROR(MATCH(F807,Код_КВР,0)),"",INDIRECT(ADDRESS(MATCH(F807,Код_КВР,0)+1,2,,,"КВР")))</f>
        <v>Субсидии бюджетным учреждениям</v>
      </c>
      <c r="B807" s="54">
        <v>808</v>
      </c>
      <c r="C807" s="57" t="s">
        <v>196</v>
      </c>
      <c r="D807" s="57" t="s">
        <v>190</v>
      </c>
      <c r="E807" s="54" t="s">
        <v>455</v>
      </c>
      <c r="F807" s="54">
        <v>610</v>
      </c>
      <c r="G807" s="62">
        <v>148.4</v>
      </c>
      <c r="H807" s="62">
        <v>148.4</v>
      </c>
    </row>
    <row r="808" spans="1:8" ht="12.75" hidden="1">
      <c r="A808" s="55" t="str">
        <f ca="1">IF(ISERROR(MATCH(E808,Код_КЦСР,0)),"",INDIRECT(ADDRESS(MATCH(E808,Код_КЦСР,0)+1,2,,,"КЦСР")))</f>
        <v>Здоровье на рабочем месте</v>
      </c>
      <c r="B808" s="54">
        <v>808</v>
      </c>
      <c r="C808" s="57" t="s">
        <v>196</v>
      </c>
      <c r="D808" s="57" t="s">
        <v>190</v>
      </c>
      <c r="E808" s="54" t="s">
        <v>457</v>
      </c>
      <c r="F808" s="54"/>
      <c r="G808" s="62">
        <f aca="true" t="shared" si="365" ref="G808:H809">G809</f>
        <v>0</v>
      </c>
      <c r="H808" s="62">
        <f t="shared" si="365"/>
        <v>0</v>
      </c>
    </row>
    <row r="809" spans="1:8" ht="12.75" hidden="1">
      <c r="A809" s="55" t="str">
        <f ca="1">IF(ISERROR(MATCH(F809,Код_КВР,0)),"",INDIRECT(ADDRESS(MATCH(F809,Код_КВР,0)+1,2,,,"КВР")))</f>
        <v>Закупка товаров, работ и услуг для муниципальных нужд</v>
      </c>
      <c r="B809" s="54">
        <v>808</v>
      </c>
      <c r="C809" s="57" t="s">
        <v>196</v>
      </c>
      <c r="D809" s="57" t="s">
        <v>190</v>
      </c>
      <c r="E809" s="54" t="s">
        <v>457</v>
      </c>
      <c r="F809" s="54">
        <v>200</v>
      </c>
      <c r="G809" s="62">
        <f t="shared" si="365"/>
        <v>0</v>
      </c>
      <c r="H809" s="62">
        <f t="shared" si="365"/>
        <v>0</v>
      </c>
    </row>
    <row r="810" spans="1:8" ht="33" hidden="1">
      <c r="A810" s="55" t="str">
        <f ca="1">IF(ISERROR(MATCH(F810,Код_КВР,0)),"",INDIRECT(ADDRESS(MATCH(F810,Код_КВР,0)+1,2,,,"КВР")))</f>
        <v>Иные закупки товаров, работ и услуг для обеспечения муниципальных нужд</v>
      </c>
      <c r="B810" s="54">
        <v>808</v>
      </c>
      <c r="C810" s="57" t="s">
        <v>196</v>
      </c>
      <c r="D810" s="57" t="s">
        <v>190</v>
      </c>
      <c r="E810" s="54" t="s">
        <v>457</v>
      </c>
      <c r="F810" s="54">
        <v>240</v>
      </c>
      <c r="G810" s="62"/>
      <c r="H810" s="62"/>
    </row>
    <row r="811" spans="1:8" ht="33">
      <c r="A811" s="55" t="str">
        <f ca="1">IF(ISERROR(MATCH(E811,Код_КЦСР,0)),"",INDIRECT(ADDRESS(MATCH(E811,Код_КЦСР,0)+1,2,,,"КЦСР")))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11" s="54">
        <v>808</v>
      </c>
      <c r="C811" s="57" t="s">
        <v>196</v>
      </c>
      <c r="D811" s="57" t="s">
        <v>190</v>
      </c>
      <c r="E811" s="54" t="s">
        <v>75</v>
      </c>
      <c r="F811" s="54"/>
      <c r="G811" s="62">
        <f>G812</f>
        <v>709.9</v>
      </c>
      <c r="H811" s="62">
        <f aca="true" t="shared" si="366" ref="H811">H812</f>
        <v>708.9000000000001</v>
      </c>
    </row>
    <row r="812" spans="1:8" ht="24.75" customHeight="1">
      <c r="A812" s="55" t="str">
        <f ca="1">IF(ISERROR(MATCH(E812,Код_КЦСР,0)),"",INDIRECT(ADDRESS(MATCH(E812,Код_КЦСР,0)+1,2,,,"КЦСР")))</f>
        <v>Обеспечение пожарной безопасности муниципальных учреждений города</v>
      </c>
      <c r="B812" s="54">
        <v>808</v>
      </c>
      <c r="C812" s="57" t="s">
        <v>196</v>
      </c>
      <c r="D812" s="57" t="s">
        <v>190</v>
      </c>
      <c r="E812" s="54" t="s">
        <v>77</v>
      </c>
      <c r="F812" s="54"/>
      <c r="G812" s="62">
        <f aca="true" t="shared" si="367" ref="G812:H812">G813+G819+G816+G822+G825+G828</f>
        <v>709.9</v>
      </c>
      <c r="H812" s="62">
        <f t="shared" si="367"/>
        <v>708.9000000000001</v>
      </c>
    </row>
    <row r="813" spans="1:8" ht="49.5">
      <c r="A813" s="55" t="str">
        <f ca="1">IF(ISERROR(MATCH(E813,Код_КЦСР,0)),"",INDIRECT(ADDRESS(MATCH(E813,Код_КЦСР,0)+1,2,,,"КЦСР")))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13" s="54">
        <v>808</v>
      </c>
      <c r="C813" s="57" t="s">
        <v>196</v>
      </c>
      <c r="D813" s="57" t="s">
        <v>190</v>
      </c>
      <c r="E813" s="54" t="s">
        <v>79</v>
      </c>
      <c r="F813" s="54"/>
      <c r="G813" s="62">
        <f aca="true" t="shared" si="368" ref="G813:H814">G814</f>
        <v>0</v>
      </c>
      <c r="H813" s="62">
        <f t="shared" si="368"/>
        <v>347.6</v>
      </c>
    </row>
    <row r="814" spans="1:8" ht="33">
      <c r="A814" s="55" t="str">
        <f ca="1">IF(ISERROR(MATCH(F814,Код_КВР,0)),"",INDIRECT(ADDRESS(MATCH(F814,Код_КВР,0)+1,2,,,"КВР")))</f>
        <v>Предоставление субсидий бюджетным, автономным учреждениям и иным некоммерческим организациям</v>
      </c>
      <c r="B814" s="54">
        <v>808</v>
      </c>
      <c r="C814" s="57" t="s">
        <v>196</v>
      </c>
      <c r="D814" s="57" t="s">
        <v>190</v>
      </c>
      <c r="E814" s="54" t="s">
        <v>79</v>
      </c>
      <c r="F814" s="54">
        <v>600</v>
      </c>
      <c r="G814" s="62">
        <f t="shared" si="368"/>
        <v>0</v>
      </c>
      <c r="H814" s="62">
        <f t="shared" si="368"/>
        <v>347.6</v>
      </c>
    </row>
    <row r="815" spans="1:8" ht="12.75">
      <c r="A815" s="55" t="str">
        <f ca="1">IF(ISERROR(MATCH(F815,Код_КВР,0)),"",INDIRECT(ADDRESS(MATCH(F815,Код_КВР,0)+1,2,,,"КВР")))</f>
        <v>Субсидии бюджетным учреждениям</v>
      </c>
      <c r="B815" s="54">
        <v>808</v>
      </c>
      <c r="C815" s="57" t="s">
        <v>196</v>
      </c>
      <c r="D815" s="57" t="s">
        <v>190</v>
      </c>
      <c r="E815" s="54" t="s">
        <v>79</v>
      </c>
      <c r="F815" s="54">
        <v>610</v>
      </c>
      <c r="G815" s="62"/>
      <c r="H815" s="62">
        <v>347.6</v>
      </c>
    </row>
    <row r="816" spans="1:8" ht="33">
      <c r="A816" s="55" t="str">
        <f ca="1">IF(ISERROR(MATCH(E816,Код_КЦСР,0)),"",INDIRECT(ADDRESS(MATCH(E816,Код_КЦСР,0)+1,2,,,"КЦСР")))</f>
        <v>Приобретение первичных средств пожаротушения, перезарядка огнетушителей</v>
      </c>
      <c r="B816" s="54">
        <v>808</v>
      </c>
      <c r="C816" s="57" t="s">
        <v>196</v>
      </c>
      <c r="D816" s="57" t="s">
        <v>190</v>
      </c>
      <c r="E816" s="54" t="s">
        <v>81</v>
      </c>
      <c r="F816" s="54"/>
      <c r="G816" s="62">
        <f>G817</f>
        <v>2.8</v>
      </c>
      <c r="H816" s="62"/>
    </row>
    <row r="817" spans="1:8" ht="33">
      <c r="A817" s="55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54">
        <v>808</v>
      </c>
      <c r="C817" s="57" t="s">
        <v>196</v>
      </c>
      <c r="D817" s="57" t="s">
        <v>190</v>
      </c>
      <c r="E817" s="54" t="s">
        <v>81</v>
      </c>
      <c r="F817" s="54">
        <v>600</v>
      </c>
      <c r="G817" s="62">
        <f>G818</f>
        <v>2.8</v>
      </c>
      <c r="H817" s="62"/>
    </row>
    <row r="818" spans="1:8" ht="12.75">
      <c r="A818" s="55" t="str">
        <f ca="1">IF(ISERROR(MATCH(F818,Код_КВР,0)),"",INDIRECT(ADDRESS(MATCH(F818,Код_КВР,0)+1,2,,,"КВР")))</f>
        <v>Субсидии бюджетным учреждениям</v>
      </c>
      <c r="B818" s="54">
        <v>808</v>
      </c>
      <c r="C818" s="57" t="s">
        <v>196</v>
      </c>
      <c r="D818" s="57" t="s">
        <v>190</v>
      </c>
      <c r="E818" s="54" t="s">
        <v>81</v>
      </c>
      <c r="F818" s="54">
        <v>610</v>
      </c>
      <c r="G818" s="62">
        <v>2.8</v>
      </c>
      <c r="H818" s="62"/>
    </row>
    <row r="819" spans="1:8" ht="26.25" customHeight="1">
      <c r="A819" s="55" t="str">
        <f ca="1">IF(ISERROR(MATCH(E819,Код_КЦСР,0)),"",INDIRECT(ADDRESS(MATCH(E819,Код_КЦСР,0)+1,2,,,"КЦСР")))</f>
        <v>Ремонт и оборудование эвакуационных путей  зданий</v>
      </c>
      <c r="B819" s="54">
        <v>808</v>
      </c>
      <c r="C819" s="57" t="s">
        <v>196</v>
      </c>
      <c r="D819" s="57" t="s">
        <v>190</v>
      </c>
      <c r="E819" s="54" t="s">
        <v>83</v>
      </c>
      <c r="F819" s="54"/>
      <c r="G819" s="62">
        <f aca="true" t="shared" si="369" ref="G819:H820">G820</f>
        <v>646.1</v>
      </c>
      <c r="H819" s="62">
        <f t="shared" si="369"/>
        <v>0</v>
      </c>
    </row>
    <row r="820" spans="1:8" ht="33">
      <c r="A820" s="55" t="str">
        <f ca="1">IF(ISERROR(MATCH(F820,Код_КВР,0)),"",INDIRECT(ADDRESS(MATCH(F820,Код_КВР,0)+1,2,,,"КВР")))</f>
        <v>Предоставление субсидий бюджетным, автономным учреждениям и иным некоммерческим организациям</v>
      </c>
      <c r="B820" s="54">
        <v>808</v>
      </c>
      <c r="C820" s="57" t="s">
        <v>196</v>
      </c>
      <c r="D820" s="57" t="s">
        <v>190</v>
      </c>
      <c r="E820" s="54" t="s">
        <v>83</v>
      </c>
      <c r="F820" s="54">
        <v>600</v>
      </c>
      <c r="G820" s="62">
        <f t="shared" si="369"/>
        <v>646.1</v>
      </c>
      <c r="H820" s="62">
        <f t="shared" si="369"/>
        <v>0</v>
      </c>
    </row>
    <row r="821" spans="1:8" ht="12.75">
      <c r="A821" s="55" t="str">
        <f ca="1">IF(ISERROR(MATCH(F821,Код_КВР,0)),"",INDIRECT(ADDRESS(MATCH(F821,Код_КВР,0)+1,2,,,"КВР")))</f>
        <v>Субсидии бюджетным учреждениям</v>
      </c>
      <c r="B821" s="54">
        <v>808</v>
      </c>
      <c r="C821" s="57" t="s">
        <v>196</v>
      </c>
      <c r="D821" s="57" t="s">
        <v>190</v>
      </c>
      <c r="E821" s="54" t="s">
        <v>83</v>
      </c>
      <c r="F821" s="54">
        <v>610</v>
      </c>
      <c r="G821" s="62">
        <v>646.1</v>
      </c>
      <c r="H821" s="62"/>
    </row>
    <row r="822" spans="1:8" ht="12.75">
      <c r="A822" s="55" t="str">
        <f ca="1">IF(ISERROR(MATCH(E822,Код_КЦСР,0)),"",INDIRECT(ADDRESS(MATCH(E822,Код_КЦСР,0)+1,2,,,"КЦСР")))</f>
        <v>Ремонт и обслуживание электрооборудования зданий</v>
      </c>
      <c r="B822" s="54">
        <v>808</v>
      </c>
      <c r="C822" s="57" t="s">
        <v>196</v>
      </c>
      <c r="D822" s="57" t="s">
        <v>190</v>
      </c>
      <c r="E822" s="54" t="s">
        <v>85</v>
      </c>
      <c r="F822" s="54"/>
      <c r="G822" s="62">
        <f aca="true" t="shared" si="370" ref="G822:H822">G823</f>
        <v>0</v>
      </c>
      <c r="H822" s="62">
        <f t="shared" si="370"/>
        <v>116.3</v>
      </c>
    </row>
    <row r="823" spans="1:8" ht="33">
      <c r="A823" s="55" t="str">
        <f ca="1">IF(ISERROR(MATCH(F823,Код_КВР,0)),"",INDIRECT(ADDRESS(MATCH(F823,Код_КВР,0)+1,2,,,"КВР")))</f>
        <v>Предоставление субсидий бюджетным, автономным учреждениям и иным некоммерческим организациям</v>
      </c>
      <c r="B823" s="54">
        <v>808</v>
      </c>
      <c r="C823" s="57" t="s">
        <v>196</v>
      </c>
      <c r="D823" s="57" t="s">
        <v>190</v>
      </c>
      <c r="E823" s="54" t="s">
        <v>85</v>
      </c>
      <c r="F823" s="54">
        <v>600</v>
      </c>
      <c r="G823" s="62">
        <f aca="true" t="shared" si="371" ref="G823:H823">G824</f>
        <v>0</v>
      </c>
      <c r="H823" s="62">
        <f t="shared" si="371"/>
        <v>116.3</v>
      </c>
    </row>
    <row r="824" spans="1:8" ht="12.75">
      <c r="A824" s="55" t="str">
        <f ca="1">IF(ISERROR(MATCH(F824,Код_КВР,0)),"",INDIRECT(ADDRESS(MATCH(F824,Код_КВР,0)+1,2,,,"КВР")))</f>
        <v>Субсидии бюджетным учреждениям</v>
      </c>
      <c r="B824" s="54">
        <v>808</v>
      </c>
      <c r="C824" s="57" t="s">
        <v>196</v>
      </c>
      <c r="D824" s="57" t="s">
        <v>190</v>
      </c>
      <c r="E824" s="54" t="s">
        <v>85</v>
      </c>
      <c r="F824" s="54">
        <v>610</v>
      </c>
      <c r="G824" s="62"/>
      <c r="H824" s="62">
        <v>116.3</v>
      </c>
    </row>
    <row r="825" spans="1:8" ht="12.75">
      <c r="A825" s="55" t="str">
        <f ca="1">IF(ISERROR(MATCH(E825,Код_КЦСР,0)),"",INDIRECT(ADDRESS(MATCH(E825,Код_КЦСР,0)+1,2,,,"КЦСР")))</f>
        <v>Ремонт и испытание наружных пожарных лестниц</v>
      </c>
      <c r="B825" s="54">
        <v>808</v>
      </c>
      <c r="C825" s="57" t="s">
        <v>196</v>
      </c>
      <c r="D825" s="57" t="s">
        <v>190</v>
      </c>
      <c r="E825" s="54" t="s">
        <v>87</v>
      </c>
      <c r="F825" s="54"/>
      <c r="G825" s="62">
        <f>G826</f>
        <v>61</v>
      </c>
      <c r="H825" s="62"/>
    </row>
    <row r="826" spans="1:8" ht="33">
      <c r="A826" s="55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54">
        <v>808</v>
      </c>
      <c r="C826" s="57" t="s">
        <v>196</v>
      </c>
      <c r="D826" s="57" t="s">
        <v>190</v>
      </c>
      <c r="E826" s="54" t="s">
        <v>87</v>
      </c>
      <c r="F826" s="54">
        <v>600</v>
      </c>
      <c r="G826" s="62">
        <f>G827</f>
        <v>61</v>
      </c>
      <c r="H826" s="62"/>
    </row>
    <row r="827" spans="1:8" ht="12.75">
      <c r="A827" s="55" t="str">
        <f ca="1">IF(ISERROR(MATCH(F827,Код_КВР,0)),"",INDIRECT(ADDRESS(MATCH(F827,Код_КВР,0)+1,2,,,"КВР")))</f>
        <v>Субсидии бюджетным учреждениям</v>
      </c>
      <c r="B827" s="54">
        <v>808</v>
      </c>
      <c r="C827" s="57" t="s">
        <v>196</v>
      </c>
      <c r="D827" s="57" t="s">
        <v>190</v>
      </c>
      <c r="E827" s="54" t="s">
        <v>87</v>
      </c>
      <c r="F827" s="54">
        <v>610</v>
      </c>
      <c r="G827" s="62">
        <v>61</v>
      </c>
      <c r="H827" s="62"/>
    </row>
    <row r="828" spans="1:8" ht="33">
      <c r="A828" s="55" t="str">
        <f ca="1">IF(ISERROR(MATCH(E828,Код_КЦСР,0)),"",INDIRECT(ADDRESS(MATCH(E828,Код_КЦСР,0)+1,2,,,"КЦСР")))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828" s="54">
        <v>808</v>
      </c>
      <c r="C828" s="57" t="s">
        <v>196</v>
      </c>
      <c r="D828" s="57" t="s">
        <v>190</v>
      </c>
      <c r="E828" s="54" t="s">
        <v>91</v>
      </c>
      <c r="F828" s="54"/>
      <c r="G828" s="62"/>
      <c r="H828" s="62">
        <f>H829</f>
        <v>245</v>
      </c>
    </row>
    <row r="829" spans="1:8" ht="33">
      <c r="A829" s="55" t="str">
        <f ca="1">IF(ISERROR(MATCH(F829,Код_КВР,0)),"",INDIRECT(ADDRESS(MATCH(F829,Код_КВР,0)+1,2,,,"КВР")))</f>
        <v>Предоставление субсидий бюджетным, автономным учреждениям и иным некоммерческим организациям</v>
      </c>
      <c r="B829" s="54">
        <v>808</v>
      </c>
      <c r="C829" s="57" t="s">
        <v>196</v>
      </c>
      <c r="D829" s="57" t="s">
        <v>190</v>
      </c>
      <c r="E829" s="54" t="s">
        <v>91</v>
      </c>
      <c r="F829" s="54">
        <v>600</v>
      </c>
      <c r="G829" s="62"/>
      <c r="H829" s="62">
        <f>H830</f>
        <v>245</v>
      </c>
    </row>
    <row r="830" spans="1:8" ht="12.75">
      <c r="A830" s="55" t="str">
        <f ca="1">IF(ISERROR(MATCH(F830,Код_КВР,0)),"",INDIRECT(ADDRESS(MATCH(F830,Код_КВР,0)+1,2,,,"КВР")))</f>
        <v>Субсидии бюджетным учреждениям</v>
      </c>
      <c r="B830" s="54">
        <v>808</v>
      </c>
      <c r="C830" s="57" t="s">
        <v>196</v>
      </c>
      <c r="D830" s="57" t="s">
        <v>190</v>
      </c>
      <c r="E830" s="54" t="s">
        <v>91</v>
      </c>
      <c r="F830" s="54">
        <v>610</v>
      </c>
      <c r="G830" s="62"/>
      <c r="H830" s="62">
        <v>245</v>
      </c>
    </row>
    <row r="831" spans="1:8" ht="12.75">
      <c r="A831" s="55" t="str">
        <f ca="1">IF(ISERROR(MATCH(B831,Код_ППП,0)),"",INDIRECT(ADDRESS(MATCH(B831,Код_ППП,0)+1,2,,,"ППП")))</f>
        <v>КОМИТЕТ ПО ФИЗИЧЕСКОЙ КУЛЬТУРЕ И СПОРТУ МЭРИИ ГОРОДА</v>
      </c>
      <c r="B831" s="54">
        <v>809</v>
      </c>
      <c r="C831" s="57"/>
      <c r="D831" s="57"/>
      <c r="E831" s="54"/>
      <c r="F831" s="54"/>
      <c r="G831" s="62">
        <f>G832+G863</f>
        <v>253465.00000000003</v>
      </c>
      <c r="H831" s="62">
        <f>H832+H863</f>
        <v>222471.8</v>
      </c>
    </row>
    <row r="832" spans="1:8" ht="12.75">
      <c r="A832" s="55" t="str">
        <f ca="1">IF(ISERROR(MATCH(C832,Код_Раздел,0)),"",INDIRECT(ADDRESS(MATCH(C832,Код_Раздел,0)+1,2,,,"Раздел")))</f>
        <v>Образование</v>
      </c>
      <c r="B832" s="54">
        <v>809</v>
      </c>
      <c r="C832" s="57" t="s">
        <v>170</v>
      </c>
      <c r="D832" s="57"/>
      <c r="E832" s="54"/>
      <c r="F832" s="54"/>
      <c r="G832" s="62">
        <f aca="true" t="shared" si="372" ref="G832:H832">G833+G839</f>
        <v>118609.80000000002</v>
      </c>
      <c r="H832" s="62">
        <f t="shared" si="372"/>
        <v>119224.2</v>
      </c>
    </row>
    <row r="833" spans="1:8" ht="12.75">
      <c r="A833" s="59" t="s">
        <v>220</v>
      </c>
      <c r="B833" s="54">
        <v>809</v>
      </c>
      <c r="C833" s="57" t="s">
        <v>170</v>
      </c>
      <c r="D833" s="57" t="s">
        <v>188</v>
      </c>
      <c r="E833" s="54"/>
      <c r="F833" s="54"/>
      <c r="G833" s="62">
        <f aca="true" t="shared" si="373" ref="G833:H835">G834</f>
        <v>117397.20000000001</v>
      </c>
      <c r="H833" s="62">
        <f t="shared" si="373"/>
        <v>117942.4</v>
      </c>
    </row>
    <row r="834" spans="1:8" ht="33">
      <c r="A834" s="55" t="str">
        <f ca="1">IF(ISERROR(MATCH(E834,Код_КЦСР,0)),"",INDIRECT(ADDRESS(MATCH(E834,Код_КЦСР,0)+1,2,,,"КЦСР")))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4" s="54">
        <v>809</v>
      </c>
      <c r="C834" s="57" t="s">
        <v>170</v>
      </c>
      <c r="D834" s="57" t="s">
        <v>188</v>
      </c>
      <c r="E834" s="54" t="s">
        <v>409</v>
      </c>
      <c r="F834" s="54"/>
      <c r="G834" s="62">
        <f t="shared" si="373"/>
        <v>117397.20000000001</v>
      </c>
      <c r="H834" s="62">
        <f t="shared" si="373"/>
        <v>117942.4</v>
      </c>
    </row>
    <row r="835" spans="1:8" ht="12.75">
      <c r="A835" s="55" t="str">
        <f ca="1">IF(ISERROR(MATCH(E835,Код_КЦСР,0)),"",INDIRECT(ADDRESS(MATCH(E835,Код_КЦСР,0)+1,2,,,"КЦСР")))</f>
        <v>Реализация  дополнительных общеобразовательных программ</v>
      </c>
      <c r="B835" s="54">
        <v>809</v>
      </c>
      <c r="C835" s="57" t="s">
        <v>170</v>
      </c>
      <c r="D835" s="57" t="s">
        <v>188</v>
      </c>
      <c r="E835" s="54" t="s">
        <v>414</v>
      </c>
      <c r="F835" s="54"/>
      <c r="G835" s="62">
        <f t="shared" si="373"/>
        <v>117397.20000000001</v>
      </c>
      <c r="H835" s="62">
        <f t="shared" si="373"/>
        <v>117942.4</v>
      </c>
    </row>
    <row r="836" spans="1:8" ht="33">
      <c r="A836" s="55" t="str">
        <f ca="1">IF(ISERROR(MATCH(F836,Код_КВР,0)),"",INDIRECT(ADDRESS(MATCH(F836,Код_КВР,0)+1,2,,,"КВР")))</f>
        <v>Предоставление субсидий бюджетным, автономным учреждениям и иным некоммерческим организациям</v>
      </c>
      <c r="B836" s="54">
        <v>809</v>
      </c>
      <c r="C836" s="88" t="s">
        <v>170</v>
      </c>
      <c r="D836" s="57" t="s">
        <v>188</v>
      </c>
      <c r="E836" s="54" t="s">
        <v>414</v>
      </c>
      <c r="F836" s="54">
        <v>600</v>
      </c>
      <c r="G836" s="62">
        <f aca="true" t="shared" si="374" ref="G836:H836">G837+G838</f>
        <v>117397.20000000001</v>
      </c>
      <c r="H836" s="62">
        <f t="shared" si="374"/>
        <v>117942.4</v>
      </c>
    </row>
    <row r="837" spans="1:8" ht="12.75">
      <c r="A837" s="55" t="str">
        <f ca="1">IF(ISERROR(MATCH(F837,Код_КВР,0)),"",INDIRECT(ADDRESS(MATCH(F837,Код_КВР,0)+1,2,,,"КВР")))</f>
        <v>Субсидии бюджетным учреждениям</v>
      </c>
      <c r="B837" s="54">
        <v>809</v>
      </c>
      <c r="C837" s="88" t="s">
        <v>170</v>
      </c>
      <c r="D837" s="57" t="s">
        <v>188</v>
      </c>
      <c r="E837" s="54" t="s">
        <v>414</v>
      </c>
      <c r="F837" s="54">
        <v>610</v>
      </c>
      <c r="G837" s="62">
        <v>98441.3</v>
      </c>
      <c r="H837" s="62">
        <v>98918.4</v>
      </c>
    </row>
    <row r="838" spans="1:8" ht="12.75">
      <c r="A838" s="55" t="str">
        <f ca="1">IF(ISERROR(MATCH(F838,Код_КВР,0)),"",INDIRECT(ADDRESS(MATCH(F838,Код_КВР,0)+1,2,,,"КВР")))</f>
        <v>Субсидии автономным учреждениям</v>
      </c>
      <c r="B838" s="54">
        <v>809</v>
      </c>
      <c r="C838" s="88" t="s">
        <v>170</v>
      </c>
      <c r="D838" s="57" t="s">
        <v>188</v>
      </c>
      <c r="E838" s="54" t="s">
        <v>414</v>
      </c>
      <c r="F838" s="54">
        <v>620</v>
      </c>
      <c r="G838" s="62">
        <v>18955.9</v>
      </c>
      <c r="H838" s="62">
        <v>19024</v>
      </c>
    </row>
    <row r="839" spans="1:8" ht="12.75">
      <c r="A839" s="59" t="s">
        <v>221</v>
      </c>
      <c r="B839" s="54">
        <v>809</v>
      </c>
      <c r="C839" s="57" t="s">
        <v>170</v>
      </c>
      <c r="D839" s="57" t="s">
        <v>193</v>
      </c>
      <c r="E839" s="54"/>
      <c r="F839" s="54"/>
      <c r="G839" s="62">
        <f aca="true" t="shared" si="375" ref="G839:H839">G840+G845</f>
        <v>1212.6</v>
      </c>
      <c r="H839" s="62">
        <f t="shared" si="375"/>
        <v>1281.8</v>
      </c>
    </row>
    <row r="840" spans="1:8" ht="33">
      <c r="A840" s="55" t="str">
        <f ca="1">IF(ISERROR(MATCH(E840,Код_КЦСР,0)),"",INDIRECT(ADDRESS(MATCH(E840,Код_КЦСР,0)+1,2,,,"КЦСР")))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40" s="54">
        <v>809</v>
      </c>
      <c r="C840" s="57" t="s">
        <v>170</v>
      </c>
      <c r="D840" s="57" t="s">
        <v>193</v>
      </c>
      <c r="E840" s="54" t="s">
        <v>409</v>
      </c>
      <c r="F840" s="54"/>
      <c r="G840" s="62">
        <f aca="true" t="shared" si="376" ref="G840:H841">G841</f>
        <v>1102.6</v>
      </c>
      <c r="H840" s="62">
        <f t="shared" si="376"/>
        <v>1102.6</v>
      </c>
    </row>
    <row r="841" spans="1:8" ht="12.75">
      <c r="A841" s="55" t="str">
        <f ca="1">IF(ISERROR(MATCH(E841,Код_КЦСР,0)),"",INDIRECT(ADDRESS(MATCH(E841,Код_КЦСР,0)+1,2,,,"КЦСР")))</f>
        <v>Спортивный город</v>
      </c>
      <c r="B841" s="54">
        <v>809</v>
      </c>
      <c r="C841" s="57" t="s">
        <v>170</v>
      </c>
      <c r="D841" s="57" t="s">
        <v>193</v>
      </c>
      <c r="E841" s="54" t="s">
        <v>418</v>
      </c>
      <c r="F841" s="54"/>
      <c r="G841" s="62">
        <f t="shared" si="376"/>
        <v>1102.6</v>
      </c>
      <c r="H841" s="62">
        <f t="shared" si="376"/>
        <v>1102.6</v>
      </c>
    </row>
    <row r="842" spans="1:8" ht="33">
      <c r="A842" s="55" t="str">
        <f ca="1">IF(ISERROR(MATCH(F842,Код_КВР,0)),"",INDIRECT(ADDRESS(MATCH(F842,Код_КВР,0)+1,2,,,"КВР")))</f>
        <v>Предоставление субсидий бюджетным, автономным учреждениям и иным некоммерческим организациям</v>
      </c>
      <c r="B842" s="54">
        <v>809</v>
      </c>
      <c r="C842" s="88" t="s">
        <v>170</v>
      </c>
      <c r="D842" s="57" t="s">
        <v>193</v>
      </c>
      <c r="E842" s="54" t="s">
        <v>418</v>
      </c>
      <c r="F842" s="54">
        <v>600</v>
      </c>
      <c r="G842" s="62">
        <f aca="true" t="shared" si="377" ref="G842:H842">G843+G844</f>
        <v>1102.6</v>
      </c>
      <c r="H842" s="62">
        <f t="shared" si="377"/>
        <v>1102.6</v>
      </c>
    </row>
    <row r="843" spans="1:8" ht="12.75">
      <c r="A843" s="55" t="str">
        <f ca="1">IF(ISERROR(MATCH(F843,Код_КВР,0)),"",INDIRECT(ADDRESS(MATCH(F843,Код_КВР,0)+1,2,,,"КВР")))</f>
        <v>Субсидии бюджетным учреждениям</v>
      </c>
      <c r="B843" s="54">
        <v>809</v>
      </c>
      <c r="C843" s="88" t="s">
        <v>170</v>
      </c>
      <c r="D843" s="57" t="s">
        <v>193</v>
      </c>
      <c r="E843" s="54" t="s">
        <v>418</v>
      </c>
      <c r="F843" s="54">
        <v>610</v>
      </c>
      <c r="G843" s="62">
        <v>1102.6</v>
      </c>
      <c r="H843" s="62">
        <v>1102.6</v>
      </c>
    </row>
    <row r="844" spans="1:8" ht="12.75" hidden="1">
      <c r="A844" s="55" t="str">
        <f ca="1">IF(ISERROR(MATCH(F844,Код_КВР,0)),"",INDIRECT(ADDRESS(MATCH(F844,Код_КВР,0)+1,2,,,"КВР")))</f>
        <v>Субсидии автономным учреждениям</v>
      </c>
      <c r="B844" s="54">
        <v>809</v>
      </c>
      <c r="C844" s="88" t="s">
        <v>170</v>
      </c>
      <c r="D844" s="57" t="s">
        <v>193</v>
      </c>
      <c r="E844" s="54" t="s">
        <v>418</v>
      </c>
      <c r="F844" s="54">
        <v>620</v>
      </c>
      <c r="G844" s="62"/>
      <c r="H844" s="62"/>
    </row>
    <row r="845" spans="1:8" ht="37.5" customHeight="1">
      <c r="A845" s="55" t="str">
        <f ca="1">IF(ISERROR(MATCH(E845,Код_КЦСР,0)),"",INDIRECT(ADDRESS(MATCH(E845,Код_КЦСР,0)+1,2,,,"КЦСР")))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45" s="54">
        <v>809</v>
      </c>
      <c r="C845" s="57" t="s">
        <v>170</v>
      </c>
      <c r="D845" s="57" t="s">
        <v>193</v>
      </c>
      <c r="E845" s="54" t="s">
        <v>75</v>
      </c>
      <c r="F845" s="54"/>
      <c r="G845" s="62">
        <f>G846</f>
        <v>110</v>
      </c>
      <c r="H845" s="62">
        <f>H846</f>
        <v>179.2</v>
      </c>
    </row>
    <row r="846" spans="1:8" ht="25.5" customHeight="1">
      <c r="A846" s="55" t="str">
        <f ca="1">IF(ISERROR(MATCH(E846,Код_КЦСР,0)),"",INDIRECT(ADDRESS(MATCH(E846,Код_КЦСР,0)+1,2,,,"КЦСР")))</f>
        <v>Обеспечение пожарной безопасности муниципальных учреждений города</v>
      </c>
      <c r="B846" s="139">
        <v>809</v>
      </c>
      <c r="C846" s="57" t="s">
        <v>170</v>
      </c>
      <c r="D846" s="57" t="s">
        <v>193</v>
      </c>
      <c r="E846" s="139" t="s">
        <v>77</v>
      </c>
      <c r="F846" s="139"/>
      <c r="G846" s="62">
        <f>G847+G851+G859</f>
        <v>110</v>
      </c>
      <c r="H846" s="62">
        <f>H847+H851+H859</f>
        <v>179.2</v>
      </c>
    </row>
    <row r="847" spans="1:8" ht="49.5">
      <c r="A847" s="55" t="str">
        <f ca="1">IF(ISERROR(MATCH(E847,Код_КЦСР,0)),"",INDIRECT(ADDRESS(MATCH(E847,Код_КЦСР,0)+1,2,,,"КЦСР")))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47" s="54">
        <v>809</v>
      </c>
      <c r="C847" s="88" t="s">
        <v>170</v>
      </c>
      <c r="D847" s="57" t="s">
        <v>193</v>
      </c>
      <c r="E847" s="54" t="s">
        <v>79</v>
      </c>
      <c r="F847" s="54"/>
      <c r="G847" s="62">
        <f aca="true" t="shared" si="378" ref="G847:H847">G848</f>
        <v>110</v>
      </c>
      <c r="H847" s="62">
        <f t="shared" si="378"/>
        <v>61.199999999999996</v>
      </c>
    </row>
    <row r="848" spans="1:8" ht="33">
      <c r="A848" s="55" t="str">
        <f ca="1">IF(ISERROR(MATCH(F848,Код_КВР,0)),"",INDIRECT(ADDRESS(MATCH(F848,Код_КВР,0)+1,2,,,"КВР")))</f>
        <v>Предоставление субсидий бюджетным, автономным учреждениям и иным некоммерческим организациям</v>
      </c>
      <c r="B848" s="54">
        <v>809</v>
      </c>
      <c r="C848" s="88" t="s">
        <v>170</v>
      </c>
      <c r="D848" s="57" t="s">
        <v>193</v>
      </c>
      <c r="E848" s="54" t="s">
        <v>79</v>
      </c>
      <c r="F848" s="54">
        <v>600</v>
      </c>
      <c r="G848" s="62">
        <f aca="true" t="shared" si="379" ref="G848:H848">G849+G850</f>
        <v>110</v>
      </c>
      <c r="H848" s="62">
        <f t="shared" si="379"/>
        <v>61.199999999999996</v>
      </c>
    </row>
    <row r="849" spans="1:8" ht="12.75">
      <c r="A849" s="55" t="str">
        <f ca="1">IF(ISERROR(MATCH(F849,Код_КВР,0)),"",INDIRECT(ADDRESS(MATCH(F849,Код_КВР,0)+1,2,,,"КВР")))</f>
        <v>Субсидии бюджетным учреждениям</v>
      </c>
      <c r="B849" s="54">
        <v>809</v>
      </c>
      <c r="C849" s="88" t="s">
        <v>170</v>
      </c>
      <c r="D849" s="57" t="s">
        <v>193</v>
      </c>
      <c r="E849" s="54" t="s">
        <v>79</v>
      </c>
      <c r="F849" s="54">
        <v>610</v>
      </c>
      <c r="G849" s="62">
        <v>110</v>
      </c>
      <c r="H849" s="62">
        <v>6.8</v>
      </c>
    </row>
    <row r="850" spans="1:8" ht="12.75">
      <c r="A850" s="55" t="str">
        <f ca="1">IF(ISERROR(MATCH(F850,Код_КВР,0)),"",INDIRECT(ADDRESS(MATCH(F850,Код_КВР,0)+1,2,,,"КВР")))</f>
        <v>Субсидии автономным учреждениям</v>
      </c>
      <c r="B850" s="54">
        <v>809</v>
      </c>
      <c r="C850" s="88" t="s">
        <v>170</v>
      </c>
      <c r="D850" s="57" t="s">
        <v>193</v>
      </c>
      <c r="E850" s="54" t="s">
        <v>79</v>
      </c>
      <c r="F850" s="54">
        <v>620</v>
      </c>
      <c r="G850" s="62"/>
      <c r="H850" s="62">
        <v>54.4</v>
      </c>
    </row>
    <row r="851" spans="1:8" ht="34.5" customHeight="1">
      <c r="A851" s="55" t="str">
        <f ca="1">IF(ISERROR(MATCH(E851,Код_КЦСР,0)),"",INDIRECT(ADDRESS(MATCH(E851,Код_КЦСР,0)+1,2,,,"КЦСР")))</f>
        <v>Приобретение первичных средств пожаротушения, перезарядка огнетушителей</v>
      </c>
      <c r="B851" s="54">
        <v>809</v>
      </c>
      <c r="C851" s="88" t="s">
        <v>170</v>
      </c>
      <c r="D851" s="57" t="s">
        <v>193</v>
      </c>
      <c r="E851" s="54" t="s">
        <v>81</v>
      </c>
      <c r="F851" s="54"/>
      <c r="G851" s="62"/>
      <c r="H851" s="62">
        <f>H852</f>
        <v>58.2</v>
      </c>
    </row>
    <row r="852" spans="1:8" ht="33">
      <c r="A852" s="55" t="str">
        <f ca="1">IF(ISERROR(MATCH(F852,Код_КВР,0)),"",INDIRECT(ADDRESS(MATCH(F852,Код_КВР,0)+1,2,,,"КВР")))</f>
        <v>Предоставление субсидий бюджетным, автономным учреждениям и иным некоммерческим организациям</v>
      </c>
      <c r="B852" s="54">
        <v>809</v>
      </c>
      <c r="C852" s="88" t="s">
        <v>170</v>
      </c>
      <c r="D852" s="57" t="s">
        <v>193</v>
      </c>
      <c r="E852" s="54" t="s">
        <v>81</v>
      </c>
      <c r="F852" s="54">
        <v>600</v>
      </c>
      <c r="G852" s="62"/>
      <c r="H852" s="62">
        <f>SUM(H853:H854)</f>
        <v>58.2</v>
      </c>
    </row>
    <row r="853" spans="1:8" ht="12.75">
      <c r="A853" s="55" t="str">
        <f ca="1">IF(ISERROR(MATCH(F853,Код_КВР,0)),"",INDIRECT(ADDRESS(MATCH(F853,Код_КВР,0)+1,2,,,"КВР")))</f>
        <v>Субсидии бюджетным учреждениям</v>
      </c>
      <c r="B853" s="54">
        <v>809</v>
      </c>
      <c r="C853" s="88" t="s">
        <v>170</v>
      </c>
      <c r="D853" s="57" t="s">
        <v>193</v>
      </c>
      <c r="E853" s="54" t="s">
        <v>81</v>
      </c>
      <c r="F853" s="54">
        <v>610</v>
      </c>
      <c r="G853" s="62"/>
      <c r="H853" s="62">
        <v>43.2</v>
      </c>
    </row>
    <row r="854" spans="1:8" ht="12.75">
      <c r="A854" s="55" t="str">
        <f ca="1">IF(ISERROR(MATCH(F854,Код_КВР,0)),"",INDIRECT(ADDRESS(MATCH(F854,Код_КВР,0)+1,2,,,"КВР")))</f>
        <v>Субсидии автономным учреждениям</v>
      </c>
      <c r="B854" s="54">
        <v>809</v>
      </c>
      <c r="C854" s="88" t="s">
        <v>170</v>
      </c>
      <c r="D854" s="57" t="s">
        <v>193</v>
      </c>
      <c r="E854" s="54" t="s">
        <v>81</v>
      </c>
      <c r="F854" s="54">
        <v>620</v>
      </c>
      <c r="G854" s="62"/>
      <c r="H854" s="62">
        <v>15</v>
      </c>
    </row>
    <row r="855" spans="1:8" ht="12.75" hidden="1">
      <c r="A855" s="55" t="str">
        <f ca="1">IF(ISERROR(MATCH(E855,Код_КЦСР,0)),"",INDIRECT(ADDRESS(MATCH(E855,Код_КЦСР,0)+1,2,,,"КЦСР")))</f>
        <v>Ремонт и оборудование эвакуационных путей  зданий</v>
      </c>
      <c r="B855" s="54">
        <v>809</v>
      </c>
      <c r="C855" s="88" t="s">
        <v>170</v>
      </c>
      <c r="D855" s="57" t="s">
        <v>193</v>
      </c>
      <c r="E855" s="54" t="s">
        <v>83</v>
      </c>
      <c r="F855" s="54"/>
      <c r="G855" s="62">
        <f aca="true" t="shared" si="380" ref="G855:H855">G856</f>
        <v>0</v>
      </c>
      <c r="H855" s="62">
        <f t="shared" si="380"/>
        <v>0</v>
      </c>
    </row>
    <row r="856" spans="1:8" ht="33" hidden="1">
      <c r="A856" s="55" t="str">
        <f ca="1">IF(ISERROR(MATCH(F856,Код_КВР,0)),"",INDIRECT(ADDRESS(MATCH(F856,Код_КВР,0)+1,2,,,"КВР")))</f>
        <v>Предоставление субсидий бюджетным, автономным учреждениям и иным некоммерческим организациям</v>
      </c>
      <c r="B856" s="54">
        <v>809</v>
      </c>
      <c r="C856" s="88" t="s">
        <v>170</v>
      </c>
      <c r="D856" s="57" t="s">
        <v>193</v>
      </c>
      <c r="E856" s="54" t="s">
        <v>83</v>
      </c>
      <c r="F856" s="54">
        <v>600</v>
      </c>
      <c r="G856" s="62">
        <f aca="true" t="shared" si="381" ref="G856:H856">G857+G858</f>
        <v>0</v>
      </c>
      <c r="H856" s="62">
        <f t="shared" si="381"/>
        <v>0</v>
      </c>
    </row>
    <row r="857" spans="1:8" ht="12.75" hidden="1">
      <c r="A857" s="55" t="str">
        <f ca="1">IF(ISERROR(MATCH(F857,Код_КВР,0)),"",INDIRECT(ADDRESS(MATCH(F857,Код_КВР,0)+1,2,,,"КВР")))</f>
        <v>Субсидии бюджетным учреждениям</v>
      </c>
      <c r="B857" s="54">
        <v>809</v>
      </c>
      <c r="C857" s="88" t="s">
        <v>170</v>
      </c>
      <c r="D857" s="57" t="s">
        <v>193</v>
      </c>
      <c r="E857" s="54" t="s">
        <v>83</v>
      </c>
      <c r="F857" s="54">
        <v>610</v>
      </c>
      <c r="G857" s="62"/>
      <c r="H857" s="62"/>
    </row>
    <row r="858" spans="1:8" ht="12.75" hidden="1">
      <c r="A858" s="55" t="str">
        <f ca="1">IF(ISERROR(MATCH(F858,Код_КВР,0)),"",INDIRECT(ADDRESS(MATCH(F858,Код_КВР,0)+1,2,,,"КВР")))</f>
        <v>Субсидии автономным учреждениям</v>
      </c>
      <c r="B858" s="54">
        <v>809</v>
      </c>
      <c r="C858" s="88" t="s">
        <v>170</v>
      </c>
      <c r="D858" s="57" t="s">
        <v>193</v>
      </c>
      <c r="E858" s="54" t="s">
        <v>83</v>
      </c>
      <c r="F858" s="54">
        <v>620</v>
      </c>
      <c r="G858" s="62"/>
      <c r="H858" s="62"/>
    </row>
    <row r="859" spans="1:8" ht="27.75" customHeight="1">
      <c r="A859" s="55" t="str">
        <f ca="1">IF(ISERROR(MATCH(E859,Код_КЦСР,0)),"",INDIRECT(ADDRESS(MATCH(E859,Код_КЦСР,0)+1,2,,,"КЦСР")))</f>
        <v>Ремонт и обслуживание электрооборудования зданий</v>
      </c>
      <c r="B859" s="54">
        <v>809</v>
      </c>
      <c r="C859" s="88" t="s">
        <v>170</v>
      </c>
      <c r="D859" s="57" t="s">
        <v>193</v>
      </c>
      <c r="E859" s="54" t="s">
        <v>85</v>
      </c>
      <c r="F859" s="54"/>
      <c r="G859" s="62"/>
      <c r="H859" s="62">
        <f>H860</f>
        <v>59.8</v>
      </c>
    </row>
    <row r="860" spans="1:8" ht="33">
      <c r="A860" s="55" t="str">
        <f ca="1">IF(ISERROR(MATCH(F860,Код_КВР,0)),"",INDIRECT(ADDRESS(MATCH(F860,Код_КВР,0)+1,2,,,"КВР")))</f>
        <v>Предоставление субсидий бюджетным, автономным учреждениям и иным некоммерческим организациям</v>
      </c>
      <c r="B860" s="54">
        <v>809</v>
      </c>
      <c r="C860" s="88" t="s">
        <v>170</v>
      </c>
      <c r="D860" s="57" t="s">
        <v>193</v>
      </c>
      <c r="E860" s="54" t="s">
        <v>85</v>
      </c>
      <c r="F860" s="54">
        <v>600</v>
      </c>
      <c r="G860" s="62"/>
      <c r="H860" s="62">
        <f>SUM(H861:H862)</f>
        <v>59.8</v>
      </c>
    </row>
    <row r="861" spans="1:8" ht="12.75">
      <c r="A861" s="55" t="str">
        <f ca="1">IF(ISERROR(MATCH(F861,Код_КВР,0)),"",INDIRECT(ADDRESS(MATCH(F861,Код_КВР,0)+1,2,,,"КВР")))</f>
        <v>Субсидии бюджетным учреждениям</v>
      </c>
      <c r="B861" s="54">
        <v>809</v>
      </c>
      <c r="C861" s="88" t="s">
        <v>170</v>
      </c>
      <c r="D861" s="57" t="s">
        <v>193</v>
      </c>
      <c r="E861" s="54" t="s">
        <v>85</v>
      </c>
      <c r="F861" s="54">
        <v>610</v>
      </c>
      <c r="G861" s="62"/>
      <c r="H861" s="62">
        <v>29.9</v>
      </c>
    </row>
    <row r="862" spans="1:8" ht="12.75">
      <c r="A862" s="55" t="str">
        <f ca="1">IF(ISERROR(MATCH(F862,Код_КВР,0)),"",INDIRECT(ADDRESS(MATCH(F862,Код_КВР,0)+1,2,,,"КВР")))</f>
        <v>Субсидии автономным учреждениям</v>
      </c>
      <c r="B862" s="54">
        <v>809</v>
      </c>
      <c r="C862" s="88" t="s">
        <v>170</v>
      </c>
      <c r="D862" s="57" t="s">
        <v>193</v>
      </c>
      <c r="E862" s="54" t="s">
        <v>85</v>
      </c>
      <c r="F862" s="54">
        <v>620</v>
      </c>
      <c r="G862" s="62"/>
      <c r="H862" s="62">
        <v>29.9</v>
      </c>
    </row>
    <row r="863" spans="1:8" ht="12.75">
      <c r="A863" s="55" t="str">
        <f ca="1">IF(ISERROR(MATCH(C863,Код_Раздел,0)),"",INDIRECT(ADDRESS(MATCH(C863,Код_Раздел,0)+1,2,,,"Раздел")))</f>
        <v>Физическая культура и спорт</v>
      </c>
      <c r="B863" s="54">
        <v>809</v>
      </c>
      <c r="C863" s="57" t="s">
        <v>198</v>
      </c>
      <c r="D863" s="57"/>
      <c r="E863" s="54"/>
      <c r="F863" s="54"/>
      <c r="G863" s="62">
        <f>G864+G887+G892</f>
        <v>134855.2</v>
      </c>
      <c r="H863" s="62">
        <f>H864+H887+H892</f>
        <v>103247.6</v>
      </c>
    </row>
    <row r="864" spans="1:8" ht="12.75">
      <c r="A864" s="59" t="s">
        <v>161</v>
      </c>
      <c r="B864" s="54">
        <v>809</v>
      </c>
      <c r="C864" s="57" t="s">
        <v>198</v>
      </c>
      <c r="D864" s="57" t="s">
        <v>187</v>
      </c>
      <c r="E864" s="54"/>
      <c r="F864" s="54"/>
      <c r="G864" s="62">
        <f aca="true" t="shared" si="382" ref="G864:H864">G865+G883</f>
        <v>122625.5</v>
      </c>
      <c r="H864" s="62">
        <f t="shared" si="382"/>
        <v>91013.6</v>
      </c>
    </row>
    <row r="865" spans="1:8" ht="40.5" customHeight="1">
      <c r="A865" s="55" t="str">
        <f ca="1">IF(ISERROR(MATCH(E865,Код_КЦСР,0)),"",INDIRECT(ADDRESS(MATCH(E865,Код_КЦСР,0)+1,2,,,"КЦСР")))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65" s="54">
        <v>809</v>
      </c>
      <c r="C865" s="57" t="s">
        <v>198</v>
      </c>
      <c r="D865" s="57" t="s">
        <v>187</v>
      </c>
      <c r="E865" s="54" t="s">
        <v>409</v>
      </c>
      <c r="F865" s="54"/>
      <c r="G865" s="62">
        <f aca="true" t="shared" si="383" ref="G865:H865">G866+G869+G873+G879</f>
        <v>122625.5</v>
      </c>
      <c r="H865" s="62">
        <f t="shared" si="383"/>
        <v>91013.6</v>
      </c>
    </row>
    <row r="866" spans="1:8" ht="26.25" customHeight="1">
      <c r="A866" s="55" t="str">
        <f ca="1">IF(ISERROR(MATCH(E866,Код_КЦСР,0)),"",INDIRECT(ADDRESS(MATCH(E866,Код_КЦСР,0)+1,2,,,"КЦСР")))</f>
        <v>Обеспечение доступа к спортивным объектам</v>
      </c>
      <c r="B866" s="54">
        <v>809</v>
      </c>
      <c r="C866" s="57" t="s">
        <v>198</v>
      </c>
      <c r="D866" s="57" t="s">
        <v>187</v>
      </c>
      <c r="E866" s="54" t="s">
        <v>411</v>
      </c>
      <c r="F866" s="54"/>
      <c r="G866" s="62">
        <f aca="true" t="shared" si="384" ref="G866:H867">G867</f>
        <v>63479.8</v>
      </c>
      <c r="H866" s="62">
        <f t="shared" si="384"/>
        <v>31867.9</v>
      </c>
    </row>
    <row r="867" spans="1:8" ht="33">
      <c r="A867" s="55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54">
        <v>809</v>
      </c>
      <c r="C867" s="88" t="s">
        <v>198</v>
      </c>
      <c r="D867" s="57" t="s">
        <v>187</v>
      </c>
      <c r="E867" s="54" t="s">
        <v>411</v>
      </c>
      <c r="F867" s="54">
        <v>600</v>
      </c>
      <c r="G867" s="62">
        <f t="shared" si="384"/>
        <v>63479.8</v>
      </c>
      <c r="H867" s="62">
        <f t="shared" si="384"/>
        <v>31867.9</v>
      </c>
    </row>
    <row r="868" spans="1:8" ht="20.25" customHeight="1">
      <c r="A868" s="55" t="str">
        <f ca="1">IF(ISERROR(MATCH(F868,Код_КВР,0)),"",INDIRECT(ADDRESS(MATCH(F868,Код_КВР,0)+1,2,,,"КВР")))</f>
        <v>Субсидии автономным учреждениям</v>
      </c>
      <c r="B868" s="54">
        <v>809</v>
      </c>
      <c r="C868" s="88" t="s">
        <v>198</v>
      </c>
      <c r="D868" s="57" t="s">
        <v>187</v>
      </c>
      <c r="E868" s="54" t="s">
        <v>411</v>
      </c>
      <c r="F868" s="54">
        <v>620</v>
      </c>
      <c r="G868" s="62">
        <v>63479.8</v>
      </c>
      <c r="H868" s="62">
        <v>31867.9</v>
      </c>
    </row>
    <row r="869" spans="1:8" ht="49.5">
      <c r="A869" s="55" t="str">
        <f ca="1">IF(ISERROR(MATCH(E869,Код_КЦСР,0)),"",INDIRECT(ADDRESS(MATCH(E869,Код_КЦСР,0)+1,2,,,"КЦСР")))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всероссийского, международного)</v>
      </c>
      <c r="B869" s="54">
        <v>809</v>
      </c>
      <c r="C869" s="57" t="s">
        <v>198</v>
      </c>
      <c r="D869" s="57" t="s">
        <v>187</v>
      </c>
      <c r="E869" s="54" t="s">
        <v>413</v>
      </c>
      <c r="F869" s="54"/>
      <c r="G869" s="62">
        <f aca="true" t="shared" si="385" ref="G869:H869">G870</f>
        <v>19356.2</v>
      </c>
      <c r="H869" s="62">
        <f t="shared" si="385"/>
        <v>19356.2</v>
      </c>
    </row>
    <row r="870" spans="1:8" ht="33">
      <c r="A870" s="55" t="str">
        <f ca="1">IF(ISERROR(MATCH(F870,Код_КВР,0)),"",INDIRECT(ADDRESS(MATCH(F870,Код_КВР,0)+1,2,,,"КВР")))</f>
        <v>Предоставление субсидий бюджетным, автономным учреждениям и иным некоммерческим организациям</v>
      </c>
      <c r="B870" s="54">
        <v>809</v>
      </c>
      <c r="C870" s="57" t="s">
        <v>198</v>
      </c>
      <c r="D870" s="57" t="s">
        <v>187</v>
      </c>
      <c r="E870" s="54" t="s">
        <v>413</v>
      </c>
      <c r="F870" s="54">
        <v>600</v>
      </c>
      <c r="G870" s="62">
        <f aca="true" t="shared" si="386" ref="G870:H870">G871+G872</f>
        <v>19356.2</v>
      </c>
      <c r="H870" s="62">
        <f t="shared" si="386"/>
        <v>19356.2</v>
      </c>
    </row>
    <row r="871" spans="1:8" ht="12.75">
      <c r="A871" s="55" t="str">
        <f ca="1">IF(ISERROR(MATCH(F871,Код_КВР,0)),"",INDIRECT(ADDRESS(MATCH(F871,Код_КВР,0)+1,2,,,"КВР")))</f>
        <v>Субсидии бюджетным учреждениям</v>
      </c>
      <c r="B871" s="54">
        <v>809</v>
      </c>
      <c r="C871" s="57" t="s">
        <v>198</v>
      </c>
      <c r="D871" s="57" t="s">
        <v>187</v>
      </c>
      <c r="E871" s="54" t="s">
        <v>413</v>
      </c>
      <c r="F871" s="54">
        <v>610</v>
      </c>
      <c r="G871" s="62">
        <v>15394.7</v>
      </c>
      <c r="H871" s="62">
        <v>15394.7</v>
      </c>
    </row>
    <row r="872" spans="1:8" ht="12.75">
      <c r="A872" s="55" t="str">
        <f ca="1">IF(ISERROR(MATCH(F872,Код_КВР,0)),"",INDIRECT(ADDRESS(MATCH(F872,Код_КВР,0)+1,2,,,"КВР")))</f>
        <v>Субсидии автономным учреждениям</v>
      </c>
      <c r="B872" s="54">
        <v>809</v>
      </c>
      <c r="C872" s="57" t="s">
        <v>198</v>
      </c>
      <c r="D872" s="57" t="s">
        <v>187</v>
      </c>
      <c r="E872" s="54" t="s">
        <v>413</v>
      </c>
      <c r="F872" s="54">
        <v>620</v>
      </c>
      <c r="G872" s="62">
        <v>3961.5</v>
      </c>
      <c r="H872" s="62">
        <v>3961.5</v>
      </c>
    </row>
    <row r="873" spans="1:8" ht="12.75">
      <c r="A873" s="55" t="str">
        <f ca="1">IF(ISERROR(MATCH(E873,Код_КЦСР,0)),"",INDIRECT(ADDRESS(MATCH(E873,Код_КЦСР,0)+1,2,,,"КЦСР")))</f>
        <v>Популяризация физической культуры и спорта</v>
      </c>
      <c r="B873" s="54">
        <v>809</v>
      </c>
      <c r="C873" s="57" t="s">
        <v>198</v>
      </c>
      <c r="D873" s="57" t="s">
        <v>187</v>
      </c>
      <c r="E873" s="54" t="s">
        <v>416</v>
      </c>
      <c r="F873" s="54"/>
      <c r="G873" s="62">
        <f aca="true" t="shared" si="387" ref="G873:H873">G874+G876</f>
        <v>3251.2</v>
      </c>
      <c r="H873" s="62">
        <f t="shared" si="387"/>
        <v>3251.2</v>
      </c>
    </row>
    <row r="874" spans="1:8" ht="12.75" hidden="1">
      <c r="A874" s="55" t="str">
        <f aca="true" t="shared" si="388" ref="A874:A878">IF(ISERROR(MATCH(F874,Код_КВР,0)),"",INDIRECT(ADDRESS(MATCH(F874,Код_КВР,0)+1,2,,,"КВР")))</f>
        <v>Закупка товаров, работ и услуг для муниципальных нужд</v>
      </c>
      <c r="B874" s="54">
        <v>809</v>
      </c>
      <c r="C874" s="57" t="s">
        <v>198</v>
      </c>
      <c r="D874" s="57" t="s">
        <v>187</v>
      </c>
      <c r="E874" s="54" t="s">
        <v>416</v>
      </c>
      <c r="F874" s="54">
        <v>200</v>
      </c>
      <c r="G874" s="62">
        <f aca="true" t="shared" si="389" ref="G874:H874">G875</f>
        <v>0</v>
      </c>
      <c r="H874" s="62">
        <f t="shared" si="389"/>
        <v>0</v>
      </c>
    </row>
    <row r="875" spans="1:8" ht="33" hidden="1">
      <c r="A875" s="55" t="str">
        <f ca="1" t="shared" si="388"/>
        <v>Иные закупки товаров, работ и услуг для обеспечения муниципальных нужд</v>
      </c>
      <c r="B875" s="54">
        <v>809</v>
      </c>
      <c r="C875" s="57" t="s">
        <v>198</v>
      </c>
      <c r="D875" s="57" t="s">
        <v>187</v>
      </c>
      <c r="E875" s="54" t="s">
        <v>416</v>
      </c>
      <c r="F875" s="54">
        <v>240</v>
      </c>
      <c r="G875" s="62"/>
      <c r="H875" s="62"/>
    </row>
    <row r="876" spans="1:8" ht="33">
      <c r="A876" s="55" t="str">
        <f ca="1" t="shared" si="388"/>
        <v>Предоставление субсидий бюджетным, автономным учреждениям и иным некоммерческим организациям</v>
      </c>
      <c r="B876" s="54">
        <v>809</v>
      </c>
      <c r="C876" s="57" t="s">
        <v>198</v>
      </c>
      <c r="D876" s="57" t="s">
        <v>187</v>
      </c>
      <c r="E876" s="54" t="s">
        <v>416</v>
      </c>
      <c r="F876" s="54">
        <v>600</v>
      </c>
      <c r="G876" s="62">
        <f aca="true" t="shared" si="390" ref="G876:H876">G877+G878</f>
        <v>3251.2</v>
      </c>
      <c r="H876" s="62">
        <f t="shared" si="390"/>
        <v>3251.2</v>
      </c>
    </row>
    <row r="877" spans="1:8" ht="12.75">
      <c r="A877" s="55" t="str">
        <f ca="1" t="shared" si="388"/>
        <v>Субсидии бюджетным учреждениям</v>
      </c>
      <c r="B877" s="54">
        <v>809</v>
      </c>
      <c r="C877" s="57" t="s">
        <v>198</v>
      </c>
      <c r="D877" s="57" t="s">
        <v>187</v>
      </c>
      <c r="E877" s="54" t="s">
        <v>416</v>
      </c>
      <c r="F877" s="54">
        <v>610</v>
      </c>
      <c r="G877" s="62">
        <v>2004.4</v>
      </c>
      <c r="H877" s="62">
        <v>2004.4</v>
      </c>
    </row>
    <row r="878" spans="1:8" ht="12.75">
      <c r="A878" s="55" t="str">
        <f ca="1" t="shared" si="388"/>
        <v>Субсидии автономным учреждениям</v>
      </c>
      <c r="B878" s="54">
        <v>809</v>
      </c>
      <c r="C878" s="57" t="s">
        <v>198</v>
      </c>
      <c r="D878" s="57" t="s">
        <v>187</v>
      </c>
      <c r="E878" s="54" t="s">
        <v>416</v>
      </c>
      <c r="F878" s="54">
        <v>620</v>
      </c>
      <c r="G878" s="62">
        <v>1246.8</v>
      </c>
      <c r="H878" s="62">
        <v>1246.8</v>
      </c>
    </row>
    <row r="879" spans="1:8" ht="12.75">
      <c r="A879" s="55" t="str">
        <f ca="1">IF(ISERROR(MATCH(E879,Код_КЦСР,0)),"",INDIRECT(ADDRESS(MATCH(E879,Код_КЦСР,0)+1,2,,,"КЦСР")))</f>
        <v>Спортивный город</v>
      </c>
      <c r="B879" s="54">
        <v>809</v>
      </c>
      <c r="C879" s="57" t="s">
        <v>198</v>
      </c>
      <c r="D879" s="57" t="s">
        <v>187</v>
      </c>
      <c r="E879" s="54" t="s">
        <v>418</v>
      </c>
      <c r="F879" s="54"/>
      <c r="G879" s="62">
        <f aca="true" t="shared" si="391" ref="G879:H879">G880</f>
        <v>36538.3</v>
      </c>
      <c r="H879" s="62">
        <f t="shared" si="391"/>
        <v>36538.3</v>
      </c>
    </row>
    <row r="880" spans="1:8" ht="36.75" customHeight="1">
      <c r="A880" s="55" t="str">
        <f ca="1">IF(ISERROR(MATCH(F880,Код_КВР,0)),"",INDIRECT(ADDRESS(MATCH(F880,Код_КВР,0)+1,2,,,"КВР")))</f>
        <v>Предоставление субсидий бюджетным, автономным учреждениям и иным некоммерческим организациям</v>
      </c>
      <c r="B880" s="54">
        <v>809</v>
      </c>
      <c r="C880" s="57" t="s">
        <v>198</v>
      </c>
      <c r="D880" s="57" t="s">
        <v>187</v>
      </c>
      <c r="E880" s="54" t="s">
        <v>418</v>
      </c>
      <c r="F880" s="54">
        <v>600</v>
      </c>
      <c r="G880" s="62">
        <f aca="true" t="shared" si="392" ref="G880:H880">G881+G882</f>
        <v>36538.3</v>
      </c>
      <c r="H880" s="62">
        <f t="shared" si="392"/>
        <v>36538.3</v>
      </c>
    </row>
    <row r="881" spans="1:8" ht="12.75">
      <c r="A881" s="55" t="str">
        <f ca="1">IF(ISERROR(MATCH(F881,Код_КВР,0)),"",INDIRECT(ADDRESS(MATCH(F881,Код_КВР,0)+1,2,,,"КВР")))</f>
        <v>Субсидии автономным учреждениям</v>
      </c>
      <c r="B881" s="54">
        <v>809</v>
      </c>
      <c r="C881" s="57" t="s">
        <v>198</v>
      </c>
      <c r="D881" s="57" t="s">
        <v>187</v>
      </c>
      <c r="E881" s="54" t="s">
        <v>418</v>
      </c>
      <c r="F881" s="54">
        <v>620</v>
      </c>
      <c r="G881" s="62">
        <v>6538.3</v>
      </c>
      <c r="H881" s="62">
        <v>6538.3</v>
      </c>
    </row>
    <row r="882" spans="1:8" ht="33">
      <c r="A882" s="55" t="str">
        <f ca="1">IF(ISERROR(MATCH(F882,Код_КВР,0)),"",INDIRECT(ADDRESS(MATCH(F882,Код_КВР,0)+1,2,,,"КВР")))</f>
        <v>Субсидии некоммерческим организациям (за исключением государственных (муниципальных) учреждений)</v>
      </c>
      <c r="B882" s="54">
        <v>809</v>
      </c>
      <c r="C882" s="57" t="s">
        <v>198</v>
      </c>
      <c r="D882" s="57" t="s">
        <v>187</v>
      </c>
      <c r="E882" s="54" t="s">
        <v>418</v>
      </c>
      <c r="F882" s="54">
        <v>630</v>
      </c>
      <c r="G882" s="62">
        <v>30000</v>
      </c>
      <c r="H882" s="62">
        <v>30000</v>
      </c>
    </row>
    <row r="883" spans="1:8" ht="12.75" hidden="1">
      <c r="A883" s="55" t="str">
        <f ca="1">IF(ISERROR(MATCH(E883,Код_КЦСР,0)),"",INDIRECT(ADDRESS(MATCH(E883,Код_КЦСР,0)+1,2,,,"КЦСР")))</f>
        <v>Муниципальная программа «Здоровый город» на 2014-2022 годы</v>
      </c>
      <c r="B883" s="54">
        <v>809</v>
      </c>
      <c r="C883" s="57" t="s">
        <v>198</v>
      </c>
      <c r="D883" s="57" t="s">
        <v>187</v>
      </c>
      <c r="E883" s="54" t="s">
        <v>450</v>
      </c>
      <c r="F883" s="54"/>
      <c r="G883" s="62">
        <f aca="true" t="shared" si="393" ref="G883:H885">G884</f>
        <v>0</v>
      </c>
      <c r="H883" s="62">
        <f t="shared" si="393"/>
        <v>0</v>
      </c>
    </row>
    <row r="884" spans="1:8" ht="12.75" hidden="1">
      <c r="A884" s="55" t="str">
        <f ca="1">IF(ISERROR(MATCH(E884,Код_КЦСР,0)),"",INDIRECT(ADDRESS(MATCH(E884,Код_КЦСР,0)+1,2,,,"КЦСР")))</f>
        <v>Сохранение и укрепление здоровья детей и подростков</v>
      </c>
      <c r="B884" s="54">
        <v>809</v>
      </c>
      <c r="C884" s="57" t="s">
        <v>198</v>
      </c>
      <c r="D884" s="57" t="s">
        <v>187</v>
      </c>
      <c r="E884" s="54" t="s">
        <v>453</v>
      </c>
      <c r="F884" s="54"/>
      <c r="G884" s="62">
        <f t="shared" si="393"/>
        <v>0</v>
      </c>
      <c r="H884" s="62">
        <f t="shared" si="393"/>
        <v>0</v>
      </c>
    </row>
    <row r="885" spans="1:8" ht="33" hidden="1">
      <c r="A885" s="55" t="str">
        <f ca="1">IF(ISERROR(MATCH(F885,Код_КВР,0)),"",INDIRECT(ADDRESS(MATCH(F885,Код_КВР,0)+1,2,,,"КВР")))</f>
        <v>Предоставление субсидий бюджетным, автономным учреждениям и иным некоммерческим организациям</v>
      </c>
      <c r="B885" s="54">
        <v>809</v>
      </c>
      <c r="C885" s="57" t="s">
        <v>198</v>
      </c>
      <c r="D885" s="57" t="s">
        <v>187</v>
      </c>
      <c r="E885" s="54" t="s">
        <v>453</v>
      </c>
      <c r="F885" s="54">
        <v>600</v>
      </c>
      <c r="G885" s="62">
        <f t="shared" si="393"/>
        <v>0</v>
      </c>
      <c r="H885" s="62">
        <f t="shared" si="393"/>
        <v>0</v>
      </c>
    </row>
    <row r="886" spans="1:8" ht="12.75" hidden="1">
      <c r="A886" s="55" t="str">
        <f ca="1">IF(ISERROR(MATCH(F886,Код_КВР,0)),"",INDIRECT(ADDRESS(MATCH(F886,Код_КВР,0)+1,2,,,"КВР")))</f>
        <v>Субсидии автономным учреждениям</v>
      </c>
      <c r="B886" s="54">
        <v>809</v>
      </c>
      <c r="C886" s="57" t="s">
        <v>198</v>
      </c>
      <c r="D886" s="57" t="s">
        <v>187</v>
      </c>
      <c r="E886" s="54" t="s">
        <v>453</v>
      </c>
      <c r="F886" s="54">
        <v>620</v>
      </c>
      <c r="G886" s="62"/>
      <c r="H886" s="62"/>
    </row>
    <row r="887" spans="1:8" ht="12.75">
      <c r="A887" s="59" t="s">
        <v>235</v>
      </c>
      <c r="B887" s="54">
        <v>809</v>
      </c>
      <c r="C887" s="57" t="s">
        <v>198</v>
      </c>
      <c r="D887" s="57" t="s">
        <v>188</v>
      </c>
      <c r="E887" s="54"/>
      <c r="F887" s="54"/>
      <c r="G887" s="62">
        <f aca="true" t="shared" si="394" ref="G887:H887">G888</f>
        <v>2359.1</v>
      </c>
      <c r="H887" s="62">
        <f t="shared" si="394"/>
        <v>2359.1</v>
      </c>
    </row>
    <row r="888" spans="1:8" ht="40.5" customHeight="1">
      <c r="A888" s="55" t="str">
        <f ca="1">IF(ISERROR(MATCH(E888,Код_КЦСР,0)),"",INDIRECT(ADDRESS(MATCH(E888,Код_КЦСР,0)+1,2,,,"КЦСР")))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88" s="54">
        <v>809</v>
      </c>
      <c r="C888" s="57" t="s">
        <v>198</v>
      </c>
      <c r="D888" s="57" t="s">
        <v>188</v>
      </c>
      <c r="E888" s="54" t="s">
        <v>409</v>
      </c>
      <c r="F888" s="54"/>
      <c r="G888" s="62">
        <f aca="true" t="shared" si="395" ref="G888:H890">G889</f>
        <v>2359.1</v>
      </c>
      <c r="H888" s="62">
        <f t="shared" si="395"/>
        <v>2359.1</v>
      </c>
    </row>
    <row r="889" spans="1:8" ht="12.75">
      <c r="A889" s="55" t="str">
        <f ca="1">IF(ISERROR(MATCH(E889,Код_КЦСР,0)),"",INDIRECT(ADDRESS(MATCH(E889,Код_КЦСР,0)+1,2,,,"КЦСР")))</f>
        <v>Спортивный город</v>
      </c>
      <c r="B889" s="54">
        <v>809</v>
      </c>
      <c r="C889" s="57" t="s">
        <v>198</v>
      </c>
      <c r="D889" s="57" t="s">
        <v>188</v>
      </c>
      <c r="E889" s="54" t="s">
        <v>418</v>
      </c>
      <c r="F889" s="54"/>
      <c r="G889" s="62">
        <f t="shared" si="395"/>
        <v>2359.1</v>
      </c>
      <c r="H889" s="62">
        <f t="shared" si="395"/>
        <v>2359.1</v>
      </c>
    </row>
    <row r="890" spans="1:8" ht="33">
      <c r="A890" s="55" t="str">
        <f ca="1">IF(ISERROR(MATCH(F890,Код_КВР,0)),"",INDIRECT(ADDRESS(MATCH(F890,Код_КВР,0)+1,2,,,"КВР")))</f>
        <v>Предоставление субсидий бюджетным, автономным учреждениям и иным некоммерческим организациям</v>
      </c>
      <c r="B890" s="54">
        <v>809</v>
      </c>
      <c r="C890" s="57" t="s">
        <v>198</v>
      </c>
      <c r="D890" s="57" t="s">
        <v>188</v>
      </c>
      <c r="E890" s="54" t="s">
        <v>418</v>
      </c>
      <c r="F890" s="54">
        <v>600</v>
      </c>
      <c r="G890" s="62">
        <f t="shared" si="395"/>
        <v>2359.1</v>
      </c>
      <c r="H890" s="62">
        <f t="shared" si="395"/>
        <v>2359.1</v>
      </c>
    </row>
    <row r="891" spans="1:8" ht="12.75">
      <c r="A891" s="55" t="str">
        <f ca="1">IF(ISERROR(MATCH(F891,Код_КВР,0)),"",INDIRECT(ADDRESS(MATCH(F891,Код_КВР,0)+1,2,,,"КВР")))</f>
        <v>Субсидии автономным учреждениям</v>
      </c>
      <c r="B891" s="54">
        <v>809</v>
      </c>
      <c r="C891" s="57" t="s">
        <v>198</v>
      </c>
      <c r="D891" s="57" t="s">
        <v>188</v>
      </c>
      <c r="E891" s="54" t="s">
        <v>418</v>
      </c>
      <c r="F891" s="54">
        <v>620</v>
      </c>
      <c r="G891" s="62">
        <v>2359.1</v>
      </c>
      <c r="H891" s="62">
        <v>2359.1</v>
      </c>
    </row>
    <row r="892" spans="1:8" ht="12.75">
      <c r="A892" s="59" t="s">
        <v>167</v>
      </c>
      <c r="B892" s="54">
        <v>809</v>
      </c>
      <c r="C892" s="57" t="s">
        <v>198</v>
      </c>
      <c r="D892" s="57" t="s">
        <v>195</v>
      </c>
      <c r="E892" s="54"/>
      <c r="F892" s="54"/>
      <c r="G892" s="62">
        <f aca="true" t="shared" si="396" ref="G892:H892">G893</f>
        <v>9870.6</v>
      </c>
      <c r="H892" s="62">
        <f t="shared" si="396"/>
        <v>9874.9</v>
      </c>
    </row>
    <row r="893" spans="1:8" ht="33">
      <c r="A893" s="55" t="str">
        <f ca="1">IF(ISERROR(MATCH(E893,Код_КЦСР,0)),"",INDIRECT(ADDRESS(MATCH(E893,Код_КЦСР,0)+1,2,,,"КЦСР")))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93" s="54">
        <v>809</v>
      </c>
      <c r="C893" s="57" t="s">
        <v>198</v>
      </c>
      <c r="D893" s="57" t="s">
        <v>195</v>
      </c>
      <c r="E893" s="54" t="s">
        <v>409</v>
      </c>
      <c r="F893" s="54"/>
      <c r="G893" s="62">
        <f aca="true" t="shared" si="397" ref="G893:H893">G894+G897</f>
        <v>9870.6</v>
      </c>
      <c r="H893" s="62">
        <f t="shared" si="397"/>
        <v>9874.9</v>
      </c>
    </row>
    <row r="894" spans="1:8" ht="24.75" customHeight="1">
      <c r="A894" s="55" t="str">
        <f ca="1">IF(ISERROR(MATCH(E894,Код_КЦСР,0)),"",INDIRECT(ADDRESS(MATCH(E894,Код_КЦСР,0)+1,2,,,"КЦСР")))</f>
        <v>Организация и ведение бухгалтерского (бюджетного) учета и отчетности</v>
      </c>
      <c r="B894" s="54">
        <v>809</v>
      </c>
      <c r="C894" s="57" t="s">
        <v>198</v>
      </c>
      <c r="D894" s="57" t="s">
        <v>195</v>
      </c>
      <c r="E894" s="54" t="s">
        <v>415</v>
      </c>
      <c r="F894" s="54"/>
      <c r="G894" s="62">
        <f aca="true" t="shared" si="398" ref="G894:H895">G895</f>
        <v>3832.3</v>
      </c>
      <c r="H894" s="62">
        <f t="shared" si="398"/>
        <v>3836.6</v>
      </c>
    </row>
    <row r="895" spans="1:8" ht="33">
      <c r="A895" s="55" t="str">
        <f ca="1">IF(ISERROR(MATCH(F895,Код_КВР,0)),"",INDIRECT(ADDRESS(MATCH(F895,Код_КВР,0)+1,2,,,"КВР")))</f>
        <v>Предоставление субсидий бюджетным, автономным учреждениям и иным некоммерческим организациям</v>
      </c>
      <c r="B895" s="54">
        <v>809</v>
      </c>
      <c r="C895" s="57" t="s">
        <v>198</v>
      </c>
      <c r="D895" s="57" t="s">
        <v>195</v>
      </c>
      <c r="E895" s="54" t="s">
        <v>415</v>
      </c>
      <c r="F895" s="54">
        <v>600</v>
      </c>
      <c r="G895" s="62">
        <f t="shared" si="398"/>
        <v>3832.3</v>
      </c>
      <c r="H895" s="62">
        <f t="shared" si="398"/>
        <v>3836.6</v>
      </c>
    </row>
    <row r="896" spans="1:8" ht="12.75">
      <c r="A896" s="55" t="str">
        <f ca="1">IF(ISERROR(MATCH(F896,Код_КВР,0)),"",INDIRECT(ADDRESS(MATCH(F896,Код_КВР,0)+1,2,,,"КВР")))</f>
        <v>Субсидии бюджетным учреждениям</v>
      </c>
      <c r="B896" s="54">
        <v>809</v>
      </c>
      <c r="C896" s="57" t="s">
        <v>198</v>
      </c>
      <c r="D896" s="57" t="s">
        <v>195</v>
      </c>
      <c r="E896" s="54" t="s">
        <v>415</v>
      </c>
      <c r="F896" s="54">
        <v>610</v>
      </c>
      <c r="G896" s="62">
        <v>3832.3</v>
      </c>
      <c r="H896" s="62">
        <v>3836.6</v>
      </c>
    </row>
    <row r="897" spans="1:8" ht="43.5" customHeight="1">
      <c r="A897" s="55" t="str">
        <f ca="1">IF(ISERROR(MATCH(E897,Код_КЦСР,0)),"",INDIRECT(ADDRESS(MATCH(E897,Код_КЦСР,0)+1,2,,,"КЦСР")))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897" s="54">
        <v>809</v>
      </c>
      <c r="C897" s="57" t="s">
        <v>198</v>
      </c>
      <c r="D897" s="57" t="s">
        <v>195</v>
      </c>
      <c r="E897" s="54" t="s">
        <v>524</v>
      </c>
      <c r="F897" s="54"/>
      <c r="G897" s="62">
        <f aca="true" t="shared" si="399" ref="G897:H897">G898+G900</f>
        <v>6038.3</v>
      </c>
      <c r="H897" s="62">
        <f t="shared" si="399"/>
        <v>6038.3</v>
      </c>
    </row>
    <row r="898" spans="1:8" ht="33">
      <c r="A898" s="55" t="str">
        <f ca="1">IF(ISERROR(MATCH(F898,Код_КВР,0)),"",INDIRECT(ADDRESS(MATCH(F898,Код_КВР,0)+1,2,,,"КВР")))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8" s="54">
        <v>809</v>
      </c>
      <c r="C898" s="57" t="s">
        <v>198</v>
      </c>
      <c r="D898" s="57" t="s">
        <v>195</v>
      </c>
      <c r="E898" s="54" t="s">
        <v>524</v>
      </c>
      <c r="F898" s="54">
        <v>100</v>
      </c>
      <c r="G898" s="62">
        <f aca="true" t="shared" si="400" ref="G898:H898">SUM(G899)</f>
        <v>6026.5</v>
      </c>
      <c r="H898" s="62">
        <f t="shared" si="400"/>
        <v>6026.5</v>
      </c>
    </row>
    <row r="899" spans="1:8" ht="18.75" customHeight="1">
      <c r="A899" s="55" t="str">
        <f ca="1">IF(ISERROR(MATCH(F899,Код_КВР,0)),"",INDIRECT(ADDRESS(MATCH(F899,Код_КВР,0)+1,2,,,"КВР")))</f>
        <v>Расходы на выплаты персоналу муниципальных органов</v>
      </c>
      <c r="B899" s="54">
        <v>809</v>
      </c>
      <c r="C899" s="57" t="s">
        <v>198</v>
      </c>
      <c r="D899" s="57" t="s">
        <v>195</v>
      </c>
      <c r="E899" s="54" t="s">
        <v>524</v>
      </c>
      <c r="F899" s="54">
        <v>120</v>
      </c>
      <c r="G899" s="62">
        <f>5999.5+27</f>
        <v>6026.5</v>
      </c>
      <c r="H899" s="62">
        <f>5999.5+27</f>
        <v>6026.5</v>
      </c>
    </row>
    <row r="900" spans="1:8" ht="20.25" customHeight="1">
      <c r="A900" s="55" t="str">
        <f ca="1">IF(ISERROR(MATCH(F900,Код_КВР,0)),"",INDIRECT(ADDRESS(MATCH(F900,Код_КВР,0)+1,2,,,"КВР")))</f>
        <v>Закупка товаров, работ и услуг для муниципальных нужд</v>
      </c>
      <c r="B900" s="54">
        <v>809</v>
      </c>
      <c r="C900" s="57" t="s">
        <v>198</v>
      </c>
      <c r="D900" s="57" t="s">
        <v>195</v>
      </c>
      <c r="E900" s="54" t="s">
        <v>524</v>
      </c>
      <c r="F900" s="54">
        <v>200</v>
      </c>
      <c r="G900" s="62">
        <f aca="true" t="shared" si="401" ref="G900:H900">G901</f>
        <v>11.8</v>
      </c>
      <c r="H900" s="62">
        <f t="shared" si="401"/>
        <v>11.8</v>
      </c>
    </row>
    <row r="901" spans="1:8" ht="33">
      <c r="A901" s="55" t="str">
        <f ca="1">IF(ISERROR(MATCH(F901,Код_КВР,0)),"",INDIRECT(ADDRESS(MATCH(F901,Код_КВР,0)+1,2,,,"КВР")))</f>
        <v>Иные закупки товаров, работ и услуг для обеспечения муниципальных нужд</v>
      </c>
      <c r="B901" s="54">
        <v>809</v>
      </c>
      <c r="C901" s="57" t="s">
        <v>198</v>
      </c>
      <c r="D901" s="57" t="s">
        <v>195</v>
      </c>
      <c r="E901" s="54" t="s">
        <v>524</v>
      </c>
      <c r="F901" s="54">
        <v>240</v>
      </c>
      <c r="G901" s="62">
        <v>11.8</v>
      </c>
      <c r="H901" s="62">
        <v>11.8</v>
      </c>
    </row>
    <row r="902" spans="1:8" ht="12.75">
      <c r="A902" s="55" t="str">
        <f ca="1">IF(ISERROR(MATCH(B902,Код_ППП,0)),"",INDIRECT(ADDRESS(MATCH(B902,Код_ППП,0)+1,2,,,"ППП")))</f>
        <v>КОМИТЕТ СОЦИАЛЬНОЙ ЗАЩИТЫ НАСЕЛЕНИЯ ГОРОДА</v>
      </c>
      <c r="B902" s="54">
        <v>810</v>
      </c>
      <c r="C902" s="57"/>
      <c r="D902" s="57"/>
      <c r="E902" s="54"/>
      <c r="F902" s="54"/>
      <c r="G902" s="62">
        <f>G903+G919</f>
        <v>796716.6</v>
      </c>
      <c r="H902" s="62">
        <f>H903+H919</f>
        <v>918043.6</v>
      </c>
    </row>
    <row r="903" spans="1:8" ht="12.75">
      <c r="A903" s="55" t="str">
        <f ca="1">IF(ISERROR(MATCH(C903,Код_Раздел,0)),"",INDIRECT(ADDRESS(MATCH(C903,Код_Раздел,0)+1,2,,,"Раздел")))</f>
        <v>Образование</v>
      </c>
      <c r="B903" s="54">
        <v>810</v>
      </c>
      <c r="C903" s="57" t="s">
        <v>170</v>
      </c>
      <c r="D903" s="57"/>
      <c r="E903" s="54"/>
      <c r="F903" s="54"/>
      <c r="G903" s="62">
        <f aca="true" t="shared" si="402" ref="G903:H904">G904</f>
        <v>42928.700000000004</v>
      </c>
      <c r="H903" s="62">
        <f t="shared" si="402"/>
        <v>41364.700000000004</v>
      </c>
    </row>
    <row r="904" spans="1:8" ht="12.75">
      <c r="A904" s="59" t="s">
        <v>174</v>
      </c>
      <c r="B904" s="54">
        <v>810</v>
      </c>
      <c r="C904" s="57" t="s">
        <v>170</v>
      </c>
      <c r="D904" s="57" t="s">
        <v>170</v>
      </c>
      <c r="E904" s="54"/>
      <c r="F904" s="54"/>
      <c r="G904" s="62">
        <f t="shared" si="402"/>
        <v>42928.700000000004</v>
      </c>
      <c r="H904" s="62">
        <f t="shared" si="402"/>
        <v>41364.700000000004</v>
      </c>
    </row>
    <row r="905" spans="1:8" ht="31.5" customHeight="1">
      <c r="A905" s="55" t="str">
        <f ca="1">IF(ISERROR(MATCH(E905,Код_КЦСР,0)),"",INDIRECT(ADDRESS(MATCH(E905,Код_КЦСР,0)+1,2,,,"КЦСР")))</f>
        <v>Муниципальная программа «Социальная поддержка граждан» на 2014-2018 годы</v>
      </c>
      <c r="B905" s="54">
        <v>810</v>
      </c>
      <c r="C905" s="57" t="s">
        <v>170</v>
      </c>
      <c r="D905" s="57" t="s">
        <v>170</v>
      </c>
      <c r="E905" s="54" t="s">
        <v>4</v>
      </c>
      <c r="F905" s="54"/>
      <c r="G905" s="62">
        <f aca="true" t="shared" si="403" ref="G905:H905">G906+G909+G912+G916</f>
        <v>42928.700000000004</v>
      </c>
      <c r="H905" s="62">
        <f t="shared" si="403"/>
        <v>41364.700000000004</v>
      </c>
    </row>
    <row r="906" spans="1:8" ht="49.5">
      <c r="A906" s="55" t="str">
        <f ca="1">IF(ISERROR(MATCH(E906,Код_КЦСР,0)),"",INDIRECT(ADDRESS(MATCH(E906,Код_КЦСР,0)+1,2,,,"КЦСР")))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906" s="54">
        <v>810</v>
      </c>
      <c r="C906" s="57" t="s">
        <v>170</v>
      </c>
      <c r="D906" s="57" t="s">
        <v>170</v>
      </c>
      <c r="E906" s="54" t="s">
        <v>5</v>
      </c>
      <c r="F906" s="54"/>
      <c r="G906" s="62">
        <f aca="true" t="shared" si="404" ref="G906:H907">G907</f>
        <v>962.5</v>
      </c>
      <c r="H906" s="62">
        <f t="shared" si="404"/>
        <v>962.5</v>
      </c>
    </row>
    <row r="907" spans="1:8" ht="12.75">
      <c r="A907" s="55" t="str">
        <f ca="1">IF(ISERROR(MATCH(F907,Код_КВР,0)),"",INDIRECT(ADDRESS(MATCH(F907,Код_КВР,0)+1,2,,,"КВР")))</f>
        <v>Социальное обеспечение и иные выплаты населению</v>
      </c>
      <c r="B907" s="54">
        <v>810</v>
      </c>
      <c r="C907" s="57" t="s">
        <v>170</v>
      </c>
      <c r="D907" s="57" t="s">
        <v>170</v>
      </c>
      <c r="E907" s="54" t="s">
        <v>5</v>
      </c>
      <c r="F907" s="54">
        <v>300</v>
      </c>
      <c r="G907" s="62">
        <f t="shared" si="404"/>
        <v>962.5</v>
      </c>
      <c r="H907" s="62">
        <f t="shared" si="404"/>
        <v>962.5</v>
      </c>
    </row>
    <row r="908" spans="1:8" ht="33">
      <c r="A908" s="55" t="str">
        <f ca="1">IF(ISERROR(MATCH(F908,Код_КВР,0)),"",INDIRECT(ADDRESS(MATCH(F908,Код_КВР,0)+1,2,,,"КВР")))</f>
        <v>Социальные выплаты гражданам, кроме публичных нормативных социальных выплат</v>
      </c>
      <c r="B908" s="54">
        <v>810</v>
      </c>
      <c r="C908" s="57" t="s">
        <v>170</v>
      </c>
      <c r="D908" s="57" t="s">
        <v>170</v>
      </c>
      <c r="E908" s="54" t="s">
        <v>5</v>
      </c>
      <c r="F908" s="54">
        <v>320</v>
      </c>
      <c r="G908" s="62">
        <v>962.5</v>
      </c>
      <c r="H908" s="62">
        <v>962.5</v>
      </c>
    </row>
    <row r="909" spans="1:8" ht="57" customHeight="1">
      <c r="A909" s="55" t="str">
        <f ca="1">IF(ISERROR(MATCH(E909,Код_КЦСР,0)),"",INDIRECT(ADDRESS(MATCH(E909,Код_КЦСР,0)+1,2,,,"КЦСР")))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909" s="54">
        <v>810</v>
      </c>
      <c r="C909" s="57" t="s">
        <v>170</v>
      </c>
      <c r="D909" s="57" t="s">
        <v>170</v>
      </c>
      <c r="E909" s="54" t="s">
        <v>316</v>
      </c>
      <c r="F909" s="54"/>
      <c r="G909" s="62">
        <f aca="true" t="shared" si="405" ref="G909:H909">G910</f>
        <v>5772.5</v>
      </c>
      <c r="H909" s="62">
        <f t="shared" si="405"/>
        <v>5772.5</v>
      </c>
    </row>
    <row r="910" spans="1:8" ht="12.75">
      <c r="A910" s="55" t="str">
        <f ca="1">IF(ISERROR(MATCH(F910,Код_КВР,0)),"",INDIRECT(ADDRESS(MATCH(F910,Код_КВР,0)+1,2,,,"КВР")))</f>
        <v>Иные бюджетные ассигнования</v>
      </c>
      <c r="B910" s="54">
        <v>810</v>
      </c>
      <c r="C910" s="57" t="s">
        <v>170</v>
      </c>
      <c r="D910" s="57" t="s">
        <v>170</v>
      </c>
      <c r="E910" s="54" t="s">
        <v>316</v>
      </c>
      <c r="F910" s="54">
        <v>800</v>
      </c>
      <c r="G910" s="62">
        <f aca="true" t="shared" si="406" ref="G910:H910">G911</f>
        <v>5772.5</v>
      </c>
      <c r="H910" s="62">
        <f t="shared" si="406"/>
        <v>5772.5</v>
      </c>
    </row>
    <row r="911" spans="1:8" ht="33">
      <c r="A911" s="55" t="str">
        <f ca="1">IF(ISERROR(MATCH(F911,Код_КВР,0)),"",INDIRECT(ADDRESS(MATCH(F911,Код_КВР,0)+1,2,,,"КВР")))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11" s="54">
        <v>810</v>
      </c>
      <c r="C911" s="57" t="s">
        <v>170</v>
      </c>
      <c r="D911" s="57" t="s">
        <v>170</v>
      </c>
      <c r="E911" s="54" t="s">
        <v>316</v>
      </c>
      <c r="F911" s="54">
        <v>810</v>
      </c>
      <c r="G911" s="62">
        <v>5772.5</v>
      </c>
      <c r="H911" s="62">
        <v>5772.5</v>
      </c>
    </row>
    <row r="912" spans="1:8" ht="82.5">
      <c r="A912" s="55" t="str">
        <f ca="1">IF(ISERROR(MATCH(E912,Код_КЦСР,0)),"",INDIRECT(ADDRESS(MATCH(E912,Код_КЦСР,0)+1,2,,,"КЦСР")))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12" s="54">
        <v>810</v>
      </c>
      <c r="C912" s="57" t="s">
        <v>170</v>
      </c>
      <c r="D912" s="57" t="s">
        <v>170</v>
      </c>
      <c r="E912" s="54" t="s">
        <v>336</v>
      </c>
      <c r="F912" s="54"/>
      <c r="G912" s="62">
        <f aca="true" t="shared" si="407" ref="G912:H913">G913</f>
        <v>34238.700000000004</v>
      </c>
      <c r="H912" s="62">
        <f t="shared" si="407"/>
        <v>34238.700000000004</v>
      </c>
    </row>
    <row r="913" spans="1:8" ht="12.75">
      <c r="A913" s="55" t="str">
        <f ca="1">IF(ISERROR(MATCH(F913,Код_КВР,0)),"",INDIRECT(ADDRESS(MATCH(F913,Код_КВР,0)+1,2,,,"КВР")))</f>
        <v>Социальное обеспечение и иные выплаты населению</v>
      </c>
      <c r="B913" s="54">
        <v>810</v>
      </c>
      <c r="C913" s="57" t="s">
        <v>170</v>
      </c>
      <c r="D913" s="57" t="s">
        <v>170</v>
      </c>
      <c r="E913" s="54" t="s">
        <v>336</v>
      </c>
      <c r="F913" s="54">
        <v>300</v>
      </c>
      <c r="G913" s="62">
        <f t="shared" si="407"/>
        <v>34238.700000000004</v>
      </c>
      <c r="H913" s="62">
        <f t="shared" si="407"/>
        <v>34238.700000000004</v>
      </c>
    </row>
    <row r="914" spans="1:8" ht="33">
      <c r="A914" s="55" t="str">
        <f ca="1">IF(ISERROR(MATCH(F914,Код_КВР,0)),"",INDIRECT(ADDRESS(MATCH(F914,Код_КВР,0)+1,2,,,"КВР")))</f>
        <v>Социальные выплаты гражданам, кроме публичных нормативных социальных выплат</v>
      </c>
      <c r="B914" s="54">
        <v>810</v>
      </c>
      <c r="C914" s="57" t="s">
        <v>170</v>
      </c>
      <c r="D914" s="57" t="s">
        <v>170</v>
      </c>
      <c r="E914" s="54" t="s">
        <v>336</v>
      </c>
      <c r="F914" s="54">
        <v>320</v>
      </c>
      <c r="G914" s="62">
        <f>473.4+33765.3</f>
        <v>34238.700000000004</v>
      </c>
      <c r="H914" s="62">
        <f>473.4+33765.3</f>
        <v>34238.700000000004</v>
      </c>
    </row>
    <row r="915" spans="1:8" ht="33">
      <c r="A915" s="55" t="str">
        <f ca="1">IF(ISERROR(MATCH(E915,Код_КЦСР,0)),"",INDIRECT(ADDRESS(MATCH(E915,Код_КЦСР,0)+1,2,,,"КЦСР")))</f>
        <v>Социальная поддержка детей-сирот и детей, оставшихся без попечения родителей</v>
      </c>
      <c r="B915" s="54">
        <v>810</v>
      </c>
      <c r="C915" s="57" t="s">
        <v>170</v>
      </c>
      <c r="D915" s="57" t="s">
        <v>170</v>
      </c>
      <c r="E915" s="54" t="s">
        <v>593</v>
      </c>
      <c r="F915" s="54"/>
      <c r="G915" s="62">
        <f aca="true" t="shared" si="408" ref="G915:H915">G916</f>
        <v>1955</v>
      </c>
      <c r="H915" s="62">
        <f t="shared" si="408"/>
        <v>391</v>
      </c>
    </row>
    <row r="916" spans="1:8" ht="33.75" customHeight="1">
      <c r="A916" s="55" t="str">
        <f ca="1">IF(ISERROR(MATCH(E916,Код_КЦСР,0)),"",INDIRECT(ADDRESS(MATCH(E916,Код_КЦСР,0)+1,2,,,"КЦСР")))</f>
        <v>Социальная поддержка детей-сирот и детей, оставшихся без попечения родителей</v>
      </c>
      <c r="B916" s="54">
        <v>810</v>
      </c>
      <c r="C916" s="57" t="s">
        <v>170</v>
      </c>
      <c r="D916" s="57" t="s">
        <v>170</v>
      </c>
      <c r="E916" s="54" t="s">
        <v>582</v>
      </c>
      <c r="F916" s="54"/>
      <c r="G916" s="62">
        <f aca="true" t="shared" si="409" ref="G916:H917">G917</f>
        <v>1955</v>
      </c>
      <c r="H916" s="62">
        <f t="shared" si="409"/>
        <v>391</v>
      </c>
    </row>
    <row r="917" spans="1:8" ht="12.75">
      <c r="A917" s="55" t="str">
        <f ca="1">IF(ISERROR(MATCH(F917,Код_КВР,0)),"",INDIRECT(ADDRESS(MATCH(F917,Код_КВР,0)+1,2,,,"КВР")))</f>
        <v>Социальное обеспечение и иные выплаты населению</v>
      </c>
      <c r="B917" s="54">
        <v>810</v>
      </c>
      <c r="C917" s="57" t="s">
        <v>170</v>
      </c>
      <c r="D917" s="57" t="s">
        <v>170</v>
      </c>
      <c r="E917" s="54" t="s">
        <v>582</v>
      </c>
      <c r="F917" s="54">
        <v>300</v>
      </c>
      <c r="G917" s="62">
        <f t="shared" si="409"/>
        <v>1955</v>
      </c>
      <c r="H917" s="62">
        <f t="shared" si="409"/>
        <v>391</v>
      </c>
    </row>
    <row r="918" spans="1:8" ht="33">
      <c r="A918" s="55" t="str">
        <f ca="1">IF(ISERROR(MATCH(F918,Код_КВР,0)),"",INDIRECT(ADDRESS(MATCH(F918,Код_КВР,0)+1,2,,,"КВР")))</f>
        <v>Социальные выплаты гражданам, кроме публичных нормативных социальных выплат</v>
      </c>
      <c r="B918" s="54">
        <v>810</v>
      </c>
      <c r="C918" s="57" t="s">
        <v>170</v>
      </c>
      <c r="D918" s="57" t="s">
        <v>170</v>
      </c>
      <c r="E918" s="54" t="s">
        <v>582</v>
      </c>
      <c r="F918" s="54">
        <v>320</v>
      </c>
      <c r="G918" s="62">
        <v>1955</v>
      </c>
      <c r="H918" s="62">
        <v>391</v>
      </c>
    </row>
    <row r="919" spans="1:8" ht="12.75">
      <c r="A919" s="55" t="str">
        <f ca="1">IF(ISERROR(MATCH(C919,Код_Раздел,0)),"",INDIRECT(ADDRESS(MATCH(C919,Код_Раздел,0)+1,2,,,"Раздел")))</f>
        <v>Социальная политика</v>
      </c>
      <c r="B919" s="54">
        <v>810</v>
      </c>
      <c r="C919" s="57" t="s">
        <v>163</v>
      </c>
      <c r="D919" s="57"/>
      <c r="E919" s="54"/>
      <c r="F919" s="54"/>
      <c r="G919" s="62">
        <f>G920+G929+G976+G970</f>
        <v>753787.9</v>
      </c>
      <c r="H919" s="62">
        <f>H920+H929+H976+H970</f>
        <v>876678.9</v>
      </c>
    </row>
    <row r="920" spans="1:8" ht="12.75">
      <c r="A920" s="59" t="s">
        <v>229</v>
      </c>
      <c r="B920" s="54">
        <v>810</v>
      </c>
      <c r="C920" s="57" t="s">
        <v>163</v>
      </c>
      <c r="D920" s="57" t="s">
        <v>188</v>
      </c>
      <c r="E920" s="54"/>
      <c r="F920" s="54"/>
      <c r="G920" s="62">
        <f aca="true" t="shared" si="410" ref="G920:H920">G921</f>
        <v>190819.9</v>
      </c>
      <c r="H920" s="62">
        <f t="shared" si="410"/>
        <v>204999.09999999998</v>
      </c>
    </row>
    <row r="921" spans="1:8" ht="37.5" customHeight="1">
      <c r="A921" s="55" t="str">
        <f ca="1">IF(ISERROR(MATCH(E921,Код_КЦСР,0)),"",INDIRECT(ADDRESS(MATCH(E921,Код_КЦСР,0)+1,2,,,"КЦСР")))</f>
        <v>Муниципальная программа «Социальная поддержка граждан» на 2014-2018 годы</v>
      </c>
      <c r="B921" s="54">
        <v>810</v>
      </c>
      <c r="C921" s="57" t="s">
        <v>163</v>
      </c>
      <c r="D921" s="57" t="s">
        <v>188</v>
      </c>
      <c r="E921" s="54" t="s">
        <v>4</v>
      </c>
      <c r="F921" s="54"/>
      <c r="G921" s="62">
        <f aca="true" t="shared" si="411" ref="G921:H921">G922+G925</f>
        <v>190819.9</v>
      </c>
      <c r="H921" s="62">
        <f t="shared" si="411"/>
        <v>204999.09999999998</v>
      </c>
    </row>
    <row r="922" spans="1:8" ht="90.75" customHeight="1">
      <c r="A922" s="55" t="str">
        <f ca="1">IF(ISERROR(MATCH(E922,Код_КЦСР,0)),"",INDIRECT(ADDRESS(MATCH(E922,Код_КЦСР,0)+1,2,,,"КЦСР")))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22" s="54">
        <v>810</v>
      </c>
      <c r="C922" s="57" t="s">
        <v>163</v>
      </c>
      <c r="D922" s="57" t="s">
        <v>188</v>
      </c>
      <c r="E922" s="54" t="s">
        <v>336</v>
      </c>
      <c r="F922" s="54"/>
      <c r="G922" s="62">
        <f aca="true" t="shared" si="412" ref="G922:H923">G923</f>
        <v>96495.9</v>
      </c>
      <c r="H922" s="62">
        <f t="shared" si="412"/>
        <v>110315.9</v>
      </c>
    </row>
    <row r="923" spans="1:8" ht="33">
      <c r="A923" s="55" t="str">
        <f ca="1">IF(ISERROR(MATCH(F923,Код_КВР,0)),"",INDIRECT(ADDRESS(MATCH(F923,Код_КВР,0)+1,2,,,"КВР")))</f>
        <v>Предоставление субсидий бюджетным, автономным учреждениям и иным некоммерческим организациям</v>
      </c>
      <c r="B923" s="54">
        <v>810</v>
      </c>
      <c r="C923" s="57" t="s">
        <v>163</v>
      </c>
      <c r="D923" s="57" t="s">
        <v>188</v>
      </c>
      <c r="E923" s="54" t="s">
        <v>336</v>
      </c>
      <c r="F923" s="54">
        <v>600</v>
      </c>
      <c r="G923" s="62">
        <f t="shared" si="412"/>
        <v>96495.9</v>
      </c>
      <c r="H923" s="62">
        <f t="shared" si="412"/>
        <v>110315.9</v>
      </c>
    </row>
    <row r="924" spans="1:8" ht="27.2" customHeight="1">
      <c r="A924" s="55" t="str">
        <f ca="1">IF(ISERROR(MATCH(F924,Код_КВР,0)),"",INDIRECT(ADDRESS(MATCH(F924,Код_КВР,0)+1,2,,,"КВР")))</f>
        <v>Субсидии бюджетным учреждениям</v>
      </c>
      <c r="B924" s="54">
        <v>810</v>
      </c>
      <c r="C924" s="57" t="s">
        <v>163</v>
      </c>
      <c r="D924" s="57" t="s">
        <v>188</v>
      </c>
      <c r="E924" s="54" t="s">
        <v>336</v>
      </c>
      <c r="F924" s="54">
        <v>610</v>
      </c>
      <c r="G924" s="62">
        <f>94949+1389.7+157.2</f>
        <v>96495.9</v>
      </c>
      <c r="H924" s="62">
        <f>108277+1389.7+157.2+492</f>
        <v>110315.9</v>
      </c>
    </row>
    <row r="925" spans="1:8" ht="33">
      <c r="A925" s="55" t="str">
        <f ca="1">IF(ISERROR(MATCH(E925,Код_КЦСР,0)),"",INDIRECT(ADDRESS(MATCH(E925,Код_КЦСР,0)+1,2,,,"КЦСР")))</f>
        <v>Социальная поддержка детей-сирот и детей, оставшихся без попечения родителей</v>
      </c>
      <c r="B925" s="54">
        <v>810</v>
      </c>
      <c r="C925" s="57" t="s">
        <v>163</v>
      </c>
      <c r="D925" s="57" t="s">
        <v>188</v>
      </c>
      <c r="E925" s="54" t="s">
        <v>593</v>
      </c>
      <c r="F925" s="54"/>
      <c r="G925" s="62">
        <f aca="true" t="shared" si="413" ref="G925:H925">G926</f>
        <v>94324</v>
      </c>
      <c r="H925" s="62">
        <f t="shared" si="413"/>
        <v>94683.2</v>
      </c>
    </row>
    <row r="926" spans="1:8" ht="33">
      <c r="A926" s="55" t="str">
        <f ca="1">IF(ISERROR(MATCH(E926,Код_КЦСР,0)),"",INDIRECT(ADDRESS(MATCH(E926,Код_КЦСР,0)+1,2,,,"КЦСР")))</f>
        <v>Социальная поддержка детей-сирот и детей, оставшихся без попечения родителей</v>
      </c>
      <c r="B926" s="54">
        <v>810</v>
      </c>
      <c r="C926" s="57" t="s">
        <v>163</v>
      </c>
      <c r="D926" s="57" t="s">
        <v>188</v>
      </c>
      <c r="E926" s="54" t="s">
        <v>582</v>
      </c>
      <c r="F926" s="54"/>
      <c r="G926" s="62">
        <f aca="true" t="shared" si="414" ref="G926:H926">G927</f>
        <v>94324</v>
      </c>
      <c r="H926" s="62">
        <f t="shared" si="414"/>
        <v>94683.2</v>
      </c>
    </row>
    <row r="927" spans="1:8" ht="33">
      <c r="A927" s="55" t="str">
        <f ca="1">IF(ISERROR(MATCH(F927,Код_КВР,0)),"",INDIRECT(ADDRESS(MATCH(F927,Код_КВР,0)+1,2,,,"КВР")))</f>
        <v>Предоставление субсидий бюджетным, автономным учреждениям и иным некоммерческим организациям</v>
      </c>
      <c r="B927" s="54">
        <v>810</v>
      </c>
      <c r="C927" s="57" t="s">
        <v>163</v>
      </c>
      <c r="D927" s="57" t="s">
        <v>188</v>
      </c>
      <c r="E927" s="54" t="s">
        <v>582</v>
      </c>
      <c r="F927" s="54">
        <v>600</v>
      </c>
      <c r="G927" s="62">
        <f aca="true" t="shared" si="415" ref="G927:H927">G928</f>
        <v>94324</v>
      </c>
      <c r="H927" s="62">
        <f t="shared" si="415"/>
        <v>94683.2</v>
      </c>
    </row>
    <row r="928" spans="1:8" ht="12.75">
      <c r="A928" s="55" t="str">
        <f ca="1">IF(ISERROR(MATCH(F928,Код_КВР,0)),"",INDIRECT(ADDRESS(MATCH(F928,Код_КВР,0)+1,2,,,"КВР")))</f>
        <v>Субсидии бюджетным учреждениям</v>
      </c>
      <c r="B928" s="54">
        <v>810</v>
      </c>
      <c r="C928" s="57" t="s">
        <v>163</v>
      </c>
      <c r="D928" s="57" t="s">
        <v>188</v>
      </c>
      <c r="E928" s="54" t="s">
        <v>582</v>
      </c>
      <c r="F928" s="54">
        <v>610</v>
      </c>
      <c r="G928" s="62">
        <v>94324</v>
      </c>
      <c r="H928" s="62">
        <v>94683.2</v>
      </c>
    </row>
    <row r="929" spans="1:8" ht="12.75">
      <c r="A929" s="59" t="s">
        <v>154</v>
      </c>
      <c r="B929" s="54">
        <v>810</v>
      </c>
      <c r="C929" s="57" t="s">
        <v>163</v>
      </c>
      <c r="D929" s="57" t="s">
        <v>189</v>
      </c>
      <c r="E929" s="54"/>
      <c r="F929" s="54"/>
      <c r="G929" s="62">
        <f aca="true" t="shared" si="416" ref="G929:H929">G930</f>
        <v>471864.1</v>
      </c>
      <c r="H929" s="62">
        <f t="shared" si="416"/>
        <v>561125.4</v>
      </c>
    </row>
    <row r="930" spans="1:8" ht="30" customHeight="1">
      <c r="A930" s="55" t="str">
        <f ca="1">IF(ISERROR(MATCH(E930,Код_КЦСР,0)),"",INDIRECT(ADDRESS(MATCH(E930,Код_КЦСР,0)+1,2,,,"КЦСР")))</f>
        <v>Муниципальная программа «Социальная поддержка граждан» на 2014-2018 годы</v>
      </c>
      <c r="B930" s="54">
        <v>810</v>
      </c>
      <c r="C930" s="57" t="s">
        <v>163</v>
      </c>
      <c r="D930" s="57" t="s">
        <v>189</v>
      </c>
      <c r="E930" s="54" t="s">
        <v>4</v>
      </c>
      <c r="F930" s="54"/>
      <c r="G930" s="62">
        <f>G936+G942+G948+G954+G960+G965+G931</f>
        <v>471864.1</v>
      </c>
      <c r="H930" s="62">
        <f>H936+H942+H948+H954+H960+H965+H931</f>
        <v>561125.4</v>
      </c>
    </row>
    <row r="931" spans="1:8" ht="90.6" customHeight="1">
      <c r="A931" s="55" t="str">
        <f ca="1">IF(ISERROR(MATCH(E931,Код_КЦСР,0)),"",INDIRECT(ADDRESS(MATCH(E931,Код_КЦСР,0)+1,2,,,"КЦСР")))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31" s="54">
        <v>810</v>
      </c>
      <c r="C931" s="57" t="s">
        <v>163</v>
      </c>
      <c r="D931" s="57" t="s">
        <v>189</v>
      </c>
      <c r="E931" s="54" t="s">
        <v>336</v>
      </c>
      <c r="F931" s="54"/>
      <c r="G931" s="62">
        <f aca="true" t="shared" si="417" ref="G931:H931">G934+G932</f>
        <v>207747.69999999998</v>
      </c>
      <c r="H931" s="62">
        <f t="shared" si="417"/>
        <v>288633.4</v>
      </c>
    </row>
    <row r="932" spans="1:8" ht="24" customHeight="1">
      <c r="A932" s="55" t="str">
        <f ca="1">IF(ISERROR(MATCH(F932,Код_КВР,0)),"",INDIRECT(ADDRESS(MATCH(F932,Код_КВР,0)+1,2,,,"КВР")))</f>
        <v>Закупка товаров, работ и услуг для муниципальных нужд</v>
      </c>
      <c r="B932" s="54">
        <v>810</v>
      </c>
      <c r="C932" s="57" t="s">
        <v>163</v>
      </c>
      <c r="D932" s="57" t="s">
        <v>189</v>
      </c>
      <c r="E932" s="54" t="s">
        <v>336</v>
      </c>
      <c r="F932" s="54">
        <v>200</v>
      </c>
      <c r="G932" s="62">
        <f aca="true" t="shared" si="418" ref="G932:H932">G933</f>
        <v>1249.3</v>
      </c>
      <c r="H932" s="62">
        <f t="shared" si="418"/>
        <v>1665</v>
      </c>
    </row>
    <row r="933" spans="1:8" ht="36" customHeight="1">
      <c r="A933" s="55" t="str">
        <f ca="1">IF(ISERROR(MATCH(F933,Код_КВР,0)),"",INDIRECT(ADDRESS(MATCH(F933,Код_КВР,0)+1,2,,,"КВР")))</f>
        <v>Иные закупки товаров, работ и услуг для обеспечения муниципальных нужд</v>
      </c>
      <c r="B933" s="54">
        <v>810</v>
      </c>
      <c r="C933" s="57" t="s">
        <v>163</v>
      </c>
      <c r="D933" s="57" t="s">
        <v>189</v>
      </c>
      <c r="E933" s="54" t="s">
        <v>336</v>
      </c>
      <c r="F933" s="54">
        <v>240</v>
      </c>
      <c r="G933" s="62">
        <f>479+770.3</f>
        <v>1249.3</v>
      </c>
      <c r="H933" s="62">
        <f>479+1186</f>
        <v>1665</v>
      </c>
    </row>
    <row r="934" spans="1:8" ht="22.9" customHeight="1">
      <c r="A934" s="55" t="str">
        <f ca="1">IF(ISERROR(MATCH(F934,Код_КВР,0)),"",INDIRECT(ADDRESS(MATCH(F934,Код_КВР,0)+1,2,,,"КВР")))</f>
        <v>Социальное обеспечение и иные выплаты населению</v>
      </c>
      <c r="B934" s="54">
        <v>810</v>
      </c>
      <c r="C934" s="57" t="s">
        <v>163</v>
      </c>
      <c r="D934" s="57" t="s">
        <v>189</v>
      </c>
      <c r="E934" s="54" t="s">
        <v>336</v>
      </c>
      <c r="F934" s="54">
        <v>300</v>
      </c>
      <c r="G934" s="62">
        <f aca="true" t="shared" si="419" ref="G934:H934">G935</f>
        <v>206498.4</v>
      </c>
      <c r="H934" s="62">
        <f t="shared" si="419"/>
        <v>286968.4</v>
      </c>
    </row>
    <row r="935" spans="1:8" ht="46.5" customHeight="1">
      <c r="A935" s="55" t="str">
        <f ca="1">IF(ISERROR(MATCH(F935,Код_КВР,0)),"",INDIRECT(ADDRESS(MATCH(F935,Код_КВР,0)+1,2,,,"КВР")))</f>
        <v>Социальные выплаты гражданам, кроме публичных нормативных социальных выплат</v>
      </c>
      <c r="B935" s="54">
        <v>810</v>
      </c>
      <c r="C935" s="57" t="s">
        <v>163</v>
      </c>
      <c r="D935" s="57" t="s">
        <v>189</v>
      </c>
      <c r="E935" s="54" t="s">
        <v>336</v>
      </c>
      <c r="F935" s="54">
        <v>320</v>
      </c>
      <c r="G935" s="62">
        <f>7700+300+720+541.2+165303.9+31933.3</f>
        <v>206498.4</v>
      </c>
      <c r="H935" s="62">
        <f>7700+300+720+541.2+245773.9+31933.3</f>
        <v>286968.4</v>
      </c>
    </row>
    <row r="936" spans="1:8" ht="33">
      <c r="A936" s="55" t="str">
        <f ca="1">IF(ISERROR(MATCH(E936,Код_КЦСР,0)),"",INDIRECT(ADDRESS(MATCH(E936,Код_КЦСР,0)+1,2,,,"КЦСР")))</f>
        <v>Выплата ежемесячного социального пособия на оздоровление работникам учреждений здравоохранения</v>
      </c>
      <c r="B936" s="54">
        <v>810</v>
      </c>
      <c r="C936" s="57" t="s">
        <v>163</v>
      </c>
      <c r="D936" s="57" t="s">
        <v>189</v>
      </c>
      <c r="E936" s="54" t="s">
        <v>8</v>
      </c>
      <c r="F936" s="54"/>
      <c r="G936" s="62">
        <f aca="true" t="shared" si="420" ref="G936:H940">G937</f>
        <v>23549.2</v>
      </c>
      <c r="H936" s="62">
        <f t="shared" si="420"/>
        <v>23549.2</v>
      </c>
    </row>
    <row r="937" spans="1:8" ht="51.75" customHeight="1">
      <c r="A937" s="55" t="str">
        <f ca="1">IF(ISERROR(MATCH(E937,Код_КЦСР,0)),"",INDIRECT(ADDRESS(MATCH(E937,Код_КЦСР,0)+1,2,,,"КЦСР")))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937" s="54">
        <v>810</v>
      </c>
      <c r="C937" s="57" t="s">
        <v>163</v>
      </c>
      <c r="D937" s="57" t="s">
        <v>189</v>
      </c>
      <c r="E937" s="54" t="s">
        <v>10</v>
      </c>
      <c r="F937" s="54"/>
      <c r="G937" s="62">
        <f aca="true" t="shared" si="421" ref="G937:H937">G940+G938</f>
        <v>23549.2</v>
      </c>
      <c r="H937" s="62">
        <f t="shared" si="421"/>
        <v>23549.2</v>
      </c>
    </row>
    <row r="938" spans="1:8" ht="29.45" customHeight="1">
      <c r="A938" s="55" t="str">
        <f ca="1">IF(ISERROR(MATCH(F938,Код_КВР,0)),"",INDIRECT(ADDRESS(MATCH(F938,Код_КВР,0)+1,2,,,"КВР")))</f>
        <v>Закупка товаров, работ и услуг для муниципальных нужд</v>
      </c>
      <c r="B938" s="54">
        <v>810</v>
      </c>
      <c r="C938" s="57" t="s">
        <v>163</v>
      </c>
      <c r="D938" s="57" t="s">
        <v>189</v>
      </c>
      <c r="E938" s="54" t="s">
        <v>10</v>
      </c>
      <c r="F938" s="54">
        <v>200</v>
      </c>
      <c r="G938" s="62">
        <f aca="true" t="shared" si="422" ref="G938:H938">G939</f>
        <v>233.2</v>
      </c>
      <c r="H938" s="62">
        <f t="shared" si="422"/>
        <v>233.2</v>
      </c>
    </row>
    <row r="939" spans="1:8" ht="36.75" customHeight="1">
      <c r="A939" s="55" t="str">
        <f ca="1">IF(ISERROR(MATCH(F939,Код_КВР,0)),"",INDIRECT(ADDRESS(MATCH(F939,Код_КВР,0)+1,2,,,"КВР")))</f>
        <v>Иные закупки товаров, работ и услуг для обеспечения муниципальных нужд</v>
      </c>
      <c r="B939" s="54">
        <v>810</v>
      </c>
      <c r="C939" s="57" t="s">
        <v>163</v>
      </c>
      <c r="D939" s="57" t="s">
        <v>189</v>
      </c>
      <c r="E939" s="54" t="s">
        <v>10</v>
      </c>
      <c r="F939" s="54">
        <v>240</v>
      </c>
      <c r="G939" s="62">
        <v>233.2</v>
      </c>
      <c r="H939" s="62">
        <v>233.2</v>
      </c>
    </row>
    <row r="940" spans="1:8" ht="12.75">
      <c r="A940" s="55" t="str">
        <f ca="1">IF(ISERROR(MATCH(F940,Код_КВР,0)),"",INDIRECT(ADDRESS(MATCH(F940,Код_КВР,0)+1,2,,,"КВР")))</f>
        <v>Социальное обеспечение и иные выплаты населению</v>
      </c>
      <c r="B940" s="54">
        <v>810</v>
      </c>
      <c r="C940" s="57" t="s">
        <v>163</v>
      </c>
      <c r="D940" s="57" t="s">
        <v>189</v>
      </c>
      <c r="E940" s="54" t="s">
        <v>10</v>
      </c>
      <c r="F940" s="54">
        <v>300</v>
      </c>
      <c r="G940" s="62">
        <f t="shared" si="420"/>
        <v>23316</v>
      </c>
      <c r="H940" s="62">
        <f t="shared" si="420"/>
        <v>23316</v>
      </c>
    </row>
    <row r="941" spans="1:8" ht="12.75">
      <c r="A941" s="55" t="str">
        <f ca="1">IF(ISERROR(MATCH(F941,Код_КВР,0)),"",INDIRECT(ADDRESS(MATCH(F941,Код_КВР,0)+1,2,,,"КВР")))</f>
        <v>Публичные нормативные социальные выплаты гражданам</v>
      </c>
      <c r="B941" s="54">
        <v>810</v>
      </c>
      <c r="C941" s="57" t="s">
        <v>163</v>
      </c>
      <c r="D941" s="57" t="s">
        <v>189</v>
      </c>
      <c r="E941" s="54" t="s">
        <v>10</v>
      </c>
      <c r="F941" s="54">
        <v>310</v>
      </c>
      <c r="G941" s="62">
        <v>23316</v>
      </c>
      <c r="H941" s="62">
        <v>23316</v>
      </c>
    </row>
    <row r="942" spans="1:8" ht="33">
      <c r="A942" s="55" t="str">
        <f ca="1">IF(ISERROR(MATCH(E942,Код_КЦСР,0)),"",INDIRECT(ADDRESS(MATCH(E942,Код_КЦСР,0)+1,2,,,"КЦСР")))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942" s="54">
        <v>810</v>
      </c>
      <c r="C942" s="57" t="s">
        <v>163</v>
      </c>
      <c r="D942" s="57" t="s">
        <v>189</v>
      </c>
      <c r="E942" s="54" t="s">
        <v>11</v>
      </c>
      <c r="F942" s="54"/>
      <c r="G942" s="62">
        <f aca="true" t="shared" si="423" ref="G942:H946">G943</f>
        <v>6108.5</v>
      </c>
      <c r="H942" s="62">
        <f t="shared" si="423"/>
        <v>6108.5</v>
      </c>
    </row>
    <row r="943" spans="1:8" ht="50.25" customHeight="1">
      <c r="A943" s="55" t="str">
        <f ca="1">IF(ISERROR(MATCH(E943,Код_КЦСР,0)),"",INDIRECT(ADDRESS(MATCH(E943,Код_КЦСР,0)+1,2,,,"КЦСР")))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943" s="54">
        <v>810</v>
      </c>
      <c r="C943" s="57" t="s">
        <v>163</v>
      </c>
      <c r="D943" s="57" t="s">
        <v>189</v>
      </c>
      <c r="E943" s="54" t="s">
        <v>12</v>
      </c>
      <c r="F943" s="54"/>
      <c r="G943" s="62">
        <f aca="true" t="shared" si="424" ref="G943:H943">G946+G944</f>
        <v>6108.5</v>
      </c>
      <c r="H943" s="62">
        <f t="shared" si="424"/>
        <v>6108.5</v>
      </c>
    </row>
    <row r="944" spans="1:8" ht="25.5" customHeight="1">
      <c r="A944" s="55" t="str">
        <f ca="1">IF(ISERROR(MATCH(F944,Код_КВР,0)),"",INDIRECT(ADDRESS(MATCH(F944,Код_КВР,0)+1,2,,,"КВР")))</f>
        <v>Закупка товаров, работ и услуг для муниципальных нужд</v>
      </c>
      <c r="B944" s="54">
        <v>810</v>
      </c>
      <c r="C944" s="57" t="s">
        <v>163</v>
      </c>
      <c r="D944" s="57" t="s">
        <v>189</v>
      </c>
      <c r="E944" s="54" t="s">
        <v>12</v>
      </c>
      <c r="F944" s="54">
        <v>200</v>
      </c>
      <c r="G944" s="62">
        <f aca="true" t="shared" si="425" ref="G944:H944">G945</f>
        <v>60.5</v>
      </c>
      <c r="H944" s="62">
        <f t="shared" si="425"/>
        <v>60.5</v>
      </c>
    </row>
    <row r="945" spans="1:8" ht="38.25" customHeight="1">
      <c r="A945" s="55" t="str">
        <f ca="1">IF(ISERROR(MATCH(F945,Код_КВР,0)),"",INDIRECT(ADDRESS(MATCH(F945,Код_КВР,0)+1,2,,,"КВР")))</f>
        <v>Иные закупки товаров, работ и услуг для обеспечения муниципальных нужд</v>
      </c>
      <c r="B945" s="54">
        <v>810</v>
      </c>
      <c r="C945" s="57" t="s">
        <v>163</v>
      </c>
      <c r="D945" s="57" t="s">
        <v>189</v>
      </c>
      <c r="E945" s="54" t="s">
        <v>12</v>
      </c>
      <c r="F945" s="54">
        <v>240</v>
      </c>
      <c r="G945" s="62">
        <v>60.5</v>
      </c>
      <c r="H945" s="62">
        <v>60.5</v>
      </c>
    </row>
    <row r="946" spans="1:8" ht="12.75">
      <c r="A946" s="55" t="str">
        <f ca="1">IF(ISERROR(MATCH(F946,Код_КВР,0)),"",INDIRECT(ADDRESS(MATCH(F946,Код_КВР,0)+1,2,,,"КВР")))</f>
        <v>Социальное обеспечение и иные выплаты населению</v>
      </c>
      <c r="B946" s="54">
        <v>810</v>
      </c>
      <c r="C946" s="57" t="s">
        <v>163</v>
      </c>
      <c r="D946" s="57" t="s">
        <v>189</v>
      </c>
      <c r="E946" s="54" t="s">
        <v>12</v>
      </c>
      <c r="F946" s="54">
        <v>300</v>
      </c>
      <c r="G946" s="62">
        <f t="shared" si="423"/>
        <v>6048</v>
      </c>
      <c r="H946" s="62">
        <f t="shared" si="423"/>
        <v>6048</v>
      </c>
    </row>
    <row r="947" spans="1:8" ht="12.75">
      <c r="A947" s="55" t="str">
        <f ca="1">IF(ISERROR(MATCH(F947,Код_КВР,0)),"",INDIRECT(ADDRESS(MATCH(F947,Код_КВР,0)+1,2,,,"КВР")))</f>
        <v>Публичные нормативные социальные выплаты гражданам</v>
      </c>
      <c r="B947" s="54">
        <v>810</v>
      </c>
      <c r="C947" s="57" t="s">
        <v>163</v>
      </c>
      <c r="D947" s="57" t="s">
        <v>189</v>
      </c>
      <c r="E947" s="54" t="s">
        <v>12</v>
      </c>
      <c r="F947" s="54">
        <v>310</v>
      </c>
      <c r="G947" s="62">
        <v>6048</v>
      </c>
      <c r="H947" s="62">
        <v>6048</v>
      </c>
    </row>
    <row r="948" spans="1:8" ht="33">
      <c r="A948" s="55" t="str">
        <f ca="1">IF(ISERROR(MATCH(E948,Код_КЦСР,0)),"",INDIRECT(ADDRESS(MATCH(E948,Код_КЦСР,0)+1,2,,,"КЦСР")))</f>
        <v>Выплата вознаграждений лицам, имеющим знак «За особые заслуги перед городом Череповцом»</v>
      </c>
      <c r="B948" s="54">
        <v>810</v>
      </c>
      <c r="C948" s="57" t="s">
        <v>163</v>
      </c>
      <c r="D948" s="57" t="s">
        <v>189</v>
      </c>
      <c r="E948" s="54" t="s">
        <v>13</v>
      </c>
      <c r="F948" s="54"/>
      <c r="G948" s="62">
        <f aca="true" t="shared" si="426" ref="G948:H952">G949</f>
        <v>403</v>
      </c>
      <c r="H948" s="62">
        <f t="shared" si="426"/>
        <v>403</v>
      </c>
    </row>
    <row r="949" spans="1:8" ht="49.5">
      <c r="A949" s="55" t="str">
        <f ca="1">IF(ISERROR(MATCH(E949,Код_КЦСР,0)),"",INDIRECT(ADDRESS(MATCH(E949,Код_КЦСР,0)+1,2,,,"КЦСР")))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949" s="54">
        <v>810</v>
      </c>
      <c r="C949" s="57" t="s">
        <v>163</v>
      </c>
      <c r="D949" s="57" t="s">
        <v>189</v>
      </c>
      <c r="E949" s="54" t="s">
        <v>15</v>
      </c>
      <c r="F949" s="54"/>
      <c r="G949" s="62">
        <f aca="true" t="shared" si="427" ref="G949:H949">G952+G950</f>
        <v>403</v>
      </c>
      <c r="H949" s="62">
        <f t="shared" si="427"/>
        <v>403</v>
      </c>
    </row>
    <row r="950" spans="1:8" ht="12.75">
      <c r="A950" s="55" t="str">
        <f ca="1">IF(ISERROR(MATCH(F950,Код_КВР,0)),"",INDIRECT(ADDRESS(MATCH(F950,Код_КВР,0)+1,2,,,"КВР")))</f>
        <v>Закупка товаров, работ и услуг для муниципальных нужд</v>
      </c>
      <c r="B950" s="54">
        <v>810</v>
      </c>
      <c r="C950" s="57" t="s">
        <v>163</v>
      </c>
      <c r="D950" s="57" t="s">
        <v>189</v>
      </c>
      <c r="E950" s="54" t="s">
        <v>15</v>
      </c>
      <c r="F950" s="54">
        <v>200</v>
      </c>
      <c r="G950" s="62">
        <f aca="true" t="shared" si="428" ref="G950:H950">G951</f>
        <v>4</v>
      </c>
      <c r="H950" s="62">
        <f t="shared" si="428"/>
        <v>4</v>
      </c>
    </row>
    <row r="951" spans="1:8" ht="33">
      <c r="A951" s="55" t="str">
        <f ca="1">IF(ISERROR(MATCH(F951,Код_КВР,0)),"",INDIRECT(ADDRESS(MATCH(F951,Код_КВР,0)+1,2,,,"КВР")))</f>
        <v>Иные закупки товаров, работ и услуг для обеспечения муниципальных нужд</v>
      </c>
      <c r="B951" s="54">
        <v>810</v>
      </c>
      <c r="C951" s="57" t="s">
        <v>163</v>
      </c>
      <c r="D951" s="57" t="s">
        <v>189</v>
      </c>
      <c r="E951" s="54" t="s">
        <v>15</v>
      </c>
      <c r="F951" s="54">
        <v>240</v>
      </c>
      <c r="G951" s="62">
        <v>4</v>
      </c>
      <c r="H951" s="62">
        <v>4</v>
      </c>
    </row>
    <row r="952" spans="1:8" ht="12.75">
      <c r="A952" s="55" t="str">
        <f ca="1">IF(ISERROR(MATCH(F952,Код_КВР,0)),"",INDIRECT(ADDRESS(MATCH(F952,Код_КВР,0)+1,2,,,"КВР")))</f>
        <v>Социальное обеспечение и иные выплаты населению</v>
      </c>
      <c r="B952" s="54">
        <v>810</v>
      </c>
      <c r="C952" s="57" t="s">
        <v>163</v>
      </c>
      <c r="D952" s="57" t="s">
        <v>189</v>
      </c>
      <c r="E952" s="54" t="s">
        <v>15</v>
      </c>
      <c r="F952" s="54">
        <v>300</v>
      </c>
      <c r="G952" s="62">
        <f t="shared" si="426"/>
        <v>399</v>
      </c>
      <c r="H952" s="62">
        <f t="shared" si="426"/>
        <v>399</v>
      </c>
    </row>
    <row r="953" spans="1:8" ht="12.75">
      <c r="A953" s="55" t="str">
        <f ca="1">IF(ISERROR(MATCH(F953,Код_КВР,0)),"",INDIRECT(ADDRESS(MATCH(F953,Код_КВР,0)+1,2,,,"КВР")))</f>
        <v>Публичные нормативные социальные выплаты гражданам</v>
      </c>
      <c r="B953" s="54">
        <v>810</v>
      </c>
      <c r="C953" s="57" t="s">
        <v>163</v>
      </c>
      <c r="D953" s="57" t="s">
        <v>189</v>
      </c>
      <c r="E953" s="54" t="s">
        <v>15</v>
      </c>
      <c r="F953" s="54">
        <v>310</v>
      </c>
      <c r="G953" s="62">
        <v>399</v>
      </c>
      <c r="H953" s="62">
        <v>399</v>
      </c>
    </row>
    <row r="954" spans="1:8" ht="33">
      <c r="A954" s="55" t="str">
        <f ca="1">IF(ISERROR(MATCH(E954,Код_КЦСР,0)),"",INDIRECT(ADDRESS(MATCH(E954,Код_КЦСР,0)+1,2,,,"КЦСР")))</f>
        <v>Выплата вознаграждений лицам, имеющим звание «Почетный гражданин города Череповца</v>
      </c>
      <c r="B954" s="54">
        <v>810</v>
      </c>
      <c r="C954" s="57" t="s">
        <v>163</v>
      </c>
      <c r="D954" s="57" t="s">
        <v>189</v>
      </c>
      <c r="E954" s="54" t="s">
        <v>16</v>
      </c>
      <c r="F954" s="54"/>
      <c r="G954" s="62">
        <f aca="true" t="shared" si="429" ref="G954:H958">G955</f>
        <v>379.8</v>
      </c>
      <c r="H954" s="62">
        <f t="shared" si="429"/>
        <v>379.8</v>
      </c>
    </row>
    <row r="955" spans="1:8" ht="49.5">
      <c r="A955" s="55" t="str">
        <f ca="1">IF(ISERROR(MATCH(E955,Код_КЦСР,0)),"",INDIRECT(ADDRESS(MATCH(E955,Код_КЦСР,0)+1,2,,,"КЦСР")))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955" s="54">
        <v>810</v>
      </c>
      <c r="C955" s="57" t="s">
        <v>163</v>
      </c>
      <c r="D955" s="57" t="s">
        <v>189</v>
      </c>
      <c r="E955" s="54" t="s">
        <v>18</v>
      </c>
      <c r="F955" s="54"/>
      <c r="G955" s="62">
        <f aca="true" t="shared" si="430" ref="G955:H955">G958+G956</f>
        <v>379.8</v>
      </c>
      <c r="H955" s="62">
        <f t="shared" si="430"/>
        <v>379.8</v>
      </c>
    </row>
    <row r="956" spans="1:8" ht="23.25" customHeight="1">
      <c r="A956" s="55" t="str">
        <f ca="1">IF(ISERROR(MATCH(F956,Код_КВР,0)),"",INDIRECT(ADDRESS(MATCH(F956,Код_КВР,0)+1,2,,,"КВР")))</f>
        <v>Закупка товаров, работ и услуг для муниципальных нужд</v>
      </c>
      <c r="B956" s="54">
        <v>810</v>
      </c>
      <c r="C956" s="57" t="s">
        <v>163</v>
      </c>
      <c r="D956" s="57" t="s">
        <v>189</v>
      </c>
      <c r="E956" s="54" t="s">
        <v>18</v>
      </c>
      <c r="F956" s="54">
        <v>200</v>
      </c>
      <c r="G956" s="62">
        <f aca="true" t="shared" si="431" ref="G956:H956">G957</f>
        <v>3.8</v>
      </c>
      <c r="H956" s="62">
        <f t="shared" si="431"/>
        <v>3.8</v>
      </c>
    </row>
    <row r="957" spans="1:8" ht="33">
      <c r="A957" s="55" t="str">
        <f ca="1">IF(ISERROR(MATCH(F957,Код_КВР,0)),"",INDIRECT(ADDRESS(MATCH(F957,Код_КВР,0)+1,2,,,"КВР")))</f>
        <v>Иные закупки товаров, работ и услуг для обеспечения муниципальных нужд</v>
      </c>
      <c r="B957" s="54">
        <v>810</v>
      </c>
      <c r="C957" s="57" t="s">
        <v>163</v>
      </c>
      <c r="D957" s="57" t="s">
        <v>189</v>
      </c>
      <c r="E957" s="54" t="s">
        <v>18</v>
      </c>
      <c r="F957" s="54">
        <v>240</v>
      </c>
      <c r="G957" s="62">
        <v>3.8</v>
      </c>
      <c r="H957" s="62">
        <v>3.8</v>
      </c>
    </row>
    <row r="958" spans="1:8" ht="12.75">
      <c r="A958" s="55" t="str">
        <f ca="1">IF(ISERROR(MATCH(F958,Код_КВР,0)),"",INDIRECT(ADDRESS(MATCH(F958,Код_КВР,0)+1,2,,,"КВР")))</f>
        <v>Социальное обеспечение и иные выплаты населению</v>
      </c>
      <c r="B958" s="54">
        <v>810</v>
      </c>
      <c r="C958" s="57" t="s">
        <v>163</v>
      </c>
      <c r="D958" s="57" t="s">
        <v>189</v>
      </c>
      <c r="E958" s="54" t="s">
        <v>18</v>
      </c>
      <c r="F958" s="54">
        <v>300</v>
      </c>
      <c r="G958" s="62">
        <f t="shared" si="429"/>
        <v>376</v>
      </c>
      <c r="H958" s="62">
        <f t="shared" si="429"/>
        <v>376</v>
      </c>
    </row>
    <row r="959" spans="1:8" ht="12.75">
      <c r="A959" s="55" t="str">
        <f ca="1">IF(ISERROR(MATCH(F959,Код_КВР,0)),"",INDIRECT(ADDRESS(MATCH(F959,Код_КВР,0)+1,2,,,"КВР")))</f>
        <v>Публичные нормативные социальные выплаты гражданам</v>
      </c>
      <c r="B959" s="54">
        <v>810</v>
      </c>
      <c r="C959" s="57" t="s">
        <v>163</v>
      </c>
      <c r="D959" s="57" t="s">
        <v>189</v>
      </c>
      <c r="E959" s="54" t="s">
        <v>18</v>
      </c>
      <c r="F959" s="54">
        <v>310</v>
      </c>
      <c r="G959" s="62">
        <v>376</v>
      </c>
      <c r="H959" s="62">
        <v>376</v>
      </c>
    </row>
    <row r="960" spans="1:8" ht="36.75" customHeight="1">
      <c r="A960" s="55" t="str">
        <f ca="1">IF(ISERROR(MATCH(E960,Код_КЦСР,0)),"",INDIRECT(ADDRESS(MATCH(E960,Код_КЦСР,0)+1,2,,,"КЦСР")))</f>
        <v>Социальная поддержка пенсионеров на условиях договора пожизненного содержания с иждивением</v>
      </c>
      <c r="B960" s="54">
        <v>810</v>
      </c>
      <c r="C960" s="57" t="s">
        <v>163</v>
      </c>
      <c r="D960" s="57" t="s">
        <v>189</v>
      </c>
      <c r="E960" s="54" t="s">
        <v>19</v>
      </c>
      <c r="F960" s="54"/>
      <c r="G960" s="62">
        <f aca="true" t="shared" si="432" ref="G960">G963+G961</f>
        <v>15444.3</v>
      </c>
      <c r="H960" s="62">
        <f>H963+H961</f>
        <v>15497.2</v>
      </c>
    </row>
    <row r="961" spans="1:8" ht="21" customHeight="1">
      <c r="A961" s="55" t="str">
        <f ca="1">IF(ISERROR(MATCH(F961,Код_КВР,0)),"",INDIRECT(ADDRESS(MATCH(F961,Код_КВР,0)+1,2,,,"КВР")))</f>
        <v>Закупка товаров, работ и услуг для муниципальных нужд</v>
      </c>
      <c r="B961" s="54">
        <v>810</v>
      </c>
      <c r="C961" s="57" t="s">
        <v>163</v>
      </c>
      <c r="D961" s="57" t="s">
        <v>189</v>
      </c>
      <c r="E961" s="54" t="s">
        <v>19</v>
      </c>
      <c r="F961" s="54">
        <v>200</v>
      </c>
      <c r="G961" s="62">
        <f aca="true" t="shared" si="433" ref="G961:H961">G962</f>
        <v>127.5</v>
      </c>
      <c r="H961" s="62">
        <f t="shared" si="433"/>
        <v>127.5</v>
      </c>
    </row>
    <row r="962" spans="1:8" ht="36.75" customHeight="1">
      <c r="A962" s="55" t="str">
        <f ca="1">IF(ISERROR(MATCH(F962,Код_КВР,0)),"",INDIRECT(ADDRESS(MATCH(F962,Код_КВР,0)+1,2,,,"КВР")))</f>
        <v>Иные закупки товаров, работ и услуг для обеспечения муниципальных нужд</v>
      </c>
      <c r="B962" s="54">
        <v>810</v>
      </c>
      <c r="C962" s="57" t="s">
        <v>163</v>
      </c>
      <c r="D962" s="57" t="s">
        <v>189</v>
      </c>
      <c r="E962" s="54" t="s">
        <v>19</v>
      </c>
      <c r="F962" s="54">
        <v>240</v>
      </c>
      <c r="G962" s="62">
        <v>127.5</v>
      </c>
      <c r="H962" s="62">
        <v>127.5</v>
      </c>
    </row>
    <row r="963" spans="1:8" ht="12.75">
      <c r="A963" s="55" t="str">
        <f ca="1">IF(ISERROR(MATCH(F963,Код_КВР,0)),"",INDIRECT(ADDRESS(MATCH(F963,Код_КВР,0)+1,2,,,"КВР")))</f>
        <v>Социальное обеспечение и иные выплаты населению</v>
      </c>
      <c r="B963" s="54">
        <v>810</v>
      </c>
      <c r="C963" s="57" t="s">
        <v>163</v>
      </c>
      <c r="D963" s="57" t="s">
        <v>189</v>
      </c>
      <c r="E963" s="54" t="s">
        <v>19</v>
      </c>
      <c r="F963" s="54">
        <v>300</v>
      </c>
      <c r="G963" s="62">
        <f aca="true" t="shared" si="434" ref="G963:H968">G964</f>
        <v>15316.8</v>
      </c>
      <c r="H963" s="62">
        <f t="shared" si="434"/>
        <v>15369.7</v>
      </c>
    </row>
    <row r="964" spans="1:8" ht="33">
      <c r="A964" s="55" t="str">
        <f ca="1">IF(ISERROR(MATCH(F964,Код_КВР,0)),"",INDIRECT(ADDRESS(MATCH(F964,Код_КВР,0)+1,2,,,"КВР")))</f>
        <v>Социальные выплаты гражданам, кроме публичных нормативных социальных выплат</v>
      </c>
      <c r="B964" s="54">
        <v>810</v>
      </c>
      <c r="C964" s="57" t="s">
        <v>163</v>
      </c>
      <c r="D964" s="57" t="s">
        <v>189</v>
      </c>
      <c r="E964" s="54" t="s">
        <v>19</v>
      </c>
      <c r="F964" s="54">
        <v>320</v>
      </c>
      <c r="G964" s="62">
        <f>13059+2257.8</f>
        <v>15316.8</v>
      </c>
      <c r="H964" s="62">
        <f>13059+2310.7</f>
        <v>15369.7</v>
      </c>
    </row>
    <row r="965" spans="1:8" ht="33">
      <c r="A965" s="55" t="str">
        <f ca="1">IF(ISERROR(MATCH(E965,Код_КЦСР,0)),"",INDIRECT(ADDRESS(MATCH(E965,Код_КЦСР,0)+1,2,,,"КЦСР")))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65" s="54">
        <v>810</v>
      </c>
      <c r="C965" s="57" t="s">
        <v>163</v>
      </c>
      <c r="D965" s="57" t="s">
        <v>189</v>
      </c>
      <c r="E965" s="54" t="s">
        <v>340</v>
      </c>
      <c r="F965" s="54"/>
      <c r="G965" s="62">
        <f aca="true" t="shared" si="435" ref="G965:H965">G968+G966</f>
        <v>218231.59999999998</v>
      </c>
      <c r="H965" s="62">
        <f t="shared" si="435"/>
        <v>226554.3</v>
      </c>
    </row>
    <row r="966" spans="1:8" ht="12.75">
      <c r="A966" s="55" t="str">
        <f ca="1">IF(ISERROR(MATCH(F966,Код_КВР,0)),"",INDIRECT(ADDRESS(MATCH(F966,Код_КВР,0)+1,2,,,"КВР")))</f>
        <v>Закупка товаров, работ и услуг для муниципальных нужд</v>
      </c>
      <c r="B966" s="54">
        <v>810</v>
      </c>
      <c r="C966" s="57" t="s">
        <v>163</v>
      </c>
      <c r="D966" s="57" t="s">
        <v>189</v>
      </c>
      <c r="E966" s="54" t="s">
        <v>340</v>
      </c>
      <c r="F966" s="54">
        <v>200</v>
      </c>
      <c r="G966" s="62">
        <f aca="true" t="shared" si="436" ref="G966:H966">G967</f>
        <v>1585.8</v>
      </c>
      <c r="H966" s="62">
        <f t="shared" si="436"/>
        <v>1708.9</v>
      </c>
    </row>
    <row r="967" spans="1:8" ht="33">
      <c r="A967" s="55" t="str">
        <f ca="1">IF(ISERROR(MATCH(F967,Код_КВР,0)),"",INDIRECT(ADDRESS(MATCH(F967,Код_КВР,0)+1,2,,,"КВР")))</f>
        <v>Иные закупки товаров, работ и услуг для обеспечения муниципальных нужд</v>
      </c>
      <c r="B967" s="54">
        <v>810</v>
      </c>
      <c r="C967" s="57" t="s">
        <v>163</v>
      </c>
      <c r="D967" s="57" t="s">
        <v>189</v>
      </c>
      <c r="E967" s="54" t="s">
        <v>340</v>
      </c>
      <c r="F967" s="54">
        <v>240</v>
      </c>
      <c r="G967" s="62">
        <v>1585.8</v>
      </c>
      <c r="H967" s="62">
        <v>1708.9</v>
      </c>
    </row>
    <row r="968" spans="1:8" ht="12.75">
      <c r="A968" s="55" t="str">
        <f ca="1">IF(ISERROR(MATCH(F968,Код_КВР,0)),"",INDIRECT(ADDRESS(MATCH(F968,Код_КВР,0)+1,2,,,"КВР")))</f>
        <v>Социальное обеспечение и иные выплаты населению</v>
      </c>
      <c r="B968" s="54">
        <v>810</v>
      </c>
      <c r="C968" s="57" t="s">
        <v>163</v>
      </c>
      <c r="D968" s="57" t="s">
        <v>189</v>
      </c>
      <c r="E968" s="54" t="s">
        <v>340</v>
      </c>
      <c r="F968" s="54">
        <v>300</v>
      </c>
      <c r="G968" s="62">
        <f t="shared" si="434"/>
        <v>216645.8</v>
      </c>
      <c r="H968" s="62">
        <f t="shared" si="434"/>
        <v>224845.4</v>
      </c>
    </row>
    <row r="969" spans="1:8" ht="33">
      <c r="A969" s="55" t="str">
        <f ca="1">IF(ISERROR(MATCH(F969,Код_КВР,0)),"",INDIRECT(ADDRESS(MATCH(F969,Код_КВР,0)+1,2,,,"КВР")))</f>
        <v>Социальные выплаты гражданам, кроме публичных нормативных социальных выплат</v>
      </c>
      <c r="B969" s="54">
        <v>810</v>
      </c>
      <c r="C969" s="57" t="s">
        <v>163</v>
      </c>
      <c r="D969" s="57" t="s">
        <v>189</v>
      </c>
      <c r="E969" s="54" t="s">
        <v>340</v>
      </c>
      <c r="F969" s="54">
        <v>320</v>
      </c>
      <c r="G969" s="62">
        <v>216645.8</v>
      </c>
      <c r="H969" s="62">
        <v>224845.4</v>
      </c>
    </row>
    <row r="970" spans="1:8" ht="12.75">
      <c r="A970" s="60" t="s">
        <v>179</v>
      </c>
      <c r="B970" s="54">
        <v>810</v>
      </c>
      <c r="C970" s="57" t="s">
        <v>163</v>
      </c>
      <c r="D970" s="57" t="s">
        <v>190</v>
      </c>
      <c r="E970" s="54"/>
      <c r="F970" s="54"/>
      <c r="G970" s="62">
        <f aca="true" t="shared" si="437" ref="G970:H971">G971</f>
        <v>29330</v>
      </c>
      <c r="H970" s="62">
        <f t="shared" si="437"/>
        <v>48773.1</v>
      </c>
    </row>
    <row r="971" spans="1:8" ht="33">
      <c r="A971" s="55" t="str">
        <f ca="1">IF(ISERROR(MATCH(E971,Код_КЦСР,0)),"",INDIRECT(ADDRESS(MATCH(E971,Код_КЦСР,0)+1,2,,,"КЦСР")))</f>
        <v>Муниципальная программа «Социальная поддержка граждан» на 2014-2018 годы</v>
      </c>
      <c r="B971" s="54">
        <v>810</v>
      </c>
      <c r="C971" s="57" t="s">
        <v>163</v>
      </c>
      <c r="D971" s="57" t="s">
        <v>190</v>
      </c>
      <c r="E971" s="54" t="s">
        <v>4</v>
      </c>
      <c r="F971" s="54"/>
      <c r="G971" s="62">
        <f t="shared" si="437"/>
        <v>29330</v>
      </c>
      <c r="H971" s="62">
        <f t="shared" si="437"/>
        <v>48773.1</v>
      </c>
    </row>
    <row r="972" spans="1:8" ht="33">
      <c r="A972" s="55" t="str">
        <f ca="1">IF(ISERROR(MATCH(E972,Код_КЦСР,0)),"",INDIRECT(ADDRESS(MATCH(E972,Код_КЦСР,0)+1,2,,,"КЦСР")))</f>
        <v>Социальная поддержка детей-сирот и детей, оставшихся без попечения родителей</v>
      </c>
      <c r="B972" s="54">
        <v>810</v>
      </c>
      <c r="C972" s="57" t="s">
        <v>163</v>
      </c>
      <c r="D972" s="57" t="s">
        <v>190</v>
      </c>
      <c r="E972" s="54" t="s">
        <v>593</v>
      </c>
      <c r="F972" s="54"/>
      <c r="G972" s="62">
        <f aca="true" t="shared" si="438" ref="G972:H972">G973</f>
        <v>29330</v>
      </c>
      <c r="H972" s="62">
        <f t="shared" si="438"/>
        <v>48773.1</v>
      </c>
    </row>
    <row r="973" spans="1:8" ht="28.15" customHeight="1">
      <c r="A973" s="55" t="str">
        <f ca="1">IF(ISERROR(MATCH(E973,Код_КЦСР,0)),"",INDIRECT(ADDRESS(MATCH(E973,Код_КЦСР,0)+1,2,,,"КЦСР")))</f>
        <v>Социальная поддержка детей-сирот и детей, оставшихся без попечения родителей</v>
      </c>
      <c r="B973" s="54">
        <v>810</v>
      </c>
      <c r="C973" s="57" t="s">
        <v>163</v>
      </c>
      <c r="D973" s="57" t="s">
        <v>190</v>
      </c>
      <c r="E973" s="54" t="s">
        <v>582</v>
      </c>
      <c r="F973" s="54"/>
      <c r="G973" s="62">
        <f aca="true" t="shared" si="439" ref="G973:H973">G974</f>
        <v>29330</v>
      </c>
      <c r="H973" s="62">
        <f t="shared" si="439"/>
        <v>48773.1</v>
      </c>
    </row>
    <row r="974" spans="1:8" ht="12.75">
      <c r="A974" s="55" t="str">
        <f aca="true" t="shared" si="440" ref="A974:A975">IF(ISERROR(MATCH(F974,Код_КВР,0)),"",INDIRECT(ADDRESS(MATCH(F974,Код_КВР,0)+1,2,,,"КВР")))</f>
        <v>Социальное обеспечение и иные выплаты населению</v>
      </c>
      <c r="B974" s="54">
        <v>810</v>
      </c>
      <c r="C974" s="57" t="s">
        <v>163</v>
      </c>
      <c r="D974" s="57" t="s">
        <v>190</v>
      </c>
      <c r="E974" s="54" t="s">
        <v>582</v>
      </c>
      <c r="F974" s="54">
        <v>300</v>
      </c>
      <c r="G974" s="62">
        <f aca="true" t="shared" si="441" ref="G974:H974">G975</f>
        <v>29330</v>
      </c>
      <c r="H974" s="62">
        <f t="shared" si="441"/>
        <v>48773.1</v>
      </c>
    </row>
    <row r="975" spans="1:8" ht="33">
      <c r="A975" s="55" t="str">
        <f ca="1" t="shared" si="440"/>
        <v>Социальные выплаты гражданам, кроме публичных нормативных социальных выплат</v>
      </c>
      <c r="B975" s="54">
        <v>810</v>
      </c>
      <c r="C975" s="57" t="s">
        <v>163</v>
      </c>
      <c r="D975" s="57" t="s">
        <v>190</v>
      </c>
      <c r="E975" s="54" t="s">
        <v>582</v>
      </c>
      <c r="F975" s="54">
        <v>320</v>
      </c>
      <c r="G975" s="62">
        <f>380+594.7+1148.4+18019.4+9187.5</f>
        <v>29330</v>
      </c>
      <c r="H975" s="62">
        <f>408.8+570+594.7+556.8+22677.1+23965.7</f>
        <v>48773.1</v>
      </c>
    </row>
    <row r="976" spans="1:8" ht="12.75">
      <c r="A976" s="59" t="s">
        <v>164</v>
      </c>
      <c r="B976" s="54">
        <v>810</v>
      </c>
      <c r="C976" s="57" t="s">
        <v>163</v>
      </c>
      <c r="D976" s="57" t="s">
        <v>191</v>
      </c>
      <c r="E976" s="54"/>
      <c r="F976" s="54"/>
      <c r="G976" s="62">
        <f aca="true" t="shared" si="442" ref="G976:H976">G977</f>
        <v>61773.90000000001</v>
      </c>
      <c r="H976" s="62">
        <f t="shared" si="442"/>
        <v>61781.3</v>
      </c>
    </row>
    <row r="977" spans="1:8" ht="40.5" customHeight="1">
      <c r="A977" s="55" t="str">
        <f ca="1">IF(ISERROR(MATCH(E977,Код_КЦСР,0)),"",INDIRECT(ADDRESS(MATCH(E977,Код_КЦСР,0)+1,2,,,"КЦСР")))</f>
        <v>Муниципальная программа «Социальная поддержка граждан» на 2014-2018 годы</v>
      </c>
      <c r="B977" s="54">
        <v>810</v>
      </c>
      <c r="C977" s="57" t="s">
        <v>163</v>
      </c>
      <c r="D977" s="57" t="s">
        <v>191</v>
      </c>
      <c r="E977" s="54" t="s">
        <v>4</v>
      </c>
      <c r="F977" s="54"/>
      <c r="G977" s="62">
        <f aca="true" t="shared" si="443" ref="G977:H977">G990+G985+G997+G978</f>
        <v>61773.90000000001</v>
      </c>
      <c r="H977" s="62">
        <f t="shared" si="443"/>
        <v>61781.3</v>
      </c>
    </row>
    <row r="978" spans="1:8" ht="149.25" customHeight="1">
      <c r="A978" s="55" t="str">
        <f ca="1">IF(ISERROR(MATCH(E978,Код_КЦСР,0)),"",INDIRECT(ADDRESS(MATCH(E978,Код_КЦСР,0)+1,2,,,"КЦСР")))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978" s="54">
        <v>810</v>
      </c>
      <c r="C978" s="57" t="s">
        <v>163</v>
      </c>
      <c r="D978" s="57" t="s">
        <v>191</v>
      </c>
      <c r="E978" s="54" t="s">
        <v>580</v>
      </c>
      <c r="F978" s="54"/>
      <c r="G978" s="62">
        <f aca="true" t="shared" si="444" ref="G978:H978">G979+G981+G983</f>
        <v>18920.2</v>
      </c>
      <c r="H978" s="62">
        <f t="shared" si="444"/>
        <v>18920.2</v>
      </c>
    </row>
    <row r="979" spans="1:8" ht="33" customHeight="1">
      <c r="A979" s="55" t="str">
        <f aca="true" t="shared" si="445" ref="A979:A984">IF(ISERROR(MATCH(F979,Код_КВР,0)),"",INDIRECT(ADDRESS(MATCH(F979,Код_КВР,0)+1,2,,,"КВР")))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9" s="54">
        <v>810</v>
      </c>
      <c r="C979" s="57" t="s">
        <v>163</v>
      </c>
      <c r="D979" s="57" t="s">
        <v>191</v>
      </c>
      <c r="E979" s="54" t="s">
        <v>580</v>
      </c>
      <c r="F979" s="54">
        <v>100</v>
      </c>
      <c r="G979" s="62">
        <f aca="true" t="shared" si="446" ref="G979:H979">G980</f>
        <v>8645</v>
      </c>
      <c r="H979" s="62">
        <f t="shared" si="446"/>
        <v>8645</v>
      </c>
    </row>
    <row r="980" spans="1:8" ht="22.9" customHeight="1">
      <c r="A980" s="55" t="str">
        <f ca="1" t="shared" si="445"/>
        <v>Расходы на выплаты персоналу муниципальных органов</v>
      </c>
      <c r="B980" s="54">
        <v>810</v>
      </c>
      <c r="C980" s="57" t="s">
        <v>163</v>
      </c>
      <c r="D980" s="57" t="s">
        <v>191</v>
      </c>
      <c r="E980" s="54" t="s">
        <v>580</v>
      </c>
      <c r="F980" s="54">
        <v>120</v>
      </c>
      <c r="G980" s="62">
        <f>6464.1+2180.9</f>
        <v>8645</v>
      </c>
      <c r="H980" s="62">
        <f>6464.1+2180.9</f>
        <v>8645</v>
      </c>
    </row>
    <row r="981" spans="1:8" ht="22.9" customHeight="1">
      <c r="A981" s="55" t="str">
        <f ca="1" t="shared" si="445"/>
        <v>Закупка товаров, работ и услуг для муниципальных нужд</v>
      </c>
      <c r="B981" s="54">
        <v>810</v>
      </c>
      <c r="C981" s="57" t="s">
        <v>163</v>
      </c>
      <c r="D981" s="57" t="s">
        <v>191</v>
      </c>
      <c r="E981" s="54" t="s">
        <v>580</v>
      </c>
      <c r="F981" s="54">
        <v>200</v>
      </c>
      <c r="G981" s="62">
        <f aca="true" t="shared" si="447" ref="G981:H981">G982</f>
        <v>2548.4</v>
      </c>
      <c r="H981" s="62">
        <f t="shared" si="447"/>
        <v>2548.4</v>
      </c>
    </row>
    <row r="982" spans="1:8" ht="22.9" customHeight="1">
      <c r="A982" s="55" t="str">
        <f ca="1" t="shared" si="445"/>
        <v>Иные закупки товаров, работ и услуг для обеспечения муниципальных нужд</v>
      </c>
      <c r="B982" s="54">
        <v>810</v>
      </c>
      <c r="C982" s="57" t="s">
        <v>163</v>
      </c>
      <c r="D982" s="57" t="s">
        <v>191</v>
      </c>
      <c r="E982" s="54" t="s">
        <v>580</v>
      </c>
      <c r="F982" s="54">
        <v>240</v>
      </c>
      <c r="G982" s="62">
        <f>1939.2+501.6+107.6</f>
        <v>2548.4</v>
      </c>
      <c r="H982" s="62">
        <f>1939.2+501.6+107.6</f>
        <v>2548.4</v>
      </c>
    </row>
    <row r="983" spans="1:8" ht="22.9" customHeight="1">
      <c r="A983" s="55" t="str">
        <f ca="1" t="shared" si="445"/>
        <v>Социальное обеспечение и иные выплаты населению</v>
      </c>
      <c r="B983" s="54">
        <v>810</v>
      </c>
      <c r="C983" s="57" t="s">
        <v>163</v>
      </c>
      <c r="D983" s="57" t="s">
        <v>191</v>
      </c>
      <c r="E983" s="54" t="s">
        <v>580</v>
      </c>
      <c r="F983" s="54">
        <v>300</v>
      </c>
      <c r="G983" s="62">
        <f aca="true" t="shared" si="448" ref="G983:H983">G984</f>
        <v>7726.8</v>
      </c>
      <c r="H983" s="62">
        <f t="shared" si="448"/>
        <v>7726.8</v>
      </c>
    </row>
    <row r="984" spans="1:8" ht="34.7" customHeight="1">
      <c r="A984" s="55" t="str">
        <f ca="1" t="shared" si="445"/>
        <v>Социальные выплаты гражданам, кроме публичных нормативных социальных выплат</v>
      </c>
      <c r="B984" s="54">
        <v>810</v>
      </c>
      <c r="C984" s="57" t="s">
        <v>163</v>
      </c>
      <c r="D984" s="57" t="s">
        <v>191</v>
      </c>
      <c r="E984" s="54" t="s">
        <v>580</v>
      </c>
      <c r="F984" s="54">
        <v>320</v>
      </c>
      <c r="G984" s="62">
        <v>7726.8</v>
      </c>
      <c r="H984" s="62">
        <v>7726.8</v>
      </c>
    </row>
    <row r="985" spans="1:8" ht="34.7" customHeight="1">
      <c r="A985" s="55" t="str">
        <f ca="1">IF(ISERROR(MATCH(E985,Код_КЦСР,0)),"",INDIRECT(ADDRESS(MATCH(E985,Код_КЦСР,0)+1,2,,,"КЦСР")))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985" s="54">
        <v>810</v>
      </c>
      <c r="C985" s="57" t="s">
        <v>163</v>
      </c>
      <c r="D985" s="57" t="s">
        <v>191</v>
      </c>
      <c r="E985" s="54" t="s">
        <v>540</v>
      </c>
      <c r="F985" s="54"/>
      <c r="G985" s="62">
        <f aca="true" t="shared" si="449" ref="G985:H985">G986+G988</f>
        <v>9180.7</v>
      </c>
      <c r="H985" s="62">
        <f t="shared" si="449"/>
        <v>9188.1</v>
      </c>
    </row>
    <row r="986" spans="1:8" ht="33">
      <c r="A986" s="55" t="str">
        <f aca="true" t="shared" si="450" ref="A986:A989">IF(ISERROR(MATCH(F986,Код_КВР,0)),"",INDIRECT(ADDRESS(MATCH(F986,Код_КВР,0)+1,2,,,"КВР")))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6" s="54">
        <v>810</v>
      </c>
      <c r="C986" s="57" t="s">
        <v>163</v>
      </c>
      <c r="D986" s="57" t="s">
        <v>191</v>
      </c>
      <c r="E986" s="54" t="s">
        <v>540</v>
      </c>
      <c r="F986" s="54">
        <v>100</v>
      </c>
      <c r="G986" s="62">
        <f aca="true" t="shared" si="451" ref="G986:H986">G987</f>
        <v>8909</v>
      </c>
      <c r="H986" s="62">
        <f t="shared" si="451"/>
        <v>8909</v>
      </c>
    </row>
    <row r="987" spans="1:8" ht="12.75">
      <c r="A987" s="55" t="str">
        <f ca="1" t="shared" si="450"/>
        <v>Расходы на выплаты персоналу муниципальных органов</v>
      </c>
      <c r="B987" s="54">
        <v>810</v>
      </c>
      <c r="C987" s="57" t="s">
        <v>163</v>
      </c>
      <c r="D987" s="57" t="s">
        <v>191</v>
      </c>
      <c r="E987" s="54" t="s">
        <v>540</v>
      </c>
      <c r="F987" s="54">
        <v>120</v>
      </c>
      <c r="G987" s="62">
        <v>8909</v>
      </c>
      <c r="H987" s="62">
        <v>8909</v>
      </c>
    </row>
    <row r="988" spans="1:8" ht="12.75">
      <c r="A988" s="55" t="str">
        <f ca="1" t="shared" si="450"/>
        <v>Закупка товаров, работ и услуг для муниципальных нужд</v>
      </c>
      <c r="B988" s="54">
        <v>810</v>
      </c>
      <c r="C988" s="57" t="s">
        <v>163</v>
      </c>
      <c r="D988" s="57" t="s">
        <v>191</v>
      </c>
      <c r="E988" s="54" t="s">
        <v>540</v>
      </c>
      <c r="F988" s="54">
        <v>200</v>
      </c>
      <c r="G988" s="62">
        <f aca="true" t="shared" si="452" ref="G988:H988">G989</f>
        <v>271.7</v>
      </c>
      <c r="H988" s="62">
        <f t="shared" si="452"/>
        <v>279.1</v>
      </c>
    </row>
    <row r="989" spans="1:8" ht="30.75" customHeight="1">
      <c r="A989" s="55" t="str">
        <f ca="1" t="shared" si="450"/>
        <v>Иные закупки товаров, работ и услуг для обеспечения муниципальных нужд</v>
      </c>
      <c r="B989" s="54">
        <v>810</v>
      </c>
      <c r="C989" s="57" t="s">
        <v>163</v>
      </c>
      <c r="D989" s="57" t="s">
        <v>191</v>
      </c>
      <c r="E989" s="54" t="s">
        <v>540</v>
      </c>
      <c r="F989" s="54">
        <v>240</v>
      </c>
      <c r="G989" s="62">
        <v>271.7</v>
      </c>
      <c r="H989" s="62">
        <v>279.1</v>
      </c>
    </row>
    <row r="990" spans="1:8" ht="82.5">
      <c r="A990" s="55" t="str">
        <f ca="1">IF(ISERROR(MATCH(E990,Код_КЦСР,0)),"",INDIRECT(ADDRESS(MATCH(E990,Код_КЦСР,0)+1,2,,,"КЦСР")))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90" s="54">
        <v>810</v>
      </c>
      <c r="C990" s="57" t="s">
        <v>163</v>
      </c>
      <c r="D990" s="57" t="s">
        <v>191</v>
      </c>
      <c r="E990" s="54" t="s">
        <v>336</v>
      </c>
      <c r="F990" s="54"/>
      <c r="G990" s="62">
        <f aca="true" t="shared" si="453" ref="G990:H990">G991+G993+G995</f>
        <v>32009.200000000004</v>
      </c>
      <c r="H990" s="62">
        <f t="shared" si="453"/>
        <v>32009.200000000004</v>
      </c>
    </row>
    <row r="991" spans="1:8" ht="33">
      <c r="A991" s="55" t="str">
        <f aca="true" t="shared" si="454" ref="A991:A996">IF(ISERROR(MATCH(F991,Код_КВР,0)),"",INDIRECT(ADDRESS(MATCH(F991,Код_КВР,0)+1,2,,,"КВР")))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1" s="54">
        <v>810</v>
      </c>
      <c r="C991" s="57" t="s">
        <v>163</v>
      </c>
      <c r="D991" s="57" t="s">
        <v>191</v>
      </c>
      <c r="E991" s="54" t="s">
        <v>336</v>
      </c>
      <c r="F991" s="54">
        <v>100</v>
      </c>
      <c r="G991" s="62">
        <f aca="true" t="shared" si="455" ref="G991:H991">G992</f>
        <v>26867.100000000002</v>
      </c>
      <c r="H991" s="62">
        <f t="shared" si="455"/>
        <v>26867.100000000002</v>
      </c>
    </row>
    <row r="992" spans="1:8" ht="21" customHeight="1">
      <c r="A992" s="55" t="str">
        <f ca="1" t="shared" si="454"/>
        <v>Расходы на выплаты персоналу муниципальных органов</v>
      </c>
      <c r="B992" s="54">
        <v>810</v>
      </c>
      <c r="C992" s="57" t="s">
        <v>163</v>
      </c>
      <c r="D992" s="57" t="s">
        <v>191</v>
      </c>
      <c r="E992" s="54" t="s">
        <v>336</v>
      </c>
      <c r="F992" s="54">
        <v>120</v>
      </c>
      <c r="G992" s="62">
        <f>26852.4+14.7</f>
        <v>26867.100000000002</v>
      </c>
      <c r="H992" s="62">
        <f>26852.4+14.7</f>
        <v>26867.100000000002</v>
      </c>
    </row>
    <row r="993" spans="1:8" ht="21" customHeight="1">
      <c r="A993" s="55" t="str">
        <f ca="1" t="shared" si="454"/>
        <v>Закупка товаров, работ и услуг для муниципальных нужд</v>
      </c>
      <c r="B993" s="54">
        <v>810</v>
      </c>
      <c r="C993" s="57" t="s">
        <v>163</v>
      </c>
      <c r="D993" s="57" t="s">
        <v>191</v>
      </c>
      <c r="E993" s="54" t="s">
        <v>336</v>
      </c>
      <c r="F993" s="54">
        <v>200</v>
      </c>
      <c r="G993" s="62">
        <f aca="true" t="shared" si="456" ref="G993:H993">G994</f>
        <v>5126.900000000001</v>
      </c>
      <c r="H993" s="62">
        <f t="shared" si="456"/>
        <v>5126.900000000001</v>
      </c>
    </row>
    <row r="994" spans="1:8" ht="33">
      <c r="A994" s="55" t="str">
        <f ca="1" t="shared" si="454"/>
        <v>Иные закупки товаров, работ и услуг для обеспечения муниципальных нужд</v>
      </c>
      <c r="B994" s="54">
        <v>810</v>
      </c>
      <c r="C994" s="57" t="s">
        <v>163</v>
      </c>
      <c r="D994" s="57" t="s">
        <v>191</v>
      </c>
      <c r="E994" s="54" t="s">
        <v>336</v>
      </c>
      <c r="F994" s="54">
        <v>240</v>
      </c>
      <c r="G994" s="62">
        <f>1675.8+3458.3-7.2</f>
        <v>5126.900000000001</v>
      </c>
      <c r="H994" s="62">
        <f>1675.8+3458.3-7.2</f>
        <v>5126.900000000001</v>
      </c>
    </row>
    <row r="995" spans="1:8" ht="21.75" customHeight="1">
      <c r="A995" s="55" t="str">
        <f ca="1" t="shared" si="454"/>
        <v>Иные бюджетные ассигнования</v>
      </c>
      <c r="B995" s="54">
        <v>810</v>
      </c>
      <c r="C995" s="57" t="s">
        <v>163</v>
      </c>
      <c r="D995" s="57" t="s">
        <v>191</v>
      </c>
      <c r="E995" s="54" t="s">
        <v>336</v>
      </c>
      <c r="F995" s="54">
        <v>800</v>
      </c>
      <c r="G995" s="62">
        <f aca="true" t="shared" si="457" ref="G995:H995">G996</f>
        <v>15.2</v>
      </c>
      <c r="H995" s="62">
        <f t="shared" si="457"/>
        <v>15.2</v>
      </c>
    </row>
    <row r="996" spans="1:8" ht="16.5" customHeight="1">
      <c r="A996" s="55" t="str">
        <f ca="1" t="shared" si="454"/>
        <v>Уплата налогов, сборов и иных платежей</v>
      </c>
      <c r="B996" s="54">
        <v>810</v>
      </c>
      <c r="C996" s="57" t="s">
        <v>163</v>
      </c>
      <c r="D996" s="57" t="s">
        <v>191</v>
      </c>
      <c r="E996" s="54" t="s">
        <v>336</v>
      </c>
      <c r="F996" s="54">
        <v>850</v>
      </c>
      <c r="G996" s="62">
        <f aca="true" t="shared" si="458" ref="G996:H996">5+10.2</f>
        <v>15.2</v>
      </c>
      <c r="H996" s="62">
        <f t="shared" si="458"/>
        <v>15.2</v>
      </c>
    </row>
    <row r="997" spans="1:8" ht="33.75" customHeight="1">
      <c r="A997" s="55" t="str">
        <f ca="1">IF(ISERROR(MATCH(E997,Код_КЦСР,0)),"",INDIRECT(ADDRESS(MATCH(E997,Код_КЦСР,0)+1,2,,,"КЦСР")))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97" s="54">
        <v>810</v>
      </c>
      <c r="C997" s="57" t="s">
        <v>163</v>
      </c>
      <c r="D997" s="57" t="s">
        <v>191</v>
      </c>
      <c r="E997" s="54" t="s">
        <v>340</v>
      </c>
      <c r="F997" s="54"/>
      <c r="G997" s="62">
        <f aca="true" t="shared" si="459" ref="G997:H997">G998+G1000</f>
        <v>1663.8000000000002</v>
      </c>
      <c r="H997" s="62">
        <f t="shared" si="459"/>
        <v>1663.8000000000002</v>
      </c>
    </row>
    <row r="998" spans="1:8" ht="34.5" customHeight="1">
      <c r="A998" s="55" t="str">
        <f aca="true" t="shared" si="460" ref="A998:A1000">IF(ISERROR(MATCH(F998,Код_КВР,0)),"",INDIRECT(ADDRESS(MATCH(F998,Код_КВР,0)+1,2,,,"КВР")))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8" s="54">
        <v>810</v>
      </c>
      <c r="C998" s="57" t="s">
        <v>163</v>
      </c>
      <c r="D998" s="57" t="s">
        <v>191</v>
      </c>
      <c r="E998" s="54" t="s">
        <v>340</v>
      </c>
      <c r="F998" s="54">
        <v>100</v>
      </c>
      <c r="G998" s="62">
        <f aca="true" t="shared" si="461" ref="G998:H998">G999</f>
        <v>1123.9</v>
      </c>
      <c r="H998" s="62">
        <f t="shared" si="461"/>
        <v>1123.9</v>
      </c>
    </row>
    <row r="999" spans="1:8" ht="24" customHeight="1">
      <c r="A999" s="55" t="str">
        <f ca="1" t="shared" si="460"/>
        <v>Расходы на выплаты персоналу муниципальных органов</v>
      </c>
      <c r="B999" s="54">
        <v>810</v>
      </c>
      <c r="C999" s="57" t="s">
        <v>163</v>
      </c>
      <c r="D999" s="57" t="s">
        <v>191</v>
      </c>
      <c r="E999" s="54" t="s">
        <v>340</v>
      </c>
      <c r="F999" s="54">
        <v>120</v>
      </c>
      <c r="G999" s="62">
        <v>1123.9</v>
      </c>
      <c r="H999" s="62">
        <v>1123.9</v>
      </c>
    </row>
    <row r="1000" spans="1:8" ht="21" customHeight="1">
      <c r="A1000" s="55" t="str">
        <f ca="1" t="shared" si="460"/>
        <v>Закупка товаров, работ и услуг для муниципальных нужд</v>
      </c>
      <c r="B1000" s="54">
        <v>810</v>
      </c>
      <c r="C1000" s="57" t="s">
        <v>163</v>
      </c>
      <c r="D1000" s="57" t="s">
        <v>191</v>
      </c>
      <c r="E1000" s="54" t="s">
        <v>340</v>
      </c>
      <c r="F1000" s="54">
        <v>200</v>
      </c>
      <c r="G1000" s="62">
        <f aca="true" t="shared" si="462" ref="G1000:H1000">G1001</f>
        <v>539.9</v>
      </c>
      <c r="H1000" s="62">
        <f t="shared" si="462"/>
        <v>539.9</v>
      </c>
    </row>
    <row r="1001" spans="1:8" ht="33" customHeight="1">
      <c r="A1001" s="55" t="str">
        <f aca="true" t="shared" si="463" ref="A1001">IF(ISERROR(MATCH(F1001,Код_КВР,0)),"",INDIRECT(ADDRESS(MATCH(F1001,Код_КВР,0)+1,2,,,"КВР")))</f>
        <v>Иные закупки товаров, работ и услуг для обеспечения муниципальных нужд</v>
      </c>
      <c r="B1001" s="54">
        <v>810</v>
      </c>
      <c r="C1001" s="57" t="s">
        <v>163</v>
      </c>
      <c r="D1001" s="57" t="s">
        <v>191</v>
      </c>
      <c r="E1001" s="54" t="s">
        <v>340</v>
      </c>
      <c r="F1001" s="54">
        <v>240</v>
      </c>
      <c r="G1001" s="62">
        <v>539.9</v>
      </c>
      <c r="H1001" s="62">
        <v>539.9</v>
      </c>
    </row>
    <row r="1002" spans="1:8" ht="12.75">
      <c r="A1002" s="55" t="str">
        <f ca="1">IF(ISERROR(MATCH(B1002,Код_ППП,0)),"",INDIRECT(ADDRESS(MATCH(B1002,Код_ППП,0)+1,2,,,"ППП")))</f>
        <v>КОМИТЕТ ПО УПРАВЛЕНИЮ ИМУЩЕСТВОМ ГОРОДА</v>
      </c>
      <c r="B1002" s="54">
        <v>811</v>
      </c>
      <c r="C1002" s="57"/>
      <c r="D1002" s="57"/>
      <c r="E1002" s="54"/>
      <c r="F1002" s="54"/>
      <c r="G1002" s="62">
        <f aca="true" t="shared" si="464" ref="G1002:H1002">G1003+G1016+G1074+G1098+G1142+G1131</f>
        <v>140735.89999999997</v>
      </c>
      <c r="H1002" s="62">
        <f t="shared" si="464"/>
        <v>134075.4</v>
      </c>
    </row>
    <row r="1003" spans="1:8" ht="19.5" customHeight="1">
      <c r="A1003" s="55" t="str">
        <f ca="1">IF(ISERROR(MATCH(C1003,Код_Раздел,0)),"",INDIRECT(ADDRESS(MATCH(C1003,Код_Раздел,0)+1,2,,,"Раздел")))</f>
        <v>Общегосударственные  вопросы</v>
      </c>
      <c r="B1003" s="54">
        <v>811</v>
      </c>
      <c r="C1003" s="57" t="s">
        <v>187</v>
      </c>
      <c r="D1003" s="57"/>
      <c r="E1003" s="54"/>
      <c r="F1003" s="54"/>
      <c r="G1003" s="62">
        <f aca="true" t="shared" si="465" ref="G1003:H1003">G1004</f>
        <v>3667.7999999999997</v>
      </c>
      <c r="H1003" s="62">
        <f t="shared" si="465"/>
        <v>3667.7999999999997</v>
      </c>
    </row>
    <row r="1004" spans="1:8" ht="27" customHeight="1">
      <c r="A1004" s="59" t="s">
        <v>209</v>
      </c>
      <c r="B1004" s="54">
        <v>811</v>
      </c>
      <c r="C1004" s="57" t="s">
        <v>187</v>
      </c>
      <c r="D1004" s="57" t="s">
        <v>165</v>
      </c>
      <c r="E1004" s="54"/>
      <c r="F1004" s="54"/>
      <c r="G1004" s="62">
        <f aca="true" t="shared" si="466" ref="G1004:H1004">G1005+G1012</f>
        <v>3667.7999999999997</v>
      </c>
      <c r="H1004" s="62">
        <f t="shared" si="466"/>
        <v>3667.7999999999997</v>
      </c>
    </row>
    <row r="1005" spans="1:8" ht="33">
      <c r="A1005" s="55" t="str">
        <f ca="1">IF(ISERROR(MATCH(E1005,Код_КЦСР,0)),"",INDIRECT(ADDRESS(MATCH(E1005,Код_КЦСР,0)+1,2,,,"КЦСР")))</f>
        <v>Муниципальная программа «Развитие земельно-имущественного комплекса  города Череповца» на 2014-2018 годы</v>
      </c>
      <c r="B1005" s="54">
        <v>811</v>
      </c>
      <c r="C1005" s="57" t="s">
        <v>187</v>
      </c>
      <c r="D1005" s="57" t="s">
        <v>165</v>
      </c>
      <c r="E1005" s="54" t="s">
        <v>59</v>
      </c>
      <c r="F1005" s="54"/>
      <c r="G1005" s="62">
        <f aca="true" t="shared" si="467" ref="G1005:H1005">G1006+G1009</f>
        <v>3667.7999999999997</v>
      </c>
      <c r="H1005" s="62">
        <f t="shared" si="467"/>
        <v>3667.7999999999997</v>
      </c>
    </row>
    <row r="1006" spans="1:8" ht="33">
      <c r="A1006" s="55" t="str">
        <f ca="1">IF(ISERROR(MATCH(E1006,Код_КЦСР,0)),"",INDIRECT(ADDRESS(MATCH(E1006,Код_КЦСР,0)+1,2,,,"КЦСР")))</f>
        <v>Формирование и обеспечение сохранности муниципального земельно-имущественного комплекса</v>
      </c>
      <c r="B1006" s="54">
        <v>811</v>
      </c>
      <c r="C1006" s="57" t="s">
        <v>187</v>
      </c>
      <c r="D1006" s="57" t="s">
        <v>165</v>
      </c>
      <c r="E1006" s="54" t="s">
        <v>61</v>
      </c>
      <c r="F1006" s="54"/>
      <c r="G1006" s="62">
        <f aca="true" t="shared" si="468" ref="G1006:H1007">G1007</f>
        <v>492.7</v>
      </c>
      <c r="H1006" s="62">
        <f t="shared" si="468"/>
        <v>492.7</v>
      </c>
    </row>
    <row r="1007" spans="1:8" ht="24" customHeight="1">
      <c r="A1007" s="55" t="str">
        <f ca="1">IF(ISERROR(MATCH(F1007,Код_КВР,0)),"",INDIRECT(ADDRESS(MATCH(F1007,Код_КВР,0)+1,2,,,"КВР")))</f>
        <v>Закупка товаров, работ и услуг для муниципальных нужд</v>
      </c>
      <c r="B1007" s="54">
        <v>811</v>
      </c>
      <c r="C1007" s="57" t="s">
        <v>187</v>
      </c>
      <c r="D1007" s="57" t="s">
        <v>165</v>
      </c>
      <c r="E1007" s="54" t="s">
        <v>61</v>
      </c>
      <c r="F1007" s="54">
        <v>200</v>
      </c>
      <c r="G1007" s="62">
        <f t="shared" si="468"/>
        <v>492.7</v>
      </c>
      <c r="H1007" s="62">
        <f t="shared" si="468"/>
        <v>492.7</v>
      </c>
    </row>
    <row r="1008" spans="1:8" ht="33">
      <c r="A1008" s="55" t="str">
        <f ca="1">IF(ISERROR(MATCH(F1008,Код_КВР,0)),"",INDIRECT(ADDRESS(MATCH(F1008,Код_КВР,0)+1,2,,,"КВР")))</f>
        <v>Иные закупки товаров, работ и услуг для обеспечения муниципальных нужд</v>
      </c>
      <c r="B1008" s="54">
        <v>811</v>
      </c>
      <c r="C1008" s="57" t="s">
        <v>187</v>
      </c>
      <c r="D1008" s="57" t="s">
        <v>165</v>
      </c>
      <c r="E1008" s="54" t="s">
        <v>61</v>
      </c>
      <c r="F1008" s="54">
        <v>240</v>
      </c>
      <c r="G1008" s="62">
        <f aca="true" t="shared" si="469" ref="G1008:H1008">392.7+50+50</f>
        <v>492.7</v>
      </c>
      <c r="H1008" s="62">
        <f t="shared" si="469"/>
        <v>492.7</v>
      </c>
    </row>
    <row r="1009" spans="1:8" ht="33">
      <c r="A1009" s="55" t="str">
        <f ca="1">IF(ISERROR(MATCH(E1009,Код_КЦСР,0)),"",INDIRECT(ADDRESS(MATCH(E1009,Код_КЦСР,0)+1,2,,,"КЦСР")))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09" s="54">
        <v>811</v>
      </c>
      <c r="C1009" s="57" t="s">
        <v>187</v>
      </c>
      <c r="D1009" s="57" t="s">
        <v>165</v>
      </c>
      <c r="E1009" s="54" t="s">
        <v>63</v>
      </c>
      <c r="F1009" s="54"/>
      <c r="G1009" s="62">
        <f aca="true" t="shared" si="470" ref="G1009:H1010">G1010</f>
        <v>3175.1</v>
      </c>
      <c r="H1009" s="62">
        <f t="shared" si="470"/>
        <v>3175.1</v>
      </c>
    </row>
    <row r="1010" spans="1:8" ht="12.75">
      <c r="A1010" s="55" t="str">
        <f ca="1">IF(ISERROR(MATCH(F1010,Код_КВР,0)),"",INDIRECT(ADDRESS(MATCH(F1010,Код_КВР,0)+1,2,,,"КВР")))</f>
        <v>Закупка товаров, работ и услуг для муниципальных нужд</v>
      </c>
      <c r="B1010" s="54">
        <v>811</v>
      </c>
      <c r="C1010" s="57" t="s">
        <v>187</v>
      </c>
      <c r="D1010" s="57" t="s">
        <v>165</v>
      </c>
      <c r="E1010" s="54" t="s">
        <v>63</v>
      </c>
      <c r="F1010" s="54">
        <v>200</v>
      </c>
      <c r="G1010" s="62">
        <f t="shared" si="470"/>
        <v>3175.1</v>
      </c>
      <c r="H1010" s="62">
        <f t="shared" si="470"/>
        <v>3175.1</v>
      </c>
    </row>
    <row r="1011" spans="1:8" ht="33">
      <c r="A1011" s="55" t="str">
        <f ca="1">IF(ISERROR(MATCH(F1011,Код_КВР,0)),"",INDIRECT(ADDRESS(MATCH(F1011,Код_КВР,0)+1,2,,,"КВР")))</f>
        <v>Иные закупки товаров, работ и услуг для обеспечения муниципальных нужд</v>
      </c>
      <c r="B1011" s="54">
        <v>811</v>
      </c>
      <c r="C1011" s="57" t="s">
        <v>187</v>
      </c>
      <c r="D1011" s="57" t="s">
        <v>165</v>
      </c>
      <c r="E1011" s="54" t="s">
        <v>63</v>
      </c>
      <c r="F1011" s="54">
        <v>240</v>
      </c>
      <c r="G1011" s="62">
        <v>3175.1</v>
      </c>
      <c r="H1011" s="62">
        <v>3175.1</v>
      </c>
    </row>
    <row r="1012" spans="1:8" ht="66" hidden="1">
      <c r="A1012" s="55" t="str">
        <f ca="1">IF(ISERROR(MATCH(E1012,Код_КЦСР,0)),"",INDIRECT(ADDRESS(MATCH(E1012,Код_КЦСР,0)+1,2,,,"КЦСР")))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12" s="54">
        <v>811</v>
      </c>
      <c r="C1012" s="57" t="s">
        <v>187</v>
      </c>
      <c r="D1012" s="57" t="s">
        <v>165</v>
      </c>
      <c r="E1012" s="54" t="s">
        <v>67</v>
      </c>
      <c r="F1012" s="54"/>
      <c r="G1012" s="62">
        <f aca="true" t="shared" si="471" ref="G1012:H1014">G1013</f>
        <v>0</v>
      </c>
      <c r="H1012" s="62">
        <f t="shared" si="471"/>
        <v>0</v>
      </c>
    </row>
    <row r="1013" spans="1:8" ht="12.75" hidden="1">
      <c r="A1013" s="55" t="str">
        <f ca="1">IF(ISERROR(MATCH(E1013,Код_КЦСР,0)),"",INDIRECT(ADDRESS(MATCH(E1013,Код_КЦСР,0)+1,2,,,"КЦСР")))</f>
        <v>Капитальный ремонт объектов муниципальной собственности</v>
      </c>
      <c r="B1013" s="54">
        <v>811</v>
      </c>
      <c r="C1013" s="57" t="s">
        <v>187</v>
      </c>
      <c r="D1013" s="57" t="s">
        <v>165</v>
      </c>
      <c r="E1013" s="54" t="s">
        <v>73</v>
      </c>
      <c r="F1013" s="54"/>
      <c r="G1013" s="62">
        <f t="shared" si="471"/>
        <v>0</v>
      </c>
      <c r="H1013" s="62">
        <f t="shared" si="471"/>
        <v>0</v>
      </c>
    </row>
    <row r="1014" spans="1:8" ht="12.75" hidden="1">
      <c r="A1014" s="55" t="str">
        <f ca="1">IF(ISERROR(MATCH(F1014,Код_КВР,0)),"",INDIRECT(ADDRESS(MATCH(F1014,Код_КВР,0)+1,2,,,"КВР")))</f>
        <v>Закупка товаров, работ и услуг для муниципальных нужд</v>
      </c>
      <c r="B1014" s="54">
        <v>811</v>
      </c>
      <c r="C1014" s="57" t="s">
        <v>187</v>
      </c>
      <c r="D1014" s="57" t="s">
        <v>165</v>
      </c>
      <c r="E1014" s="54" t="s">
        <v>73</v>
      </c>
      <c r="F1014" s="54">
        <v>200</v>
      </c>
      <c r="G1014" s="62">
        <f t="shared" si="471"/>
        <v>0</v>
      </c>
      <c r="H1014" s="62">
        <f t="shared" si="471"/>
        <v>0</v>
      </c>
    </row>
    <row r="1015" spans="1:8" ht="33" hidden="1">
      <c r="A1015" s="55" t="str">
        <f ca="1">IF(ISERROR(MATCH(F1015,Код_КВР,0)),"",INDIRECT(ADDRESS(MATCH(F1015,Код_КВР,0)+1,2,,,"КВР")))</f>
        <v>Иные закупки товаров, работ и услуг для обеспечения муниципальных нужд</v>
      </c>
      <c r="B1015" s="54">
        <v>811</v>
      </c>
      <c r="C1015" s="57" t="s">
        <v>187</v>
      </c>
      <c r="D1015" s="57" t="s">
        <v>165</v>
      </c>
      <c r="E1015" s="54" t="s">
        <v>73</v>
      </c>
      <c r="F1015" s="54">
        <v>240</v>
      </c>
      <c r="G1015" s="62"/>
      <c r="H1015" s="62"/>
    </row>
    <row r="1016" spans="1:8" ht="12.75">
      <c r="A1016" s="55" t="str">
        <f ca="1">IF(ISERROR(MATCH(C1016,Код_Раздел,0)),"",INDIRECT(ADDRESS(MATCH(C1016,Код_Раздел,0)+1,2,,,"Раздел")))</f>
        <v>Национальная экономика</v>
      </c>
      <c r="B1016" s="54">
        <v>811</v>
      </c>
      <c r="C1016" s="57" t="s">
        <v>190</v>
      </c>
      <c r="D1016" s="57"/>
      <c r="E1016" s="54"/>
      <c r="F1016" s="54"/>
      <c r="G1016" s="62">
        <f aca="true" t="shared" si="472" ref="G1016:H1016">G1017+G1026+G1044+G1038</f>
        <v>132658.59999999998</v>
      </c>
      <c r="H1016" s="62">
        <f t="shared" si="472"/>
        <v>123071.29999999999</v>
      </c>
    </row>
    <row r="1017" spans="1:8" ht="12.75">
      <c r="A1017" s="87" t="s">
        <v>312</v>
      </c>
      <c r="B1017" s="54">
        <v>811</v>
      </c>
      <c r="C1017" s="57" t="s">
        <v>190</v>
      </c>
      <c r="D1017" s="57" t="s">
        <v>196</v>
      </c>
      <c r="E1017" s="54"/>
      <c r="F1017" s="54"/>
      <c r="G1017" s="62">
        <f aca="true" t="shared" si="473" ref="G1017:H1017">G1018+G1022</f>
        <v>45055.8</v>
      </c>
      <c r="H1017" s="62">
        <f t="shared" si="473"/>
        <v>35419.1</v>
      </c>
    </row>
    <row r="1018" spans="1:8" ht="33">
      <c r="A1018" s="55" t="str">
        <f ca="1">IF(ISERROR(MATCH(E1018,Код_КЦСР,0)),"",INDIRECT(ADDRESS(MATCH(E1018,Код_КЦСР,0)+1,2,,,"КЦСР")))</f>
        <v>Муниципальная программа «Развитие городского общественного транспорта» на 2014-2017 годы</v>
      </c>
      <c r="B1018" s="54">
        <v>811</v>
      </c>
      <c r="C1018" s="57" t="s">
        <v>190</v>
      </c>
      <c r="D1018" s="57" t="s">
        <v>196</v>
      </c>
      <c r="E1018" s="54" t="s">
        <v>37</v>
      </c>
      <c r="F1018" s="54"/>
      <c r="G1018" s="62">
        <f aca="true" t="shared" si="474" ref="G1018:H1020">G1019</f>
        <v>8740.2</v>
      </c>
      <c r="H1018" s="62">
        <f t="shared" si="474"/>
        <v>0</v>
      </c>
    </row>
    <row r="1019" spans="1:8" ht="12.75">
      <c r="A1019" s="55" t="str">
        <f ca="1">IF(ISERROR(MATCH(E1019,Код_КЦСР,0)),"",INDIRECT(ADDRESS(MATCH(E1019,Код_КЦСР,0)+1,2,,,"КЦСР")))</f>
        <v>Приобретение автобусов в муниципальную собственность</v>
      </c>
      <c r="B1019" s="54">
        <v>811</v>
      </c>
      <c r="C1019" s="57" t="s">
        <v>190</v>
      </c>
      <c r="D1019" s="57" t="s">
        <v>196</v>
      </c>
      <c r="E1019" s="54" t="s">
        <v>38</v>
      </c>
      <c r="F1019" s="54"/>
      <c r="G1019" s="62">
        <f t="shared" si="474"/>
        <v>8740.2</v>
      </c>
      <c r="H1019" s="62">
        <f t="shared" si="474"/>
        <v>0</v>
      </c>
    </row>
    <row r="1020" spans="1:8" ht="12.75">
      <c r="A1020" s="55" t="str">
        <f ca="1">IF(ISERROR(MATCH(F1020,Код_КВР,0)),"",INDIRECT(ADDRESS(MATCH(F1020,Код_КВР,0)+1,2,,,"КВР")))</f>
        <v>Закупка товаров, работ и услуг для муниципальных нужд</v>
      </c>
      <c r="B1020" s="54">
        <v>811</v>
      </c>
      <c r="C1020" s="57" t="s">
        <v>190</v>
      </c>
      <c r="D1020" s="57" t="s">
        <v>196</v>
      </c>
      <c r="E1020" s="54" t="s">
        <v>38</v>
      </c>
      <c r="F1020" s="54">
        <v>200</v>
      </c>
      <c r="G1020" s="62">
        <f t="shared" si="474"/>
        <v>8740.2</v>
      </c>
      <c r="H1020" s="62">
        <f t="shared" si="474"/>
        <v>0</v>
      </c>
    </row>
    <row r="1021" spans="1:8" ht="33">
      <c r="A1021" s="55" t="str">
        <f ca="1">IF(ISERROR(MATCH(F1021,Код_КВР,0)),"",INDIRECT(ADDRESS(MATCH(F1021,Код_КВР,0)+1,2,,,"КВР")))</f>
        <v>Иные закупки товаров, работ и услуг для обеспечения муниципальных нужд</v>
      </c>
      <c r="B1021" s="54">
        <v>811</v>
      </c>
      <c r="C1021" s="57" t="s">
        <v>190</v>
      </c>
      <c r="D1021" s="57" t="s">
        <v>196</v>
      </c>
      <c r="E1021" s="54" t="s">
        <v>38</v>
      </c>
      <c r="F1021" s="54">
        <v>240</v>
      </c>
      <c r="G1021" s="62">
        <v>8740.2</v>
      </c>
      <c r="H1021" s="62"/>
    </row>
    <row r="1022" spans="1:8" ht="33">
      <c r="A1022" s="55" t="str">
        <f ca="1">IF(ISERROR(MATCH(E1022,Код_КЦСР,0)),"",INDIRECT(ADDRESS(MATCH(E1022,Код_КЦСР,0)+1,2,,,"КЦСР")))</f>
        <v>Муниципальная программа «Развитие земельно-имущественного комплекса  города Череповца» на 2014-2018 годы</v>
      </c>
      <c r="B1022" s="54">
        <v>811</v>
      </c>
      <c r="C1022" s="57" t="s">
        <v>190</v>
      </c>
      <c r="D1022" s="57" t="s">
        <v>196</v>
      </c>
      <c r="E1022" s="54" t="s">
        <v>59</v>
      </c>
      <c r="F1022" s="54"/>
      <c r="G1022" s="62">
        <f aca="true" t="shared" si="475" ref="G1022:H1024">G1023</f>
        <v>36315.6</v>
      </c>
      <c r="H1022" s="62">
        <f t="shared" si="475"/>
        <v>35419.1</v>
      </c>
    </row>
    <row r="1023" spans="1:8" ht="33">
      <c r="A1023" s="55" t="str">
        <f ca="1">IF(ISERROR(MATCH(E1023,Код_КЦСР,0)),"",INDIRECT(ADDRESS(MATCH(E1023,Код_КЦСР,0)+1,2,,,"КЦСР")))</f>
        <v>Формирование и обеспечение сохранности муниципального земельно-имущественного комплекса</v>
      </c>
      <c r="B1023" s="54">
        <v>811</v>
      </c>
      <c r="C1023" s="57" t="s">
        <v>190</v>
      </c>
      <c r="D1023" s="57" t="s">
        <v>196</v>
      </c>
      <c r="E1023" s="54" t="s">
        <v>61</v>
      </c>
      <c r="F1023" s="54"/>
      <c r="G1023" s="62">
        <f t="shared" si="475"/>
        <v>36315.6</v>
      </c>
      <c r="H1023" s="62">
        <f t="shared" si="475"/>
        <v>35419.1</v>
      </c>
    </row>
    <row r="1024" spans="1:8" ht="12.75">
      <c r="A1024" s="55" t="str">
        <f ca="1">IF(ISERROR(MATCH(F1024,Код_КВР,0)),"",INDIRECT(ADDRESS(MATCH(F1024,Код_КВР,0)+1,2,,,"КВР")))</f>
        <v>Закупка товаров, работ и услуг для муниципальных нужд</v>
      </c>
      <c r="B1024" s="54">
        <v>811</v>
      </c>
      <c r="C1024" s="57" t="s">
        <v>190</v>
      </c>
      <c r="D1024" s="57" t="s">
        <v>196</v>
      </c>
      <c r="E1024" s="54" t="s">
        <v>61</v>
      </c>
      <c r="F1024" s="54">
        <v>200</v>
      </c>
      <c r="G1024" s="62">
        <f t="shared" si="475"/>
        <v>36315.6</v>
      </c>
      <c r="H1024" s="62">
        <f t="shared" si="475"/>
        <v>35419.1</v>
      </c>
    </row>
    <row r="1025" spans="1:8" ht="33">
      <c r="A1025" s="55" t="str">
        <f ca="1">IF(ISERROR(MATCH(F1025,Код_КВР,0)),"",INDIRECT(ADDRESS(MATCH(F1025,Код_КВР,0)+1,2,,,"КВР")))</f>
        <v>Иные закупки товаров, работ и услуг для обеспечения муниципальных нужд</v>
      </c>
      <c r="B1025" s="54">
        <v>811</v>
      </c>
      <c r="C1025" s="57" t="s">
        <v>190</v>
      </c>
      <c r="D1025" s="57" t="s">
        <v>196</v>
      </c>
      <c r="E1025" s="54" t="s">
        <v>61</v>
      </c>
      <c r="F1025" s="54">
        <v>240</v>
      </c>
      <c r="G1025" s="62">
        <v>36315.6</v>
      </c>
      <c r="H1025" s="62">
        <v>35419.1</v>
      </c>
    </row>
    <row r="1026" spans="1:8" ht="12.75" hidden="1">
      <c r="A1026" s="87" t="s">
        <v>155</v>
      </c>
      <c r="B1026" s="54">
        <v>811</v>
      </c>
      <c r="C1026" s="57" t="s">
        <v>190</v>
      </c>
      <c r="D1026" s="57" t="s">
        <v>193</v>
      </c>
      <c r="E1026" s="54"/>
      <c r="F1026" s="54"/>
      <c r="G1026" s="62">
        <f aca="true" t="shared" si="476" ref="G1026:H1026">G1027</f>
        <v>0</v>
      </c>
      <c r="H1026" s="62">
        <f t="shared" si="476"/>
        <v>0</v>
      </c>
    </row>
    <row r="1027" spans="1:8" ht="66" hidden="1">
      <c r="A1027" s="55" t="str">
        <f ca="1">IF(ISERROR(MATCH(E1027,Код_КЦСР,0)),"",INDIRECT(ADDRESS(MATCH(E1027,Код_КЦСР,0)+1,2,,,"КЦСР")))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27" s="54">
        <v>811</v>
      </c>
      <c r="C1027" s="57" t="s">
        <v>190</v>
      </c>
      <c r="D1027" s="57" t="s">
        <v>193</v>
      </c>
      <c r="E1027" s="54" t="s">
        <v>67</v>
      </c>
      <c r="F1027" s="54"/>
      <c r="G1027" s="62">
        <f aca="true" t="shared" si="477" ref="G1027:H1030">G1028</f>
        <v>0</v>
      </c>
      <c r="H1027" s="62">
        <f t="shared" si="477"/>
        <v>0</v>
      </c>
    </row>
    <row r="1028" spans="1:8" ht="33" hidden="1">
      <c r="A1028" s="55" t="str">
        <f ca="1">IF(ISERROR(MATCH(E1028,Код_КЦСР,0)),"",INDIRECT(ADDRESS(MATCH(E1028,Код_КЦСР,0)+1,2,,,"КЦСР")))</f>
        <v>Осуществление бюджетных инвестиций в объекты муниципальной собственности</v>
      </c>
      <c r="B1028" s="54">
        <v>811</v>
      </c>
      <c r="C1028" s="57" t="s">
        <v>190</v>
      </c>
      <c r="D1028" s="57" t="s">
        <v>193</v>
      </c>
      <c r="E1028" s="54" t="s">
        <v>68</v>
      </c>
      <c r="F1028" s="54"/>
      <c r="G1028" s="62">
        <f aca="true" t="shared" si="478" ref="G1028:H1028">G1029+G1032+G1035</f>
        <v>0</v>
      </c>
      <c r="H1028" s="62">
        <f t="shared" si="478"/>
        <v>0</v>
      </c>
    </row>
    <row r="1029" spans="1:8" ht="12.75" hidden="1">
      <c r="A1029" s="55" t="str">
        <f ca="1">IF(ISERROR(MATCH(E1029,Код_КЦСР,0)),"",INDIRECT(ADDRESS(MATCH(E1029,Код_КЦСР,0)+1,2,,,"КЦСР")))</f>
        <v>Строительство объектов сметной стоимостью до 100 млн. рублей</v>
      </c>
      <c r="B1029" s="54">
        <v>811</v>
      </c>
      <c r="C1029" s="57" t="s">
        <v>190</v>
      </c>
      <c r="D1029" s="57" t="s">
        <v>193</v>
      </c>
      <c r="E1029" s="54" t="s">
        <v>69</v>
      </c>
      <c r="F1029" s="54"/>
      <c r="G1029" s="62">
        <f t="shared" si="477"/>
        <v>0</v>
      </c>
      <c r="H1029" s="62">
        <f t="shared" si="477"/>
        <v>0</v>
      </c>
    </row>
    <row r="1030" spans="1:8" ht="33" hidden="1">
      <c r="A1030" s="55" t="str">
        <f ca="1">IF(ISERROR(MATCH(F1030,Код_КВР,0)),"",INDIRECT(ADDRESS(MATCH(F1030,Код_КВР,0)+1,2,,,"КВР")))</f>
        <v>Капитальные вложения в объекты недвижимого имущества муниципальной собственности</v>
      </c>
      <c r="B1030" s="54">
        <v>811</v>
      </c>
      <c r="C1030" s="57" t="s">
        <v>190</v>
      </c>
      <c r="D1030" s="57" t="s">
        <v>193</v>
      </c>
      <c r="E1030" s="54" t="s">
        <v>69</v>
      </c>
      <c r="F1030" s="54">
        <v>400</v>
      </c>
      <c r="G1030" s="62">
        <f t="shared" si="477"/>
        <v>0</v>
      </c>
      <c r="H1030" s="62">
        <f t="shared" si="477"/>
        <v>0</v>
      </c>
    </row>
    <row r="1031" spans="1:8" ht="12.75" hidden="1">
      <c r="A1031" s="55" t="str">
        <f ca="1">IF(ISERROR(MATCH(F1031,Код_КВР,0)),"",INDIRECT(ADDRESS(MATCH(F1031,Код_КВР,0)+1,2,,,"КВР")))</f>
        <v>Бюджетные инвестиции</v>
      </c>
      <c r="B1031" s="54">
        <v>811</v>
      </c>
      <c r="C1031" s="57" t="s">
        <v>190</v>
      </c>
      <c r="D1031" s="57" t="s">
        <v>193</v>
      </c>
      <c r="E1031" s="54" t="s">
        <v>69</v>
      </c>
      <c r="F1031" s="54">
        <v>410</v>
      </c>
      <c r="G1031" s="62"/>
      <c r="H1031" s="62"/>
    </row>
    <row r="1032" spans="1:8" ht="36" customHeight="1" hidden="1">
      <c r="A1032" s="55" t="str">
        <f ca="1">IF(ISERROR(MATCH(E1032,Код_КЦСР,0)),"",INDIRECT(ADDRESS(MATCH(E1032,Код_КЦСР,0)+1,2,,,"КЦСР")))</f>
        <v>Реконструкция Октябрьского проспекта на участке от Октябрьского моста до ул. Любецкой</v>
      </c>
      <c r="B1032" s="54">
        <v>811</v>
      </c>
      <c r="C1032" s="57" t="s">
        <v>190</v>
      </c>
      <c r="D1032" s="57" t="s">
        <v>193</v>
      </c>
      <c r="E1032" s="54" t="s">
        <v>485</v>
      </c>
      <c r="F1032" s="54"/>
      <c r="G1032" s="62">
        <f aca="true" t="shared" si="479" ref="G1032:H1033">G1033</f>
        <v>0</v>
      </c>
      <c r="H1032" s="62">
        <f t="shared" si="479"/>
        <v>0</v>
      </c>
    </row>
    <row r="1033" spans="1:8" ht="33" hidden="1">
      <c r="A1033" s="55" t="str">
        <f ca="1">IF(ISERROR(MATCH(F1033,Код_КВР,0)),"",INDIRECT(ADDRESS(MATCH(F1033,Код_КВР,0)+1,2,,,"КВР")))</f>
        <v>Капитальные вложения в объекты недвижимого имущества муниципальной собственности</v>
      </c>
      <c r="B1033" s="54">
        <v>811</v>
      </c>
      <c r="C1033" s="57" t="s">
        <v>190</v>
      </c>
      <c r="D1033" s="57" t="s">
        <v>193</v>
      </c>
      <c r="E1033" s="54" t="s">
        <v>485</v>
      </c>
      <c r="F1033" s="54">
        <v>400</v>
      </c>
      <c r="G1033" s="62">
        <f t="shared" si="479"/>
        <v>0</v>
      </c>
      <c r="H1033" s="62">
        <f t="shared" si="479"/>
        <v>0</v>
      </c>
    </row>
    <row r="1034" spans="1:8" ht="12.75" hidden="1">
      <c r="A1034" s="55" t="str">
        <f ca="1">IF(ISERROR(MATCH(F1034,Код_КВР,0)),"",INDIRECT(ADDRESS(MATCH(F1034,Код_КВР,0)+1,2,,,"КВР")))</f>
        <v>Бюджетные инвестиции</v>
      </c>
      <c r="B1034" s="54">
        <v>811</v>
      </c>
      <c r="C1034" s="57" t="s">
        <v>190</v>
      </c>
      <c r="D1034" s="57" t="s">
        <v>193</v>
      </c>
      <c r="E1034" s="54" t="s">
        <v>485</v>
      </c>
      <c r="F1034" s="54">
        <v>410</v>
      </c>
      <c r="G1034" s="62"/>
      <c r="H1034" s="62"/>
    </row>
    <row r="1035" spans="1:8" ht="33" hidden="1">
      <c r="A1035" s="55" t="str">
        <f ca="1">IF(ISERROR(MATCH(E1035,Код_КЦСР,0)),"",INDIRECT(ADDRESS(MATCH(E1035,Код_КЦСР,0)+1,2,,,"КЦСР")))</f>
        <v>Строительство участков для многодетных семей. Внутриквартальные проезды.</v>
      </c>
      <c r="B1035" s="54">
        <v>811</v>
      </c>
      <c r="C1035" s="57" t="s">
        <v>190</v>
      </c>
      <c r="D1035" s="57" t="s">
        <v>193</v>
      </c>
      <c r="E1035" s="54" t="s">
        <v>554</v>
      </c>
      <c r="F1035" s="54"/>
      <c r="G1035" s="62">
        <f aca="true" t="shared" si="480" ref="G1035:H1036">G1036</f>
        <v>0</v>
      </c>
      <c r="H1035" s="62">
        <f t="shared" si="480"/>
        <v>0</v>
      </c>
    </row>
    <row r="1036" spans="1:8" ht="33" hidden="1">
      <c r="A1036" s="55" t="str">
        <f ca="1">IF(ISERROR(MATCH(F1036,Код_КВР,0)),"",INDIRECT(ADDRESS(MATCH(F1036,Код_КВР,0)+1,2,,,"КВР")))</f>
        <v>Капитальные вложения в объекты недвижимого имущества муниципальной собственности</v>
      </c>
      <c r="B1036" s="54">
        <v>811</v>
      </c>
      <c r="C1036" s="57" t="s">
        <v>190</v>
      </c>
      <c r="D1036" s="57" t="s">
        <v>193</v>
      </c>
      <c r="E1036" s="54" t="s">
        <v>554</v>
      </c>
      <c r="F1036" s="54">
        <v>400</v>
      </c>
      <c r="G1036" s="62">
        <f t="shared" si="480"/>
        <v>0</v>
      </c>
      <c r="H1036" s="62">
        <f t="shared" si="480"/>
        <v>0</v>
      </c>
    </row>
    <row r="1037" spans="1:8" ht="12.75" hidden="1">
      <c r="A1037" s="55" t="str">
        <f ca="1">IF(ISERROR(MATCH(F1037,Код_КВР,0)),"",INDIRECT(ADDRESS(MATCH(F1037,Код_КВР,0)+1,2,,,"КВР")))</f>
        <v>Бюджетные инвестиции</v>
      </c>
      <c r="B1037" s="54">
        <v>811</v>
      </c>
      <c r="C1037" s="57" t="s">
        <v>190</v>
      </c>
      <c r="D1037" s="57" t="s">
        <v>193</v>
      </c>
      <c r="E1037" s="54" t="s">
        <v>554</v>
      </c>
      <c r="F1037" s="54">
        <v>410</v>
      </c>
      <c r="G1037" s="62"/>
      <c r="H1037" s="62"/>
    </row>
    <row r="1038" spans="1:8" ht="12.75" hidden="1">
      <c r="A1038" s="59" t="s">
        <v>204</v>
      </c>
      <c r="B1038" s="54">
        <v>811</v>
      </c>
      <c r="C1038" s="57" t="s">
        <v>190</v>
      </c>
      <c r="D1038" s="57" t="s">
        <v>163</v>
      </c>
      <c r="E1038" s="54"/>
      <c r="F1038" s="54"/>
      <c r="G1038" s="62">
        <f aca="true" t="shared" si="481" ref="G1038:H1038">G1039</f>
        <v>0</v>
      </c>
      <c r="H1038" s="62">
        <f t="shared" si="481"/>
        <v>0</v>
      </c>
    </row>
    <row r="1039" spans="1:8" ht="66" hidden="1">
      <c r="A1039" s="55" t="str">
        <f ca="1">IF(ISERROR(MATCH(E1039,Код_КЦСР,0)),"",INDIRECT(ADDRESS(MATCH(E1039,Код_КЦСР,0)+1,2,,,"КЦСР")))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39" s="54">
        <v>811</v>
      </c>
      <c r="C1039" s="57" t="s">
        <v>190</v>
      </c>
      <c r="D1039" s="57" t="s">
        <v>163</v>
      </c>
      <c r="E1039" s="54" t="s">
        <v>67</v>
      </c>
      <c r="F1039" s="54"/>
      <c r="G1039" s="62">
        <f aca="true" t="shared" si="482" ref="G1039:H1042">G1040</f>
        <v>0</v>
      </c>
      <c r="H1039" s="62">
        <f t="shared" si="482"/>
        <v>0</v>
      </c>
    </row>
    <row r="1040" spans="1:8" ht="33" hidden="1">
      <c r="A1040" s="55" t="str">
        <f ca="1">IF(ISERROR(MATCH(E1040,Код_КЦСР,0)),"",INDIRECT(ADDRESS(MATCH(E1040,Код_КЦСР,0)+1,2,,,"КЦСР")))</f>
        <v>Осуществление бюджетных инвестиций в объекты муниципальной собственности</v>
      </c>
      <c r="B1040" s="54">
        <v>811</v>
      </c>
      <c r="C1040" s="57" t="s">
        <v>190</v>
      </c>
      <c r="D1040" s="57" t="s">
        <v>163</v>
      </c>
      <c r="E1040" s="54" t="s">
        <v>68</v>
      </c>
      <c r="F1040" s="54"/>
      <c r="G1040" s="62">
        <f t="shared" si="482"/>
        <v>0</v>
      </c>
      <c r="H1040" s="62">
        <f t="shared" si="482"/>
        <v>0</v>
      </c>
    </row>
    <row r="1041" spans="1:8" ht="12.75" hidden="1">
      <c r="A1041" s="55" t="str">
        <f ca="1">IF(ISERROR(MATCH(E1041,Код_КЦСР,0)),"",INDIRECT(ADDRESS(MATCH(E1041,Код_КЦСР,0)+1,2,,,"КЦСР")))</f>
        <v>Строительство объектов сметной стоимостью до 100 млн. рублей</v>
      </c>
      <c r="B1041" s="54">
        <v>811</v>
      </c>
      <c r="C1041" s="57" t="s">
        <v>190</v>
      </c>
      <c r="D1041" s="57" t="s">
        <v>163</v>
      </c>
      <c r="E1041" s="54" t="s">
        <v>69</v>
      </c>
      <c r="F1041" s="54"/>
      <c r="G1041" s="62">
        <f t="shared" si="482"/>
        <v>0</v>
      </c>
      <c r="H1041" s="62">
        <f t="shared" si="482"/>
        <v>0</v>
      </c>
    </row>
    <row r="1042" spans="1:8" ht="33" hidden="1">
      <c r="A1042" s="55" t="str">
        <f ca="1">IF(ISERROR(MATCH(F1042,Код_КВР,0)),"",INDIRECT(ADDRESS(MATCH(F1042,Код_КВР,0)+1,2,,,"КВР")))</f>
        <v>Капитальные вложения в объекты недвижимого имущества муниципальной собственности</v>
      </c>
      <c r="B1042" s="54">
        <v>811</v>
      </c>
      <c r="C1042" s="57" t="s">
        <v>190</v>
      </c>
      <c r="D1042" s="57" t="s">
        <v>163</v>
      </c>
      <c r="E1042" s="54" t="s">
        <v>69</v>
      </c>
      <c r="F1042" s="54">
        <v>400</v>
      </c>
      <c r="G1042" s="62">
        <f t="shared" si="482"/>
        <v>0</v>
      </c>
      <c r="H1042" s="62">
        <f t="shared" si="482"/>
        <v>0</v>
      </c>
    </row>
    <row r="1043" spans="1:8" ht="12.75" hidden="1">
      <c r="A1043" s="55" t="str">
        <f ca="1">IF(ISERROR(MATCH(F1043,Код_КВР,0)),"",INDIRECT(ADDRESS(MATCH(F1043,Код_КВР,0)+1,2,,,"КВР")))</f>
        <v>Бюджетные инвестиции</v>
      </c>
      <c r="B1043" s="54">
        <v>811</v>
      </c>
      <c r="C1043" s="57" t="s">
        <v>190</v>
      </c>
      <c r="D1043" s="57" t="s">
        <v>163</v>
      </c>
      <c r="E1043" s="54" t="s">
        <v>69</v>
      </c>
      <c r="F1043" s="54">
        <v>410</v>
      </c>
      <c r="G1043" s="62"/>
      <c r="H1043" s="62"/>
    </row>
    <row r="1044" spans="1:8" ht="12.75">
      <c r="A1044" s="59" t="s">
        <v>197</v>
      </c>
      <c r="B1044" s="54">
        <v>811</v>
      </c>
      <c r="C1044" s="57" t="s">
        <v>190</v>
      </c>
      <c r="D1044" s="57" t="s">
        <v>171</v>
      </c>
      <c r="E1044" s="54"/>
      <c r="F1044" s="54"/>
      <c r="G1044" s="62">
        <f aca="true" t="shared" si="483" ref="G1044:H1044">G1045+G1049+G1060</f>
        <v>87602.79999999999</v>
      </c>
      <c r="H1044" s="62">
        <f t="shared" si="483"/>
        <v>87652.2</v>
      </c>
    </row>
    <row r="1045" spans="1:8" ht="33" hidden="1">
      <c r="A1045" s="55" t="str">
        <f ca="1">IF(ISERROR(MATCH(E1045,Код_КЦСР,0)),"",INDIRECT(ADDRESS(MATCH(E1045,Код_КЦСР,0)+1,2,,,"КЦСР")))</f>
        <v>Муниципальная программа «Развитие внутреннего и въездного туризма в г. Череповце» на 2014-2022 годы</v>
      </c>
      <c r="B1045" s="54">
        <v>811</v>
      </c>
      <c r="C1045" s="57" t="s">
        <v>190</v>
      </c>
      <c r="D1045" s="57" t="s">
        <v>171</v>
      </c>
      <c r="E1045" s="54" t="s">
        <v>1</v>
      </c>
      <c r="F1045" s="54"/>
      <c r="G1045" s="62">
        <f aca="true" t="shared" si="484" ref="G1045:H1047">G1046</f>
        <v>0</v>
      </c>
      <c r="H1045" s="62">
        <f t="shared" si="484"/>
        <v>0</v>
      </c>
    </row>
    <row r="1046" spans="1:8" ht="12.75" hidden="1">
      <c r="A1046" s="55" t="str">
        <f ca="1">IF(ISERROR(MATCH(E1046,Код_КЦСР,0)),"",INDIRECT(ADDRESS(MATCH(E1046,Код_КЦСР,0)+1,2,,,"КЦСР")))</f>
        <v>Продвижение городского туристского продукта на российском рынке</v>
      </c>
      <c r="B1046" s="54">
        <v>811</v>
      </c>
      <c r="C1046" s="57" t="s">
        <v>190</v>
      </c>
      <c r="D1046" s="57" t="s">
        <v>171</v>
      </c>
      <c r="E1046" s="54" t="s">
        <v>2</v>
      </c>
      <c r="F1046" s="54"/>
      <c r="G1046" s="62">
        <f t="shared" si="484"/>
        <v>0</v>
      </c>
      <c r="H1046" s="62">
        <f t="shared" si="484"/>
        <v>0</v>
      </c>
    </row>
    <row r="1047" spans="1:8" ht="12.75" hidden="1">
      <c r="A1047" s="55" t="str">
        <f ca="1">IF(ISERROR(MATCH(F1047,Код_КВР,0)),"",INDIRECT(ADDRESS(MATCH(F1047,Код_КВР,0)+1,2,,,"КВР")))</f>
        <v>Закупка товаров, работ и услуг для муниципальных нужд</v>
      </c>
      <c r="B1047" s="54">
        <v>811</v>
      </c>
      <c r="C1047" s="57" t="s">
        <v>190</v>
      </c>
      <c r="D1047" s="57" t="s">
        <v>171</v>
      </c>
      <c r="E1047" s="54" t="s">
        <v>2</v>
      </c>
      <c r="F1047" s="54">
        <v>200</v>
      </c>
      <c r="G1047" s="62">
        <f t="shared" si="484"/>
        <v>0</v>
      </c>
      <c r="H1047" s="62">
        <f t="shared" si="484"/>
        <v>0</v>
      </c>
    </row>
    <row r="1048" spans="1:8" ht="33" hidden="1">
      <c r="A1048" s="55" t="str">
        <f ca="1">IF(ISERROR(MATCH(F1048,Код_КВР,0)),"",INDIRECT(ADDRESS(MATCH(F1048,Код_КВР,0)+1,2,,,"КВР")))</f>
        <v>Иные закупки товаров, работ и услуг для обеспечения муниципальных нужд</v>
      </c>
      <c r="B1048" s="54">
        <v>811</v>
      </c>
      <c r="C1048" s="57" t="s">
        <v>190</v>
      </c>
      <c r="D1048" s="57" t="s">
        <v>171</v>
      </c>
      <c r="E1048" s="54" t="s">
        <v>2</v>
      </c>
      <c r="F1048" s="54">
        <v>240</v>
      </c>
      <c r="G1048" s="62"/>
      <c r="H1048" s="62"/>
    </row>
    <row r="1049" spans="1:8" ht="33">
      <c r="A1049" s="55" t="str">
        <f ca="1">IF(ISERROR(MATCH(E1049,Код_КЦСР,0)),"",INDIRECT(ADDRESS(MATCH(E1049,Код_КЦСР,0)+1,2,,,"КЦСР")))</f>
        <v>Муниципальная программа «Развитие земельно-имущественного комплекса  города Череповца» на 2014-2018 годы</v>
      </c>
      <c r="B1049" s="54">
        <v>811</v>
      </c>
      <c r="C1049" s="57" t="s">
        <v>190</v>
      </c>
      <c r="D1049" s="57" t="s">
        <v>171</v>
      </c>
      <c r="E1049" s="54" t="s">
        <v>59</v>
      </c>
      <c r="F1049" s="54"/>
      <c r="G1049" s="62">
        <f aca="true" t="shared" si="485" ref="G1049:H1049">G1050+G1053</f>
        <v>35539.2</v>
      </c>
      <c r="H1049" s="62">
        <f t="shared" si="485"/>
        <v>35539.2</v>
      </c>
    </row>
    <row r="1050" spans="1:8" ht="33">
      <c r="A1050" s="55" t="str">
        <f ca="1">IF(ISERROR(MATCH(E1050,Код_КЦСР,0)),"",INDIRECT(ADDRESS(MATCH(E1050,Код_КЦСР,0)+1,2,,,"КЦСР")))</f>
        <v>Обеспечение исполнения полномочий органа местного самоуправления в области наружной рекламы</v>
      </c>
      <c r="B1050" s="54">
        <v>811</v>
      </c>
      <c r="C1050" s="57" t="s">
        <v>190</v>
      </c>
      <c r="D1050" s="57" t="s">
        <v>171</v>
      </c>
      <c r="E1050" s="54" t="s">
        <v>65</v>
      </c>
      <c r="F1050" s="54"/>
      <c r="G1050" s="62">
        <f aca="true" t="shared" si="486" ref="G1050:H1051">G1051</f>
        <v>658</v>
      </c>
      <c r="H1050" s="62">
        <f t="shared" si="486"/>
        <v>658</v>
      </c>
    </row>
    <row r="1051" spans="1:8" ht="12.75">
      <c r="A1051" s="55" t="str">
        <f ca="1">IF(ISERROR(MATCH(F1051,Код_КВР,0)),"",INDIRECT(ADDRESS(MATCH(F1051,Код_КВР,0)+1,2,,,"КВР")))</f>
        <v>Закупка товаров, работ и услуг для муниципальных нужд</v>
      </c>
      <c r="B1051" s="54">
        <v>811</v>
      </c>
      <c r="C1051" s="57" t="s">
        <v>190</v>
      </c>
      <c r="D1051" s="57" t="s">
        <v>171</v>
      </c>
      <c r="E1051" s="54" t="s">
        <v>65</v>
      </c>
      <c r="F1051" s="54">
        <v>200</v>
      </c>
      <c r="G1051" s="62">
        <f t="shared" si="486"/>
        <v>658</v>
      </c>
      <c r="H1051" s="62">
        <f t="shared" si="486"/>
        <v>658</v>
      </c>
    </row>
    <row r="1052" spans="1:8" ht="33">
      <c r="A1052" s="55" t="str">
        <f ca="1">IF(ISERROR(MATCH(F1052,Код_КВР,0)),"",INDIRECT(ADDRESS(MATCH(F1052,Код_КВР,0)+1,2,,,"КВР")))</f>
        <v>Иные закупки товаров, работ и услуг для обеспечения муниципальных нужд</v>
      </c>
      <c r="B1052" s="54">
        <v>811</v>
      </c>
      <c r="C1052" s="57" t="s">
        <v>190</v>
      </c>
      <c r="D1052" s="57" t="s">
        <v>171</v>
      </c>
      <c r="E1052" s="54" t="s">
        <v>65</v>
      </c>
      <c r="F1052" s="54">
        <v>240</v>
      </c>
      <c r="G1052" s="62">
        <v>658</v>
      </c>
      <c r="H1052" s="62">
        <v>658</v>
      </c>
    </row>
    <row r="1053" spans="1:8" ht="33">
      <c r="A1053" s="55" t="str">
        <f ca="1">IF(ISERROR(MATCH(E1053,Код_КЦСР,0)),"",INDIRECT(ADDRESS(MATCH(E1053,Код_КЦСР,0)+1,2,,,"КЦСР")))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1053" s="54">
        <v>811</v>
      </c>
      <c r="C1053" s="57" t="s">
        <v>190</v>
      </c>
      <c r="D1053" s="57" t="s">
        <v>171</v>
      </c>
      <c r="E1053" s="54" t="s">
        <v>550</v>
      </c>
      <c r="F1053" s="54"/>
      <c r="G1053" s="62">
        <f aca="true" t="shared" si="487" ref="G1053:H1053">G1054+G1056+G1058</f>
        <v>34881.2</v>
      </c>
      <c r="H1053" s="62">
        <f t="shared" si="487"/>
        <v>34881.2</v>
      </c>
    </row>
    <row r="1054" spans="1:8" ht="33">
      <c r="A1054" s="55" t="str">
        <f aca="true" t="shared" si="488" ref="A1054:A1059">IF(ISERROR(MATCH(F1054,Код_КВР,0)),"",INDIRECT(ADDRESS(MATCH(F1054,Код_КВР,0)+1,2,,,"КВР")))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4" s="54">
        <v>811</v>
      </c>
      <c r="C1054" s="57" t="s">
        <v>190</v>
      </c>
      <c r="D1054" s="57" t="s">
        <v>171</v>
      </c>
      <c r="E1054" s="54" t="s">
        <v>550</v>
      </c>
      <c r="F1054" s="54">
        <v>100</v>
      </c>
      <c r="G1054" s="62">
        <f aca="true" t="shared" si="489" ref="G1054:H1054">G1055</f>
        <v>34856.6</v>
      </c>
      <c r="H1054" s="62">
        <f t="shared" si="489"/>
        <v>34856.6</v>
      </c>
    </row>
    <row r="1055" spans="1:8" ht="12.75">
      <c r="A1055" s="55" t="str">
        <f ca="1" t="shared" si="488"/>
        <v>Расходы на выплаты персоналу муниципальных органов</v>
      </c>
      <c r="B1055" s="54">
        <v>811</v>
      </c>
      <c r="C1055" s="57" t="s">
        <v>190</v>
      </c>
      <c r="D1055" s="57" t="s">
        <v>171</v>
      </c>
      <c r="E1055" s="54" t="s">
        <v>550</v>
      </c>
      <c r="F1055" s="54">
        <v>120</v>
      </c>
      <c r="G1055" s="62">
        <f>37956.1-467-2632.5</f>
        <v>34856.6</v>
      </c>
      <c r="H1055" s="62">
        <f>37956.1-467-2632.5</f>
        <v>34856.6</v>
      </c>
    </row>
    <row r="1056" spans="1:8" ht="12.75">
      <c r="A1056" s="55" t="str">
        <f ca="1" t="shared" si="488"/>
        <v>Закупка товаров, работ и услуг для муниципальных нужд</v>
      </c>
      <c r="B1056" s="54">
        <v>811</v>
      </c>
      <c r="C1056" s="57" t="s">
        <v>190</v>
      </c>
      <c r="D1056" s="57" t="s">
        <v>171</v>
      </c>
      <c r="E1056" s="54" t="s">
        <v>550</v>
      </c>
      <c r="F1056" s="54">
        <v>200</v>
      </c>
      <c r="G1056" s="62">
        <f aca="true" t="shared" si="490" ref="G1056:H1056">G1057</f>
        <v>21.6</v>
      </c>
      <c r="H1056" s="62">
        <f t="shared" si="490"/>
        <v>21.6</v>
      </c>
    </row>
    <row r="1057" spans="1:8" ht="33">
      <c r="A1057" s="55" t="str">
        <f ca="1" t="shared" si="488"/>
        <v>Иные закупки товаров, работ и услуг для обеспечения муниципальных нужд</v>
      </c>
      <c r="B1057" s="54">
        <v>811</v>
      </c>
      <c r="C1057" s="57" t="s">
        <v>190</v>
      </c>
      <c r="D1057" s="57" t="s">
        <v>171</v>
      </c>
      <c r="E1057" s="54" t="s">
        <v>550</v>
      </c>
      <c r="F1057" s="54">
        <v>240</v>
      </c>
      <c r="G1057" s="62">
        <v>21.6</v>
      </c>
      <c r="H1057" s="62">
        <v>21.6</v>
      </c>
    </row>
    <row r="1058" spans="1:8" ht="12.75">
      <c r="A1058" s="55" t="str">
        <f ca="1" t="shared" si="488"/>
        <v>Иные бюджетные ассигнования</v>
      </c>
      <c r="B1058" s="54">
        <v>811</v>
      </c>
      <c r="C1058" s="57" t="s">
        <v>190</v>
      </c>
      <c r="D1058" s="57" t="s">
        <v>171</v>
      </c>
      <c r="E1058" s="54" t="s">
        <v>550</v>
      </c>
      <c r="F1058" s="54">
        <v>800</v>
      </c>
      <c r="G1058" s="62">
        <f aca="true" t="shared" si="491" ref="G1058:H1058">G1059</f>
        <v>3</v>
      </c>
      <c r="H1058" s="62">
        <f t="shared" si="491"/>
        <v>3</v>
      </c>
    </row>
    <row r="1059" spans="1:8" ht="12.75">
      <c r="A1059" s="55" t="str">
        <f ca="1" t="shared" si="488"/>
        <v>Уплата налогов, сборов и иных платежей</v>
      </c>
      <c r="B1059" s="54">
        <v>811</v>
      </c>
      <c r="C1059" s="57" t="s">
        <v>190</v>
      </c>
      <c r="D1059" s="57" t="s">
        <v>171</v>
      </c>
      <c r="E1059" s="54" t="s">
        <v>550</v>
      </c>
      <c r="F1059" s="54">
        <v>850</v>
      </c>
      <c r="G1059" s="62">
        <v>3</v>
      </c>
      <c r="H1059" s="62">
        <v>3</v>
      </c>
    </row>
    <row r="1060" spans="1:8" ht="66">
      <c r="A1060" s="55" t="str">
        <f ca="1">IF(ISERROR(MATCH(E1060,Код_КЦСР,0)),"",INDIRECT(ADDRESS(MATCH(E1060,Код_КЦСР,0)+1,2,,,"КЦСР")))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60" s="54">
        <v>811</v>
      </c>
      <c r="C1060" s="57" t="s">
        <v>190</v>
      </c>
      <c r="D1060" s="57" t="s">
        <v>171</v>
      </c>
      <c r="E1060" s="54" t="s">
        <v>67</v>
      </c>
      <c r="F1060" s="54"/>
      <c r="G1060" s="62">
        <f aca="true" t="shared" si="492" ref="G1060:H1060">G1064+G1067+G1061</f>
        <v>52063.6</v>
      </c>
      <c r="H1060" s="62">
        <f t="shared" si="492"/>
        <v>52113</v>
      </c>
    </row>
    <row r="1061" spans="1:8" ht="12.75" hidden="1">
      <c r="A1061" s="55" t="str">
        <f ca="1">IF(ISERROR(MATCH(E1061,Код_КЦСР,0)),"",INDIRECT(ADDRESS(MATCH(E1061,Код_КЦСР,0)+1,2,,,"КЦСР")))</f>
        <v>Строительство объектов сметной стоимостью до 100 млн. рублей</v>
      </c>
      <c r="B1061" s="54">
        <v>811</v>
      </c>
      <c r="C1061" s="57" t="s">
        <v>190</v>
      </c>
      <c r="D1061" s="57" t="s">
        <v>171</v>
      </c>
      <c r="E1061" s="54" t="s">
        <v>69</v>
      </c>
      <c r="F1061" s="54"/>
      <c r="G1061" s="62">
        <f aca="true" t="shared" si="493" ref="G1061:H1062">G1062</f>
        <v>0</v>
      </c>
      <c r="H1061" s="62">
        <f t="shared" si="493"/>
        <v>0</v>
      </c>
    </row>
    <row r="1062" spans="1:8" ht="33" hidden="1">
      <c r="A1062" s="55" t="str">
        <f ca="1">IF(ISERROR(MATCH(F1062,Код_КВР,0)),"",INDIRECT(ADDRESS(MATCH(F1062,Код_КВР,0)+1,2,,,"КВР")))</f>
        <v>Капитальные вложения в объекты недвижимого имущества муниципальной собственности</v>
      </c>
      <c r="B1062" s="54">
        <v>811</v>
      </c>
      <c r="C1062" s="57" t="s">
        <v>190</v>
      </c>
      <c r="D1062" s="57" t="s">
        <v>171</v>
      </c>
      <c r="E1062" s="54" t="s">
        <v>69</v>
      </c>
      <c r="F1062" s="54">
        <v>400</v>
      </c>
      <c r="G1062" s="62">
        <f t="shared" si="493"/>
        <v>0</v>
      </c>
      <c r="H1062" s="62">
        <f t="shared" si="493"/>
        <v>0</v>
      </c>
    </row>
    <row r="1063" spans="1:8" ht="12.75" hidden="1">
      <c r="A1063" s="55" t="str">
        <f ca="1">IF(ISERROR(MATCH(F1063,Код_КВР,0)),"",INDIRECT(ADDRESS(MATCH(F1063,Код_КВР,0)+1,2,,,"КВР")))</f>
        <v>Бюджетные инвестиции</v>
      </c>
      <c r="B1063" s="54">
        <v>811</v>
      </c>
      <c r="C1063" s="57" t="s">
        <v>190</v>
      </c>
      <c r="D1063" s="57" t="s">
        <v>171</v>
      </c>
      <c r="E1063" s="54" t="s">
        <v>69</v>
      </c>
      <c r="F1063" s="54">
        <v>410</v>
      </c>
      <c r="G1063" s="62"/>
      <c r="H1063" s="62"/>
    </row>
    <row r="1064" spans="1:8" ht="12.75" hidden="1">
      <c r="A1064" s="55" t="str">
        <f ca="1">IF(ISERROR(MATCH(E1064,Код_КЦСР,0)),"",INDIRECT(ADDRESS(MATCH(E1064,Код_КЦСР,0)+1,2,,,"КЦСР")))</f>
        <v>Капитальный ремонт объектов муниципальной собственности</v>
      </c>
      <c r="B1064" s="54">
        <v>811</v>
      </c>
      <c r="C1064" s="57" t="s">
        <v>190</v>
      </c>
      <c r="D1064" s="57" t="s">
        <v>171</v>
      </c>
      <c r="E1064" s="54" t="s">
        <v>73</v>
      </c>
      <c r="F1064" s="54"/>
      <c r="G1064" s="62">
        <f aca="true" t="shared" si="494" ref="G1064:H1065">G1065</f>
        <v>0</v>
      </c>
      <c r="H1064" s="62">
        <f t="shared" si="494"/>
        <v>0</v>
      </c>
    </row>
    <row r="1065" spans="1:8" ht="12.75" hidden="1">
      <c r="A1065" s="55" t="str">
        <f aca="true" t="shared" si="495" ref="A1065:A1066">IF(ISERROR(MATCH(F1065,Код_КВР,0)),"",INDIRECT(ADDRESS(MATCH(F1065,Код_КВР,0)+1,2,,,"КВР")))</f>
        <v>Закупка товаров, работ и услуг для муниципальных нужд</v>
      </c>
      <c r="B1065" s="54">
        <v>811</v>
      </c>
      <c r="C1065" s="57" t="s">
        <v>190</v>
      </c>
      <c r="D1065" s="57" t="s">
        <v>171</v>
      </c>
      <c r="E1065" s="54" t="s">
        <v>73</v>
      </c>
      <c r="F1065" s="54">
        <v>200</v>
      </c>
      <c r="G1065" s="62">
        <f t="shared" si="494"/>
        <v>0</v>
      </c>
      <c r="H1065" s="62">
        <f t="shared" si="494"/>
        <v>0</v>
      </c>
    </row>
    <row r="1066" spans="1:8" ht="33" hidden="1">
      <c r="A1066" s="55" t="str">
        <f ca="1" t="shared" si="495"/>
        <v>Иные закупки товаров, работ и услуг для обеспечения муниципальных нужд</v>
      </c>
      <c r="B1066" s="54">
        <v>811</v>
      </c>
      <c r="C1066" s="57" t="s">
        <v>190</v>
      </c>
      <c r="D1066" s="57" t="s">
        <v>171</v>
      </c>
      <c r="E1066" s="54" t="s">
        <v>73</v>
      </c>
      <c r="F1066" s="54">
        <v>240</v>
      </c>
      <c r="G1066" s="62"/>
      <c r="H1066" s="62"/>
    </row>
    <row r="1067" spans="1:8" ht="33.75" customHeight="1">
      <c r="A1067" s="55" t="str">
        <f ca="1">IF(ISERROR(MATCH(E1067,Код_КЦСР,0)),"",INDIRECT(ADDRESS(MATCH(E1067,Код_КЦСР,0)+1,2,,,"КЦСР")))</f>
        <v xml:space="preserve">Обеспечение создания условий для реализации муниципальной программы </v>
      </c>
      <c r="B1067" s="54">
        <v>811</v>
      </c>
      <c r="C1067" s="57" t="s">
        <v>190</v>
      </c>
      <c r="D1067" s="57" t="s">
        <v>171</v>
      </c>
      <c r="E1067" s="54" t="s">
        <v>74</v>
      </c>
      <c r="F1067" s="54"/>
      <c r="G1067" s="62">
        <f aca="true" t="shared" si="496" ref="G1067:H1067">G1068+G1070+G1072</f>
        <v>52063.6</v>
      </c>
      <c r="H1067" s="62">
        <f t="shared" si="496"/>
        <v>52113</v>
      </c>
    </row>
    <row r="1068" spans="1:8" ht="33">
      <c r="A1068" s="55" t="str">
        <f aca="true" t="shared" si="497" ref="A1068:A1073">IF(ISERROR(MATCH(F1068,Код_КВР,0)),"",INDIRECT(ADDRESS(MATCH(F1068,Код_КВР,0)+1,2,,,"КВР")))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8" s="54">
        <v>811</v>
      </c>
      <c r="C1068" s="57" t="s">
        <v>190</v>
      </c>
      <c r="D1068" s="57" t="s">
        <v>171</v>
      </c>
      <c r="E1068" s="54" t="s">
        <v>74</v>
      </c>
      <c r="F1068" s="54">
        <v>100</v>
      </c>
      <c r="G1068" s="62">
        <f aca="true" t="shared" si="498" ref="G1068">G1069</f>
        <v>48086.6</v>
      </c>
      <c r="H1068" s="62">
        <f>H1069</f>
        <v>48086.6</v>
      </c>
    </row>
    <row r="1069" spans="1:8" ht="12.75">
      <c r="A1069" s="55" t="str">
        <f ca="1" t="shared" si="497"/>
        <v>Расходы на выплаты персоналу казенных учреждений</v>
      </c>
      <c r="B1069" s="54">
        <v>811</v>
      </c>
      <c r="C1069" s="57" t="s">
        <v>190</v>
      </c>
      <c r="D1069" s="57" t="s">
        <v>171</v>
      </c>
      <c r="E1069" s="54" t="s">
        <v>74</v>
      </c>
      <c r="F1069" s="54">
        <v>110</v>
      </c>
      <c r="G1069" s="62">
        <f>47975.4+111.2</f>
        <v>48086.6</v>
      </c>
      <c r="H1069" s="62">
        <f>47975.4+111.2</f>
        <v>48086.6</v>
      </c>
    </row>
    <row r="1070" spans="1:8" ht="12.75">
      <c r="A1070" s="55" t="str">
        <f ca="1" t="shared" si="497"/>
        <v>Закупка товаров, работ и услуг для муниципальных нужд</v>
      </c>
      <c r="B1070" s="54">
        <v>811</v>
      </c>
      <c r="C1070" s="57" t="s">
        <v>190</v>
      </c>
      <c r="D1070" s="57" t="s">
        <v>171</v>
      </c>
      <c r="E1070" s="54" t="s">
        <v>74</v>
      </c>
      <c r="F1070" s="54">
        <v>200</v>
      </c>
      <c r="G1070" s="62">
        <f aca="true" t="shared" si="499" ref="G1070:H1070">G1071</f>
        <v>3292.5</v>
      </c>
      <c r="H1070" s="62">
        <f t="shared" si="499"/>
        <v>3341.9</v>
      </c>
    </row>
    <row r="1071" spans="1:8" ht="33">
      <c r="A1071" s="55" t="str">
        <f ca="1" t="shared" si="497"/>
        <v>Иные закупки товаров, работ и услуг для обеспечения муниципальных нужд</v>
      </c>
      <c r="B1071" s="54">
        <v>811</v>
      </c>
      <c r="C1071" s="57" t="s">
        <v>190</v>
      </c>
      <c r="D1071" s="57" t="s">
        <v>171</v>
      </c>
      <c r="E1071" s="54" t="s">
        <v>74</v>
      </c>
      <c r="F1071" s="54">
        <v>240</v>
      </c>
      <c r="G1071" s="62">
        <v>3292.5</v>
      </c>
      <c r="H1071" s="62">
        <v>3341.9</v>
      </c>
    </row>
    <row r="1072" spans="1:8" ht="12.75">
      <c r="A1072" s="55" t="str">
        <f ca="1" t="shared" si="497"/>
        <v>Иные бюджетные ассигнования</v>
      </c>
      <c r="B1072" s="54">
        <v>811</v>
      </c>
      <c r="C1072" s="57" t="s">
        <v>190</v>
      </c>
      <c r="D1072" s="57" t="s">
        <v>171</v>
      </c>
      <c r="E1072" s="54" t="s">
        <v>74</v>
      </c>
      <c r="F1072" s="54">
        <v>800</v>
      </c>
      <c r="G1072" s="62">
        <f aca="true" t="shared" si="500" ref="G1072:H1072">G1073</f>
        <v>684.5</v>
      </c>
      <c r="H1072" s="62">
        <f t="shared" si="500"/>
        <v>684.5</v>
      </c>
    </row>
    <row r="1073" spans="1:8" ht="12.75">
      <c r="A1073" s="55" t="str">
        <f ca="1" t="shared" si="497"/>
        <v>Уплата налогов, сборов и иных платежей</v>
      </c>
      <c r="B1073" s="54">
        <v>811</v>
      </c>
      <c r="C1073" s="57" t="s">
        <v>190</v>
      </c>
      <c r="D1073" s="57" t="s">
        <v>171</v>
      </c>
      <c r="E1073" s="54" t="s">
        <v>74</v>
      </c>
      <c r="F1073" s="54">
        <v>850</v>
      </c>
      <c r="G1073" s="62">
        <f>183.1+501.4</f>
        <v>684.5</v>
      </c>
      <c r="H1073" s="62">
        <f>183.1+501.4</f>
        <v>684.5</v>
      </c>
    </row>
    <row r="1074" spans="1:8" ht="12.75">
      <c r="A1074" s="55" t="str">
        <f ca="1">IF(ISERROR(MATCH(C1074,Код_Раздел,0)),"",INDIRECT(ADDRESS(MATCH(C1074,Код_Раздел,0)+1,2,,,"Раздел")))</f>
        <v>Жилищно-коммунальное хозяйство</v>
      </c>
      <c r="B1074" s="54">
        <v>811</v>
      </c>
      <c r="C1074" s="57" t="s">
        <v>195</v>
      </c>
      <c r="D1074" s="57"/>
      <c r="E1074" s="54"/>
      <c r="F1074" s="54"/>
      <c r="G1074" s="62">
        <f>G1080+G1092+G1075</f>
        <v>2500</v>
      </c>
      <c r="H1074" s="62">
        <f>H1080+H1092+H1075</f>
        <v>3040</v>
      </c>
    </row>
    <row r="1075" spans="1:8" ht="12.75" hidden="1">
      <c r="A1075" s="59" t="s">
        <v>200</v>
      </c>
      <c r="B1075" s="54">
        <v>811</v>
      </c>
      <c r="C1075" s="57" t="s">
        <v>195</v>
      </c>
      <c r="D1075" s="57" t="s">
        <v>187</v>
      </c>
      <c r="E1075" s="54"/>
      <c r="F1075" s="54"/>
      <c r="G1075" s="62">
        <f aca="true" t="shared" si="501" ref="G1075:H1078">G1076</f>
        <v>0</v>
      </c>
      <c r="H1075" s="62">
        <f t="shared" si="501"/>
        <v>0</v>
      </c>
    </row>
    <row r="1076" spans="1:8" ht="66" hidden="1">
      <c r="A1076" s="55" t="str">
        <f ca="1">IF(ISERROR(MATCH(E1076,Код_КЦСР,0)),"",INDIRECT(ADDRESS(MATCH(E1076,Код_КЦСР,0)+1,2,,,"КЦСР")))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76" s="54">
        <v>811</v>
      </c>
      <c r="C1076" s="57" t="s">
        <v>195</v>
      </c>
      <c r="D1076" s="57" t="s">
        <v>187</v>
      </c>
      <c r="E1076" s="54" t="s">
        <v>67</v>
      </c>
      <c r="F1076" s="54"/>
      <c r="G1076" s="62">
        <f t="shared" si="501"/>
        <v>0</v>
      </c>
      <c r="H1076" s="62">
        <f t="shared" si="501"/>
        <v>0</v>
      </c>
    </row>
    <row r="1077" spans="1:8" ht="12.75" hidden="1">
      <c r="A1077" s="55" t="str">
        <f ca="1">IF(ISERROR(MATCH(E1077,Код_КЦСР,0)),"",INDIRECT(ADDRESS(MATCH(E1077,Код_КЦСР,0)+1,2,,,"КЦСР")))</f>
        <v>Капитальный ремонт объектов муниципальной собственности</v>
      </c>
      <c r="B1077" s="54">
        <v>811</v>
      </c>
      <c r="C1077" s="57" t="s">
        <v>195</v>
      </c>
      <c r="D1077" s="57" t="s">
        <v>187</v>
      </c>
      <c r="E1077" s="54" t="s">
        <v>73</v>
      </c>
      <c r="F1077" s="54"/>
      <c r="G1077" s="62">
        <f t="shared" si="501"/>
        <v>0</v>
      </c>
      <c r="H1077" s="62">
        <f t="shared" si="501"/>
        <v>0</v>
      </c>
    </row>
    <row r="1078" spans="1:8" ht="21.95" customHeight="1" hidden="1">
      <c r="A1078" s="55" t="str">
        <f ca="1">IF(ISERROR(MATCH(F1078,Код_КВР,0)),"",INDIRECT(ADDRESS(MATCH(F1078,Код_КВР,0)+1,2,,,"КВР")))</f>
        <v>Закупка товаров, работ и услуг для муниципальных нужд</v>
      </c>
      <c r="B1078" s="54">
        <v>811</v>
      </c>
      <c r="C1078" s="57" t="s">
        <v>195</v>
      </c>
      <c r="D1078" s="57" t="s">
        <v>187</v>
      </c>
      <c r="E1078" s="54" t="s">
        <v>73</v>
      </c>
      <c r="F1078" s="54">
        <v>200</v>
      </c>
      <c r="G1078" s="62">
        <f t="shared" si="501"/>
        <v>0</v>
      </c>
      <c r="H1078" s="62">
        <f t="shared" si="501"/>
        <v>0</v>
      </c>
    </row>
    <row r="1079" spans="1:8" ht="22.35" customHeight="1" hidden="1">
      <c r="A1079" s="55" t="str">
        <f ca="1">IF(ISERROR(MATCH(F1079,Код_КВР,0)),"",INDIRECT(ADDRESS(MATCH(F1079,Код_КВР,0)+1,2,,,"КВР")))</f>
        <v>Иные закупки товаров, работ и услуг для обеспечения муниципальных нужд</v>
      </c>
      <c r="B1079" s="54">
        <v>811</v>
      </c>
      <c r="C1079" s="57" t="s">
        <v>195</v>
      </c>
      <c r="D1079" s="57" t="s">
        <v>187</v>
      </c>
      <c r="E1079" s="54" t="s">
        <v>73</v>
      </c>
      <c r="F1079" s="54">
        <v>240</v>
      </c>
      <c r="G1079" s="62"/>
      <c r="H1079" s="62"/>
    </row>
    <row r="1080" spans="1:8" ht="12.75">
      <c r="A1080" s="59" t="s">
        <v>223</v>
      </c>
      <c r="B1080" s="54">
        <v>811</v>
      </c>
      <c r="C1080" s="57" t="s">
        <v>195</v>
      </c>
      <c r="D1080" s="57" t="s">
        <v>188</v>
      </c>
      <c r="E1080" s="54"/>
      <c r="F1080" s="54"/>
      <c r="G1080" s="62">
        <f aca="true" t="shared" si="502" ref="G1080:H1087">G1081</f>
        <v>2500</v>
      </c>
      <c r="H1080" s="62">
        <f t="shared" si="502"/>
        <v>3040</v>
      </c>
    </row>
    <row r="1081" spans="1:8" ht="66">
      <c r="A1081" s="55" t="str">
        <f ca="1">IF(ISERROR(MATCH(E1081,Код_КЦСР,0)),"",INDIRECT(ADDRESS(MATCH(E1081,Код_КЦСР,0)+1,2,,,"КЦСР")))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1" s="54">
        <v>811</v>
      </c>
      <c r="C1081" s="57" t="s">
        <v>195</v>
      </c>
      <c r="D1081" s="57" t="s">
        <v>188</v>
      </c>
      <c r="E1081" s="54" t="s">
        <v>67</v>
      </c>
      <c r="F1081" s="54"/>
      <c r="G1081" s="62">
        <f t="shared" si="502"/>
        <v>2500</v>
      </c>
      <c r="H1081" s="62">
        <f t="shared" si="502"/>
        <v>3040</v>
      </c>
    </row>
    <row r="1082" spans="1:8" ht="33">
      <c r="A1082" s="55" t="str">
        <f ca="1">IF(ISERROR(MATCH(E1082,Код_КЦСР,0)),"",INDIRECT(ADDRESS(MATCH(E1082,Код_КЦСР,0)+1,2,,,"КЦСР")))</f>
        <v>Осуществление бюджетных инвестиций в объекты муниципальной собственности</v>
      </c>
      <c r="B1082" s="54">
        <v>811</v>
      </c>
      <c r="C1082" s="57" t="s">
        <v>195</v>
      </c>
      <c r="D1082" s="57" t="s">
        <v>188</v>
      </c>
      <c r="E1082" s="54" t="s">
        <v>68</v>
      </c>
      <c r="F1082" s="54"/>
      <c r="G1082" s="62">
        <f aca="true" t="shared" si="503" ref="G1082:H1082">G1086+G1083+G1089</f>
        <v>2500</v>
      </c>
      <c r="H1082" s="62">
        <f t="shared" si="503"/>
        <v>3040</v>
      </c>
    </row>
    <row r="1083" spans="1:8" ht="12.75">
      <c r="A1083" s="55" t="str">
        <f ca="1">IF(ISERROR(MATCH(E1083,Код_КЦСР,0)),"",INDIRECT(ADDRESS(MATCH(E1083,Код_КЦСР,0)+1,2,,,"КЦСР")))</f>
        <v>Строительство объектов сметной стоимостью до 100 млн. рублей</v>
      </c>
      <c r="B1083" s="54">
        <v>811</v>
      </c>
      <c r="C1083" s="57" t="s">
        <v>195</v>
      </c>
      <c r="D1083" s="57" t="s">
        <v>188</v>
      </c>
      <c r="E1083" s="54" t="s">
        <v>69</v>
      </c>
      <c r="F1083" s="54"/>
      <c r="G1083" s="62">
        <f aca="true" t="shared" si="504" ref="G1083:H1084">G1084</f>
        <v>2500</v>
      </c>
      <c r="H1083" s="62">
        <f t="shared" si="504"/>
        <v>3040</v>
      </c>
    </row>
    <row r="1084" spans="1:8" ht="33">
      <c r="A1084" s="55" t="str">
        <f ca="1">IF(ISERROR(MATCH(F1084,Код_КВР,0)),"",INDIRECT(ADDRESS(MATCH(F1084,Код_КВР,0)+1,2,,,"КВР")))</f>
        <v>Капитальные вложения в объекты недвижимого имущества муниципальной собственности</v>
      </c>
      <c r="B1084" s="54">
        <v>811</v>
      </c>
      <c r="C1084" s="57" t="s">
        <v>195</v>
      </c>
      <c r="D1084" s="57" t="s">
        <v>188</v>
      </c>
      <c r="E1084" s="54" t="s">
        <v>69</v>
      </c>
      <c r="F1084" s="54">
        <v>400</v>
      </c>
      <c r="G1084" s="62">
        <f t="shared" si="504"/>
        <v>2500</v>
      </c>
      <c r="H1084" s="62">
        <f t="shared" si="504"/>
        <v>3040</v>
      </c>
    </row>
    <row r="1085" spans="1:8" ht="12.75">
      <c r="A1085" s="55" t="str">
        <f ca="1">IF(ISERROR(MATCH(F1085,Код_КВР,0)),"",INDIRECT(ADDRESS(MATCH(F1085,Код_КВР,0)+1,2,,,"КВР")))</f>
        <v>Бюджетные инвестиции</v>
      </c>
      <c r="B1085" s="54">
        <v>811</v>
      </c>
      <c r="C1085" s="57" t="s">
        <v>195</v>
      </c>
      <c r="D1085" s="57" t="s">
        <v>188</v>
      </c>
      <c r="E1085" s="54" t="s">
        <v>69</v>
      </c>
      <c r="F1085" s="54">
        <v>410</v>
      </c>
      <c r="G1085" s="62">
        <v>2500</v>
      </c>
      <c r="H1085" s="62">
        <v>3040</v>
      </c>
    </row>
    <row r="1086" spans="1:8" ht="12.75" hidden="1">
      <c r="A1086" s="55" t="str">
        <f ca="1">IF(ISERROR(MATCH(E1086,Код_КЦСР,0)),"",INDIRECT(ADDRESS(MATCH(E1086,Код_КЦСР,0)+1,2,,,"КЦСР")))</f>
        <v>Строительство полигона твердых бытовых отходов (ТБО) №2</v>
      </c>
      <c r="B1086" s="54">
        <v>811</v>
      </c>
      <c r="C1086" s="57" t="s">
        <v>195</v>
      </c>
      <c r="D1086" s="57" t="s">
        <v>188</v>
      </c>
      <c r="E1086" s="54" t="s">
        <v>72</v>
      </c>
      <c r="F1086" s="54"/>
      <c r="G1086" s="62">
        <f t="shared" si="502"/>
        <v>0</v>
      </c>
      <c r="H1086" s="62">
        <f t="shared" si="502"/>
        <v>0</v>
      </c>
    </row>
    <row r="1087" spans="1:8" ht="33" hidden="1">
      <c r="A1087" s="55" t="str">
        <f ca="1">IF(ISERROR(MATCH(F1087,Код_КВР,0)),"",INDIRECT(ADDRESS(MATCH(F1087,Код_КВР,0)+1,2,,,"КВР")))</f>
        <v>Капитальные вложения в объекты недвижимого имущества муниципальной собственности</v>
      </c>
      <c r="B1087" s="54">
        <v>811</v>
      </c>
      <c r="C1087" s="57" t="s">
        <v>195</v>
      </c>
      <c r="D1087" s="57" t="s">
        <v>188</v>
      </c>
      <c r="E1087" s="54" t="s">
        <v>72</v>
      </c>
      <c r="F1087" s="54">
        <v>400</v>
      </c>
      <c r="G1087" s="62">
        <f t="shared" si="502"/>
        <v>0</v>
      </c>
      <c r="H1087" s="62">
        <f t="shared" si="502"/>
        <v>0</v>
      </c>
    </row>
    <row r="1088" spans="1:8" ht="12.75" hidden="1">
      <c r="A1088" s="55" t="str">
        <f ca="1">IF(ISERROR(MATCH(F1088,Код_КВР,0)),"",INDIRECT(ADDRESS(MATCH(F1088,Код_КВР,0)+1,2,,,"КВР")))</f>
        <v>Бюджетные инвестиции</v>
      </c>
      <c r="B1088" s="54">
        <v>811</v>
      </c>
      <c r="C1088" s="57" t="s">
        <v>195</v>
      </c>
      <c r="D1088" s="57" t="s">
        <v>188</v>
      </c>
      <c r="E1088" s="54" t="s">
        <v>72</v>
      </c>
      <c r="F1088" s="54">
        <v>410</v>
      </c>
      <c r="G1088" s="62"/>
      <c r="H1088" s="62"/>
    </row>
    <row r="1089" spans="1:8" ht="12.75" hidden="1">
      <c r="A1089" s="55" t="str">
        <f ca="1">IF(ISERROR(MATCH(E1089,Код_КЦСР,0)),"",INDIRECT(ADDRESS(MATCH(E1089,Код_КЦСР,0)+1,2,,,"КЦСР")))</f>
        <v>Строительство кладбища № 5</v>
      </c>
      <c r="B1089" s="54">
        <v>811</v>
      </c>
      <c r="C1089" s="57" t="s">
        <v>195</v>
      </c>
      <c r="D1089" s="57" t="s">
        <v>188</v>
      </c>
      <c r="E1089" s="54" t="s">
        <v>555</v>
      </c>
      <c r="F1089" s="54"/>
      <c r="G1089" s="62"/>
      <c r="H1089" s="62"/>
    </row>
    <row r="1090" spans="1:8" ht="33" hidden="1">
      <c r="A1090" s="55" t="str">
        <f ca="1">IF(ISERROR(MATCH(F1090,Код_КВР,0)),"",INDIRECT(ADDRESS(MATCH(F1090,Код_КВР,0)+1,2,,,"КВР")))</f>
        <v>Капитальные вложения в объекты недвижимого имущества муниципальной собственности</v>
      </c>
      <c r="B1090" s="54">
        <v>811</v>
      </c>
      <c r="C1090" s="57" t="s">
        <v>195</v>
      </c>
      <c r="D1090" s="57" t="s">
        <v>188</v>
      </c>
      <c r="E1090" s="54" t="s">
        <v>555</v>
      </c>
      <c r="F1090" s="54">
        <v>400</v>
      </c>
      <c r="G1090" s="62"/>
      <c r="H1090" s="62"/>
    </row>
    <row r="1091" spans="1:8" ht="12.75" hidden="1">
      <c r="A1091" s="55" t="str">
        <f ca="1">IF(ISERROR(MATCH(F1091,Код_КВР,0)),"",INDIRECT(ADDRESS(MATCH(F1091,Код_КВР,0)+1,2,,,"КВР")))</f>
        <v>Бюджетные инвестиции</v>
      </c>
      <c r="B1091" s="54">
        <v>811</v>
      </c>
      <c r="C1091" s="57" t="s">
        <v>195</v>
      </c>
      <c r="D1091" s="57" t="s">
        <v>188</v>
      </c>
      <c r="E1091" s="54" t="s">
        <v>555</v>
      </c>
      <c r="F1091" s="54">
        <v>410</v>
      </c>
      <c r="G1091" s="62"/>
      <c r="H1091" s="62"/>
    </row>
    <row r="1092" spans="1:8" ht="12.75" hidden="1">
      <c r="A1092" s="55" t="s">
        <v>222</v>
      </c>
      <c r="B1092" s="54">
        <v>811</v>
      </c>
      <c r="C1092" s="57" t="s">
        <v>195</v>
      </c>
      <c r="D1092" s="57" t="s">
        <v>189</v>
      </c>
      <c r="E1092" s="54"/>
      <c r="F1092" s="54"/>
      <c r="G1092" s="62">
        <f aca="true" t="shared" si="505" ref="G1092:H1096">G1093</f>
        <v>0</v>
      </c>
      <c r="H1092" s="62">
        <f t="shared" si="505"/>
        <v>0</v>
      </c>
    </row>
    <row r="1093" spans="1:8" ht="57.95" customHeight="1" hidden="1">
      <c r="A1093" s="55" t="str">
        <f ca="1">IF(ISERROR(MATCH(E1093,Код_КЦСР,0)),"",INDIRECT(ADDRESS(MATCH(E1093,Код_КЦСР,0)+1,2,,,"КЦСР")))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93" s="54">
        <v>811</v>
      </c>
      <c r="C1093" s="57" t="s">
        <v>195</v>
      </c>
      <c r="D1093" s="57" t="s">
        <v>189</v>
      </c>
      <c r="E1093" s="54" t="s">
        <v>67</v>
      </c>
      <c r="F1093" s="54"/>
      <c r="G1093" s="62">
        <f t="shared" si="505"/>
        <v>0</v>
      </c>
      <c r="H1093" s="62">
        <f t="shared" si="505"/>
        <v>0</v>
      </c>
    </row>
    <row r="1094" spans="1:8" ht="33" hidden="1">
      <c r="A1094" s="55" t="str">
        <f ca="1">IF(ISERROR(MATCH(E1094,Код_КЦСР,0)),"",INDIRECT(ADDRESS(MATCH(E1094,Код_КЦСР,0)+1,2,,,"КЦСР")))</f>
        <v>Осуществление бюджетных инвестиций в объекты муниципальной собственности</v>
      </c>
      <c r="B1094" s="54">
        <v>811</v>
      </c>
      <c r="C1094" s="57" t="s">
        <v>195</v>
      </c>
      <c r="D1094" s="57" t="s">
        <v>189</v>
      </c>
      <c r="E1094" s="54" t="s">
        <v>68</v>
      </c>
      <c r="F1094" s="54"/>
      <c r="G1094" s="62">
        <f t="shared" si="505"/>
        <v>0</v>
      </c>
      <c r="H1094" s="62">
        <f t="shared" si="505"/>
        <v>0</v>
      </c>
    </row>
    <row r="1095" spans="1:8" ht="12.75" hidden="1">
      <c r="A1095" s="55" t="str">
        <f ca="1">IF(ISERROR(MATCH(E1095,Код_КЦСР,0)),"",INDIRECT(ADDRESS(MATCH(E1095,Код_КЦСР,0)+1,2,,,"КЦСР")))</f>
        <v>Строительство объектов сметной стоимостью до 100 млн. рублей</v>
      </c>
      <c r="B1095" s="54">
        <v>811</v>
      </c>
      <c r="C1095" s="57" t="s">
        <v>195</v>
      </c>
      <c r="D1095" s="57" t="s">
        <v>189</v>
      </c>
      <c r="E1095" s="54" t="s">
        <v>69</v>
      </c>
      <c r="F1095" s="54"/>
      <c r="G1095" s="62">
        <f t="shared" si="505"/>
        <v>0</v>
      </c>
      <c r="H1095" s="62">
        <f t="shared" si="505"/>
        <v>0</v>
      </c>
    </row>
    <row r="1096" spans="1:8" ht="33" hidden="1">
      <c r="A1096" s="55" t="str">
        <f ca="1">IF(ISERROR(MATCH(F1096,Код_КВР,0)),"",INDIRECT(ADDRESS(MATCH(F1096,Код_КВР,0)+1,2,,,"КВР")))</f>
        <v>Капитальные вложения в объекты недвижимого имущества муниципальной собственности</v>
      </c>
      <c r="B1096" s="54">
        <v>811</v>
      </c>
      <c r="C1096" s="57" t="s">
        <v>195</v>
      </c>
      <c r="D1096" s="57" t="s">
        <v>189</v>
      </c>
      <c r="E1096" s="54" t="s">
        <v>69</v>
      </c>
      <c r="F1096" s="54">
        <v>400</v>
      </c>
      <c r="G1096" s="62">
        <f t="shared" si="505"/>
        <v>0</v>
      </c>
      <c r="H1096" s="62">
        <f t="shared" si="505"/>
        <v>0</v>
      </c>
    </row>
    <row r="1097" spans="1:8" ht="12.75" hidden="1">
      <c r="A1097" s="55" t="str">
        <f ca="1">IF(ISERROR(MATCH(F1097,Код_КВР,0)),"",INDIRECT(ADDRESS(MATCH(F1097,Код_КВР,0)+1,2,,,"КВР")))</f>
        <v>Бюджетные инвестиции</v>
      </c>
      <c r="B1097" s="54">
        <v>811</v>
      </c>
      <c r="C1097" s="57" t="s">
        <v>195</v>
      </c>
      <c r="D1097" s="57" t="s">
        <v>189</v>
      </c>
      <c r="E1097" s="54" t="s">
        <v>69</v>
      </c>
      <c r="F1097" s="54">
        <v>410</v>
      </c>
      <c r="G1097" s="62"/>
      <c r="H1097" s="62"/>
    </row>
    <row r="1098" spans="1:8" ht="12.75">
      <c r="A1098" s="55" t="str">
        <f ca="1">IF(ISERROR(MATCH(C1098,Код_Раздел,0)),"",INDIRECT(ADDRESS(MATCH(C1098,Код_Раздел,0)+1,2,,,"Раздел")))</f>
        <v>Образование</v>
      </c>
      <c r="B1098" s="54">
        <v>811</v>
      </c>
      <c r="C1098" s="57" t="s">
        <v>170</v>
      </c>
      <c r="D1098" s="57"/>
      <c r="E1098" s="54"/>
      <c r="F1098" s="54"/>
      <c r="G1098" s="62">
        <f aca="true" t="shared" si="506" ref="G1098:H1098">G1104+G1109+G1119+G1099+G1100</f>
        <v>1909.5</v>
      </c>
      <c r="H1098" s="62">
        <f t="shared" si="506"/>
        <v>4296.3</v>
      </c>
    </row>
    <row r="1099" spans="1:8" ht="12.75" hidden="1">
      <c r="A1099" s="59" t="s">
        <v>228</v>
      </c>
      <c r="B1099" s="54">
        <v>811</v>
      </c>
      <c r="C1099" s="57" t="s">
        <v>170</v>
      </c>
      <c r="D1099" s="57" t="s">
        <v>187</v>
      </c>
      <c r="E1099" s="54"/>
      <c r="F1099" s="54"/>
      <c r="G1099" s="62"/>
      <c r="H1099" s="62"/>
    </row>
    <row r="1100" spans="1:8" ht="66" hidden="1">
      <c r="A1100" s="55" t="str">
        <f ca="1">IF(ISERROR(MATCH(E1100,Код_КЦСР,0)),"",INDIRECT(ADDRESS(MATCH(E1100,Код_КЦСР,0)+1,2,,,"КЦСР")))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00" s="54">
        <v>811</v>
      </c>
      <c r="C1100" s="57" t="s">
        <v>170</v>
      </c>
      <c r="D1100" s="57" t="s">
        <v>187</v>
      </c>
      <c r="E1100" s="54" t="s">
        <v>67</v>
      </c>
      <c r="F1100" s="54"/>
      <c r="G1100" s="62"/>
      <c r="H1100" s="62"/>
    </row>
    <row r="1101" spans="1:8" ht="12.75" hidden="1">
      <c r="A1101" s="55" t="str">
        <f ca="1">IF(ISERROR(MATCH(E1101,Код_КЦСР,0)),"",INDIRECT(ADDRESS(MATCH(E1101,Код_КЦСР,0)+1,2,,,"КЦСР")))</f>
        <v>Капитальный ремонт объектов муниципальной собственности</v>
      </c>
      <c r="B1101" s="54">
        <v>811</v>
      </c>
      <c r="C1101" s="57" t="s">
        <v>170</v>
      </c>
      <c r="D1101" s="57" t="s">
        <v>187</v>
      </c>
      <c r="E1101" s="54" t="s">
        <v>73</v>
      </c>
      <c r="F1101" s="54"/>
      <c r="G1101" s="62"/>
      <c r="H1101" s="62"/>
    </row>
    <row r="1102" spans="1:8" ht="12.75" hidden="1">
      <c r="A1102" s="55" t="str">
        <f ca="1">IF(ISERROR(MATCH(F1102,Код_КВР,0)),"",INDIRECT(ADDRESS(MATCH(F1102,Код_КВР,0)+1,2,,,"КВР")))</f>
        <v>Закупка товаров, работ и услуг для муниципальных нужд</v>
      </c>
      <c r="B1102" s="54">
        <v>811</v>
      </c>
      <c r="C1102" s="57" t="s">
        <v>170</v>
      </c>
      <c r="D1102" s="57" t="s">
        <v>187</v>
      </c>
      <c r="E1102" s="54" t="s">
        <v>73</v>
      </c>
      <c r="F1102" s="54">
        <v>200</v>
      </c>
      <c r="G1102" s="62"/>
      <c r="H1102" s="62"/>
    </row>
    <row r="1103" spans="1:8" ht="33" hidden="1">
      <c r="A1103" s="55" t="str">
        <f ca="1">IF(ISERROR(MATCH(F1103,Код_КВР,0)),"",INDIRECT(ADDRESS(MATCH(F1103,Код_КВР,0)+1,2,,,"КВР")))</f>
        <v>Иные закупки товаров, работ и услуг для обеспечения муниципальных нужд</v>
      </c>
      <c r="B1103" s="54">
        <v>811</v>
      </c>
      <c r="C1103" s="57" t="s">
        <v>170</v>
      </c>
      <c r="D1103" s="57" t="s">
        <v>187</v>
      </c>
      <c r="E1103" s="54" t="s">
        <v>73</v>
      </c>
      <c r="F1103" s="54">
        <v>240</v>
      </c>
      <c r="G1103" s="62"/>
      <c r="H1103" s="62"/>
    </row>
    <row r="1104" spans="1:8" ht="12.75" hidden="1">
      <c r="A1104" s="59" t="s">
        <v>220</v>
      </c>
      <c r="B1104" s="54">
        <v>811</v>
      </c>
      <c r="C1104" s="57" t="s">
        <v>170</v>
      </c>
      <c r="D1104" s="57" t="s">
        <v>188</v>
      </c>
      <c r="E1104" s="54"/>
      <c r="F1104" s="54"/>
      <c r="G1104" s="62">
        <f aca="true" t="shared" si="507" ref="G1104:H1107">G1105</f>
        <v>0</v>
      </c>
      <c r="H1104" s="62">
        <f t="shared" si="507"/>
        <v>0</v>
      </c>
    </row>
    <row r="1105" spans="1:8" ht="66" hidden="1">
      <c r="A1105" s="55" t="str">
        <f ca="1">IF(ISERROR(MATCH(E1105,Код_КЦСР,0)),"",INDIRECT(ADDRESS(MATCH(E1105,Код_КЦСР,0)+1,2,,,"КЦСР")))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05" s="54">
        <v>811</v>
      </c>
      <c r="C1105" s="57" t="s">
        <v>170</v>
      </c>
      <c r="D1105" s="57" t="s">
        <v>188</v>
      </c>
      <c r="E1105" s="54" t="s">
        <v>67</v>
      </c>
      <c r="F1105" s="54"/>
      <c r="G1105" s="62">
        <f t="shared" si="507"/>
        <v>0</v>
      </c>
      <c r="H1105" s="62">
        <f t="shared" si="507"/>
        <v>0</v>
      </c>
    </row>
    <row r="1106" spans="1:8" ht="12.75" hidden="1">
      <c r="A1106" s="55" t="str">
        <f ca="1">IF(ISERROR(MATCH(E1106,Код_КЦСР,0)),"",INDIRECT(ADDRESS(MATCH(E1106,Код_КЦСР,0)+1,2,,,"КЦСР")))</f>
        <v>Капитальный ремонт объектов муниципальной собственности</v>
      </c>
      <c r="B1106" s="54">
        <v>811</v>
      </c>
      <c r="C1106" s="57" t="s">
        <v>170</v>
      </c>
      <c r="D1106" s="57" t="s">
        <v>188</v>
      </c>
      <c r="E1106" s="54" t="s">
        <v>73</v>
      </c>
      <c r="F1106" s="54"/>
      <c r="G1106" s="62">
        <f t="shared" si="507"/>
        <v>0</v>
      </c>
      <c r="H1106" s="62">
        <f t="shared" si="507"/>
        <v>0</v>
      </c>
    </row>
    <row r="1107" spans="1:8" ht="12.75" hidden="1">
      <c r="A1107" s="55" t="str">
        <f ca="1">IF(ISERROR(MATCH(F1107,Код_КВР,0)),"",INDIRECT(ADDRESS(MATCH(F1107,Код_КВР,0)+1,2,,,"КВР")))</f>
        <v>Закупка товаров, работ и услуг для муниципальных нужд</v>
      </c>
      <c r="B1107" s="54">
        <v>811</v>
      </c>
      <c r="C1107" s="57" t="s">
        <v>170</v>
      </c>
      <c r="D1107" s="57" t="s">
        <v>188</v>
      </c>
      <c r="E1107" s="54" t="s">
        <v>73</v>
      </c>
      <c r="F1107" s="54">
        <v>200</v>
      </c>
      <c r="G1107" s="62">
        <f t="shared" si="507"/>
        <v>0</v>
      </c>
      <c r="H1107" s="62">
        <f t="shared" si="507"/>
        <v>0</v>
      </c>
    </row>
    <row r="1108" spans="1:8" ht="33" hidden="1">
      <c r="A1108" s="55" t="str">
        <f ca="1">IF(ISERROR(MATCH(F1108,Код_КВР,0)),"",INDIRECT(ADDRESS(MATCH(F1108,Код_КВР,0)+1,2,,,"КВР")))</f>
        <v>Иные закупки товаров, работ и услуг для обеспечения муниципальных нужд</v>
      </c>
      <c r="B1108" s="54">
        <v>811</v>
      </c>
      <c r="C1108" s="57" t="s">
        <v>170</v>
      </c>
      <c r="D1108" s="57" t="s">
        <v>188</v>
      </c>
      <c r="E1108" s="54" t="s">
        <v>73</v>
      </c>
      <c r="F1108" s="54">
        <v>240</v>
      </c>
      <c r="G1108" s="62"/>
      <c r="H1108" s="62"/>
    </row>
    <row r="1109" spans="1:8" ht="12.75">
      <c r="A1109" s="59" t="s">
        <v>174</v>
      </c>
      <c r="B1109" s="54">
        <v>811</v>
      </c>
      <c r="C1109" s="57" t="s">
        <v>170</v>
      </c>
      <c r="D1109" s="57" t="s">
        <v>170</v>
      </c>
      <c r="E1109" s="54"/>
      <c r="F1109" s="54"/>
      <c r="G1109" s="62">
        <f aca="true" t="shared" si="508" ref="G1109:H1109">G1110</f>
        <v>1909.5</v>
      </c>
      <c r="H1109" s="62">
        <f t="shared" si="508"/>
        <v>4296.3</v>
      </c>
    </row>
    <row r="1110" spans="1:8" ht="33">
      <c r="A1110" s="55" t="str">
        <f ca="1">IF(ISERROR(MATCH(E1110,Код_КЦСР,0)),"",INDIRECT(ADDRESS(MATCH(E1110,Код_КЦСР,0)+1,2,,,"КЦСР")))</f>
        <v>Муниципальная программа «Социальная поддержка граждан» на 2014-2018 годы</v>
      </c>
      <c r="B1110" s="54">
        <v>811</v>
      </c>
      <c r="C1110" s="57" t="s">
        <v>170</v>
      </c>
      <c r="D1110" s="57" t="s">
        <v>170</v>
      </c>
      <c r="E1110" s="54" t="s">
        <v>4</v>
      </c>
      <c r="F1110" s="54"/>
      <c r="G1110" s="62">
        <f aca="true" t="shared" si="509" ref="G1110:H1110">G1111+G1114</f>
        <v>1909.5</v>
      </c>
      <c r="H1110" s="62">
        <f t="shared" si="509"/>
        <v>4296.3</v>
      </c>
    </row>
    <row r="1111" spans="1:8" ht="66">
      <c r="A1111" s="55" t="str">
        <f ca="1">IF(ISERROR(MATCH(E1111,Код_КЦСР,0)),"",INDIRECT(ADDRESS(MATCH(E1111,Код_КЦСР,0)+1,2,,,"КЦСР")))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1111" s="54">
        <v>811</v>
      </c>
      <c r="C1111" s="57" t="s">
        <v>170</v>
      </c>
      <c r="D1111" s="57" t="s">
        <v>170</v>
      </c>
      <c r="E1111" s="54" t="s">
        <v>7</v>
      </c>
      <c r="F1111" s="54"/>
      <c r="G1111" s="62">
        <f aca="true" t="shared" si="510" ref="G1111:H1112">G1112</f>
        <v>113.2</v>
      </c>
      <c r="H1111" s="62">
        <f t="shared" si="510"/>
        <v>0</v>
      </c>
    </row>
    <row r="1112" spans="1:8" ht="33">
      <c r="A1112" s="55" t="str">
        <f ca="1">IF(ISERROR(MATCH(F1112,Код_КВР,0)),"",INDIRECT(ADDRESS(MATCH(F1112,Код_КВР,0)+1,2,,,"КВР")))</f>
        <v>Капитальные вложения в объекты недвижимого имущества муниципальной собственности</v>
      </c>
      <c r="B1112" s="54">
        <v>811</v>
      </c>
      <c r="C1112" s="57" t="s">
        <v>170</v>
      </c>
      <c r="D1112" s="57" t="s">
        <v>170</v>
      </c>
      <c r="E1112" s="54" t="s">
        <v>7</v>
      </c>
      <c r="F1112" s="54">
        <v>400</v>
      </c>
      <c r="G1112" s="62">
        <f t="shared" si="510"/>
        <v>113.2</v>
      </c>
      <c r="H1112" s="62">
        <f t="shared" si="510"/>
        <v>0</v>
      </c>
    </row>
    <row r="1113" spans="1:8" ht="12.75">
      <c r="A1113" s="55" t="str">
        <f ca="1">IF(ISERROR(MATCH(F1113,Код_КВР,0)),"",INDIRECT(ADDRESS(MATCH(F1113,Код_КВР,0)+1,2,,,"КВР")))</f>
        <v>Бюджетные инвестиции</v>
      </c>
      <c r="B1113" s="54">
        <v>811</v>
      </c>
      <c r="C1113" s="57" t="s">
        <v>170</v>
      </c>
      <c r="D1113" s="57" t="s">
        <v>170</v>
      </c>
      <c r="E1113" s="54" t="s">
        <v>7</v>
      </c>
      <c r="F1113" s="54">
        <v>410</v>
      </c>
      <c r="G1113" s="62">
        <v>113.2</v>
      </c>
      <c r="H1113" s="62"/>
    </row>
    <row r="1114" spans="1:8" ht="69" customHeight="1">
      <c r="A1114" s="55" t="str">
        <f ca="1">IF(ISERROR(MATCH(E1114,Код_КЦСР,0)),"",INDIRECT(ADDRESS(MATCH(E1114,Код_КЦСР,0)+1,2,,,"КЦСР")))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114" s="54">
        <v>811</v>
      </c>
      <c r="C1114" s="57" t="s">
        <v>170</v>
      </c>
      <c r="D1114" s="57" t="s">
        <v>170</v>
      </c>
      <c r="E1114" s="54" t="s">
        <v>338</v>
      </c>
      <c r="F1114" s="54"/>
      <c r="G1114" s="62">
        <f aca="true" t="shared" si="511" ref="G1114:H1114">G1115+G1117</f>
        <v>1796.3</v>
      </c>
      <c r="H1114" s="62">
        <f t="shared" si="511"/>
        <v>4296.3</v>
      </c>
    </row>
    <row r="1115" spans="1:8" ht="24.75" customHeight="1">
      <c r="A1115" s="55" t="str">
        <f aca="true" t="shared" si="512" ref="A1115:A1118">IF(ISERROR(MATCH(F1115,Код_КВР,0)),"",INDIRECT(ADDRESS(MATCH(F1115,Код_КВР,0)+1,2,,,"КВР")))</f>
        <v>Закупка товаров, работ и услуг для муниципальных нужд</v>
      </c>
      <c r="B1115" s="54">
        <v>811</v>
      </c>
      <c r="C1115" s="57" t="s">
        <v>170</v>
      </c>
      <c r="D1115" s="57" t="s">
        <v>170</v>
      </c>
      <c r="E1115" s="54" t="s">
        <v>338</v>
      </c>
      <c r="F1115" s="54">
        <v>200</v>
      </c>
      <c r="G1115" s="62">
        <f aca="true" t="shared" si="513" ref="G1115:H1115">G1116</f>
        <v>1796.3</v>
      </c>
      <c r="H1115" s="62">
        <f t="shared" si="513"/>
        <v>4296.3</v>
      </c>
    </row>
    <row r="1116" spans="1:8" ht="33">
      <c r="A1116" s="55" t="str">
        <f ca="1" t="shared" si="512"/>
        <v>Иные закупки товаров, работ и услуг для обеспечения муниципальных нужд</v>
      </c>
      <c r="B1116" s="54">
        <v>811</v>
      </c>
      <c r="C1116" s="57" t="s">
        <v>170</v>
      </c>
      <c r="D1116" s="57" t="s">
        <v>170</v>
      </c>
      <c r="E1116" s="54" t="s">
        <v>338</v>
      </c>
      <c r="F1116" s="54">
        <v>240</v>
      </c>
      <c r="G1116" s="62">
        <v>1796.3</v>
      </c>
      <c r="H1116" s="62">
        <v>4296.3</v>
      </c>
    </row>
    <row r="1117" spans="1:8" ht="33" hidden="1">
      <c r="A1117" s="55" t="str">
        <f ca="1" t="shared" si="512"/>
        <v>Капитальные вложения в объекты недвижимого имущества муниципальной собственности</v>
      </c>
      <c r="B1117" s="54">
        <v>811</v>
      </c>
      <c r="C1117" s="57" t="s">
        <v>170</v>
      </c>
      <c r="D1117" s="57" t="s">
        <v>170</v>
      </c>
      <c r="E1117" s="54" t="s">
        <v>338</v>
      </c>
      <c r="F1117" s="54">
        <v>400</v>
      </c>
      <c r="G1117" s="62">
        <f aca="true" t="shared" si="514" ref="G1117:H1117">G1118</f>
        <v>0</v>
      </c>
      <c r="H1117" s="62">
        <f t="shared" si="514"/>
        <v>0</v>
      </c>
    </row>
    <row r="1118" spans="1:8" ht="12.75" hidden="1">
      <c r="A1118" s="55" t="str">
        <f ca="1" t="shared" si="512"/>
        <v>Бюджетные инвестиции</v>
      </c>
      <c r="B1118" s="54">
        <v>811</v>
      </c>
      <c r="C1118" s="57" t="s">
        <v>170</v>
      </c>
      <c r="D1118" s="57" t="s">
        <v>170</v>
      </c>
      <c r="E1118" s="54" t="s">
        <v>338</v>
      </c>
      <c r="F1118" s="54">
        <v>410</v>
      </c>
      <c r="G1118" s="62"/>
      <c r="H1118" s="62"/>
    </row>
    <row r="1119" spans="1:8" ht="12.75" hidden="1">
      <c r="A1119" s="59" t="s">
        <v>221</v>
      </c>
      <c r="B1119" s="54">
        <v>811</v>
      </c>
      <c r="C1119" s="57" t="s">
        <v>170</v>
      </c>
      <c r="D1119" s="57" t="s">
        <v>193</v>
      </c>
      <c r="E1119" s="54"/>
      <c r="F1119" s="54"/>
      <c r="G1119" s="62">
        <f aca="true" t="shared" si="515" ref="G1119:H1120">G1120</f>
        <v>0</v>
      </c>
      <c r="H1119" s="62">
        <f t="shared" si="515"/>
        <v>0</v>
      </c>
    </row>
    <row r="1120" spans="1:8" ht="66" hidden="1">
      <c r="A1120" s="55" t="str">
        <f ca="1">IF(ISERROR(MATCH(E1120,Код_КЦСР,0)),"",INDIRECT(ADDRESS(MATCH(E1120,Код_КЦСР,0)+1,2,,,"КЦСР")))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20" s="54">
        <v>811</v>
      </c>
      <c r="C1120" s="57" t="s">
        <v>170</v>
      </c>
      <c r="D1120" s="57" t="s">
        <v>193</v>
      </c>
      <c r="E1120" s="54" t="s">
        <v>67</v>
      </c>
      <c r="F1120" s="54"/>
      <c r="G1120" s="62">
        <f t="shared" si="515"/>
        <v>0</v>
      </c>
      <c r="H1120" s="62">
        <f t="shared" si="515"/>
        <v>0</v>
      </c>
    </row>
    <row r="1121" spans="1:8" ht="33" hidden="1">
      <c r="A1121" s="55" t="str">
        <f ca="1">IF(ISERROR(MATCH(E1121,Код_КЦСР,0)),"",INDIRECT(ADDRESS(MATCH(E1121,Код_КЦСР,0)+1,2,,,"КЦСР")))</f>
        <v>Осуществление бюджетных инвестиций в объекты муниципальной собственности</v>
      </c>
      <c r="B1121" s="54">
        <v>811</v>
      </c>
      <c r="C1121" s="57" t="s">
        <v>170</v>
      </c>
      <c r="D1121" s="57" t="s">
        <v>193</v>
      </c>
      <c r="E1121" s="54" t="s">
        <v>68</v>
      </c>
      <c r="F1121" s="54"/>
      <c r="G1121" s="62">
        <f aca="true" t="shared" si="516" ref="G1121:H1121">G1122+G1125+G1128</f>
        <v>0</v>
      </c>
      <c r="H1121" s="62">
        <f t="shared" si="516"/>
        <v>0</v>
      </c>
    </row>
    <row r="1122" spans="1:8" ht="12.75" hidden="1">
      <c r="A1122" s="55" t="str">
        <f ca="1">IF(ISERROR(MATCH(E1122,Код_КЦСР,0)),"",INDIRECT(ADDRESS(MATCH(E1122,Код_КЦСР,0)+1,2,,,"КЦСР")))</f>
        <v>Строительство объектов сметной стоимостью до 100 млн. рублей</v>
      </c>
      <c r="B1122" s="54">
        <v>811</v>
      </c>
      <c r="C1122" s="57" t="s">
        <v>170</v>
      </c>
      <c r="D1122" s="57" t="s">
        <v>193</v>
      </c>
      <c r="E1122" s="54" t="s">
        <v>69</v>
      </c>
      <c r="F1122" s="54"/>
      <c r="G1122" s="62">
        <f aca="true" t="shared" si="517" ref="G1122:H1123">G1123</f>
        <v>0</v>
      </c>
      <c r="H1122" s="62">
        <f t="shared" si="517"/>
        <v>0</v>
      </c>
    </row>
    <row r="1123" spans="1:8" ht="33" hidden="1">
      <c r="A1123" s="55" t="str">
        <f ca="1">IF(ISERROR(MATCH(F1123,Код_КВР,0)),"",INDIRECT(ADDRESS(MATCH(F1123,Код_КВР,0)+1,2,,,"КВР")))</f>
        <v>Капитальные вложения в объекты недвижимого имущества муниципальной собственности</v>
      </c>
      <c r="B1123" s="54">
        <v>811</v>
      </c>
      <c r="C1123" s="57" t="s">
        <v>170</v>
      </c>
      <c r="D1123" s="57" t="s">
        <v>193</v>
      </c>
      <c r="E1123" s="54" t="s">
        <v>69</v>
      </c>
      <c r="F1123" s="54">
        <v>400</v>
      </c>
      <c r="G1123" s="62">
        <f t="shared" si="517"/>
        <v>0</v>
      </c>
      <c r="H1123" s="62">
        <f t="shared" si="517"/>
        <v>0</v>
      </c>
    </row>
    <row r="1124" spans="1:8" ht="12.75" hidden="1">
      <c r="A1124" s="55" t="str">
        <f ca="1">IF(ISERROR(MATCH(F1124,Код_КВР,0)),"",INDIRECT(ADDRESS(MATCH(F1124,Код_КВР,0)+1,2,,,"КВР")))</f>
        <v>Бюджетные инвестиции</v>
      </c>
      <c r="B1124" s="54">
        <v>811</v>
      </c>
      <c r="C1124" s="57" t="s">
        <v>170</v>
      </c>
      <c r="D1124" s="57" t="s">
        <v>193</v>
      </c>
      <c r="E1124" s="54" t="s">
        <v>69</v>
      </c>
      <c r="F1124" s="54">
        <v>410</v>
      </c>
      <c r="G1124" s="62"/>
      <c r="H1124" s="62"/>
    </row>
    <row r="1125" spans="1:8" ht="12.75" hidden="1">
      <c r="A1125" s="55" t="str">
        <f ca="1">IF(ISERROR(MATCH(E1125,Код_КЦСР,0)),"",INDIRECT(ADDRESS(MATCH(E1125,Код_КЦСР,0)+1,2,,,"КЦСР")))</f>
        <v>Строительство детского сада № 27 в 115 мкр.</v>
      </c>
      <c r="B1125" s="54">
        <v>811</v>
      </c>
      <c r="C1125" s="57" t="s">
        <v>170</v>
      </c>
      <c r="D1125" s="57" t="s">
        <v>193</v>
      </c>
      <c r="E1125" s="54" t="s">
        <v>71</v>
      </c>
      <c r="F1125" s="54"/>
      <c r="G1125" s="62">
        <f aca="true" t="shared" si="518" ref="G1125:H1126">G1126</f>
        <v>0</v>
      </c>
      <c r="H1125" s="62">
        <f t="shared" si="518"/>
        <v>0</v>
      </c>
    </row>
    <row r="1126" spans="1:8" ht="33" hidden="1">
      <c r="A1126" s="55" t="str">
        <f ca="1">IF(ISERROR(MATCH(F1126,Код_КВР,0)),"",INDIRECT(ADDRESS(MATCH(F1126,Код_КВР,0)+1,2,,,"КВР")))</f>
        <v>Капитальные вложения в объекты недвижимого имущества муниципальной собственности</v>
      </c>
      <c r="B1126" s="54">
        <v>811</v>
      </c>
      <c r="C1126" s="57" t="s">
        <v>170</v>
      </c>
      <c r="D1126" s="57" t="s">
        <v>193</v>
      </c>
      <c r="E1126" s="54" t="s">
        <v>71</v>
      </c>
      <c r="F1126" s="54">
        <v>400</v>
      </c>
      <c r="G1126" s="62">
        <f t="shared" si="518"/>
        <v>0</v>
      </c>
      <c r="H1126" s="62">
        <f t="shared" si="518"/>
        <v>0</v>
      </c>
    </row>
    <row r="1127" spans="1:8" ht="12.75" hidden="1">
      <c r="A1127" s="55" t="str">
        <f ca="1">IF(ISERROR(MATCH(F1127,Код_КВР,0)),"",INDIRECT(ADDRESS(MATCH(F1127,Код_КВР,0)+1,2,,,"КВР")))</f>
        <v>Бюджетные инвестиции</v>
      </c>
      <c r="B1127" s="54">
        <v>811</v>
      </c>
      <c r="C1127" s="57" t="s">
        <v>170</v>
      </c>
      <c r="D1127" s="57" t="s">
        <v>193</v>
      </c>
      <c r="E1127" s="54" t="s">
        <v>71</v>
      </c>
      <c r="F1127" s="54">
        <v>410</v>
      </c>
      <c r="G1127" s="62"/>
      <c r="H1127" s="62"/>
    </row>
    <row r="1128" spans="1:8" ht="23.25" customHeight="1" hidden="1">
      <c r="A1128" s="55" t="str">
        <f ca="1">IF(ISERROR(MATCH(E1128,Код_КЦСР,0)),"",INDIRECT(ADDRESS(MATCH(E1128,Код_КЦСР,0)+1,2,,,"КЦСР")))</f>
        <v>Строительство средней общеобразовательной школы № 24 в 112 мкр.</v>
      </c>
      <c r="B1128" s="54">
        <v>811</v>
      </c>
      <c r="C1128" s="57" t="s">
        <v>170</v>
      </c>
      <c r="D1128" s="57" t="s">
        <v>193</v>
      </c>
      <c r="E1128" s="54" t="s">
        <v>483</v>
      </c>
      <c r="F1128" s="54"/>
      <c r="G1128" s="62">
        <f aca="true" t="shared" si="519" ref="G1128:H1129">G1129</f>
        <v>0</v>
      </c>
      <c r="H1128" s="62">
        <f t="shared" si="519"/>
        <v>0</v>
      </c>
    </row>
    <row r="1129" spans="1:8" ht="33" hidden="1">
      <c r="A1129" s="55" t="str">
        <f ca="1">IF(ISERROR(MATCH(F1129,Код_КВР,0)),"",INDIRECT(ADDRESS(MATCH(F1129,Код_КВР,0)+1,2,,,"КВР")))</f>
        <v>Капитальные вложения в объекты недвижимого имущества муниципальной собственности</v>
      </c>
      <c r="B1129" s="54">
        <v>811</v>
      </c>
      <c r="C1129" s="57" t="s">
        <v>170</v>
      </c>
      <c r="D1129" s="57" t="s">
        <v>193</v>
      </c>
      <c r="E1129" s="54" t="s">
        <v>483</v>
      </c>
      <c r="F1129" s="54">
        <v>400</v>
      </c>
      <c r="G1129" s="62">
        <f t="shared" si="519"/>
        <v>0</v>
      </c>
      <c r="H1129" s="62">
        <f t="shared" si="519"/>
        <v>0</v>
      </c>
    </row>
    <row r="1130" spans="1:8" ht="12.75" hidden="1">
      <c r="A1130" s="55" t="str">
        <f ca="1">IF(ISERROR(MATCH(F1130,Код_КВР,0)),"",INDIRECT(ADDRESS(MATCH(F1130,Код_КВР,0)+1,2,,,"КВР")))</f>
        <v>Бюджетные инвестиции</v>
      </c>
      <c r="B1130" s="54">
        <v>811</v>
      </c>
      <c r="C1130" s="57" t="s">
        <v>170</v>
      </c>
      <c r="D1130" s="57" t="s">
        <v>193</v>
      </c>
      <c r="E1130" s="54" t="s">
        <v>483</v>
      </c>
      <c r="F1130" s="54">
        <v>410</v>
      </c>
      <c r="G1130" s="62"/>
      <c r="H1130" s="62"/>
    </row>
    <row r="1131" spans="1:8" ht="12.75" hidden="1">
      <c r="A1131" s="55" t="str">
        <f ca="1">IF(ISERROR(MATCH(C1131,Код_Раздел,0)),"",INDIRECT(ADDRESS(MATCH(C1131,Код_Раздел,0)+1,2,,,"Раздел")))</f>
        <v>Культура, кинематография</v>
      </c>
      <c r="B1131" s="54">
        <v>811</v>
      </c>
      <c r="C1131" s="57" t="s">
        <v>196</v>
      </c>
      <c r="D1131" s="57"/>
      <c r="E1131" s="54"/>
      <c r="F1131" s="54"/>
      <c r="G1131" s="62">
        <f aca="true" t="shared" si="520" ref="G1131:H1131">G1132+G1137</f>
        <v>0</v>
      </c>
      <c r="H1131" s="62">
        <f t="shared" si="520"/>
        <v>0</v>
      </c>
    </row>
    <row r="1132" spans="1:8" ht="12.75" hidden="1">
      <c r="A1132" s="59" t="s">
        <v>159</v>
      </c>
      <c r="B1132" s="54">
        <v>811</v>
      </c>
      <c r="C1132" s="57" t="s">
        <v>196</v>
      </c>
      <c r="D1132" s="57" t="s">
        <v>187</v>
      </c>
      <c r="E1132" s="54"/>
      <c r="F1132" s="54"/>
      <c r="G1132" s="62">
        <f aca="true" t="shared" si="521" ref="G1132:H1135">G1133</f>
        <v>0</v>
      </c>
      <c r="H1132" s="62">
        <f t="shared" si="521"/>
        <v>0</v>
      </c>
    </row>
    <row r="1133" spans="1:8" ht="66" hidden="1">
      <c r="A1133" s="55" t="str">
        <f ca="1">IF(ISERROR(MATCH(E1133,Код_КЦСР,0)),"",INDIRECT(ADDRESS(MATCH(E1133,Код_КЦСР,0)+1,2,,,"КЦСР")))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33" s="54">
        <v>811</v>
      </c>
      <c r="C1133" s="57" t="s">
        <v>196</v>
      </c>
      <c r="D1133" s="57" t="s">
        <v>187</v>
      </c>
      <c r="E1133" s="54" t="s">
        <v>67</v>
      </c>
      <c r="F1133" s="54"/>
      <c r="G1133" s="62">
        <f t="shared" si="521"/>
        <v>0</v>
      </c>
      <c r="H1133" s="62">
        <f t="shared" si="521"/>
        <v>0</v>
      </c>
    </row>
    <row r="1134" spans="1:8" ht="12.75" hidden="1">
      <c r="A1134" s="55" t="str">
        <f ca="1">IF(ISERROR(MATCH(E1134,Код_КЦСР,0)),"",INDIRECT(ADDRESS(MATCH(E1134,Код_КЦСР,0)+1,2,,,"КЦСР")))</f>
        <v>Капитальный ремонт объектов муниципальной собственности</v>
      </c>
      <c r="B1134" s="54">
        <v>811</v>
      </c>
      <c r="C1134" s="57" t="s">
        <v>196</v>
      </c>
      <c r="D1134" s="57" t="s">
        <v>187</v>
      </c>
      <c r="E1134" s="54" t="s">
        <v>73</v>
      </c>
      <c r="F1134" s="54"/>
      <c r="G1134" s="62">
        <f t="shared" si="521"/>
        <v>0</v>
      </c>
      <c r="H1134" s="62">
        <f t="shared" si="521"/>
        <v>0</v>
      </c>
    </row>
    <row r="1135" spans="1:8" ht="12.75" hidden="1">
      <c r="A1135" s="55" t="str">
        <f ca="1">IF(ISERROR(MATCH(F1135,Код_КВР,0)),"",INDIRECT(ADDRESS(MATCH(F1135,Код_КВР,0)+1,2,,,"КВР")))</f>
        <v>Закупка товаров, работ и услуг для муниципальных нужд</v>
      </c>
      <c r="B1135" s="54">
        <v>811</v>
      </c>
      <c r="C1135" s="57" t="s">
        <v>196</v>
      </c>
      <c r="D1135" s="57" t="s">
        <v>187</v>
      </c>
      <c r="E1135" s="54" t="s">
        <v>73</v>
      </c>
      <c r="F1135" s="54">
        <v>200</v>
      </c>
      <c r="G1135" s="62">
        <f t="shared" si="521"/>
        <v>0</v>
      </c>
      <c r="H1135" s="62">
        <f t="shared" si="521"/>
        <v>0</v>
      </c>
    </row>
    <row r="1136" spans="1:8" ht="33" hidden="1">
      <c r="A1136" s="55" t="str">
        <f ca="1">IF(ISERROR(MATCH(F1136,Код_КВР,0)),"",INDIRECT(ADDRESS(MATCH(F1136,Код_КВР,0)+1,2,,,"КВР")))</f>
        <v>Иные закупки товаров, работ и услуг для обеспечения муниципальных нужд</v>
      </c>
      <c r="B1136" s="54">
        <v>811</v>
      </c>
      <c r="C1136" s="57" t="s">
        <v>196</v>
      </c>
      <c r="D1136" s="57" t="s">
        <v>187</v>
      </c>
      <c r="E1136" s="54" t="s">
        <v>73</v>
      </c>
      <c r="F1136" s="54">
        <v>240</v>
      </c>
      <c r="G1136" s="62"/>
      <c r="H1136" s="62"/>
    </row>
    <row r="1137" spans="1:8" ht="20.25" customHeight="1" hidden="1">
      <c r="A1137" s="59" t="s">
        <v>139</v>
      </c>
      <c r="B1137" s="54">
        <v>811</v>
      </c>
      <c r="C1137" s="57" t="s">
        <v>196</v>
      </c>
      <c r="D1137" s="57" t="s">
        <v>190</v>
      </c>
      <c r="E1137" s="54"/>
      <c r="F1137" s="54"/>
      <c r="G1137" s="62">
        <f aca="true" t="shared" si="522" ref="G1137:H1140">G1138</f>
        <v>0</v>
      </c>
      <c r="H1137" s="62">
        <f t="shared" si="522"/>
        <v>0</v>
      </c>
    </row>
    <row r="1138" spans="1:8" ht="51" customHeight="1" hidden="1">
      <c r="A1138" s="55" t="str">
        <f ca="1">IF(ISERROR(MATCH(E1138,Код_КЦСР,0)),"",INDIRECT(ADDRESS(MATCH(E1138,Код_КЦСР,0)+1,2,,,"КЦСР")))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38" s="54">
        <v>811</v>
      </c>
      <c r="C1138" s="57" t="s">
        <v>196</v>
      </c>
      <c r="D1138" s="57" t="s">
        <v>190</v>
      </c>
      <c r="E1138" s="54" t="s">
        <v>67</v>
      </c>
      <c r="F1138" s="54"/>
      <c r="G1138" s="62">
        <f t="shared" si="522"/>
        <v>0</v>
      </c>
      <c r="H1138" s="62">
        <f t="shared" si="522"/>
        <v>0</v>
      </c>
    </row>
    <row r="1139" spans="1:8" ht="22.5" customHeight="1" hidden="1">
      <c r="A1139" s="55" t="str">
        <f ca="1">IF(ISERROR(MATCH(E1139,Код_КЦСР,0)),"",INDIRECT(ADDRESS(MATCH(E1139,Код_КЦСР,0)+1,2,,,"КЦСР")))</f>
        <v>Строительство объектов сметной стоимостью до 100 млн. рублей</v>
      </c>
      <c r="B1139" s="54">
        <v>811</v>
      </c>
      <c r="C1139" s="57" t="s">
        <v>196</v>
      </c>
      <c r="D1139" s="57" t="s">
        <v>190</v>
      </c>
      <c r="E1139" s="54" t="s">
        <v>69</v>
      </c>
      <c r="F1139" s="54"/>
      <c r="G1139" s="62">
        <f t="shared" si="522"/>
        <v>0</v>
      </c>
      <c r="H1139" s="62">
        <f t="shared" si="522"/>
        <v>0</v>
      </c>
    </row>
    <row r="1140" spans="1:8" ht="35.25" customHeight="1" hidden="1">
      <c r="A1140" s="55" t="str">
        <f ca="1">IF(ISERROR(MATCH(F1140,Код_КВР,0)),"",INDIRECT(ADDRESS(MATCH(F1140,Код_КВР,0)+1,2,,,"КВР")))</f>
        <v>Капитальные вложения в объекты недвижимого имущества муниципальной собственности</v>
      </c>
      <c r="B1140" s="54">
        <v>811</v>
      </c>
      <c r="C1140" s="57" t="s">
        <v>196</v>
      </c>
      <c r="D1140" s="57" t="s">
        <v>190</v>
      </c>
      <c r="E1140" s="54" t="s">
        <v>69</v>
      </c>
      <c r="F1140" s="54">
        <v>400</v>
      </c>
      <c r="G1140" s="62">
        <f t="shared" si="522"/>
        <v>0</v>
      </c>
      <c r="H1140" s="62">
        <f t="shared" si="522"/>
        <v>0</v>
      </c>
    </row>
    <row r="1141" spans="1:8" ht="18.75" customHeight="1" hidden="1">
      <c r="A1141" s="55" t="str">
        <f ca="1">IF(ISERROR(MATCH(F1141,Код_КВР,0)),"",INDIRECT(ADDRESS(MATCH(F1141,Код_КВР,0)+1,2,,,"КВР")))</f>
        <v>Бюджетные инвестиции</v>
      </c>
      <c r="B1141" s="54">
        <v>811</v>
      </c>
      <c r="C1141" s="57" t="s">
        <v>196</v>
      </c>
      <c r="D1141" s="57" t="s">
        <v>190</v>
      </c>
      <c r="E1141" s="54" t="s">
        <v>69</v>
      </c>
      <c r="F1141" s="54">
        <v>410</v>
      </c>
      <c r="G1141" s="62"/>
      <c r="H1141" s="62"/>
    </row>
    <row r="1142" spans="1:8" ht="12.75" hidden="1">
      <c r="A1142" s="55" t="str">
        <f ca="1">IF(ISERROR(MATCH(C1142,Код_Раздел,0)),"",INDIRECT(ADDRESS(MATCH(C1142,Код_Раздел,0)+1,2,,,"Раздел")))</f>
        <v>Физическая культура и спорт</v>
      </c>
      <c r="B1142" s="54">
        <v>811</v>
      </c>
      <c r="C1142" s="57" t="s">
        <v>198</v>
      </c>
      <c r="D1142" s="57"/>
      <c r="E1142" s="54"/>
      <c r="F1142" s="54"/>
      <c r="G1142" s="62">
        <f aca="true" t="shared" si="523" ref="G1142:H1147">G1143</f>
        <v>0</v>
      </c>
      <c r="H1142" s="62">
        <f t="shared" si="523"/>
        <v>0</v>
      </c>
    </row>
    <row r="1143" spans="1:8" ht="12.75" hidden="1">
      <c r="A1143" s="59" t="s">
        <v>167</v>
      </c>
      <c r="B1143" s="54">
        <v>811</v>
      </c>
      <c r="C1143" s="57" t="s">
        <v>198</v>
      </c>
      <c r="D1143" s="57" t="s">
        <v>195</v>
      </c>
      <c r="E1143" s="54"/>
      <c r="F1143" s="54"/>
      <c r="G1143" s="62">
        <f t="shared" si="523"/>
        <v>0</v>
      </c>
      <c r="H1143" s="62">
        <f t="shared" si="523"/>
        <v>0</v>
      </c>
    </row>
    <row r="1144" spans="1:8" ht="66" hidden="1">
      <c r="A1144" s="55" t="str">
        <f ca="1">IF(ISERROR(MATCH(E1144,Код_КЦСР,0)),"",INDIRECT(ADDRESS(MATCH(E1144,Код_КЦСР,0)+1,2,,,"КЦСР")))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44" s="54">
        <v>811</v>
      </c>
      <c r="C1144" s="57" t="s">
        <v>198</v>
      </c>
      <c r="D1144" s="57" t="s">
        <v>195</v>
      </c>
      <c r="E1144" s="54" t="s">
        <v>67</v>
      </c>
      <c r="F1144" s="54"/>
      <c r="G1144" s="62">
        <f t="shared" si="523"/>
        <v>0</v>
      </c>
      <c r="H1144" s="62">
        <f t="shared" si="523"/>
        <v>0</v>
      </c>
    </row>
    <row r="1145" spans="1:8" ht="33" hidden="1">
      <c r="A1145" s="55" t="str">
        <f ca="1">IF(ISERROR(MATCH(E1145,Код_КЦСР,0)),"",INDIRECT(ADDRESS(MATCH(E1145,Код_КЦСР,0)+1,2,,,"КЦСР")))</f>
        <v>Осуществление бюджетных инвестиций в объекты муниципальной собственности</v>
      </c>
      <c r="B1145" s="54">
        <v>811</v>
      </c>
      <c r="C1145" s="57" t="s">
        <v>198</v>
      </c>
      <c r="D1145" s="57" t="s">
        <v>195</v>
      </c>
      <c r="E1145" s="54" t="s">
        <v>68</v>
      </c>
      <c r="F1145" s="54"/>
      <c r="G1145" s="62">
        <f t="shared" si="523"/>
        <v>0</v>
      </c>
      <c r="H1145" s="62">
        <f t="shared" si="523"/>
        <v>0</v>
      </c>
    </row>
    <row r="1146" spans="1:8" ht="12.75" hidden="1">
      <c r="A1146" s="55" t="str">
        <f ca="1">IF(ISERROR(MATCH(E1146,Код_КЦСР,0)),"",INDIRECT(ADDRESS(MATCH(E1146,Код_КЦСР,0)+1,2,,,"КЦСР")))</f>
        <v>Строительство объектов сметной стоимостью до 100 млн. рублей</v>
      </c>
      <c r="B1146" s="54">
        <v>811</v>
      </c>
      <c r="C1146" s="57" t="s">
        <v>198</v>
      </c>
      <c r="D1146" s="57" t="s">
        <v>195</v>
      </c>
      <c r="E1146" s="54" t="s">
        <v>69</v>
      </c>
      <c r="F1146" s="54"/>
      <c r="G1146" s="62">
        <f t="shared" si="523"/>
        <v>0</v>
      </c>
      <c r="H1146" s="62">
        <f t="shared" si="523"/>
        <v>0</v>
      </c>
    </row>
    <row r="1147" spans="1:8" ht="33" hidden="1">
      <c r="A1147" s="55" t="str">
        <f ca="1">IF(ISERROR(MATCH(F1147,Код_КВР,0)),"",INDIRECT(ADDRESS(MATCH(F1147,Код_КВР,0)+1,2,,,"КВР")))</f>
        <v>Капитальные вложения в объекты недвижимого имущества муниципальной собственности</v>
      </c>
      <c r="B1147" s="54">
        <v>811</v>
      </c>
      <c r="C1147" s="57" t="s">
        <v>198</v>
      </c>
      <c r="D1147" s="57" t="s">
        <v>195</v>
      </c>
      <c r="E1147" s="54" t="s">
        <v>69</v>
      </c>
      <c r="F1147" s="54">
        <v>400</v>
      </c>
      <c r="G1147" s="62">
        <f t="shared" si="523"/>
        <v>0</v>
      </c>
      <c r="H1147" s="62">
        <f t="shared" si="523"/>
        <v>0</v>
      </c>
    </row>
    <row r="1148" spans="1:8" ht="12.75" hidden="1">
      <c r="A1148" s="55" t="str">
        <f ca="1">IF(ISERROR(MATCH(F1148,Код_КВР,0)),"",INDIRECT(ADDRESS(MATCH(F1148,Код_КВР,0)+1,2,,,"КВР")))</f>
        <v>Бюджетные инвестиции</v>
      </c>
      <c r="B1148" s="54">
        <v>811</v>
      </c>
      <c r="C1148" s="57" t="s">
        <v>198</v>
      </c>
      <c r="D1148" s="57" t="s">
        <v>195</v>
      </c>
      <c r="E1148" s="54" t="s">
        <v>69</v>
      </c>
      <c r="F1148" s="54">
        <v>410</v>
      </c>
      <c r="G1148" s="62"/>
      <c r="H1148" s="62"/>
    </row>
    <row r="1149" spans="1:8" ht="12.75">
      <c r="A1149" s="55" t="str">
        <f ca="1">IF(ISERROR(MATCH(B1149,Код_ППП,0)),"",INDIRECT(ADDRESS(MATCH(B1149,Код_ППП,0)+1,2,,,"ППП")))</f>
        <v xml:space="preserve">КОНТРОЛЬНО-СЧЕТНАЯ ПАЛАТА ГОРОДА ЧЕРЕПОВЦА </v>
      </c>
      <c r="B1149" s="54">
        <v>812</v>
      </c>
      <c r="C1149" s="57"/>
      <c r="D1149" s="57"/>
      <c r="E1149" s="54"/>
      <c r="F1149" s="54"/>
      <c r="G1149" s="62">
        <f aca="true" t="shared" si="524" ref="G1149:H1154">G1150</f>
        <v>11691.2</v>
      </c>
      <c r="H1149" s="62">
        <f t="shared" si="524"/>
        <v>11691.2</v>
      </c>
    </row>
    <row r="1150" spans="1:8" ht="12.75">
      <c r="A1150" s="55" t="str">
        <f ca="1">IF(ISERROR(MATCH(C1150,Код_Раздел,0)),"",INDIRECT(ADDRESS(MATCH(C1150,Код_Раздел,0)+1,2,,,"Раздел")))</f>
        <v>Общегосударственные  вопросы</v>
      </c>
      <c r="B1150" s="54">
        <v>812</v>
      </c>
      <c r="C1150" s="57" t="s">
        <v>187</v>
      </c>
      <c r="D1150" s="57"/>
      <c r="E1150" s="54"/>
      <c r="F1150" s="54"/>
      <c r="G1150" s="62">
        <f t="shared" si="524"/>
        <v>11691.2</v>
      </c>
      <c r="H1150" s="62">
        <f t="shared" si="524"/>
        <v>11691.2</v>
      </c>
    </row>
    <row r="1151" spans="1:8" ht="39.75" customHeight="1">
      <c r="A1151" s="59" t="s">
        <v>141</v>
      </c>
      <c r="B1151" s="54">
        <v>812</v>
      </c>
      <c r="C1151" s="57" t="s">
        <v>187</v>
      </c>
      <c r="D1151" s="57" t="s">
        <v>191</v>
      </c>
      <c r="E1151" s="54"/>
      <c r="F1151" s="54"/>
      <c r="G1151" s="62">
        <f t="shared" si="524"/>
        <v>11691.2</v>
      </c>
      <c r="H1151" s="62">
        <f t="shared" si="524"/>
        <v>11691.2</v>
      </c>
    </row>
    <row r="1152" spans="1:8" ht="33">
      <c r="A1152" s="55" t="str">
        <f ca="1">IF(ISERROR(MATCH(E1152,Код_КЦСР,0)),"",INDIRECT(ADDRESS(MATCH(E1152,Код_КЦСР,0)+1,2,,,"КЦСР")))</f>
        <v>Непрограммные направления деятельности органов местного самоуправления</v>
      </c>
      <c r="B1152" s="54">
        <v>812</v>
      </c>
      <c r="C1152" s="57" t="s">
        <v>187</v>
      </c>
      <c r="D1152" s="57" t="s">
        <v>191</v>
      </c>
      <c r="E1152" s="54" t="s">
        <v>264</v>
      </c>
      <c r="F1152" s="54"/>
      <c r="G1152" s="62">
        <f t="shared" si="524"/>
        <v>11691.2</v>
      </c>
      <c r="H1152" s="62">
        <f t="shared" si="524"/>
        <v>11691.2</v>
      </c>
    </row>
    <row r="1153" spans="1:8" ht="12.75">
      <c r="A1153" s="55" t="str">
        <f ca="1">IF(ISERROR(MATCH(E1153,Код_КЦСР,0)),"",INDIRECT(ADDRESS(MATCH(E1153,Код_КЦСР,0)+1,2,,,"КЦСР")))</f>
        <v>Расходы, не включенные в муниципальные программы города Череповца</v>
      </c>
      <c r="B1153" s="54">
        <v>812</v>
      </c>
      <c r="C1153" s="57" t="s">
        <v>187</v>
      </c>
      <c r="D1153" s="57" t="s">
        <v>191</v>
      </c>
      <c r="E1153" s="54" t="s">
        <v>266</v>
      </c>
      <c r="F1153" s="54"/>
      <c r="G1153" s="62">
        <f t="shared" si="524"/>
        <v>11691.2</v>
      </c>
      <c r="H1153" s="62">
        <f t="shared" si="524"/>
        <v>11691.2</v>
      </c>
    </row>
    <row r="1154" spans="1:8" ht="33">
      <c r="A1154" s="55" t="str">
        <f ca="1">IF(ISERROR(MATCH(E1154,Код_КЦСР,0)),"",INDIRECT(ADDRESS(MATCH(E1154,Код_КЦСР,0)+1,2,,,"КЦСР")))</f>
        <v>Руководство и управление в сфере установленных функций органов местного самоуправления</v>
      </c>
      <c r="B1154" s="54">
        <v>812</v>
      </c>
      <c r="C1154" s="57" t="s">
        <v>187</v>
      </c>
      <c r="D1154" s="57" t="s">
        <v>191</v>
      </c>
      <c r="E1154" s="54" t="s">
        <v>268</v>
      </c>
      <c r="F1154" s="54"/>
      <c r="G1154" s="62">
        <f t="shared" si="524"/>
        <v>11691.2</v>
      </c>
      <c r="H1154" s="62">
        <f t="shared" si="524"/>
        <v>11691.2</v>
      </c>
    </row>
    <row r="1155" spans="1:8" ht="12.75">
      <c r="A1155" s="55" t="str">
        <f ca="1">IF(ISERROR(MATCH(E1155,Код_КЦСР,0)),"",INDIRECT(ADDRESS(MATCH(E1155,Код_КЦСР,0)+1,2,,,"КЦСР")))</f>
        <v>Центральный аппарат</v>
      </c>
      <c r="B1155" s="54">
        <v>812</v>
      </c>
      <c r="C1155" s="57" t="s">
        <v>187</v>
      </c>
      <c r="D1155" s="57" t="s">
        <v>191</v>
      </c>
      <c r="E1155" s="54" t="s">
        <v>271</v>
      </c>
      <c r="F1155" s="54"/>
      <c r="G1155" s="62">
        <f aca="true" t="shared" si="525" ref="G1155:H1155">G1156+G1159+G1160</f>
        <v>11691.2</v>
      </c>
      <c r="H1155" s="62">
        <f t="shared" si="525"/>
        <v>11691.2</v>
      </c>
    </row>
    <row r="1156" spans="1:8" ht="33">
      <c r="A1156" s="55" t="str">
        <f aca="true" t="shared" si="526" ref="A1156:A1161">IF(ISERROR(MATCH(F1156,Код_КВР,0)),"",INDIRECT(ADDRESS(MATCH(F1156,Код_КВР,0)+1,2,,,"КВР")))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6" s="54">
        <v>812</v>
      </c>
      <c r="C1156" s="57" t="s">
        <v>187</v>
      </c>
      <c r="D1156" s="57" t="s">
        <v>191</v>
      </c>
      <c r="E1156" s="54" t="s">
        <v>271</v>
      </c>
      <c r="F1156" s="54">
        <v>100</v>
      </c>
      <c r="G1156" s="62">
        <f aca="true" t="shared" si="527" ref="G1156:H1156">G1157</f>
        <v>11624.6</v>
      </c>
      <c r="H1156" s="62">
        <f t="shared" si="527"/>
        <v>11624.6</v>
      </c>
    </row>
    <row r="1157" spans="1:8" ht="12.75">
      <c r="A1157" s="55" t="str">
        <f ca="1" t="shared" si="526"/>
        <v>Расходы на выплаты персоналу муниципальных органов</v>
      </c>
      <c r="B1157" s="54">
        <v>812</v>
      </c>
      <c r="C1157" s="57" t="s">
        <v>187</v>
      </c>
      <c r="D1157" s="57" t="s">
        <v>191</v>
      </c>
      <c r="E1157" s="54" t="s">
        <v>271</v>
      </c>
      <c r="F1157" s="54">
        <v>120</v>
      </c>
      <c r="G1157" s="62">
        <v>11624.6</v>
      </c>
      <c r="H1157" s="62">
        <v>11624.6</v>
      </c>
    </row>
    <row r="1158" spans="1:8" ht="12.75">
      <c r="A1158" s="55" t="str">
        <f ca="1" t="shared" si="526"/>
        <v>Закупка товаров, работ и услуг для муниципальных нужд</v>
      </c>
      <c r="B1158" s="54">
        <v>812</v>
      </c>
      <c r="C1158" s="57" t="s">
        <v>187</v>
      </c>
      <c r="D1158" s="57" t="s">
        <v>191</v>
      </c>
      <c r="E1158" s="54" t="s">
        <v>271</v>
      </c>
      <c r="F1158" s="54">
        <v>200</v>
      </c>
      <c r="G1158" s="62">
        <f aca="true" t="shared" si="528" ref="G1158:H1158">G1159</f>
        <v>66.6</v>
      </c>
      <c r="H1158" s="62">
        <f t="shared" si="528"/>
        <v>66.6</v>
      </c>
    </row>
    <row r="1159" spans="1:8" ht="33">
      <c r="A1159" s="55" t="str">
        <f ca="1" t="shared" si="526"/>
        <v>Иные закупки товаров, работ и услуг для обеспечения муниципальных нужд</v>
      </c>
      <c r="B1159" s="54">
        <v>812</v>
      </c>
      <c r="C1159" s="57" t="s">
        <v>187</v>
      </c>
      <c r="D1159" s="57" t="s">
        <v>191</v>
      </c>
      <c r="E1159" s="54" t="s">
        <v>271</v>
      </c>
      <c r="F1159" s="54">
        <v>240</v>
      </c>
      <c r="G1159" s="62">
        <v>66.6</v>
      </c>
      <c r="H1159" s="62">
        <v>66.6</v>
      </c>
    </row>
    <row r="1160" spans="1:8" ht="12.75" hidden="1">
      <c r="A1160" s="55" t="str">
        <f ca="1" t="shared" si="526"/>
        <v>Иные бюджетные ассигнования</v>
      </c>
      <c r="B1160" s="54">
        <v>812</v>
      </c>
      <c r="C1160" s="57" t="s">
        <v>187</v>
      </c>
      <c r="D1160" s="57" t="s">
        <v>191</v>
      </c>
      <c r="E1160" s="54" t="s">
        <v>271</v>
      </c>
      <c r="F1160" s="54">
        <v>800</v>
      </c>
      <c r="G1160" s="62">
        <f aca="true" t="shared" si="529" ref="G1160:H1160">G1161</f>
        <v>0</v>
      </c>
      <c r="H1160" s="62">
        <f t="shared" si="529"/>
        <v>0</v>
      </c>
    </row>
    <row r="1161" spans="1:8" ht="12.75" hidden="1">
      <c r="A1161" s="55" t="str">
        <f ca="1" t="shared" si="526"/>
        <v>Уплата налогов, сборов и иных платежей</v>
      </c>
      <c r="B1161" s="54">
        <v>812</v>
      </c>
      <c r="C1161" s="57" t="s">
        <v>187</v>
      </c>
      <c r="D1161" s="57" t="s">
        <v>191</v>
      </c>
      <c r="E1161" s="54" t="s">
        <v>271</v>
      </c>
      <c r="F1161" s="54">
        <v>850</v>
      </c>
      <c r="G1161" s="62"/>
      <c r="H1161" s="62"/>
    </row>
    <row r="1162" spans="1:8" ht="33">
      <c r="A1162" s="55" t="str">
        <f ca="1">IF(ISERROR(MATCH(B1162,Код_ППП,0)),"",INDIRECT(ADDRESS(MATCH(B1162,Код_ППП,0)+1,2,,,"ППП")))</f>
        <v>КОМИТЕТ ПО КОНТРОЛЮ В СФЕРЕ БЛАГОУСТРОЙСТВА И ОХРАНЫ ОКРУЖАЮЩЕЙ СРЕДЫ ГОРОДА</v>
      </c>
      <c r="B1162" s="54">
        <v>840</v>
      </c>
      <c r="C1162" s="57"/>
      <c r="D1162" s="57"/>
      <c r="E1162" s="54"/>
      <c r="F1162" s="54"/>
      <c r="G1162" s="62">
        <f aca="true" t="shared" si="530" ref="G1162:H1162">G1163</f>
        <v>18308.699999999997</v>
      </c>
      <c r="H1162" s="62">
        <f t="shared" si="530"/>
        <v>18308.699999999997</v>
      </c>
    </row>
    <row r="1163" spans="1:8" ht="12.75">
      <c r="A1163" s="55" t="str">
        <f ca="1">IF(ISERROR(MATCH(C1163,Код_Раздел,0)),"",INDIRECT(ADDRESS(MATCH(C1163,Код_Раздел,0)+1,2,,,"Раздел")))</f>
        <v>Охрана окружающей среды</v>
      </c>
      <c r="B1163" s="54">
        <v>840</v>
      </c>
      <c r="C1163" s="57" t="s">
        <v>191</v>
      </c>
      <c r="D1163" s="57"/>
      <c r="E1163" s="54"/>
      <c r="F1163" s="54"/>
      <c r="G1163" s="62">
        <f>G1164+G1171</f>
        <v>18308.699999999997</v>
      </c>
      <c r="H1163" s="62">
        <f>H1164+H1171</f>
        <v>18308.699999999997</v>
      </c>
    </row>
    <row r="1164" spans="1:8" ht="12.75">
      <c r="A1164" s="89" t="s">
        <v>136</v>
      </c>
      <c r="B1164" s="54">
        <v>840</v>
      </c>
      <c r="C1164" s="57" t="s">
        <v>191</v>
      </c>
      <c r="D1164" s="57" t="s">
        <v>189</v>
      </c>
      <c r="E1164" s="54"/>
      <c r="F1164" s="54"/>
      <c r="G1164" s="62">
        <f>G1165</f>
        <v>1703.5</v>
      </c>
      <c r="H1164" s="62">
        <f>H1165</f>
        <v>1703.5</v>
      </c>
    </row>
    <row r="1165" spans="1:8" ht="33">
      <c r="A1165" s="55" t="str">
        <f ca="1">IF(ISERROR(MATCH(E1165,Код_КЦСР,0)),"",INDIRECT(ADDRESS(MATCH(E1165,Код_КЦСР,0)+1,2,,,"КЦСР")))</f>
        <v>Муниципальная программа «Охрана окружающей среды» на 2013-2022 годы</v>
      </c>
      <c r="B1165" s="54">
        <v>840</v>
      </c>
      <c r="C1165" s="57" t="s">
        <v>191</v>
      </c>
      <c r="D1165" s="57" t="s">
        <v>189</v>
      </c>
      <c r="E1165" s="54" t="s">
        <v>424</v>
      </c>
      <c r="F1165" s="54"/>
      <c r="G1165" s="62">
        <f>G1166</f>
        <v>1703.5</v>
      </c>
      <c r="H1165" s="62">
        <f>H1166</f>
        <v>1703.5</v>
      </c>
    </row>
    <row r="1166" spans="1:8" ht="82.5">
      <c r="A1166" s="55" t="str">
        <f ca="1">IF(ISERROR(MATCH(E1166,Код_КЦСР,0)),"",INDIRECT(ADDRESS(MATCH(E1166,Код_КЦСР,0)+1,2,,,"КЦСР")))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166" s="54">
        <v>840</v>
      </c>
      <c r="C1166" s="57" t="s">
        <v>191</v>
      </c>
      <c r="D1166" s="57" t="s">
        <v>189</v>
      </c>
      <c r="E1166" s="54" t="s">
        <v>594</v>
      </c>
      <c r="F1166" s="54"/>
      <c r="G1166" s="62">
        <f aca="true" t="shared" si="531" ref="G1166:H1166">G1167+G1169</f>
        <v>1703.5</v>
      </c>
      <c r="H1166" s="62">
        <f t="shared" si="531"/>
        <v>1703.5</v>
      </c>
    </row>
    <row r="1167" spans="1:8" ht="33">
      <c r="A1167" s="55" t="str">
        <f ca="1">IF(ISERROR(MATCH(F1167,Код_КВР,0)),"",INDIRECT(ADDRESS(MATCH(F1167,Код_КВР,0)+1,2,,,"КВР")))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7" s="54">
        <v>840</v>
      </c>
      <c r="C1167" s="57" t="s">
        <v>191</v>
      </c>
      <c r="D1167" s="57" t="s">
        <v>189</v>
      </c>
      <c r="E1167" s="54" t="s">
        <v>594</v>
      </c>
      <c r="F1167" s="54">
        <v>100</v>
      </c>
      <c r="G1167" s="62">
        <f aca="true" t="shared" si="532" ref="G1167:H1167">G1168</f>
        <v>1653.5</v>
      </c>
      <c r="H1167" s="62">
        <f t="shared" si="532"/>
        <v>1653.5</v>
      </c>
    </row>
    <row r="1168" spans="1:8" ht="12.75">
      <c r="A1168" s="55" t="str">
        <f ca="1">IF(ISERROR(MATCH(F1168,Код_КВР,0)),"",INDIRECT(ADDRESS(MATCH(F1168,Код_КВР,0)+1,2,,,"КВР")))</f>
        <v>Расходы на выплаты персоналу муниципальных органов</v>
      </c>
      <c r="B1168" s="54">
        <v>840</v>
      </c>
      <c r="C1168" s="57" t="s">
        <v>191</v>
      </c>
      <c r="D1168" s="57" t="s">
        <v>189</v>
      </c>
      <c r="E1168" s="54" t="s">
        <v>594</v>
      </c>
      <c r="F1168" s="54">
        <v>120</v>
      </c>
      <c r="G1168" s="62">
        <f>1270+383.5</f>
        <v>1653.5</v>
      </c>
      <c r="H1168" s="62">
        <f>1270+383.5</f>
        <v>1653.5</v>
      </c>
    </row>
    <row r="1169" spans="1:8" ht="12.75">
      <c r="A1169" s="55" t="str">
        <f ca="1">IF(ISERROR(MATCH(F1169,Код_КВР,0)),"",INDIRECT(ADDRESS(MATCH(F1169,Код_КВР,0)+1,2,,,"КВР")))</f>
        <v>Закупка товаров, работ и услуг для муниципальных нужд</v>
      </c>
      <c r="B1169" s="54">
        <v>840</v>
      </c>
      <c r="C1169" s="57" t="s">
        <v>191</v>
      </c>
      <c r="D1169" s="57" t="s">
        <v>189</v>
      </c>
      <c r="E1169" s="54" t="s">
        <v>594</v>
      </c>
      <c r="F1169" s="54">
        <v>200</v>
      </c>
      <c r="G1169" s="62">
        <f aca="true" t="shared" si="533" ref="G1169:H1169">G1170</f>
        <v>50</v>
      </c>
      <c r="H1169" s="62">
        <f t="shared" si="533"/>
        <v>50</v>
      </c>
    </row>
    <row r="1170" spans="1:8" ht="33">
      <c r="A1170" s="55" t="str">
        <f ca="1">IF(ISERROR(MATCH(F1170,Код_КВР,0)),"",INDIRECT(ADDRESS(MATCH(F1170,Код_КВР,0)+1,2,,,"КВР")))</f>
        <v>Иные закупки товаров, работ и услуг для обеспечения муниципальных нужд</v>
      </c>
      <c r="B1170" s="54">
        <v>840</v>
      </c>
      <c r="C1170" s="57" t="s">
        <v>191</v>
      </c>
      <c r="D1170" s="57" t="s">
        <v>189</v>
      </c>
      <c r="E1170" s="54" t="s">
        <v>594</v>
      </c>
      <c r="F1170" s="54">
        <v>240</v>
      </c>
      <c r="G1170" s="62">
        <v>50</v>
      </c>
      <c r="H1170" s="62">
        <v>50</v>
      </c>
    </row>
    <row r="1171" spans="1:8" ht="12.75">
      <c r="A1171" s="59" t="s">
        <v>225</v>
      </c>
      <c r="B1171" s="54">
        <v>840</v>
      </c>
      <c r="C1171" s="57" t="s">
        <v>191</v>
      </c>
      <c r="D1171" s="57" t="s">
        <v>195</v>
      </c>
      <c r="E1171" s="54"/>
      <c r="F1171" s="54"/>
      <c r="G1171" s="62">
        <f aca="true" t="shared" si="534" ref="G1171:H1171">G1172</f>
        <v>16605.199999999997</v>
      </c>
      <c r="H1171" s="62">
        <f t="shared" si="534"/>
        <v>16605.199999999997</v>
      </c>
    </row>
    <row r="1172" spans="1:8" ht="33">
      <c r="A1172" s="55" t="str">
        <f ca="1">IF(ISERROR(MATCH(E1172,Код_КЦСР,0)),"",INDIRECT(ADDRESS(MATCH(E1172,Код_КЦСР,0)+1,2,,,"КЦСР")))</f>
        <v>Муниципальная программа «Охрана окружающей среды» на 2013-2022 годы</v>
      </c>
      <c r="B1172" s="54">
        <v>840</v>
      </c>
      <c r="C1172" s="57" t="s">
        <v>191</v>
      </c>
      <c r="D1172" s="57" t="s">
        <v>195</v>
      </c>
      <c r="E1172" s="54" t="s">
        <v>424</v>
      </c>
      <c r="F1172" s="54"/>
      <c r="G1172" s="62">
        <f aca="true" t="shared" si="535" ref="G1172:H1172">G1173+G1176</f>
        <v>16605.199999999997</v>
      </c>
      <c r="H1172" s="62">
        <f t="shared" si="535"/>
        <v>16605.199999999997</v>
      </c>
    </row>
    <row r="1173" spans="1:8" ht="33">
      <c r="A1173" s="55" t="str">
        <f ca="1">IF(ISERROR(MATCH(E1173,Код_КЦСР,0)),"",INDIRECT(ADDRESS(MATCH(E1173,Код_КЦСР,0)+1,2,,,"КЦСР")))</f>
        <v>Сбор и анализ информации о факторах окружающей среды и оценка их влияния на здоровье населения</v>
      </c>
      <c r="B1173" s="54">
        <v>840</v>
      </c>
      <c r="C1173" s="57" t="s">
        <v>191</v>
      </c>
      <c r="D1173" s="57" t="s">
        <v>195</v>
      </c>
      <c r="E1173" s="54" t="s">
        <v>426</v>
      </c>
      <c r="F1173" s="54"/>
      <c r="G1173" s="62">
        <f aca="true" t="shared" si="536" ref="G1173:H1174">G1174</f>
        <v>4794.4</v>
      </c>
      <c r="H1173" s="62">
        <f t="shared" si="536"/>
        <v>4794.4</v>
      </c>
    </row>
    <row r="1174" spans="1:8" ht="12.75">
      <c r="A1174" s="55" t="str">
        <f ca="1">IF(ISERROR(MATCH(F1174,Код_КВР,0)),"",INDIRECT(ADDRESS(MATCH(F1174,Код_КВР,0)+1,2,,,"КВР")))</f>
        <v>Закупка товаров, работ и услуг для муниципальных нужд</v>
      </c>
      <c r="B1174" s="54">
        <v>840</v>
      </c>
      <c r="C1174" s="57" t="s">
        <v>191</v>
      </c>
      <c r="D1174" s="57" t="s">
        <v>195</v>
      </c>
      <c r="E1174" s="54" t="s">
        <v>426</v>
      </c>
      <c r="F1174" s="54">
        <v>200</v>
      </c>
      <c r="G1174" s="62">
        <f t="shared" si="536"/>
        <v>4794.4</v>
      </c>
      <c r="H1174" s="62">
        <f t="shared" si="536"/>
        <v>4794.4</v>
      </c>
    </row>
    <row r="1175" spans="1:8" ht="33">
      <c r="A1175" s="55" t="str">
        <f ca="1">IF(ISERROR(MATCH(F1175,Код_КВР,0)),"",INDIRECT(ADDRESS(MATCH(F1175,Код_КВР,0)+1,2,,,"КВР")))</f>
        <v>Иные закупки товаров, работ и услуг для обеспечения муниципальных нужд</v>
      </c>
      <c r="B1175" s="54">
        <v>840</v>
      </c>
      <c r="C1175" s="57" t="s">
        <v>191</v>
      </c>
      <c r="D1175" s="57" t="s">
        <v>195</v>
      </c>
      <c r="E1175" s="54" t="s">
        <v>426</v>
      </c>
      <c r="F1175" s="54">
        <v>240</v>
      </c>
      <c r="G1175" s="62">
        <v>4794.4</v>
      </c>
      <c r="H1175" s="62">
        <v>4794.4</v>
      </c>
    </row>
    <row r="1176" spans="1:8" ht="67.5" customHeight="1">
      <c r="A1176" s="55" t="str">
        <f ca="1">IF(ISERROR(MATCH(E1176,Код_КЦСР,0)),"",INDIRECT(ADDRESS(MATCH(E1176,Код_КЦСР,0)+1,2,,,"КЦСР")))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1176" s="54">
        <v>840</v>
      </c>
      <c r="C1176" s="57" t="s">
        <v>191</v>
      </c>
      <c r="D1176" s="57" t="s">
        <v>195</v>
      </c>
      <c r="E1176" s="54" t="s">
        <v>526</v>
      </c>
      <c r="F1176" s="54"/>
      <c r="G1176" s="62">
        <f aca="true" t="shared" si="537" ref="G1176:H1176">G1177+G1179+G1181</f>
        <v>11810.8</v>
      </c>
      <c r="H1176" s="62">
        <f t="shared" si="537"/>
        <v>11810.8</v>
      </c>
    </row>
    <row r="1177" spans="1:8" ht="33">
      <c r="A1177" s="55" t="str">
        <f aca="true" t="shared" si="538" ref="A1177:A1182">IF(ISERROR(MATCH(F1177,Код_КВР,0)),"",INDIRECT(ADDRESS(MATCH(F1177,Код_КВР,0)+1,2,,,"КВР")))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7" s="54">
        <v>840</v>
      </c>
      <c r="C1177" s="57" t="s">
        <v>191</v>
      </c>
      <c r="D1177" s="57" t="s">
        <v>195</v>
      </c>
      <c r="E1177" s="54" t="s">
        <v>526</v>
      </c>
      <c r="F1177" s="54">
        <v>100</v>
      </c>
      <c r="G1177" s="62">
        <f aca="true" t="shared" si="539" ref="G1177:H1177">G1178</f>
        <v>11793.4</v>
      </c>
      <c r="H1177" s="62">
        <f t="shared" si="539"/>
        <v>11793.4</v>
      </c>
    </row>
    <row r="1178" spans="1:8" ht="12.75">
      <c r="A1178" s="55" t="str">
        <f ca="1" t="shared" si="538"/>
        <v>Расходы на выплаты персоналу муниципальных органов</v>
      </c>
      <c r="B1178" s="54">
        <v>840</v>
      </c>
      <c r="C1178" s="57" t="s">
        <v>191</v>
      </c>
      <c r="D1178" s="57" t="s">
        <v>195</v>
      </c>
      <c r="E1178" s="54" t="s">
        <v>526</v>
      </c>
      <c r="F1178" s="54">
        <v>120</v>
      </c>
      <c r="G1178" s="62">
        <v>11793.4</v>
      </c>
      <c r="H1178" s="62">
        <v>11793.4</v>
      </c>
    </row>
    <row r="1179" spans="1:8" ht="12.75">
      <c r="A1179" s="55" t="str">
        <f ca="1" t="shared" si="538"/>
        <v>Закупка товаров, работ и услуг для муниципальных нужд</v>
      </c>
      <c r="B1179" s="54">
        <v>840</v>
      </c>
      <c r="C1179" s="57" t="s">
        <v>191</v>
      </c>
      <c r="D1179" s="57" t="s">
        <v>195</v>
      </c>
      <c r="E1179" s="54" t="s">
        <v>526</v>
      </c>
      <c r="F1179" s="54">
        <v>200</v>
      </c>
      <c r="G1179" s="62">
        <f aca="true" t="shared" si="540" ref="G1179:H1179">G1180</f>
        <v>15.4</v>
      </c>
      <c r="H1179" s="62">
        <f t="shared" si="540"/>
        <v>15.4</v>
      </c>
    </row>
    <row r="1180" spans="1:8" ht="33">
      <c r="A1180" s="55" t="str">
        <f ca="1" t="shared" si="538"/>
        <v>Иные закупки товаров, работ и услуг для обеспечения муниципальных нужд</v>
      </c>
      <c r="B1180" s="54">
        <v>840</v>
      </c>
      <c r="C1180" s="57" t="s">
        <v>191</v>
      </c>
      <c r="D1180" s="57" t="s">
        <v>195</v>
      </c>
      <c r="E1180" s="54" t="s">
        <v>526</v>
      </c>
      <c r="F1180" s="54">
        <v>240</v>
      </c>
      <c r="G1180" s="62">
        <v>15.4</v>
      </c>
      <c r="H1180" s="62">
        <v>15.4</v>
      </c>
    </row>
    <row r="1181" spans="1:8" ht="12.75">
      <c r="A1181" s="55" t="str">
        <f ca="1" t="shared" si="538"/>
        <v>Иные бюджетные ассигнования</v>
      </c>
      <c r="B1181" s="54">
        <v>840</v>
      </c>
      <c r="C1181" s="57" t="s">
        <v>191</v>
      </c>
      <c r="D1181" s="57" t="s">
        <v>195</v>
      </c>
      <c r="E1181" s="54" t="s">
        <v>526</v>
      </c>
      <c r="F1181" s="54">
        <v>800</v>
      </c>
      <c r="G1181" s="62">
        <f aca="true" t="shared" si="541" ref="G1181:H1181">G1182</f>
        <v>2</v>
      </c>
      <c r="H1181" s="62">
        <f t="shared" si="541"/>
        <v>2</v>
      </c>
    </row>
    <row r="1182" spans="1:8" ht="12.75">
      <c r="A1182" s="55" t="str">
        <f ca="1" t="shared" si="538"/>
        <v>Уплата налогов, сборов и иных платежей</v>
      </c>
      <c r="B1182" s="54">
        <v>840</v>
      </c>
      <c r="C1182" s="57" t="s">
        <v>191</v>
      </c>
      <c r="D1182" s="57" t="s">
        <v>195</v>
      </c>
      <c r="E1182" s="54" t="s">
        <v>526</v>
      </c>
      <c r="F1182" s="54">
        <v>850</v>
      </c>
      <c r="G1182" s="62">
        <v>2</v>
      </c>
      <c r="H1182" s="62">
        <v>2</v>
      </c>
    </row>
    <row r="1183" spans="1:8" ht="12.75">
      <c r="A1183" s="55" t="s">
        <v>597</v>
      </c>
      <c r="B1183" s="73"/>
      <c r="C1183" s="73"/>
      <c r="D1183" s="73"/>
      <c r="E1183" s="54"/>
      <c r="F1183" s="54"/>
      <c r="G1183" s="61">
        <f>G14+G325+G344+G453+G470+G641+G679+G831+G902+G1002+G1162+G1149</f>
        <v>5899816.600000001</v>
      </c>
      <c r="H1183" s="61">
        <f>H14+H325+H344+H453+H470+H641+H679+H831+H902+H1002+H1162+H1149</f>
        <v>6370486.7</v>
      </c>
    </row>
    <row r="1184" spans="1:8" ht="12.75">
      <c r="A1184" s="55" t="s">
        <v>596</v>
      </c>
      <c r="B1184" s="90"/>
      <c r="C1184" s="90"/>
      <c r="D1184" s="90"/>
      <c r="E1184" s="90"/>
      <c r="F1184" s="116"/>
      <c r="G1184" s="117">
        <v>302427.8</v>
      </c>
      <c r="H1184" s="117">
        <v>309455.4</v>
      </c>
    </row>
    <row r="1185" spans="1:8" ht="12.75">
      <c r="A1185" s="102" t="s">
        <v>142</v>
      </c>
      <c r="B1185" s="90"/>
      <c r="C1185" s="90"/>
      <c r="D1185" s="90"/>
      <c r="E1185" s="90"/>
      <c r="F1185" s="116"/>
      <c r="G1185" s="117">
        <v>6202244.4</v>
      </c>
      <c r="H1185" s="117">
        <v>6679942.1</v>
      </c>
    </row>
  </sheetData>
  <mergeCells count="10">
    <mergeCell ref="A9:H9"/>
    <mergeCell ref="A10:H10"/>
    <mergeCell ref="A8:H8"/>
    <mergeCell ref="G12:H12"/>
    <mergeCell ref="A12:A13"/>
    <mergeCell ref="B12:B13"/>
    <mergeCell ref="C12:C13"/>
    <mergeCell ref="D12:D13"/>
    <mergeCell ref="E12:E13"/>
    <mergeCell ref="F12:F13"/>
  </mergeCells>
  <dataValidations count="4">
    <dataValidation type="list" allowBlank="1" showInputMessage="1" showErrorMessage="1" sqref="F14:F1183">
      <formula1>Код_КВР</formula1>
    </dataValidation>
    <dataValidation type="list" allowBlank="1" showInputMessage="1" showErrorMessage="1" sqref="B14:B1182">
      <formula1>Код_ППП</formula1>
    </dataValidation>
    <dataValidation type="list" allowBlank="1" showInputMessage="1" showErrorMessage="1" sqref="C14:C1182">
      <formula1>Код_Раздел</formula1>
    </dataValidation>
    <dataValidation type="list" allowBlank="1" showInputMessage="1" showErrorMessage="1" sqref="E14:E1183">
      <formula1>Код_КЦСР</formula1>
    </dataValidation>
  </dataValidations>
  <printOptions/>
  <pageMargins left="1.1811023622047245" right="0.3937007874015748" top="0.7874015748031497" bottom="0.7874015748031497" header="0.3937007874015748" footer="0.3937007874015748"/>
  <pageSetup fitToHeight="35" fitToWidth="1" horizontalDpi="600" verticalDpi="600" orientation="portrait" paperSize="9" scale="4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tgsmirnova</cp:lastModifiedBy>
  <cp:lastPrinted>2014-12-10T06:26:19Z</cp:lastPrinted>
  <dcterms:created xsi:type="dcterms:W3CDTF">2005-10-27T10:10:18Z</dcterms:created>
  <dcterms:modified xsi:type="dcterms:W3CDTF">2014-12-11T08:05:38Z</dcterms:modified>
  <cp:category/>
  <cp:version/>
  <cp:contentType/>
  <cp:contentStatus/>
</cp:coreProperties>
</file>