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tabRatio="613" activeTab="0"/>
  </bookViews>
  <sheets>
    <sheet name="реестр" sheetId="1" r:id="rId1"/>
  </sheets>
  <externalReferences>
    <externalReference r:id="rId4"/>
  </externalReferences>
  <definedNames>
    <definedName name="_xlnm.Print_Titles" localSheetId="0">'реестр'!$5:$8</definedName>
    <definedName name="Коды_видовНПА">'[1]ВидыНПА'!$A$2:$A$76</definedName>
    <definedName name="_xlnm.Print_Area" localSheetId="0">'реестр'!$A$1:$N$491</definedName>
  </definedNames>
  <calcPr fullCalcOnLoad="1"/>
</workbook>
</file>

<file path=xl/sharedStrings.xml><?xml version="1.0" encoding="utf-8"?>
<sst xmlns="http://schemas.openxmlformats.org/spreadsheetml/2006/main" count="2399" uniqueCount="1570">
  <si>
    <t xml:space="preserve">Постановление мэра города от 15.10.2008 № 3546 "Об утверждении долгосрочной целевой муниципальной программы развития субъектов малого и среднего предпринимательства в городе Череповце на 2009-2012 годы";          </t>
  </si>
  <si>
    <t>01.01.2013-31.01.22017</t>
  </si>
  <si>
    <t>расходы на реализацию долгосрочной целевой программы противодействия коррупции в г.Череповце на 2011-2013 гг.</t>
  </si>
  <si>
    <t xml:space="preserve">субсидия на восстановительное лечение работающих граждан </t>
  </si>
  <si>
    <t xml:space="preserve">субсидия на удешевление стоимости путевок на санаторно-курортное лечение работников бюджетной сферы </t>
  </si>
  <si>
    <t>капитальный ремонт многоквартирных домов, в том числе ремонт придомовых территорий</t>
  </si>
  <si>
    <t>16.05.2006-не установлен</t>
  </si>
  <si>
    <t>ремонт и содержание улично-дорожной сети</t>
  </si>
  <si>
    <t>А-42.004</t>
  </si>
  <si>
    <t>расходы на благоустройство (капитальные вложения и расходы на содержание общегородских территорий, освещение улиц, прокладка сетей электроосвещения, поддержание объектов благоустройства, находящихся в муниципальной собственности, в надлежащем состоянии, озеленение города, украшение города к праздникам, др.)</t>
  </si>
  <si>
    <t xml:space="preserve">субсидии на реализацию ДЦП "Безбарьерная среда" на 2010-14гг. </t>
  </si>
  <si>
    <t xml:space="preserve">субсидии на реализацияю ДЦП "Старшее поколение" </t>
  </si>
  <si>
    <t>запланировано</t>
  </si>
  <si>
    <t xml:space="preserve">субсидия на проведение ремонтных работ в МБУ "ЦБ по ОУО" </t>
  </si>
  <si>
    <t xml:space="preserve">поддержка и развитие малого и среднего предпринимательства в городе Череповце </t>
  </si>
  <si>
    <t xml:space="preserve">Постановление мэрии города от 18.06.2010 № 2211 "О долгосрочной целевой программе "Развитие инвестиционного потенциала города Череповца" на 2010-2015 годы </t>
  </si>
  <si>
    <t xml:space="preserve">Решение Череповецкой городской Думы от 28.10.2008 № 117 "Об утверждении положения о сносе самовольно установленных временных сооружений на территории города Череповца"                                                   </t>
  </si>
  <si>
    <t>Постановление Правительства области от 09.09.2008 № 1724 "О долгосрочной целевой программе "Пожарная безопасность учреждений здравоохранения" на 2009-2012 годы"</t>
  </si>
  <si>
    <t>Решение Череповецкой  городской Думы от 26.06.2007 № 87 "О социальной поддержке отдельных категорий граждан, имеющих детей, посещающих муниципальные дошкольные образовательные учреждения"</t>
  </si>
  <si>
    <t>Постановление Правительства области от 21.07.2006 № 728 "О денежных выплатах медицинскому персоналу ФАП, врачам, фельдшерам и медицинским сестрам скорой медицинской помощи"</t>
  </si>
  <si>
    <t>0401, 0707</t>
  </si>
  <si>
    <t>А-08.004</t>
  </si>
  <si>
    <t>А-23.008</t>
  </si>
  <si>
    <t>Решение Череповецкой городской Думы от 23.05.2006 № 92 "Об утверждении Положения о библиотечном деле в городе Череповце"</t>
  </si>
  <si>
    <t xml:space="preserve">Федеральный закон от 09.10.1992 3612-1 "Основы законодательства РФ о культуре";    </t>
  </si>
  <si>
    <t xml:space="preserve">Федеральный закон от 06.10.2003 № 131-ФЗ "Об общих принципах организации местного самоуправления в РФ";                                      </t>
  </si>
  <si>
    <t>п.п. 23 п. 1 ст. 16  гл. 3</t>
  </si>
  <si>
    <t xml:space="preserve">Федеральный закон от 12.01.1996 № 8-ФЗ "О погребении и похоронном деле"                                                                                                                                          </t>
  </si>
  <si>
    <t xml:space="preserve">06.10.2003-не установлен 
</t>
  </si>
  <si>
    <t xml:space="preserve">Решение Череповецкой городской Думы от 02.12.2008 № 140 "О перечне работ и услуг, финансируемых по статье "Благоустройство"                             </t>
  </si>
  <si>
    <t>Решение Череповецкой городской Думы от 29.06.2010 № 132 "О Правилах землепользования и застройки города Череповца"</t>
  </si>
  <si>
    <t xml:space="preserve">06.10.2003-не установлен;   
</t>
  </si>
  <si>
    <t>социальная поддержка  работников общеобразовательных учреждений</t>
  </si>
  <si>
    <t>0104, 0412, 0709</t>
  </si>
  <si>
    <t xml:space="preserve">0102, 0103, 0104, 0111, 0113, 0412, 0503, 0505, 0605, 0709, 0804, 1001, 1006,1105    </t>
  </si>
  <si>
    <t>0113 ,0409, 0410, 0709, 0804, 0909, 1006, 1105, 1202</t>
  </si>
  <si>
    <t>0107, 0113, 0709, 0804, 1006, 1202</t>
  </si>
  <si>
    <t xml:space="preserve">0113, 0412, 0501, 0502, 0503 , 0801   </t>
  </si>
  <si>
    <t>0113, 0409, 0502, 0503</t>
  </si>
  <si>
    <t>0501, 1003</t>
  </si>
  <si>
    <t>0113, 0309, 1006</t>
  </si>
  <si>
    <t xml:space="preserve"> 0701, 0702, 0707, 0709, 0801, 1006</t>
  </si>
  <si>
    <t>0801, 0804, 1006</t>
  </si>
  <si>
    <t>0503,  0801, 0804</t>
  </si>
  <si>
    <t>0113, 0412, 0801, 0804</t>
  </si>
  <si>
    <t>1006, 1101, 1102, 1103, 1105</t>
  </si>
  <si>
    <t>0502, 0605</t>
  </si>
  <si>
    <t>0113, 0503</t>
  </si>
  <si>
    <t>0707, 0709</t>
  </si>
  <si>
    <t>0104, 0113, 0106, 0302, 0401, 0501, 0701, 0702, 0707, 0709, 0801, 0901, 0902, 0909, 1003, 1004, 1006</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</si>
  <si>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</si>
  <si>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Постановление мэрии города от 15.10.2008 №3545 "О долгосрочной целевой программе "Здоровый город" на 2009-2015 годы</t>
  </si>
  <si>
    <t>1.8</t>
  </si>
  <si>
    <t>1.1</t>
  </si>
  <si>
    <t>1.2</t>
  </si>
  <si>
    <t>1.3</t>
  </si>
  <si>
    <t>1.4</t>
  </si>
  <si>
    <t>1.5</t>
  </si>
  <si>
    <t>1.6</t>
  </si>
  <si>
    <t>1.7</t>
  </si>
  <si>
    <t>1.09</t>
  </si>
  <si>
    <t xml:space="preserve">п.п. 27 п. 1 ст. 16  гл. 3    </t>
  </si>
  <si>
    <t xml:space="preserve">п.п. 9.1 п. 1 ст. 16  гл. 3    </t>
  </si>
  <si>
    <t>06.10.2003 - не установлен</t>
  </si>
  <si>
    <t xml:space="preserve">п.п. 9.2 п. 1 ст. 16  гл. 3    </t>
  </si>
  <si>
    <t xml:space="preserve">п.п.4.2 п. 1 ст. 17  гл. 3 </t>
  </si>
  <si>
    <t xml:space="preserve">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
</t>
  </si>
  <si>
    <t xml:space="preserve">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t>
  </si>
  <si>
    <t>организация теплоснабжения, предусмотренного Федеральным законом "О теплоснабжении"</t>
  </si>
  <si>
    <t>A-52.000</t>
  </si>
  <si>
    <t>A-53.000</t>
  </si>
  <si>
    <t>A-80.000</t>
  </si>
  <si>
    <t xml:space="preserve">п.п. 8.2 п. 1 ст. 17  гл. 3       </t>
  </si>
  <si>
    <t>1.54</t>
  </si>
  <si>
    <t>1.55</t>
  </si>
  <si>
    <t>1.56</t>
  </si>
  <si>
    <t>1.57</t>
  </si>
  <si>
    <t>1.58</t>
  </si>
  <si>
    <t>2</t>
  </si>
  <si>
    <t xml:space="preserve">п.п.2 п. 1 ст. 17  гл. 3 </t>
  </si>
  <si>
    <t xml:space="preserve">п.п.4 п. 1 ст. 17  гл. 3 </t>
  </si>
  <si>
    <t xml:space="preserve">п.п.4.3 п. 1 ст. 17  гл. 3 </t>
  </si>
  <si>
    <t xml:space="preserve">п.п.6 п. 1 ст. 17  гл. 3 </t>
  </si>
  <si>
    <t xml:space="preserve">п.п.8 п. 1 ст. 17  гл. 3 </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</si>
  <si>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</si>
  <si>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</si>
  <si>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</si>
  <si>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международных и внешнеэкономических связей в соответствии с федеральными законами</t>
  </si>
  <si>
    <t>A-83.000</t>
  </si>
  <si>
    <t>A-84.000</t>
  </si>
  <si>
    <t>A-85.000</t>
  </si>
  <si>
    <t>A-86.000</t>
  </si>
  <si>
    <t>A-87.000</t>
  </si>
  <si>
    <t>Постановление Правительства Вологодской области от 25.05.2011 № 577 "О долгосрочной целевой программе "Дополнительные мероприятия, направленные на повышение качества жизни детей, семей с детьми в Вологодской области" на 2012-2015 годы"</t>
  </si>
  <si>
    <t xml:space="preserve">Постановление Правительства Вологодской области от 29.10.2012 № 1286 "О долгосрочной целевой программе "Дорога к дому" на 2013-2016 годы"
</t>
  </si>
  <si>
    <t xml:space="preserve">ст. 19,20   гл.4  </t>
  </si>
  <si>
    <t xml:space="preserve">06.10.2003-не установлен;    </t>
  </si>
  <si>
    <t xml:space="preserve">п.п. 17 п. 1 ст. 16  гл. 3;          
</t>
  </si>
  <si>
    <t>полномочия в сфере водоснабжения и водоотведения, предусмотренные Федеральным законом "О водоснабжении и водоотведении"</t>
  </si>
  <si>
    <t>Постановление Правительства Вологодской области от 26.03.2010 № 334 "О долгосрочной целевой программе "Безбарьерная среда на 2010-2014 годы"</t>
  </si>
  <si>
    <t>Постановление мэрии от 24.02.2012 № 993 "О Порядке выявления, признания бесхозяйными брошенных транспортных средств, их вывоза (эвакуации) с территории города Череповца и утилизации"</t>
  </si>
  <si>
    <t>Решение Череповецкой городской Думы от 29.01.2008 №10 "О дополнительной мере социальной поддержки отдельным категориям граждан"</t>
  </si>
  <si>
    <t>оплата услуг бани по льготным помывкам</t>
  </si>
  <si>
    <t>Решение  Череповецкой городской Думы от 05.05.2010 №87 "О предоставлении субсидий товариществам собственников жилья"</t>
  </si>
  <si>
    <t>Решение Череповецкой городской Думы от 26.04.2011 №66 "О наделении полномочиями по предоставлению за счет средств городского бюджета субсидий на капитальный ремонт многоквартирных домов"</t>
  </si>
  <si>
    <t>26.04.2011- не установлен</t>
  </si>
  <si>
    <t xml:space="preserve"> 0709</t>
  </si>
  <si>
    <t>22.11.2012, 06.12.2012-не установлен</t>
  </si>
  <si>
    <t>Постановление мэрии города от 09.06.2012 №3257 "О комплексе мер по модернизации системы общего образования в городе Череповце в 2012 году"</t>
  </si>
  <si>
    <t xml:space="preserve">Постановление Правительства РФ от 31.12.2010 №1238 "О порядке предоставления субсидий из федерального бюджета бюджетам субъектов РФ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РФ и муниципальных образовательных учреждений" </t>
  </si>
  <si>
    <t>Постановление Правительства Вологодской области от 03.02.2006 №93 "Об утверждении правил выплаты вознаграждения за выполнение функций классного руководителя педагогическим работникам государственных и муниципальных образовательных учреждений области"</t>
  </si>
  <si>
    <t>0702,0707, 1003</t>
  </si>
  <si>
    <t>Закон Вологодской области от 17.12.2007 №1719-ОЗ "О наделении органов местного самоуправления отдельными государственными полномочиями в сфере образования"</t>
  </si>
  <si>
    <t>социальная поддержка детей сирот и детей, оставшихся без попечения родителей</t>
  </si>
  <si>
    <t>0709,1003</t>
  </si>
  <si>
    <t>Закон Вологодской области от 28.01.2005 № 1218 "О мерах социальной поддержки отдельных категорий граждан в целях реализации ими права на образование"</t>
  </si>
  <si>
    <t>Постановление Правительства Вологодской области  от 05.02.2008 №190 "Об утверждении порядка предоставления и расходования субвенции на осуществление отдельных государственных полномочий по опеке и попечительству"</t>
  </si>
  <si>
    <t>Постановление Правительства Вологодской области  от 25.02.2005 №199 "О порядке предоставления мер социальной поддержки отдельным категориям граждан в целях реализации права на образование. Их размере, а также порядке возмещения расходов"</t>
  </si>
  <si>
    <t xml:space="preserve">Постановление Правительства ВО от 09.09.2008 г № 1724 "О долгосрочной программе "Пожарная безопасность учреждений здравоохранения" на 2009-2012 годы" </t>
  </si>
  <si>
    <t xml:space="preserve">Постановление Правительства ВО от 09.09.2008 г № 1722 "О долгосрочной программе "Эффективная и безопасная лучевая диагностика" на 2010-2012 годы" </t>
  </si>
  <si>
    <t>Постановление Правительства Вологодской области  от 15.02.2008 №564 "О выполнении отдельных государственных полномочий в сфере образования по опеке и попечительству"</t>
  </si>
  <si>
    <t>Постановление Правительства Вологодской области от 01.01.2011 №1132 "О долгосрочной целевой программе Развитие образования в Вологодской области на 2011-2015 гг"</t>
  </si>
  <si>
    <t>Постановление Правительства Вологодской области от 05.02.2008 №190 "Об утверждении порядка предоставления и расходования субвенций на осуществление отдельных государственных полномочий по опеке и попечительству"</t>
  </si>
  <si>
    <t>1004</t>
  </si>
  <si>
    <t>Постановление мэрии города от  26.05.2009 №1836 "Об утверждении Положения о размере, порядке назначения компенсации родителям (законным представителям) расходов на содержание воспитанников в муниципальных дошкольных образовательных учреждениях за счет средств федерального бюджета"</t>
  </si>
  <si>
    <t>01.04.2009-не установлен</t>
  </si>
  <si>
    <t>Решение Череповецкой городской Думы от 15.03.2011 №38 "О социальной поддержке"</t>
  </si>
  <si>
    <t>Решение Череповецкой городской Думы от 15.03.2011 №37 "О социальной поддержке"</t>
  </si>
  <si>
    <t>социальная поддержка работникам образования</t>
  </si>
  <si>
    <t>пункт 3,4</t>
  </si>
  <si>
    <t>Решение Череповецкой городской Думы от 29.06.2010 № 128 "О проведении городского конкурса профессионального мастерства "Учитель года"</t>
  </si>
  <si>
    <t>Постановление Правительства Вологодской области от 19.03.2012  № 230 "Об утверждении правил предоставления и расходования субсидий"</t>
  </si>
  <si>
    <t>01.09.2012-31.12.2012</t>
  </si>
  <si>
    <t>Решение Череповецкой  городской Думы от 19.12.2006 № 146 "О мерах социальной поддержки"</t>
  </si>
  <si>
    <t>01.09.2012-не установлен</t>
  </si>
  <si>
    <t>Решение Череповецкой городской Думы от 28.05.2012 № 97 "О мерах социальной поддержки"</t>
  </si>
  <si>
    <t>Решение Череповецкой городской Думы от 12.12.2006 № 188 "О выделении средств из городского бюджета на осуществление переданных государственных полномочий"</t>
  </si>
  <si>
    <t>Решение Череповецкой городской Думы от 25.10.2011 № 176 "О социальной помощи"</t>
  </si>
  <si>
    <t>Решение Череповецкой городской Думы от 29.05.2012 № 94 "О социальной помощи"</t>
  </si>
  <si>
    <t> 01.06.2012-не установлен</t>
  </si>
  <si>
    <t>Решение Череповецкой городской Думы  от 30.10.2012 № 203 "О мерах социальной поддержки работников МДОУ"</t>
  </si>
  <si>
    <t>01.10.2012 - не установлен</t>
  </si>
  <si>
    <t>субсидии на капитальный ремонт жилого фонда</t>
  </si>
  <si>
    <t>Постановление мэрии города от 14.10.2011 № 4304 "О ведомственной целевой программе "Благоустройство и повышение внешней привлекательности города" на 2012-2014 годы"</t>
  </si>
  <si>
    <t>А-33.005</t>
  </si>
  <si>
    <t xml:space="preserve">Долгосрочная целевая программа "Безбарьерная среда" на 2011-2013 годы" </t>
  </si>
  <si>
    <t>Постановление мэрии от 11.10.2010 №3891 "О долгосрочной целевой программе "Безбарьерная среда на 2011-2013 годы"</t>
  </si>
  <si>
    <t>Постановление мэрии города от 11.10.2010 № 3891 "О долгосрочной целевой программе "Безбарьерная среда" на 2011-2013 годы"</t>
  </si>
  <si>
    <t>расходы на ДЦП "Безбарьерная среда" на 2011-2013 годы</t>
  </si>
  <si>
    <t>А-02.012</t>
  </si>
  <si>
    <t>Постановление мэрии г.Череповца от 04.05.2012 № 2537 "О создании муниципального бюджетного учреждения "Центр социального питания"</t>
  </si>
  <si>
    <t>04.05.2012-не установлен</t>
  </si>
  <si>
    <t>модернизация систем общего образования- субсидия</t>
  </si>
  <si>
    <t xml:space="preserve">Постановление Череповецкой  городской Думы от 28.12.2004 № 172 «О денежной компенсации на приобретение книгоиздательской продукции и периодических изданий» </t>
  </si>
  <si>
    <t>оплата транспортных услуг, связанных с доставкой учебников, спортивного и медицинского оборудования, игрушек и музыкальных инструментов</t>
  </si>
  <si>
    <t>Распоряжение мэрии города от 27.12.2011 № 462-р "О выделении средств для размещения информации о социальных достижениях и мероприятиях в области образования"</t>
  </si>
  <si>
    <t>26.03.2010-не установлен</t>
  </si>
  <si>
    <t xml:space="preserve">Закон Вологодской области от 17.12.2007 № 1719-ОЗ О наделении органов местного самоуправления отдельными государственными полномочиями в сфере образования </t>
  </si>
  <si>
    <t>Постановление Правительства Вологодской области от 05.03.2010 № 238 "Об утверждении Положения о порядке и условиях частичной оплаты стоимости путевок в организации отдыха детей и их оздоровления и питания детей в лагерях дневного пребывания"</t>
  </si>
  <si>
    <t>выплата городских премий им. Милютина</t>
  </si>
  <si>
    <t>льготное питание школьников</t>
  </si>
  <si>
    <t>расходы на исполнение публичных нормативных обязательств (выплаты победителям конкурса профессионального мастерства "Учитель года")</t>
  </si>
  <si>
    <t>питание школьников, молоко учащимся 1-4 классов</t>
  </si>
  <si>
    <t>оказание социальной помощи (оздоровление отдельных категорий работников МДОУ)</t>
  </si>
  <si>
    <t>социальная поддержка штатных работников МДОУ (компенсация части родительской платы)</t>
  </si>
  <si>
    <t>социальная поддержка работникам образования (найм жилья)</t>
  </si>
  <si>
    <t>доведение уровня труда муниципальных служащих, выполняющих переданные полномочия</t>
  </si>
  <si>
    <t>проведение иммунохроматографического тестирования обучающихся общеобразовательных учреждений</t>
  </si>
  <si>
    <t>01.01.2013-не установлен</t>
  </si>
  <si>
    <t>26.06.2012-31.12.2012</t>
  </si>
  <si>
    <t>компенсация стоимости путевок в организации отдыха детей и их оздоровления</t>
  </si>
  <si>
    <t>расходы на выполнение функций управлением по делам культуры мэрии</t>
  </si>
  <si>
    <t>Постановление Правительства Вологодской области от 30.05.2011 №606 "Об утверждении правил предоставления и расходования иных межбюджетных трансфертов на комплектование книжных фондов библиотек муниципальных образований области</t>
  </si>
  <si>
    <t>01.11.2011-не установлен</t>
  </si>
  <si>
    <t>иные межбюджетные трансферты на комплектование книжных фондов библиотек муниципальных образований</t>
  </si>
  <si>
    <t xml:space="preserve"> 
01.09.2010-не установлен</t>
  </si>
  <si>
    <t xml:space="preserve">06.10.2003-не установлен;  
</t>
  </si>
  <si>
    <t xml:space="preserve">01.09.2010-не установлен; 
 </t>
  </si>
  <si>
    <t xml:space="preserve"> 
в целом</t>
  </si>
  <si>
    <t xml:space="preserve">в целом;          </t>
  </si>
  <si>
    <t xml:space="preserve">Постановление мэрии города от 13.09.2010 № 3491 "Об утверждении Положения об оплате труда работников муниципальных учреждений культуры"   </t>
  </si>
  <si>
    <t xml:space="preserve">Федеральный закон от 06.10.2003 № 131-ФЗ "Об общих принципах организации местного самоуправления в РФ";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</si>
  <si>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</si>
  <si>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0113, 0801</t>
  </si>
  <si>
    <t>0412, 0804</t>
  </si>
  <si>
    <t>0503, 0801, 0804</t>
  </si>
  <si>
    <t>долевое софинансироание с областным бюджетом</t>
  </si>
  <si>
    <t>4.1</t>
  </si>
  <si>
    <t>Г-01.001</t>
  </si>
  <si>
    <t>Г-01.002</t>
  </si>
  <si>
    <t>Г-01.003</t>
  </si>
  <si>
    <t>Г-01.004</t>
  </si>
  <si>
    <t>Г-01.005</t>
  </si>
  <si>
    <t>Г-01.006</t>
  </si>
  <si>
    <t>Г-01.007</t>
  </si>
  <si>
    <t>Г-01.008</t>
  </si>
  <si>
    <t>Г-01.009</t>
  </si>
  <si>
    <t>Г-01.010</t>
  </si>
  <si>
    <t>Г-01.011</t>
  </si>
  <si>
    <t>Г-01.012</t>
  </si>
  <si>
    <t>4.2</t>
  </si>
  <si>
    <t>4.3</t>
  </si>
  <si>
    <t>4.4</t>
  </si>
  <si>
    <t>Г-03.001</t>
  </si>
  <si>
    <t>Г-03.002</t>
  </si>
  <si>
    <t>Г-03.003</t>
  </si>
  <si>
    <t>Г-03.004</t>
  </si>
  <si>
    <t>Г-03.005</t>
  </si>
  <si>
    <t>Г-03.006</t>
  </si>
  <si>
    <t>Г-03.007</t>
  </si>
  <si>
    <t>Г-03.008</t>
  </si>
  <si>
    <t>Г-03.009</t>
  </si>
  <si>
    <t>Г-03.010</t>
  </si>
  <si>
    <t>0104, 0113</t>
  </si>
  <si>
    <t xml:space="preserve">Постановление мэрии города от 11.10.2010 № 3886 "Об утверждении долгосрочной целевой программы противодействия коррупции в городе Череповце на 2011-2013 годы" </t>
  </si>
  <si>
    <t>составление (изменение и дополнение) списков кандидатов в присяжные заседатели федеральных органов</t>
  </si>
  <si>
    <t>0105</t>
  </si>
  <si>
    <t>расходы на составление списков кандидатов в присяжные заседатели федеральных судов</t>
  </si>
  <si>
    <t xml:space="preserve">Закон Вологодской области от 30.06.2002 № 804-ОЗ "Об административных комиссиях в муниципальных образованиях Вологодской области"   </t>
  </si>
  <si>
    <t>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t>
  </si>
  <si>
    <t>01.01.2006 - вводится в действие ежегодно</t>
  </si>
  <si>
    <t>Закон Вологодской области  от 28.04.2006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</si>
  <si>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обеспечение деятельности административной комиссии</t>
  </si>
  <si>
    <t>обеспечение деятельности комиссий по делам несовершеннолетних и защите их прав</t>
  </si>
  <si>
    <t xml:space="preserve">финансирование Муниципального казенного архивного учреждения "Череповецкий центр хранения документации" </t>
  </si>
  <si>
    <t>Федеральный закон от 24.11.95 № 181-ФЗ "О социальной защите инвалидов",                                                                                                                              Федеральный закон от 12.01.95 № 5-ФЗ "О ветеранах",</t>
  </si>
  <si>
    <t xml:space="preserve">01.01.1996 - не установлен                 12.01.1995 - не установлен </t>
  </si>
  <si>
    <t>Решение Череповецкой городской Думы от 24.04.2012 №66 "О социальной поддержке"</t>
  </si>
  <si>
    <t>единовременная денежная выплата членам добровольных народных дружин, участвующих в охране общественного порядка и профилактике правонарушений.</t>
  </si>
  <si>
    <t>Г-04.001</t>
  </si>
  <si>
    <t xml:space="preserve">членский взнос Союзу городов Центра и Северо-Запада России  </t>
  </si>
  <si>
    <t>Г-04.002</t>
  </si>
  <si>
    <t xml:space="preserve">членский взнос в Союз российских городов                                     </t>
  </si>
  <si>
    <t>Г-04.003</t>
  </si>
  <si>
    <t>28.03.2006 - не установлен</t>
  </si>
  <si>
    <t>членский взнос в Совет муниципальных образований Вологодской области</t>
  </si>
  <si>
    <t>Г-04.004</t>
  </si>
  <si>
    <t>29.06.2010 - не установлен</t>
  </si>
  <si>
    <t>участие в межмуниципальной ассоциации по улучшению состояния здоровья и качества жизни населения "Здоровые города, районы, поселки"</t>
  </si>
  <si>
    <t>Соглашение "О предоставлении субсидии муниципальному образованию "Город Череповец", вошедшему в список моногородов, на реализацию долгосрочной целевой программы развития субъектов малого и среднего предпринимательства в городе Череповце на 2009-2012 годы"</t>
  </si>
  <si>
    <t>субсидии из федерального бюджета на реализацию ДЦП "Развитие малого и среднего предпринимательства в городе Череповце на 2009-2012 годы"</t>
  </si>
  <si>
    <t>Постановление мэрии города от 10.10.2012 №5373 "Об утверждении муниципальной программы "Поддержка и развитие малого и среднего предпринимательства в городе Череповце на 2013-2017 годы"</t>
  </si>
  <si>
    <t>А-42.005</t>
  </si>
  <si>
    <t>Распоряжение мэрии города от 17.04.2012 №145-р "О расходовании средств городского бюджета"</t>
  </si>
  <si>
    <t>Закон Вологодской области от 05.02.2009 № 1956-ОЗ "О форме предоставления мер социальной поддержки по оплате жилого помещения и коммунальных услуг отдельным категориям граждан"</t>
  </si>
  <si>
    <t>01.01.2010 - не установлен</t>
  </si>
  <si>
    <t>Закон Вологодской области от 17.12.2007 № 1718-ОЗ «О наделении органов местного самоуправления  отдельными государственными полномочиями в сфере социальной защиты населения области»</t>
  </si>
  <si>
    <t>01.01.2008 - вводится в действие ежегодно</t>
  </si>
  <si>
    <t xml:space="preserve">ч.1ст.2,6
</t>
  </si>
  <si>
    <t>обеспечение мер социальной поддержки по оплате жилых помещений и коммунальных услуг отдельным категориям  гражданам</t>
  </si>
  <si>
    <t>1003,1006</t>
  </si>
  <si>
    <t>01.01.2008 - вводится ежегодно</t>
  </si>
  <si>
    <t>Закон Вологодской области от 22.12.2005 № 1393-ОЗ "О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t>
  </si>
  <si>
    <t>01.01.2006 - 01.10.2012</t>
  </si>
  <si>
    <t>Закон Вологодской области от 03.06.2011 № 2524-ОЗ "О вознаграждении опекунам совершеннолетних недееспособных граждан"</t>
  </si>
  <si>
    <t>выплата вознаграждения опекунам</t>
  </si>
  <si>
    <t xml:space="preserve">Закон Вологодской области от 08.11.2011 № 2642-ОЗ "О наделении органов местного самоуправления городского округа "город Череповец" отдельными государственными полномочиями в сфере труда"
</t>
  </si>
  <si>
    <t>01.01.2012 - вводится ежегодно</t>
  </si>
  <si>
    <t xml:space="preserve"> ч.5.1 ст.2</t>
  </si>
  <si>
    <t>социальная поддержка пенсионеров на условиях договора пожизненного содержания с иждивением</t>
  </si>
  <si>
    <t>доведение уровня труда муниц.служащих, выполняющих переданные полномочия, до уровня труда муниципальных служащих мэрии и осуществление др. расходов по их содержанию</t>
  </si>
  <si>
    <t>расходы на исполнение публичных нормативных обязательств (выплата вознаграждений лицам, имеющим знак "За особые заслуги перед городом Череповцом")</t>
  </si>
  <si>
    <t xml:space="preserve">  01.01.2006 - не установлен</t>
  </si>
  <si>
    <t>выплата вознаграждения лицам, имеющим звание "Почетный гражданин города Череповца"</t>
  </si>
  <si>
    <t>15.03.2011 - до исполнения</t>
  </si>
  <si>
    <t>26.06.2012 - до исполнения</t>
  </si>
  <si>
    <t xml:space="preserve">30.10.2012 - до исполнения
</t>
  </si>
  <si>
    <t xml:space="preserve">Решение Череповецкой городской Думы от 15.03.2011 № 25 "Об оказании единовременной социальной помощи" </t>
  </si>
  <si>
    <t>единовременная социальная помощь многодетной семье Савиновой Ольге Юрьевне</t>
  </si>
  <si>
    <t xml:space="preserve">Решение Череповецкой городской Думы от 03.04.2012 № 48 "Об оказании единовременной социальной помощи" </t>
  </si>
  <si>
    <t>единовременная социальная помощь многодетной семье Лозицкой Татьяны Николаевны</t>
  </si>
  <si>
    <t xml:space="preserve">Решение Череповецкой городской Думы от 30.10.2012 № 198 "Об оказании единовременной социальной помощи" </t>
  </si>
  <si>
    <t>единовременная социальная помощь многодетной семье Фомичевой Любови Александровны</t>
  </si>
  <si>
    <t>Г-02.001</t>
  </si>
  <si>
    <t>Г-02.002</t>
  </si>
  <si>
    <t>Г-02.003</t>
  </si>
  <si>
    <t>01.06.2012-30.09.2012</t>
  </si>
  <si>
    <t>Решение Череповецкой городской Думы от 29.05.2012 № 93 "О социальной помощи"</t>
  </si>
  <si>
    <t xml:space="preserve">ежемесячное социальное пособие на оздоровление отдельным категориям работников МБУЗ                                                                          </t>
  </si>
  <si>
    <t xml:space="preserve">Решение Череповецкой городской Думы от 29.05.2012 № 98 "О мерах социальной помощи" </t>
  </si>
  <si>
    <t>27.09.2011 - не установлен</t>
  </si>
  <si>
    <t xml:space="preserve">Решение Череповецкой городской Думы от 12.12.2006 № 188 "О выделении средств из городского бюджета на осуществление переданных государственных полномочий" </t>
  </si>
  <si>
    <t xml:space="preserve">Решение Череповецкой городской Думы от 24.04.2012 № 86 "О санаторно-курортном лечении работников бюджетной сферы города" </t>
  </si>
  <si>
    <r>
      <t xml:space="preserve">Постановление Череповецкой городской Думы от 20.12.2005 № 159 «О Положении о порядке участия города Череповца в организациях межмуниципального сотрудничества»   </t>
    </r>
    <r>
      <rPr>
        <i/>
        <sz val="11"/>
        <rFont val="Times New Roman"/>
        <family val="1"/>
      </rPr>
      <t xml:space="preserve">                                                                                              </t>
    </r>
  </si>
  <si>
    <r>
      <t xml:space="preserve">Постановление Череповецкой городской Думы от 20.12.2005 № 159 «О Положении о порядке участия города Череповца в организациях межмуниципального сотрудничества»  </t>
    </r>
    <r>
      <rPr>
        <i/>
        <sz val="11"/>
        <rFont val="Times New Roman"/>
        <family val="1"/>
      </rPr>
      <t xml:space="preserve">                                                          </t>
    </r>
  </si>
  <si>
    <t xml:space="preserve">Решение Череповецкой городской Думы от 29.06.2010 № 119 "Об участии в ассоциации" </t>
  </si>
  <si>
    <t xml:space="preserve">Решение Череповецкой городской Думы от 23.11.2010 № 196 "О предоставлении сведений о земельных участках" </t>
  </si>
  <si>
    <t xml:space="preserve">Решение Череповецкой городской Думы от 27.09.2011 № 170 "О предоставлении мер социальной поддержки инвалидам Великой Отечественной войны" </t>
  </si>
  <si>
    <t>единовременные денежные выплаты на возмещение затрат по замене газового оборудования</t>
  </si>
  <si>
    <t>Решение ЧГД от 30.10.2012 № 197 "О создании условий для беспрепятственного доступа инвалидов к объектам социальной инфраструктуры"</t>
  </si>
  <si>
    <t>30.10.2012 - не установлен</t>
  </si>
  <si>
    <t>расходы на создание условий для беспрепятственного доступа инвалидов к объектам социальной инфраструктуры</t>
  </si>
  <si>
    <t>27.11.2010 - 31.12.2014</t>
  </si>
  <si>
    <t xml:space="preserve">Постановление Правительства Вологодской области от 28.02.2011 № 164 "О долгосрочной целевой программе "Старшее поколение" на 2011-2015 годы" </t>
  </si>
  <si>
    <t>1003, 1004, 1006</t>
  </si>
  <si>
    <t>Г-02.004</t>
  </si>
  <si>
    <t>Г-02.005</t>
  </si>
  <si>
    <t>Г-02.006</t>
  </si>
  <si>
    <t>Г-02.007</t>
  </si>
  <si>
    <t>Г-02.008</t>
  </si>
  <si>
    <t>Г-02.009</t>
  </si>
  <si>
    <t>Г-02.010</t>
  </si>
  <si>
    <t>Г-02.011</t>
  </si>
  <si>
    <t>Г-02.012</t>
  </si>
  <si>
    <t>Г-02.013</t>
  </si>
  <si>
    <t>Г-02.014</t>
  </si>
  <si>
    <t>Г-02.015</t>
  </si>
  <si>
    <t>Г-02.016</t>
  </si>
  <si>
    <t>Г-02.017</t>
  </si>
  <si>
    <t>Г-02.018</t>
  </si>
  <si>
    <t>0104, 0106, 1006</t>
  </si>
  <si>
    <t>Г-04.005</t>
  </si>
  <si>
    <t>Г-04.006</t>
  </si>
  <si>
    <t>Г-04.007</t>
  </si>
  <si>
    <t>Г-04.008</t>
  </si>
  <si>
    <t>Г-04.009</t>
  </si>
  <si>
    <t>Г-04.010</t>
  </si>
  <si>
    <t>Г-04.011</t>
  </si>
  <si>
    <t>Г-04.012</t>
  </si>
  <si>
    <t>Г-04.013</t>
  </si>
  <si>
    <t>Г-04.014</t>
  </si>
  <si>
    <t>Г-04.015</t>
  </si>
  <si>
    <t>Г-04.016</t>
  </si>
  <si>
    <t>0104, 0113, 0106, 0302, 0401, 0501, 0801, 1006</t>
  </si>
  <si>
    <t>0408</t>
  </si>
  <si>
    <t>расходы на ДЦП "Профилактика преступлений и иных правонарушений в Вологодской области на 2013-2016 годы"</t>
  </si>
  <si>
    <t>Постановление правительства Вологодской области от 22.10.2012 №1241 "Об утверждении долгосрочной целевой программы "Профилактика преступлений и иных правонарушений в Вологодской области на 2013-2016 годы"</t>
  </si>
  <si>
    <t>01.01.2013 -31.12.2016</t>
  </si>
  <si>
    <t xml:space="preserve">Федеральный закон от 06.10.2003 № 131-ФЗ "Об общих принципах организации местного самоуправления в РФ";                                   </t>
  </si>
  <si>
    <t xml:space="preserve">п.п. 26 п. 1 ст. 16  гл. 3;  </t>
  </si>
  <si>
    <t xml:space="preserve"> 29.06.2010-не установлен</t>
  </si>
  <si>
    <t>Распоряжения мэрии города № 411-р от 22.11.2012 г. о выделении денежных средств из резервного фонда мэрии</t>
  </si>
  <si>
    <t>оказание муниципальных услуг  муниципальным бюджетным учреждением "Центр социального питания"</t>
  </si>
  <si>
    <t>0113, 0309, 0412, 0701, 0702, 0707, 0709, 0801, 0804, 0902, 0909, 1006</t>
  </si>
  <si>
    <t>26.12.1994-не установлен</t>
  </si>
  <si>
    <t xml:space="preserve">п.п. 10 п. 1 ст. 16  гл. 3;                                                                                                                                                                                                                                                                                                                                                                                                                                                                                                                                                                                                                                                                                                                           </t>
  </si>
  <si>
    <t xml:space="preserve">ст. 19 </t>
  </si>
  <si>
    <t xml:space="preserve">Федеральный закон от 06.10.2003 № 131-ФЗ "Об общих принципах организации местного самоуправления в РФ";                                                                   </t>
  </si>
  <si>
    <t>Федеральный закон от 21.12.1994 № 69-ФЗ "О пожарной безопасности"</t>
  </si>
  <si>
    <t>Распоряжение мэрии города от 22.11. 2012 №411-р и от 26.09.2012 №347-р "О выделении денежных средств из резервного фонда мэрии"</t>
  </si>
  <si>
    <t>возмещение затрат, связанных с производством, потреблением и поставкой энергетических ресурсов, юридическим лицам, осуществляющим свою деятельность в сфере организации летнего отдыха детей в 2013 году</t>
  </si>
  <si>
    <t xml:space="preserve">выполнение отдельных государственных полномочий в сфере труда </t>
  </si>
  <si>
    <t>летний отдых (оздоровление детей и подростков)</t>
  </si>
  <si>
    <t>профессиональная подготовка и переподготовка, курсы повышения квалификации работников</t>
  </si>
  <si>
    <t>ежемесячное  денежное вознаграждение за выполнение функций классного руководства педагогическим работникам</t>
  </si>
  <si>
    <t>Закон Вологодской области от 17.12.2007 № 1718-ОЗ "О наделении органов местного самоуправления отдельными государственными полномочиями в сфере социальной защиты населения области"</t>
  </si>
  <si>
    <t>ч.1 ст.2</t>
  </si>
  <si>
    <t>Закон Вологодской области от 29.12.2003 № 982-ОЗ «Об охране семьи, материнства, отцовства и детства в Вологодской области»</t>
  </si>
  <si>
    <t>ст.14.1</t>
  </si>
  <si>
    <t>01.01.2004 - не установлен</t>
  </si>
  <si>
    <t>Постановление Правительства Вологодской области от 13.06.2012 № 614 "О целевой программе "Укрепление материально-технической базы учреждений социального обслуживания населения области и оказание адресной социальной помощи неработающим пенсионерам в 2012 году (социальная программа)"</t>
  </si>
  <si>
    <t>13.06.2012 - 31.12.2012</t>
  </si>
  <si>
    <t>1002</t>
  </si>
  <si>
    <t>ч.5 ст.2</t>
  </si>
  <si>
    <t xml:space="preserve">Закон Вологодской области от 01.03.2005 № 1236-ОЗ «О государственной социальной помощи» </t>
  </si>
  <si>
    <t>ст.2, ч.3 ст.4</t>
  </si>
  <si>
    <t>15.03.2005 - не установлен</t>
  </si>
  <si>
    <t>Приказ департамента труда и социального развития Вологодской области от 29.12.2010 № 591 "О ведомственной целевой программе "Укрепление материально-технической базы стационарных учреждений социального обслуживания населения области и специализированных учреждений для несовершеннолетних, нуждающихся в социальной реабилитации, на 2011 - 2013 годы"</t>
  </si>
  <si>
    <t>01.01.2011 - 01.03.2012</t>
  </si>
  <si>
    <t xml:space="preserve">п.1ст.2
</t>
  </si>
  <si>
    <t>ст.6</t>
  </si>
  <si>
    <t xml:space="preserve">Приказ департамента труда и социального развития Вологодской области от 06.03.2009 № 71 "О ведомственной целевой программе "Пожарная безопасность учреждений социального обслуживания населения на 2009-2011 годы"                                                                                   </t>
  </si>
  <si>
    <t>06.03.2009-31.12.2011</t>
  </si>
  <si>
    <t xml:space="preserve">Постановление Правительства Вологодской области от 26.03.2010 № 334 "О долгосрочной целевой программе "Безбарьерная среда" на 2010-2014 годы" </t>
  </si>
  <si>
    <t xml:space="preserve">Постановление Правительства Вологодской области от 24.06.2009 № 967 "Об утверждении долгосрочной целевой программы по обеспечению социальной адаптации и реабилитации лиц, отбывших наказание в местах лишения свободы, на 2009-2012 годы" </t>
  </si>
  <si>
    <t>24.06.2009-31.12.2012</t>
  </si>
  <si>
    <t>01.01.2013 - 31.12.2016</t>
  </si>
  <si>
    <t>B-18.002</t>
  </si>
  <si>
    <t>B-18.003</t>
  </si>
  <si>
    <t>B-18.004</t>
  </si>
  <si>
    <t>B-18.005</t>
  </si>
  <si>
    <t>B-18.006</t>
  </si>
  <si>
    <t>B-18.007</t>
  </si>
  <si>
    <t>B-18.008</t>
  </si>
  <si>
    <t>B-18.009</t>
  </si>
  <si>
    <t>B-18.010</t>
  </si>
  <si>
    <t>B-18.011</t>
  </si>
  <si>
    <t>B-18.012</t>
  </si>
  <si>
    <t>B-18.013</t>
  </si>
  <si>
    <t>B-18.014</t>
  </si>
  <si>
    <t>B-18.015</t>
  </si>
  <si>
    <t>B-18.016</t>
  </si>
  <si>
    <t>B-18.017</t>
  </si>
  <si>
    <t>B-18.018</t>
  </si>
  <si>
    <t>B-18.019</t>
  </si>
  <si>
    <t>Постановление мэрии города от 10.10.2012 № 5371 "Об утверждении муниципальной программы "Содействие развитию потребительского рынка в городе Череповце на 2013-2017 годы"</t>
  </si>
  <si>
    <t>01.01.2013-31.12.2017</t>
  </si>
  <si>
    <t>резервный фонд мэрии</t>
  </si>
  <si>
    <t>в 2013- 2015 годах не предусмотрены ассигнования на оказание первичной медико-санитарной помощи учреждениями здравоохранения в связи с их передачей из муниципальной собственности в государственную.</t>
  </si>
  <si>
    <t>субвенции областного и федерального бюджета, включая с 1 января 2012 года субвенции в области здравоохранения.  В 2013- 2015 годах не предусмотрены ассигнования на оказание первичной медико-санитарной помощи учреждениями здравоохранения в связи с их передачей из муниципальной собственности в государственную.</t>
  </si>
  <si>
    <t>субвенция на выполнение отдельных полномочий  по обеспечению мер социальной поддержки  и социального обслуживания  отдельных категорий граждан (частичная оплата стоимости путевок)</t>
  </si>
  <si>
    <t>обеспечение питанием отдельных категорий обучающихся</t>
  </si>
  <si>
    <t xml:space="preserve">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t>
  </si>
  <si>
    <t>ДЦП "Дорога к дому" на 2013-2016 годы</t>
  </si>
  <si>
    <t>возмещение расходов по проезду отдельных категорий граждан при проезде на транспорте на территории Вологодской области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</si>
  <si>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</si>
  <si>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Постановление мэрии города от 03.07.2012 № 3664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2012 год" </t>
  </si>
  <si>
    <t xml:space="preserve">Постановление мэрии города от 29.12.2012 №6926"О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2013 год" </t>
  </si>
  <si>
    <t>расходы на выполнение муниципальных работ учреждениями физкультуры и спорта, учебно-спортивную работу, организация и проведение массовых физкультурно-спортивных мероприятий</t>
  </si>
  <si>
    <t>расходы на  мероприятий по проофилактике правонарушений среди различных категорий населения</t>
  </si>
  <si>
    <t>осуществление муниципального контроля за проведением муниципальных лотерей</t>
  </si>
  <si>
    <t xml:space="preserve">Постановление мэрии города Череповца от 14.10.2011 № 4305 "О долгосрочной целевой программе "Энергетическое обследование и выполнение мероприятий по энергосбережению по результатам его проведения в бюджетных организациях города Череповца" на 2012-2014 годы" </t>
  </si>
  <si>
    <t>расходы на ДЦП "Энергетическое обследование и выполнение мероприятий по энергосбережению по результатам его проведения в бюджетных организациях города Череповца" на 2012-2014 годы, МП "Энергоснабжение и повышение энергетической эффективности на территории муниципального образования город Череповец на 2010-2014 гг</t>
  </si>
  <si>
    <t>Федеральный закон от 20.08.2004 №113-ФЗ "О присяжных заседателях федеральных судей общей юрисдикции в РФ"</t>
  </si>
  <si>
    <t>расходы на  выплату городских стипендий одаренным детям, городских премий золотым и серебряным медалистам</t>
  </si>
  <si>
    <t>Решение Череповецкой городской Думы от 29.05.2012 № 99 "О частичной оплате (компенсации)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 за счет средств городского бюджета"</t>
  </si>
  <si>
    <t>Решение Череповецкой городской Думы от 25.12.2012 №260 "О дополнительных расходах городского бюджета на выполнение переданных отдельных государственных полномочий в сфере образования"</t>
  </si>
  <si>
    <t xml:space="preserve">Решение Череповецкой городской Думы от 26.06.2012 г № 128 "О дополнительных расходах городского бюджета на выполнение переданных отдельных государственных полномочий в сфере здравоохранения на 2012 год"                                                                          </t>
  </si>
  <si>
    <t>А-02.013</t>
  </si>
  <si>
    <t>А-13.005</t>
  </si>
  <si>
    <t>А-16.005</t>
  </si>
  <si>
    <t>А-20.011</t>
  </si>
  <si>
    <t>А-20.019</t>
  </si>
  <si>
    <t>А-28.003</t>
  </si>
  <si>
    <t>0113, 0412</t>
  </si>
  <si>
    <t>0100, 0600, 0700, 0900, 1000</t>
  </si>
  <si>
    <t xml:space="preserve">ДЦП "Старшее поколение" на 2011- 2015 годы </t>
  </si>
  <si>
    <t xml:space="preserve">ДЦП "Дополнительные мероприятия, направленные на повышение качества жизни детей, семей с детьми в Вологодской области" на 2012-2015 годы </t>
  </si>
  <si>
    <t xml:space="preserve">ДЦП по обеспечению социальной адаптации и реабилитации лиц, отбывших наказание в местах лишения свободы, на 2009-2012 годы </t>
  </si>
  <si>
    <t xml:space="preserve">ДЦП "Безбарьерная среда" на 2010-2014 годы </t>
  </si>
  <si>
    <t xml:space="preserve">ведомственная целевая программа "Пожарная безопасность учреждений социального обслуживания населения на 2009-2011 годы" </t>
  </si>
  <si>
    <t xml:space="preserve">выполнение функций КСЗН (выполнение отд. госполномочий в области соцзащиты населения), финансирование муниципальных учреждений социальной защиты </t>
  </si>
  <si>
    <t xml:space="preserve">организация отдыха и оздоровления детей, находящихся в трудной жизненной ситуации </t>
  </si>
  <si>
    <t>Ведомственная целевая программа "Укрепление материально-технической базы стационарных учреждений социального обслуживания населения области и специализированных учреждений для несовершеннолетних, нуждающихся в социальной реабилитации, на 2011 - 2013 годы"</t>
  </si>
  <si>
    <t xml:space="preserve">предоставление государственной социальной помощи </t>
  </si>
  <si>
    <t xml:space="preserve">возмещение специализированным похоронным службам расходов по погребению граждан на безвозмездной основе </t>
  </si>
  <si>
    <t xml:space="preserve">обеспечение мер социальной поддержки по оплате жилых помещений и коммунальных услуг  отд. категориям граждан (ветераны труда, репрессированные и реабилитированные лица, УВК, отд. категории пенсионеров ВО) </t>
  </si>
  <si>
    <t xml:space="preserve">обеспечение мер социальной поддержки по оплате жилых помещений и коммунальных услуг многодетным семьям </t>
  </si>
  <si>
    <t xml:space="preserve">обеспечение средствами ухода новорожденных детей из малоимущих или нуждающихся семей  </t>
  </si>
  <si>
    <t xml:space="preserve">организация и обеспечение отдыха и оздоровления детей </t>
  </si>
  <si>
    <t xml:space="preserve">обеспечение общеобразовательного процесса </t>
  </si>
  <si>
    <t>проезд и одежда детям из многодетных семей</t>
  </si>
  <si>
    <t>обеспечение содержания и воспитания детей с отклонениями в развитии</t>
  </si>
  <si>
    <t>обеспечение воспитания и обучения детей-инвалидов</t>
  </si>
  <si>
    <t xml:space="preserve">осуществление отдельных госполномочий в сфере здравоохранения  </t>
  </si>
  <si>
    <t xml:space="preserve">ЦП "Эффективная и безопасная лучевая диагностика" на 2010-2012 годы  </t>
  </si>
  <si>
    <t xml:space="preserve">ЦП «Пожарная безопасность учреждений здравоохранения» </t>
  </si>
  <si>
    <t>мероприятия в области образования, расходы по приемным семьям</t>
  </si>
  <si>
    <t xml:space="preserve">компенсация части родительской платы в дошкольном учреждении </t>
  </si>
  <si>
    <t>расходы на исполнение публичных нормативных обязательств  (выплата премий победителям конкурсов "Лучший врач года", "Лучший специалист со средним медицинским образованием")</t>
  </si>
  <si>
    <t>расходы на исполнение публичных нормативных обязательств (выплата компенсации по приобретению книгоиздательской продукции)</t>
  </si>
  <si>
    <t>Постановление мэрии города от 24.12.2012 № 6773 "О расходовании средств"</t>
  </si>
  <si>
    <t>24.11.2011-до исполнения</t>
  </si>
  <si>
    <t>Постановление мэрии города от 24.11.2011 № 4895 "О расходовании средств"</t>
  </si>
  <si>
    <t>24.12.2012-до исполнения</t>
  </si>
  <si>
    <t>субсидия областного бюджета на поощрение за достижение наилучших значений показателей деятельности органов местного самоуправления</t>
  </si>
  <si>
    <t>Постановление Правительства Вологодской области от 22.10.2012 № 1240 "О предоставлении субсидий (грантов) муниципальным образованиям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области по итогам 2011 года"</t>
  </si>
  <si>
    <t>22.10.2012-до исполнения</t>
  </si>
  <si>
    <t>А-01.019</t>
  </si>
  <si>
    <t>Федеральный закон от 06.10.2003 № 131-ФЗ "Об общих принципах организации местного самоуправления в РФ"; Налоговый Кодекс РФ</t>
  </si>
  <si>
    <t>1105        0113</t>
  </si>
  <si>
    <t>А-07.006</t>
  </si>
  <si>
    <t>расходы на организацию и доведение до жителей города информации по предвыборной кампании</t>
  </si>
  <si>
    <t>часть 2 п.п. 7 п.1ст.17 гл.3</t>
  </si>
  <si>
    <t>0103, 0104, 0412, 0505, 0605, 1006</t>
  </si>
  <si>
    <t>размещение информации о социальных достижениях и мероприятиях в социальной сфере в рамках имиджевой политики, расходы на проведение имиджевых мероприятий, реализацию имиджевой рекламы, изготовление нового фильма о городе Череповце, проведение конференции, реализация  процесса информирования налогоплательщиков по запросу ИФНС №12 по Вологодской области</t>
  </si>
  <si>
    <t>А-32.003</t>
  </si>
  <si>
    <t xml:space="preserve">Постановление мэра города от 15.10.2008 № 3544 "О долгосрочной целевой программе "Экология города" на 2009-2015 годы"                                                                               </t>
  </si>
  <si>
    <t xml:space="preserve">расходы на проведение городских конкурсов в сфере общественного питания, торговли и бытового обслуживания, расходы на реализацию муниципальной программы "Содействие развитию потребительского рынка в городе Череповце на 2013-2017 годы" </t>
  </si>
  <si>
    <t>0113, 0709, 0804</t>
  </si>
  <si>
    <t xml:space="preserve">Субсидии на реализацию долгосрочной целевой программы "Безбарьерная среда на 2010-2014 годы" </t>
  </si>
  <si>
    <t>расходы на оказание муниципальных услуг, выполнение работ МБУ "Череповецкий молодежный центр"</t>
  </si>
  <si>
    <t>12.07.2007-31.12.2011</t>
  </si>
  <si>
    <t>Решение Череповецкой городской Думы от 25.10.2011 № 191 "О Положении об оказании первичной медико-санитарной помощи отдельным категориям граждан за счет средств городского бюджета"</t>
  </si>
  <si>
    <t>расходы на оказание медпомощи отдельным категориям граждан</t>
  </si>
  <si>
    <t>Постановление Правительства Вологодской области от 31.01.2011 № 67 "Об утверждении целевой программы дополнительных мероприятий, направленных на снижение напряженности на рынке труда Вологодской области, в 2011 году"</t>
  </si>
  <si>
    <t xml:space="preserve">субсидия областного и федерального бюджета на снижение напряженности на рынке труда </t>
  </si>
  <si>
    <t xml:space="preserve">субсидии областного бюджета на реализацию ДЦП "Безбарьерная среда" на 2010-2014 годы </t>
  </si>
  <si>
    <t>Решение Череповецкой городской Думы от 06.12.2011 № 234 "О предоставлении мер социальной поддержки нуждающимся гражданам пожилого возраста"</t>
  </si>
  <si>
    <t>06.12.2011-31.12.2011</t>
  </si>
  <si>
    <t>единовременные разовые выплаты  нуждающимся гражданам пожилого возраста, проживающим в городе Череповце, на проведение ремонта жилых помещений и обеспечение замены газового оборудования</t>
  </si>
  <si>
    <t>25.04.2006-31.12.2011</t>
  </si>
  <si>
    <t>01.01.2010-31.12.2011</t>
  </si>
  <si>
    <t>29.04.2008-31.12.2011</t>
  </si>
  <si>
    <t>1.51</t>
  </si>
  <si>
    <t>А-51.000</t>
  </si>
  <si>
    <t>п.п. 42 п. 1 ст. 16  гл. 3</t>
  </si>
  <si>
    <t>Федеральный закон от 25.11.2008 № 273-ФЗ "О противодействии коррупции"</t>
  </si>
  <si>
    <t>25.11.2008-не установлен</t>
  </si>
  <si>
    <t>Федеральный закон от 12.01.1996 № 7-ФЗ "О некоммерческих организациях"</t>
  </si>
  <si>
    <t>15.01.1996-не установлен</t>
  </si>
  <si>
    <t>Постановление мэрии города от 11.01.2012 № 17 "О мерах по оказанию содействия избирательным комиссиям в организации подготовки и проведения выборов Президента РФ, мэра города Череповца, депутатов Череповецкой городской Думы 4 марта 2012 года"</t>
  </si>
  <si>
    <t>11.01.2012-до исполнения</t>
  </si>
  <si>
    <t>Постановление мэрии города от 30.12.2011 № 5913 "Об утверждении Положения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</si>
  <si>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01.01.2012-не установлен</t>
  </si>
  <si>
    <t xml:space="preserve">п.п. 4 п. 1 ст. 16  гл. 3        </t>
  </si>
  <si>
    <t xml:space="preserve">06.10.2003-не установлен              </t>
  </si>
  <si>
    <t xml:space="preserve">Федеральный закон от 06.10.2003 № 131-ФЗ "Об общих принципах организации местного самоуправления в РФ"                                                                    </t>
  </si>
  <si>
    <t>Решение Череповецкой городской Думы от 28.12.2004 № 171 "О Положении об оплате труда работников бюджетной сферы города"</t>
  </si>
  <si>
    <t>Решение Череповецкой городской Думы от 28.11.2006 № 167 "О Положении о порядке материально-технического и организационного обеспечения деятельности органов городского самоуправления"</t>
  </si>
  <si>
    <t>Постановление мэрии города от 15.09.2011 № 3776 "О Порядке организации бюджетного учета казны муниципального образования "Город Череповец"</t>
  </si>
  <si>
    <t>15.09.2011-не установлен</t>
  </si>
  <si>
    <t xml:space="preserve">Федеральный закон от 06.10.2003 № 131-ФЗ "Об общих принципах организации местного самоуправления в РФ"              </t>
  </si>
  <si>
    <t xml:space="preserve">п.п. 5 п. 1 ст. 16  гл. 3                     </t>
  </si>
  <si>
    <t xml:space="preserve">ст.13 гл. 2   </t>
  </si>
  <si>
    <t xml:space="preserve">06.10.2003-не установлен   
                                                                                       </t>
  </si>
  <si>
    <t>12.11.2007-не установлен</t>
  </si>
  <si>
    <t xml:space="preserve">Федеральный закон от 08.11.2007 № 257-ФЗ "Об автомобильных дорогах и о дорожной деятельности в РФ и о внесении изменений в отдельные законодательные акты РФ" </t>
  </si>
  <si>
    <t>21.07.2007-01.01.2013</t>
  </si>
  <si>
    <t>Федеральный закон от 21.11.2011 № 323-ФЗ "Об основах охраны здоровья граждан в РФ"</t>
  </si>
  <si>
    <t>гл.3</t>
  </si>
  <si>
    <t xml:space="preserve">22.11.2011-не установлен </t>
  </si>
  <si>
    <t>02.12.2011-до исполнения</t>
  </si>
  <si>
    <t xml:space="preserve"> 01.01.2009-31.12.2015</t>
  </si>
  <si>
    <t>1103</t>
  </si>
  <si>
    <t>средства областного бюджета и софинансирование из городского бюджета на неотложные работы по предупреждению чрезвычайной ситуации обрушения фасада здания КСЗН</t>
  </si>
  <si>
    <t>субсидии областного и федерального бюджета на подготовку и реализацию региональной программы модернизации здравоохранения области (в т.ч. софинансирование из городского бюджета), субсидия федерального бюджета на реализацию мероприятий по укреплению материально-технической базы учреждений здравоохранения</t>
  </si>
  <si>
    <t>А-23.006</t>
  </si>
  <si>
    <t>А-23.007</t>
  </si>
  <si>
    <t>А-26.004</t>
  </si>
  <si>
    <t>А-26.005</t>
  </si>
  <si>
    <t>0113, 0309</t>
  </si>
  <si>
    <t>Постановление мэрии города от 02.02.2012 № 475 "Об утверждении Порядка предоставления субсидии юридическим лицам на возмещение затрат по бесплатному проезду граждан внутригородским транспортом общего пользования (кроме такси) в границах городского округа в целях обеспечения участия в общегородских физкультурно-оздоровительных, спортивных и культурно-массовых мероприятиях"</t>
  </si>
  <si>
    <t>02.02.2012-не установлен</t>
  </si>
  <si>
    <t xml:space="preserve">Постановление Череповецкой городской Думы от 27.12.2005 № 182 "О Положении о порядке финансового обеспечения скорой медицинской помощи, первичной медико-санитарной помощи, медицинской помощи женщинам в период беременности, во время и после родов"       </t>
  </si>
  <si>
    <t>расходы на доведение уровня труда муниципальных служащих, выполняющих переданные полномочия, до уровня труда муниципальных служащих мэрии и осуществление др. расходов по их содержанию</t>
  </si>
  <si>
    <t>расходы на реализацию ДЦП «Здоровый город» на 2009-2015 гг.</t>
  </si>
  <si>
    <t>расходы на реализацию ДЦП "Безбарьерная среда" на 2011-2013 годы</t>
  </si>
  <si>
    <t>расходы на реализацию ДЦП "Экология города" на 2009-2015 гг.</t>
  </si>
  <si>
    <t>расходы на реализацию ДЦП "Здоровый город" на 2009-2015 годы</t>
  </si>
  <si>
    <t>расходы на реализацию ВЦП "Одаренные дети" на 2011-2013 годы</t>
  </si>
  <si>
    <t>расходы на реализацию ДЦП «Здоровый город» на 2009-2015 годы</t>
  </si>
  <si>
    <t>расходы на реализацию ДЦП "Здоровый город" на 2009-2015 годы"</t>
  </si>
  <si>
    <t>судебные расходы, выплаты по решению суда, административные штрафы</t>
  </si>
  <si>
    <t>расходы за предоставление сведений из государственного кадастра недвижимости</t>
  </si>
  <si>
    <t>субсидия на организацию места сбора твердых бытовых отходов, бюджетные инвестиции МУП "Спецавтотранс"</t>
  </si>
  <si>
    <t>01.10.2008 - 31.12.2011</t>
  </si>
  <si>
    <t>Решение Череповецкой городской Думы от 24.01.2012 № 13 "О  межмуниципальном сотрудничестве"</t>
  </si>
  <si>
    <t>01.01.2012 - не установлен</t>
  </si>
  <si>
    <t>01.01.2005-31.12.2011</t>
  </si>
  <si>
    <t>отчетный финансовый 2011 год</t>
  </si>
  <si>
    <t xml:space="preserve">очередной финансовый 2013 год </t>
  </si>
  <si>
    <t>очередной финансовый 2015 год *</t>
  </si>
  <si>
    <t xml:space="preserve">01.01.2005-31.12.2011 </t>
  </si>
  <si>
    <t>07.11.2006-03.04.2012</t>
  </si>
  <si>
    <t>Распоряжение мэрии города от 02.05.2012 № 165-р "О проведении имиджевых мероприятий и изготовлении имиджевой информации"</t>
  </si>
  <si>
    <t>02.05.2012-31.12.2012</t>
  </si>
  <si>
    <t>29.09.2009 - 28.02.2012</t>
  </si>
  <si>
    <t xml:space="preserve">Решение Череповецкой городской Думы от 28.09.2010 № 158 "Об утверждении Положения о комитете социальной защиты населения города Череповца"  </t>
  </si>
  <si>
    <t xml:space="preserve">Федеральный закон от 06.10.2003 № 131-ФЗ "Об общих принципах организации местного самоуправления в РФ";                                                                                                                                                                                                                                                                                                                                                           </t>
  </si>
  <si>
    <t xml:space="preserve">п.п. 19 п. 1 ст. 16  гл. 3;    </t>
  </si>
  <si>
    <t>26.03.2010 - 31.12.2014</t>
  </si>
  <si>
    <t xml:space="preserve">Постановление мэрии города от 31.01.2012  № 424 "Об утверждении плана организации и  проведения городских культурно-массовых мероприятий  в рамках городского социально-творческого заказа на 2012 год" </t>
  </si>
  <si>
    <t>31.01.2012-31.12.2012</t>
  </si>
  <si>
    <t>Постановление Правительства области от 19.03.2012 № 230 "Об утверждении правил предоставления и расходования субсидий"</t>
  </si>
  <si>
    <t>12.09.2008-16.04.2012</t>
  </si>
  <si>
    <t>Приказ Министерства образования и науки РФ от 27.10.2011 № 2562 "Об утверждении Типового положения о дошкольном образовательном учреждении"</t>
  </si>
  <si>
    <t>17.04.2012-не установлен</t>
  </si>
  <si>
    <t>Постановление мэрии города от 25.01.2012 № 326 "Об утверждении Порядка предоставления субсидий из городского бюджета"</t>
  </si>
  <si>
    <t>Распоряжение мэрии города от 06.04.2012 № 125-р "О проведении городского мероприятия "Выставка-ярмарка "Хлеб Вологодчины"</t>
  </si>
  <si>
    <t>06.04.2012-до исполнения</t>
  </si>
  <si>
    <t>Постановление мэрии города от 10.02.2012 № 701 "Об утверждении плана мероприятий с детьми и молодежью за счет средств городского бюджета на 2012 год"</t>
  </si>
  <si>
    <t>01.01.2012 - 31.12.2012</t>
  </si>
  <si>
    <t>субсидия областного бюджета на реализацию программы по комплексной безопасности образовательного учреждения</t>
  </si>
  <si>
    <t xml:space="preserve">Федеральный закон от 06.10.2003 № 131-ФЗ "Об общих принципах организации местного самоуправления в РФ";                                                        </t>
  </si>
  <si>
    <t>Постановление Правительства области  от  04.10.2010 № 1139 "О долгосрочной целевой программе "Традиционная народная культура как основа сохранения культурной самобытности Вологодской области на 2011-2014 годы"</t>
  </si>
  <si>
    <t xml:space="preserve">п.п. 17.1 п. 1 ст. 16  гл. 3;   </t>
  </si>
  <si>
    <t>01.01.2011-31.12.2014</t>
  </si>
  <si>
    <t xml:space="preserve">06.10.2003-не установлен;                              
</t>
  </si>
  <si>
    <t xml:space="preserve">Федеральный закон от 06.10.2003 № 131-ФЗ "Об общих принципах организации местного самоуправления в РФ";                                                                                                                                                                                                                                                          </t>
  </si>
  <si>
    <t xml:space="preserve">п.п. 28 п. 1 ст. 16  гл. 3;                                                                                                                                                                                   </t>
  </si>
  <si>
    <t>Постановление мэрии  города от 11.10.2010 № 3888 "О ведомственной целевой программе "Одаренные дети" на 2011-2013 годы"</t>
  </si>
  <si>
    <t xml:space="preserve">Постановление мэрии города от 27.01.2011 № 258  "О создании муниципальных казенных учреждений путем изменения типа муниципальных бюджетных учреждений с содержанием перечня муниципальных казенных учреждений"      </t>
  </si>
  <si>
    <t>27.01.2011-не установлен</t>
  </si>
  <si>
    <t>Постановление мэрии города от 26.08.2011 № 3530 "Об утверждении устава муниципального казенного учреждения "Центр комплексного обслуживания"</t>
  </si>
  <si>
    <t>26.08.2011-не установлен</t>
  </si>
  <si>
    <t xml:space="preserve">Постановление мэрии города от 02.08.2011 № 3231 "О переименовании и утверждении устава муниципального бюджетного учреждения "Центр муниципальных информационных ресурсов и технологий" </t>
  </si>
  <si>
    <t>п.1,2</t>
  </si>
  <si>
    <t>02.08.2011-не установлен</t>
  </si>
  <si>
    <t>Постановление мэрии города от 09.09.2011 № 3672 "О переименовании и внесении изменений в устав муниципального бюджетного учреждения "Централизованная бухгалтерия  по обслуживанию учреждений образования"</t>
  </si>
  <si>
    <t>09.09.2011-не установлен</t>
  </si>
  <si>
    <t>Постановление мэрии города от 13.09.2011  № 3704  "О переименовании и внесении изменений в устав муниципального бюджетного учреждения "Централизованная бухгалтерия по обслуживанию учреждений культуры "</t>
  </si>
  <si>
    <t>13.09.2011-не установлен</t>
  </si>
  <si>
    <t>Постановление мэрии города от 23.12.2011 № 5761 "Об утверждении устава муниципального казенного учреждения "Централизованная бухгалтерия по обслуживанию учреждений социальной защиты"</t>
  </si>
  <si>
    <t>23.12.2011-не установлен</t>
  </si>
  <si>
    <t>Постановление мэрии города от 22.12.2011 № 5753 "О создании муниципального казенного учреждения "Централизованная бухгалтерия по обслуживанию учреждений социальной защиты"</t>
  </si>
  <si>
    <t>22.12.2011-не установлен</t>
  </si>
  <si>
    <t>Постановление мэрии города от 29.12.2011 № 5907 «О переименовании и внесении изменений в устав муниципального бюджетного учреждения «Централизованная бухгалтерия по обслуживанию учреждений физической культуры и спорта»</t>
  </si>
  <si>
    <t>29.12.2011 - не установлен</t>
  </si>
  <si>
    <t>Постановление мэрии города от 21.12.2011 № 5671 "Об утверждении устава муниципального казенного учреждения "Информационное мониторинговое агентство "Череповец"</t>
  </si>
  <si>
    <t>21.12.2011-не установлен</t>
  </si>
  <si>
    <t>в целом, за искл.п.2</t>
  </si>
  <si>
    <t xml:space="preserve">Постановление мэрии города от 12.07.2011 № 2950 "О переименовании и внесении изменений в устав муниципального казенного учреждения "Центр по защите населения и территорий от чрезвычайных ситуаций" </t>
  </si>
  <si>
    <t>12.07.2011-не установлен</t>
  </si>
  <si>
    <t xml:space="preserve">Постановление мэрии города от 03.08.2011 № 3268 "О переименовании и утверждении устава муниципального казенного архивного учреждения "Череповецкий центр хранения документации" </t>
  </si>
  <si>
    <t>03.08.2011-не установлен</t>
  </si>
  <si>
    <t>п. 1,2</t>
  </si>
  <si>
    <t>Постановление мэрии города от 25.08.2011 № 3482 "Об утверждении устава муниципального бюджетного учреждения "Череповецкий молодежный центр"</t>
  </si>
  <si>
    <t>0603</t>
  </si>
  <si>
    <t xml:space="preserve">Федеральный закон от 06.10.2003 № 131-ФЗ "Об общих принципах организации местного самоуправления в РФ"    </t>
  </si>
  <si>
    <t>20.08.2004-не установлен</t>
  </si>
  <si>
    <t xml:space="preserve">статья 2                           </t>
  </si>
  <si>
    <t xml:space="preserve">Закон Вологодской области от 05.10.2006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t>
  </si>
  <si>
    <t>24.04.2006 - вводится в действие ежегодно</t>
  </si>
  <si>
    <t>28.04.2010-не установлен</t>
  </si>
  <si>
    <t>Федеральный закон от 25.01.2002 № 8-ФЗ "О Всероссийской переписи населения"</t>
  </si>
  <si>
    <t>Закон Вологодской области от 28.06.2006 № 1465-ОЗ "О наделении органов местного самоуправления отдельными государственными полномочиями в сфере охраны окружающей среды"</t>
  </si>
  <si>
    <t>05.10.2006-вводится в действие ежегодно</t>
  </si>
  <si>
    <t>установление подлежащих государственному регулированию цен (тарифов) на товары (услуги) в соответствии с законодательством Российской Федерации и осуществление контроля за их применением</t>
  </si>
  <si>
    <t xml:space="preserve">сбор сведений о лицах, находящихся на определенную дату на территории РФ, проводится на всей территории РФ в соответствии с официальной статистической методологией в целях формирования официальной статистической информации о демографических, об экономических и о социальных процессах
</t>
  </si>
  <si>
    <t>осуществление государственного надзора в области охраны окружающей среды на объектах хозяйственной и иной деятельности независимо от форм собственности, за исключением объектов хозяйственной и иной деятельности, подлежащих федеральному государственному экологическому надзору</t>
  </si>
  <si>
    <t>01.01.2007-вводится в действие ежегодно</t>
  </si>
  <si>
    <t xml:space="preserve">расходы на выполнение функций МКУ  "Управление капитального строительства и ремонтов" </t>
  </si>
  <si>
    <t>расходы на организационное и материально-техническое обеспечение проведения муниципальных выборов</t>
  </si>
  <si>
    <t>субсидия областного бюджета на поддержку и развитие физической культуры и спорта</t>
  </si>
  <si>
    <t>А-33.003</t>
  </si>
  <si>
    <t>А-02.010</t>
  </si>
  <si>
    <t>А-23.004</t>
  </si>
  <si>
    <t>А-02.011</t>
  </si>
  <si>
    <t>расходы на публикацию в СМИ муниципальных правовых актов, конкурсной документации и других документов по вопросам местного значения</t>
  </si>
  <si>
    <t>(уточненный)</t>
  </si>
  <si>
    <t>* реестр расходных обязательств не включаются условно утверждаемые расходы городского бюджета на 2014 год в сумме 319 393,6 тыс. рублей; на 2015 год в сумме 370 272,3 тыс. рублей</t>
  </si>
  <si>
    <t>прочие</t>
  </si>
  <si>
    <t>A-00.000</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</si>
  <si>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</si>
  <si>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</si>
  <si>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</si>
  <si>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</si>
  <si>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</si>
  <si>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присвоение наименований улицам, площадям и иным территориям проживания граждан в городском округе, установление нумерации домов</t>
  </si>
  <si>
    <t xml:space="preserve">осуществление мер по противодействию коррупции в границах городского округа
</t>
  </si>
  <si>
    <t>A-81.000</t>
  </si>
  <si>
    <t>A-82.000</t>
  </si>
  <si>
    <t>B-01.000</t>
  </si>
  <si>
    <t>выполнение отдельных государственных полномочий по оплате жилищно-коммунальных услуг отдельным категориям граждан</t>
  </si>
  <si>
    <t>B-02.000</t>
  </si>
  <si>
    <t>B-03.000</t>
  </si>
  <si>
    <t xml:space="preserve">ежемесячное вознаграждение за классное руководство </t>
  </si>
  <si>
    <t>B-04.000</t>
  </si>
  <si>
    <t>передаваемые полномочия по предоставлению субсидий на оплату жилого помещения и коммунальных услуг</t>
  </si>
  <si>
    <t>B-05.000</t>
  </si>
  <si>
    <t>осуществление отдельных государственных полномочий по созданию в муниципальных районах и городских округах области административных комиссий</t>
  </si>
  <si>
    <t>B-06.000</t>
  </si>
  <si>
    <t>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t>
  </si>
  <si>
    <t>B-08.000</t>
  </si>
  <si>
    <t>осуществление отдельных государственных полномочий в сфере архивного дела</t>
  </si>
  <si>
    <t>B-09.000</t>
  </si>
  <si>
    <t>осуществление отдельных государственных полномочий в сфере охраны окружающей среды</t>
  </si>
  <si>
    <t>B-10.000</t>
  </si>
  <si>
    <t>осуществление отдельных государственных полномочий в сфере регулирования цен (тарифов)</t>
  </si>
  <si>
    <t>B-11.000</t>
  </si>
  <si>
    <t>выполнение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t>
  </si>
  <si>
    <t>B-12.000</t>
  </si>
  <si>
    <t>обеспечение воспитания и обучения детей-инвалидов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учебно-наглядные пособия</t>
  </si>
  <si>
    <t>B-13.000</t>
  </si>
  <si>
    <t>содержание и обучение детей с ограниченными возможностями здоровья, в том числе детей-сирот и детей, оставшихся без попечения родителей, за время их пребывания в соответствующем муниципальном специальном (коррекционном) образовательном учреждении для обучающихся, воспитанников с ограниченными возможностями здоровья</t>
  </si>
  <si>
    <t>B-14.000</t>
  </si>
  <si>
    <t>обеспечение социальной поддержки детей, обучающихся в муниципальных общеобразовательных учреждениях, из многодетных семей, приемных семей, имеющих в своем составе трех и более детей, в том числе родных, в части предоставления денежных выплат на проезд на внутригородском транспорте (кроме такси), а также в автобусах пригородных и внутрирайонных линий и приобретение комплекта детской одежды для посещения школьных занятий, спортивной формы для занятий физической культурой</t>
  </si>
  <si>
    <t>B-16.000</t>
  </si>
  <si>
    <t>обеспечение общеобразовательного процесса</t>
  </si>
  <si>
    <t>B-18.000</t>
  </si>
  <si>
    <t>выполнение отдельных государственных полномочий по обеспечению мер социальной поддержки и социального обслуживания отдельных категорий граждан</t>
  </si>
  <si>
    <t>B-19.000</t>
  </si>
  <si>
    <t>осуществление отдельных государственных полномочий в сфере предоставления мер социальной поддержки при проезде на транспорте</t>
  </si>
  <si>
    <t>B-20.000</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</si>
  <si>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</si>
  <si>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B-21.000</t>
  </si>
  <si>
    <t>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 нуждающихся в опеке и попечительстве</t>
  </si>
  <si>
    <t>B-22.000</t>
  </si>
  <si>
    <t>осуществление отдельных государственных полномочий в сфере труда</t>
  </si>
  <si>
    <t>B-23.000</t>
  </si>
  <si>
    <t>осуществление отдельных государственных полномочий в сфере здравоохранения</t>
  </si>
  <si>
    <t>B-24.000</t>
  </si>
  <si>
    <t>обеспечение детей-сирот и детей, оставшихся без попечения родителей, находящихся под опекой (попечительством) в семьях граждан, лиц из числа детей указанных категорий денежными выплатами на их содержание; на содержание детей-сирот и детей, оставшихся без попечения родителей, за время пребывания их у приемных родителей, лиц из числа детей указанных категорий, включая обеспечение денежными выплатами на их содержание, вознаграждение, выплачиваемое приемным родителям и выплату ежемесячного пособия</t>
  </si>
  <si>
    <t>B-25.000</t>
  </si>
  <si>
    <t>обеспечение выплаты денежной компенсации части  платы, взимаемой с родителей (законных представителей) за содержание детей в муниципальных образовательных учреждениях области, реализующих основную общеобразовательную программу дошкольного образования, а также иных образовательных организациях, расположенных на территории области, реализующих основную общеобразовательную программу дошкольного образования</t>
  </si>
  <si>
    <t>B-26.000</t>
  </si>
  <si>
    <t>реализация мероприятий по проведению оздоровительной компании детей, находящихся в трудной жизненной ситуации</t>
  </si>
  <si>
    <t>B-27.000</t>
  </si>
  <si>
    <t>осуществление полномочий по обеспечению жильем отдельных категорий граждан - ветеранов ВОВ 1941-1945 гг</t>
  </si>
  <si>
    <t>B-29.000</t>
  </si>
  <si>
    <t>на осуществление отдельных государственных полномочий по подготовке проведения Всероссийской переписи населения</t>
  </si>
  <si>
    <t>Г-01.000</t>
  </si>
  <si>
    <t>в области образования</t>
  </si>
  <si>
    <t>Г-02.000</t>
  </si>
  <si>
    <t>в области социальной политики</t>
  </si>
  <si>
    <t>Г-03.000</t>
  </si>
  <si>
    <t>в области здравоохранения</t>
  </si>
  <si>
    <t>Г-04.000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</si>
  <si>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</si>
  <si>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</si>
  <si>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Объем средств на исполнение расходного обязательства (тыс. рублей)</t>
  </si>
  <si>
    <t xml:space="preserve">текущий финансовый 2012 год  (уточненный план) </t>
  </si>
  <si>
    <t>Решение Череповецкой городской Думы от 28.06.2011 № 137 «О компенсационных выплатах депутатам Череповецкой городской Думы»</t>
  </si>
  <si>
    <t>01.06.2011- не установлен</t>
  </si>
  <si>
    <t>1.52</t>
  </si>
  <si>
    <t>1.53</t>
  </si>
  <si>
    <t>0103, 0104, 0106, 0412, 0605, 1006, 1105</t>
  </si>
  <si>
    <t>01.01.2010- не установлен</t>
  </si>
  <si>
    <t>расходы на выполнение функций Управлением министерства внутренних дел города за счет средств городского бюджета, с 1 января 2012 года финансирование полиции будет осуществляться за счет средств федерального бюджета</t>
  </si>
  <si>
    <t>0113, 0605, 0709, 0804, 0909</t>
  </si>
  <si>
    <t xml:space="preserve">Федеральный закон от 06.10.2003 № 131-ФЗ "Об общих принципах организации местного самоуправления в РФ";                                                                                                                                                                                                  </t>
  </si>
  <si>
    <t xml:space="preserve">Федеральный закон от 10.01.2002 № 7-ФЗ "Об охране окружающей среды"               </t>
  </si>
  <si>
    <t xml:space="preserve">п.п. 11 п. 1 ст. 16  гл. 3;               </t>
  </si>
  <si>
    <t>ст. 7</t>
  </si>
  <si>
    <t xml:space="preserve">06.10.2003-не установлен;   
</t>
  </si>
  <si>
    <t>12.01.2002-не установлен</t>
  </si>
  <si>
    <t>03.07.2012-31.12.2012</t>
  </si>
  <si>
    <t>01.01.2013-31.12.2013</t>
  </si>
  <si>
    <r>
      <t>расходы на исполнение функций</t>
    </r>
    <r>
      <rPr>
        <sz val="11"/>
        <color indexed="60"/>
        <rFont val="Times New Roman"/>
        <family val="1"/>
      </rPr>
      <t xml:space="preserve"> </t>
    </r>
    <r>
      <rPr>
        <sz val="11"/>
        <rFont val="Times New Roman"/>
        <family val="1"/>
      </rPr>
      <t>МКУ "Центр комплексного обслуживания"</t>
    </r>
  </si>
  <si>
    <t>расходы на строительство магистральных сетей для застройки микрорайонов города</t>
  </si>
  <si>
    <t xml:space="preserve">Распоряжение мэрии города от 31.10.2012 № 377-р "О подготовке и проведении конференции "Череповец-территория развития" </t>
  </si>
  <si>
    <t>31.10.2012 - 
не установлен</t>
  </si>
  <si>
    <t>Постановление мэрии города от 14.05.2008 № 1715 "О порядке принятия решений о заключении долгосрочных муниципальных контрактов на выполнение работ (оказание услуг) с длительным производственным циклом"</t>
  </si>
  <si>
    <t>Постановление мэрии города от 16.06.2010 № 2185 "О принятии решения о подготовке проекта планировки исторической части города Череповца и заключении долгосрочного муниципального контракта на выполнение соответствующих работ"</t>
  </si>
  <si>
    <t>Постановление мэрии города от 18.06.2010 №2224"О принятии решения о подготовке проекта корректировки красных линий  города Череповца и заключении долгосрочного муниципального контракта на выполнение соответствующих работ"</t>
  </si>
  <si>
    <t>Постановление мэрии города от 27.01.2011№ 259 "О принятии решения о заключении долгосрочного муниципального контракта на выполнение работ по разработке проекта транспортной схемы города Череповца"</t>
  </si>
  <si>
    <t xml:space="preserve">27.01.2011-не установлен </t>
  </si>
  <si>
    <t xml:space="preserve">14.05.2008-не установлен; </t>
  </si>
  <si>
    <t xml:space="preserve">16.06.2010-не установлен; </t>
  </si>
  <si>
    <t xml:space="preserve">18.06.2010-не установлен; </t>
  </si>
  <si>
    <t>Распоряжение мэрии города от 30.01.2012 № 22-р "О выделении денежных средств на проведение  инвентаризации и переоценки объектов недвижимости"</t>
  </si>
  <si>
    <t>30.01.2012-31.12.2012</t>
  </si>
  <si>
    <t>Распоряжение мэрии города от 30.01.2012 № 25-р "О выделении денежных средств на установление и прекращение публичных сервитутов"</t>
  </si>
  <si>
    <t>расходы на содержание имущества казны, расходы на размещение информации в официальных печатных изданиях, услуги архива</t>
  </si>
  <si>
    <t>расходы на подготовку объектов недвижимости и земельных участков к продаже, подготовку и проведение торгов по продаже права на заключение договоров аренды нежилых помещений</t>
  </si>
  <si>
    <t>Распоряжение мэрии города от 30.01.2012 № 28-р "О выделении денежных средств на демонтаж рекламных конструкций";</t>
  </si>
  <si>
    <t>30.01.2012-31.12.2012;</t>
  </si>
  <si>
    <t>Распоряжение мэрии города от 30.01.2012 № 26-р "О размере и видах затрат на организацию и проведение торгов по продаже права на заключение договора на право размещения рекламных конструкций"</t>
  </si>
  <si>
    <t>23.11.2010 - не установлен</t>
  </si>
  <si>
    <t>выделение и оценка доли земельного участка под многоквартирным домом</t>
  </si>
  <si>
    <t>0113, 0412, 0501, 0503, 0801</t>
  </si>
  <si>
    <t>0410, 0502, 0503</t>
  </si>
  <si>
    <t>0409, 0502, 0503</t>
  </si>
  <si>
    <t>А-33.004</t>
  </si>
  <si>
    <t>Постановление Череповецкой городской Думы от 20.12.2005 № 162 "О порядке проведения спортивных мероприятий  в городе Череповце"</t>
  </si>
  <si>
    <t>24.01.2006-не установлен</t>
  </si>
  <si>
    <t>Постановление мэра города от 15.10.2008 № 3545 "О долгосрочной  целевой программе "Здоровый город" на 2009-2015 годы"</t>
  </si>
  <si>
    <t xml:space="preserve">Постановление мэра города от 15.10.2008 №3547 "О долгосрочной целевой программе "Спортивный город" на 2009-2011 годы" </t>
  </si>
  <si>
    <t>0113, 0309, 0410, 0501, 0707, 0709, 0901, 0902, 0904, 0905, 0909, 1101, 1202</t>
  </si>
  <si>
    <t xml:space="preserve">В целом </t>
  </si>
  <si>
    <t>с момента опубликования-не установлен</t>
  </si>
  <si>
    <t>Закон  Вологодской области от 17.12.2007 № 1718-ОЗ  "О наделении органов местного самоуправления отдельными государственными полномочиями в сфере труда и социальной защиты населения области"</t>
  </si>
  <si>
    <t>0707, 0709,1002, 1003, 1006</t>
  </si>
  <si>
    <t>B-18.001</t>
  </si>
  <si>
    <t>24.04.2012- 31.12.2012</t>
  </si>
  <si>
    <t>расходы на санаторно-курортное лечение работников бюджетной сферы города (долевое софинансирование с областным бюджетом)</t>
  </si>
  <si>
    <t xml:space="preserve">Постановление Правительства Вологодской области от 14.02.2011 № 113 "Об утверждении правил предоставления и расходования субсидий" </t>
  </si>
  <si>
    <t>Постановление Правительства Вологодской области от 19.03.2012 № 230 "Об утверждении правил предоставления и расходования субсидий"</t>
  </si>
  <si>
    <t>Постановление мэрии  от 06.07.2012 № 3773 "О выделении и использовании бюджетных ассигнований резервного фонда мэрии города"</t>
  </si>
  <si>
    <t>Постановление Череповецкой городской Думы от 27.12.2005 № 186 "О Положении о финансовом управлении мэрии города Череповца"</t>
  </si>
  <si>
    <t xml:space="preserve">Постановление мэрии города от 26.07.2010 №2850 "О муниципальной программе "Энергоснабжение и повышение энергетической эффективности на территории муниципального образования город Череповец на 2010-2014 гг" </t>
  </si>
  <si>
    <t>Постановление мэрии города 03.11.2006 № 4776 "О реализации отдельных государственных полномочий в сфере регулирования цен (тарифов)"</t>
  </si>
  <si>
    <t>21.11.2006-не установлен</t>
  </si>
  <si>
    <t>расходы на выполнение функций управлением здравоохранения, с 1 января 2012 года финансирование будет осуществляться за счет субвенций областного бюджета.  В 2013- 2015 годах не предусмотрены ассигнования на оказание первичной медико-санитарной помощи учреждениями здравоохранения в связи с их передачей из муниципальной собственности в государственную.</t>
  </si>
  <si>
    <t xml:space="preserve">Постановление мэра города от 15.10.2008 № 3545 "О долгосрочной  целевой программе "Здоровый город" на 2009-2015 годы" </t>
  </si>
  <si>
    <t xml:space="preserve">расходы на выполнение муниципальных услуг учреждениями здравоохранения (оказание первичной медико-санитарной помощи в стационарно-поликлинических и больничных учреждениях, организация оказания медицинской помощи женщинам в период беременности, во время и после родов, организация оказания специализированной медицинской  помощи, организация оказания скорой медицинской помощи (за исключением санитарно-авиационной), санаторно-реабилитационное лечение детей с заболеваниями органов дыхания), с 1 января 2012 года финансирование расходов за счет субвенций областного бюджета. </t>
  </si>
  <si>
    <t>Закон Вологодской области от 28.11.2011 №2658-ОЗ " О наделении органов местного самоуправления отдельными государственными полномочиями в сфере здравоохранения"</t>
  </si>
  <si>
    <t>01.01.2009 - 31.12.2012</t>
  </si>
  <si>
    <t>B-23.001</t>
  </si>
  <si>
    <t>B-23.002</t>
  </si>
  <si>
    <t>B-23.003</t>
  </si>
  <si>
    <t>01.07.2012 - не установлен</t>
  </si>
  <si>
    <t>денежная компенсация на оплату расходов по найму (поднайму) жилых помещений лицам, впервые поступающим на работу в МБУЗ</t>
  </si>
  <si>
    <t>20.08.2012 - 31.12.2012</t>
  </si>
  <si>
    <t>дополнительные средства городского бюджета к субвенциям из областного бюджета на выполнение переданных отдельных государственных полномочий в сфере здравоохранения по организации оказания первичной медико-санитарной помощи</t>
  </si>
  <si>
    <t>Постановление мэрии от 27.09.2012 №5104 "О создании муниципального казенного учреждения "Спецавтотранс"</t>
  </si>
  <si>
    <t>27.09.2012-не установлен</t>
  </si>
  <si>
    <t>расходы на исполнение функций МКУ "Спецавтотранс"</t>
  </si>
  <si>
    <t>А-10.011</t>
  </si>
  <si>
    <t>вывоз самовольно установленных  временных объектов с территории города</t>
  </si>
  <si>
    <t>вывоз брошенных транспортных средств с территории города</t>
  </si>
  <si>
    <t xml:space="preserve">  пункт 2 </t>
  </si>
  <si>
    <t>01.01.2009 - не установлен</t>
  </si>
  <si>
    <t>16.05.2012 - не установлен</t>
  </si>
  <si>
    <t>Постановление Правительства Вологодской области от 16.05.2012 № 449 "Об утверждении правил предоставления и расходования субсидий местным бюджетам за счет бюджетных ассигнований дорожного фонда Вологодской области"</t>
  </si>
  <si>
    <t>Решение Череповецкой городской думы  от 02.12.2008 № 140 "О перечне работ и услуг, финансируемых по статье "Благоустройство"</t>
  </si>
  <si>
    <t>26.03.2010 - не установлен</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</si>
  <si>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</si>
  <si>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</si>
  <si>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</si>
  <si>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А-06.000</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</si>
  <si>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</si>
  <si>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</si>
  <si>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</si>
  <si>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</si>
  <si>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</si>
  <si>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</si>
  <si>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</si>
  <si>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</si>
  <si>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</si>
  <si>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</si>
  <si>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</si>
  <si>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</si>
  <si>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</si>
  <si>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</si>
  <si>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</si>
  <si>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</si>
  <si>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</si>
  <si>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</si>
  <si>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</si>
  <si>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</si>
  <si>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</si>
  <si>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</si>
  <si>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</si>
  <si>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</si>
  <si>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</si>
  <si>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</si>
  <si>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</si>
  <si>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</si>
  <si>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29.04.2011-не установлен</t>
  </si>
  <si>
    <t xml:space="preserve">  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образовательных учреждений, порядка исчисления заработной платы работников муниципальных образовательных учреждений"</t>
  </si>
  <si>
    <t xml:space="preserve">в целом;      </t>
  </si>
  <si>
    <t>01.01.2010-не установлен;</t>
  </si>
  <si>
    <t xml:space="preserve">Федеральный закон от 06.10.2003 № 131-ФЗ "Об общих принципах организации местного самоуправления в РФ";                                                                                                                                                                                                                                                                                                                                                       </t>
  </si>
  <si>
    <t xml:space="preserve">Решение Череповецкой городской Думы от 24.06.2008 № 80 "О Положении об установке рекламных конструкций на территории города Череповца";                                                                                                                                                                                                                                                             </t>
  </si>
  <si>
    <t xml:space="preserve"> в целом; </t>
  </si>
  <si>
    <t>10.07.2008-не установлен;</t>
  </si>
  <si>
    <t xml:space="preserve">п.п. 26.1 п. 1 ст. 16  гл. 3;   </t>
  </si>
  <si>
    <t xml:space="preserve">06.10.2003-не установлен;  </t>
  </si>
  <si>
    <t xml:space="preserve">04.05.2011-не установлен; </t>
  </si>
  <si>
    <t xml:space="preserve">Постановление мэрии города от 04.05.2011 № 1837 "Об утверждении порядка демонтажа рекламных конструкций";      </t>
  </si>
  <si>
    <t xml:space="preserve">Федеральный закон от 06.10.2003 № 131-ФЗ "Об общих принципах организации местного самоуправления в РФ"                                                      </t>
  </si>
  <si>
    <t>А-20.001</t>
  </si>
  <si>
    <t>А-20.002</t>
  </si>
  <si>
    <t>А-20.003</t>
  </si>
  <si>
    <t>А-20.004</t>
  </si>
  <si>
    <t>А-20.005</t>
  </si>
  <si>
    <t>А-20.006</t>
  </si>
  <si>
    <t>А-20.007</t>
  </si>
  <si>
    <t>А-20.008</t>
  </si>
  <si>
    <t>А-20.009</t>
  </si>
  <si>
    <t>А-20.010</t>
  </si>
  <si>
    <t>А-20.012</t>
  </si>
  <si>
    <t>А-20.013</t>
  </si>
  <si>
    <t>А-20.014</t>
  </si>
  <si>
    <t>А-20.015</t>
  </si>
  <si>
    <t>А-20.016</t>
  </si>
  <si>
    <t xml:space="preserve">Постановление мэра города от 18.01.2006 № 75 "О Порядке выплат лицам, награжденным  почетным знаком "За особые заслуги перед городом Череповца" </t>
  </si>
  <si>
    <t xml:space="preserve">Решение Череповецкой городской  Думы от 26.01.2010  № 4  "О Положении об управлении образования мэрии города Череповца"      </t>
  </si>
  <si>
    <t>26.01.2010-не установлен</t>
  </si>
  <si>
    <t>31.05.2002-не установлен</t>
  </si>
  <si>
    <t>12.04.2010-не установлен</t>
  </si>
  <si>
    <t>19.02.2001-не установлен</t>
  </si>
  <si>
    <t>0701</t>
  </si>
  <si>
    <t>Постановление Правительства РФ от 12.09.2008 № 666 "Об утверждении  Типового положения о дошкольном образовательном учреждении"</t>
  </si>
  <si>
    <t>0701, 0702</t>
  </si>
  <si>
    <t>расходы на выполнение функций мэром</t>
  </si>
  <si>
    <t>расходы на выполнение функций председателем, депутатами, аппаратом Череповецкой городской Думы</t>
  </si>
  <si>
    <t>расходы на выполнение функций аппаратом мэрии</t>
  </si>
  <si>
    <t>расходы на исполнение судебных актов</t>
  </si>
  <si>
    <t>расходы на проведение и участие в конкурсах</t>
  </si>
  <si>
    <t xml:space="preserve">расходы на выполнение функций комитетом по управлению имуществом города </t>
  </si>
  <si>
    <t>расходы на доплаты к государственной пенсии муниципальных служащих</t>
  </si>
  <si>
    <t>расходы на выполнение функций комитетом социальной защиты населения города</t>
  </si>
  <si>
    <t>расходы на обслуживание кредитов от кредитных организаций</t>
  </si>
  <si>
    <t>расходы на капитальные вложения по органам местного самоуправления, в  том числе субсидии областного бюджета</t>
  </si>
  <si>
    <t>01.01.2009-31.12.2012</t>
  </si>
  <si>
    <t>01.01.2010-31.12.2015</t>
  </si>
  <si>
    <t xml:space="preserve">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 </t>
  </si>
  <si>
    <t>01.08.2011-не установлен</t>
  </si>
  <si>
    <t>п.п. 8.1 п. 1 ст. 17  гл. 3</t>
  </si>
  <si>
    <t>06.10.2003-не установлен;</t>
  </si>
  <si>
    <t xml:space="preserve"> Решение Череповецкой городской Думы от 29.04.2008 № 61 "О содержании медицинского вытрезвителя и иных расходах городского бюджета"    </t>
  </si>
  <si>
    <t xml:space="preserve"> ст.9;   </t>
  </si>
  <si>
    <t xml:space="preserve"> в целом;           </t>
  </si>
  <si>
    <t xml:space="preserve">п.1, п.п.1.1, 1.2, 1.3, 1.5  </t>
  </si>
  <si>
    <t>Федеральный закон от 06.10.2003 № 131-ФЗ "Об общих принципах организации местного самоуправления в РФ";</t>
  </si>
  <si>
    <t xml:space="preserve">п.п. 9 п. 1 ст. 16  гл. 3;     </t>
  </si>
  <si>
    <t xml:space="preserve"> Федеральный закон от 18.04.1991 № 1026-1 "О милиции";          </t>
  </si>
  <si>
    <t xml:space="preserve"> Федеральный закон от 07.02.2011 № 3-ФЗ "О полиции"; </t>
  </si>
  <si>
    <t xml:space="preserve">18.04.1991-28.02.2011;                                                                                                                                                                             </t>
  </si>
  <si>
    <t xml:space="preserve">  01.03.2011-не установлен;    </t>
  </si>
  <si>
    <t>0113, 1202</t>
  </si>
  <si>
    <t xml:space="preserve">Федеральный закон от 06.10.2003 № 131-ФЗ "Об общих принципах организации местного самоуправления в РФ"                                                                                                 </t>
  </si>
  <si>
    <t>Решение Череповецкой городской Думы от 25.09.2007 № 94 "О Положении о порядке управления и распоряжения жилищным фондом, находящимся в собственности муниципального образования "Город Череповец"</t>
  </si>
  <si>
    <t xml:space="preserve">п.п. 6 п. 1 ст. 16  гл. 3                                                                                                                                                                                    </t>
  </si>
  <si>
    <t xml:space="preserve">  в целом</t>
  </si>
  <si>
    <t>11.10.2007-не установлен</t>
  </si>
  <si>
    <t>0113, 0410</t>
  </si>
  <si>
    <t>А-16.004</t>
  </si>
  <si>
    <t>А-43.005</t>
  </si>
  <si>
    <t>0709, 1006</t>
  </si>
  <si>
    <t>0804, 1006</t>
  </si>
  <si>
    <t>1006, 1101</t>
  </si>
  <si>
    <t>Постановление мэрии  города от 18.08.2010 № 3172 "Об утверждении Положения о порядке проведения массовых мероприятий муниципальными образовательными учреждениями города с обучающимися"</t>
  </si>
  <si>
    <t>18.08.2010-не установлен</t>
  </si>
  <si>
    <t>расходы на проведение массовых мероприятий муниципальными образовательными учреждениями города с обучающимися</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</si>
  <si>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</si>
  <si>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</si>
  <si>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</si>
  <si>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 xml:space="preserve">участие в предупреждении и ликвидации последствий чрезвычайных ситуаций в границах городского округа </t>
  </si>
  <si>
    <t>0309</t>
  </si>
  <si>
    <t>организация охраны общественного порядка на территории городского округа муниципальной милицией</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</si>
  <si>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</si>
  <si>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обеспечение первичных мер пожарной безопасности в границах городского округа</t>
  </si>
  <si>
    <t>13.05.2008-не установлен</t>
  </si>
  <si>
    <t xml:space="preserve">п.п. 34 п. 1 ст. 16  гл. 3                 </t>
  </si>
  <si>
    <t xml:space="preserve">Федеральный закон от 06.10.2003 № 131-ФЗ "Об общих принципах организации местного самоуправления в РФ"                  </t>
  </si>
  <si>
    <t>0100, 0300, 0400, 0500, 0600, 0700, 0800, 0900, 1000, 1100, 1200, 1300</t>
  </si>
  <si>
    <t>Постановление мэра города от 12.12.2008 № 4421 "Об утверждении Положения о порядке долевого финансирования капитального ремонта многоквартирных домов, осуществляемых за счет средств собственников"</t>
  </si>
  <si>
    <t>12.12.2008-не установлен</t>
  </si>
  <si>
    <t>Федеральный закон от 21.07.2007 № 185-ФЗ "О Фонде содействия реформированию жилищно-коммунального хозяйства"</t>
  </si>
  <si>
    <t>Решение Череповецкой городской Думы от 26.04.2011 № 66 "О наделении полномочиями по предоставлению за счет средств городского бюджета субсидий на капитальный ремонт многоквартирных домов"</t>
  </si>
  <si>
    <t>0701, 0702, 0707, 0709</t>
  </si>
  <si>
    <t>0901, 0902, 0909</t>
  </si>
  <si>
    <t>А-32.001</t>
  </si>
  <si>
    <t>А-32.002</t>
  </si>
  <si>
    <t>Постановление мэрии города от 31.08.2010 № 3360 "О Порядке предоставления из бюджета города субсидий на организацию объекта размещения твердых бытовых отходов"</t>
  </si>
  <si>
    <t>31.08.2010-не установлен</t>
  </si>
  <si>
    <t>А-19.000</t>
  </si>
  <si>
    <t>А-20.000</t>
  </si>
  <si>
    <t>А-21.000</t>
  </si>
  <si>
    <t>А-22.000</t>
  </si>
  <si>
    <t>создание условий для обеспечения жителей городского округа услугами связи, общественного питания, торговли и бытового обслуживания</t>
  </si>
  <si>
    <t>А-23.000</t>
  </si>
  <si>
    <t>А-24.000</t>
  </si>
  <si>
    <t>А-25.000</t>
  </si>
  <si>
    <t>А-26.000</t>
  </si>
  <si>
    <t>А-27.000</t>
  </si>
  <si>
    <t>А-28.000</t>
  </si>
  <si>
    <t>А-30.000</t>
  </si>
  <si>
    <t>А-31.000</t>
  </si>
  <si>
    <t>А-32.000</t>
  </si>
  <si>
    <t>А-33.000</t>
  </si>
  <si>
    <t>А-34.000</t>
  </si>
  <si>
    <t>А-35.000</t>
  </si>
  <si>
    <t>А-36.000</t>
  </si>
  <si>
    <t>А-37.000</t>
  </si>
  <si>
    <t>А-38.000</t>
  </si>
  <si>
    <t>А-39.000</t>
  </si>
  <si>
    <t>А-40.000</t>
  </si>
  <si>
    <t>А-41.000</t>
  </si>
  <si>
    <t>п.п. 36 п. 1 ст. 16  гл. 3</t>
  </si>
  <si>
    <t>п.п. 37 п. 1 ст. 16  гл. 3</t>
  </si>
  <si>
    <t>1301</t>
  </si>
  <si>
    <t>0113</t>
  </si>
  <si>
    <t>расходы на изготовление техпаспортов  и переоценка объектов недвижимости</t>
  </si>
  <si>
    <t>расходы на установление публичных сервитутов</t>
  </si>
  <si>
    <t xml:space="preserve">расходы на капитальные вложения </t>
  </si>
  <si>
    <t>расходы на капитальный ремонт муниципального жилого фонда (долевое финансирование с собственниками)</t>
  </si>
  <si>
    <t xml:space="preserve">расходы на капитальные вложения в области жилищного строительства </t>
  </si>
  <si>
    <t>расходы на обеспечение первичных мер пожарной безопасности по органам местного самоуправления и бюджетным учреждениям</t>
  </si>
  <si>
    <t>расходы при предоставлении льготы по родительской плате за содержание детей в МДОУ</t>
  </si>
  <si>
    <t xml:space="preserve">субсидия областного бюджета на ДЦП "Развитие образования в сфере культуры и искусства Вологодской области" на 2010-2013 годы </t>
  </si>
  <si>
    <t>расходы на капитальные вложения в области образования (в том числе субсидия областного бюджета)</t>
  </si>
  <si>
    <t xml:space="preserve">субсидия областного бюджета на поощрение общеобразовательных учреждений, внедряющих инновационные программы </t>
  </si>
  <si>
    <t>расходы на страхование медицинских работников</t>
  </si>
  <si>
    <t>расходы на капитальные вложения в области здравоохранения (в том числе областные субсидии)</t>
  </si>
  <si>
    <t>расходы на капитальные вложения в области культуры</t>
  </si>
  <si>
    <t>расходы на капитальные вложения в области физкультуры и спорта</t>
  </si>
  <si>
    <t>расходы на капитальные вложения в области массового отдыха жителей</t>
  </si>
  <si>
    <t>расходы на капитальные вложения в области архивного дела</t>
  </si>
  <si>
    <t>расходы на благоустройство (содержание кладбищ), капитальный ремонт и строительство кладбищ</t>
  </si>
  <si>
    <t>трансферты Череповецкого района по межмуниципальному сотрудничеству в сфере охраны здоровья населения</t>
  </si>
  <si>
    <t>расходы на капитальные вложения в области строительства полигона твердых бытовых отходов</t>
  </si>
  <si>
    <t>расходы на разработку архитектурно-градостроительных проектов</t>
  </si>
  <si>
    <t>расходы на межевание земельных участков</t>
  </si>
  <si>
    <t>расходы на демонтаж и установку рекламных конструкций, другие мероприятия в области рекламы</t>
  </si>
  <si>
    <t>расходы на капитальные вложения в области освещения улиц</t>
  </si>
  <si>
    <t>расходы на организацию и финансирование временного трудоустройства несовершеннолетних в возрасте от 14 до 18 лет в свободное от учебы время "Бригада мэра"</t>
  </si>
  <si>
    <t>Постановление мэрии города от 27.03.2009 № 1064 "Об утверждении Положения об оплате труда работников муниципального учреждения "Центр по защите населения и территорий от чрезвычайных ситуаций"</t>
  </si>
  <si>
    <t>01.04.2009 - не установлен</t>
  </si>
  <si>
    <t>0113,  0412</t>
  </si>
  <si>
    <t xml:space="preserve">Федеральный закон от 21.12.2001 № 178-ФЗ "О приватизации государственного и муниципального имущества"       </t>
  </si>
  <si>
    <t>Распоряжение мэрии города от 29.04.2011 № 148-р "О создании маркетинговой и креативной стратегии города Череповца"</t>
  </si>
  <si>
    <t>Решение Череповецкой городской Думы от 22.12.2009 № 180 "О Положении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</si>
  <si>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 xml:space="preserve">в целом                                                     </t>
  </si>
  <si>
    <t xml:space="preserve">28.08.2009-не установлен </t>
  </si>
  <si>
    <t>субсидии некоммерческим организациям</t>
  </si>
  <si>
    <t>0502</t>
  </si>
  <si>
    <t>организация мероприятий по охране окружающей среды в границах городского округа</t>
  </si>
  <si>
    <t>фактически исполнено</t>
  </si>
  <si>
    <t>0113, 1006</t>
  </si>
  <si>
    <t>А-10.001</t>
  </si>
  <si>
    <t>А-10.002</t>
  </si>
  <si>
    <t>А-10.003</t>
  </si>
  <si>
    <t>А-10.004</t>
  </si>
  <si>
    <t>А-10.005</t>
  </si>
  <si>
    <t>А-10.006</t>
  </si>
  <si>
    <t>15.07.2010-не установлен</t>
  </si>
  <si>
    <t>Постановление мэрии города от 15.07.2010 № 2652 "О мероприятиях по обеспечению законности в сфере игрового бизнеса"</t>
  </si>
  <si>
    <t>01.01.2011 - 31.12.2013</t>
  </si>
  <si>
    <t>Постановление мэрии города от 30.05.2011 № 2222 "О долгосрочной целевой программе "Обеспечение жильем молодых семей" на 2011-2013 годы"</t>
  </si>
  <si>
    <t>Постановление Правительства РФ от 17.12.2010 № 1050 "О ФЦП "Жилище на 2011-2015 годы"</t>
  </si>
  <si>
    <t>А-28.001</t>
  </si>
  <si>
    <t>А-28.002</t>
  </si>
  <si>
    <t>А-30.001</t>
  </si>
  <si>
    <t>А-30.002</t>
  </si>
  <si>
    <t xml:space="preserve">Федеральный закон от 06.10.2003 № 131-ФЗ "Об общих принципах организации местного самоуправления в РФ"                                                                        </t>
  </si>
  <si>
    <t>п.п. 7 п. 1 ст. 16  гл. 3</t>
  </si>
  <si>
    <t>Постановление мэра города от 02.07.2001 № 2322 "О создании муниципального учреждения  "Череповецкий центр хранения документации"</t>
  </si>
  <si>
    <t>01.10.2001-не установлен</t>
  </si>
  <si>
    <t>п.п. 24 п. 1 ст. 16  гл. 3</t>
  </si>
  <si>
    <t xml:space="preserve">Федеральный закон от 06.10.2003 № 131-ФЗ "Об общих принципах организации местного самоуправления в РФ"                                                   </t>
  </si>
  <si>
    <t>п.п. 33 п. 1 ст. 16  гл. 3</t>
  </si>
  <si>
    <t xml:space="preserve">06.10.2003-не установлен                     </t>
  </si>
  <si>
    <t>расходы на денежное вознаграждение гражданам, добровольно сдавшим в УВД незаконно хранящееся оружие,  боеприпасы и взрывчатые вещества</t>
  </si>
  <si>
    <t>с момента опубликования- не установлен</t>
  </si>
  <si>
    <t>А-12.001</t>
  </si>
  <si>
    <t>А-12.002</t>
  </si>
  <si>
    <t xml:space="preserve"> расходы по квартирам, находящимся в муниципальной собственности и временно незаселенным</t>
  </si>
  <si>
    <t xml:space="preserve">Постановление мэра города от 04.05.2008 № 1522 "О порядке осуществления затрат на содержание незаселенных жилых помещений муниципального жилищного фонда и коммунальные услуги"   </t>
  </si>
  <si>
    <t xml:space="preserve">04.05.2008-не установлен    </t>
  </si>
  <si>
    <t>Постановление мэра города от 22.05.2008 № 1836 "О порядке предоставления бюджетных средств на капитальный ремонт многоквартирных домов"</t>
  </si>
  <si>
    <t>22.05.2008-не установлен</t>
  </si>
  <si>
    <t>гр.14</t>
  </si>
  <si>
    <t>п.п. 30 п. 1 ст. 16  гл. 3</t>
  </si>
  <si>
    <t>п.п. 31 п. 1 ст. 16  гл. 3</t>
  </si>
  <si>
    <t>п.п. 32 п. 1 ст. 16  гл. 3</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</si>
  <si>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</si>
  <si>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</si>
  <si>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А-42.000</t>
  </si>
  <si>
    <t>А-43.000</t>
  </si>
  <si>
    <t>А-45.000</t>
  </si>
  <si>
    <t>А-46.000</t>
  </si>
  <si>
    <t>создание условий для деятельности добровольных формирований населения по охране общественного порядка</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</si>
  <si>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</si>
  <si>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Б-00.000</t>
  </si>
  <si>
    <t>В-00.000</t>
  </si>
  <si>
    <t>Г-00.000</t>
  </si>
  <si>
    <t>субсидии областного бюджета на реализацию ДЦП организации допризывной подготовки граждан Вологодской области на 2011-2013 годы</t>
  </si>
  <si>
    <t>Постановление Правительства области от 04.10.2010 № 1132 "О долгосрочной целевой программе "Развитие образования в Вологодской области на 2011-2015 годы"</t>
  </si>
  <si>
    <t>Постановление Правительства области от 04.03.2011 № 183 "О Программе модернизации здравоохранения Вологодской области на 2011-2012 годы"</t>
  </si>
  <si>
    <t xml:space="preserve">Федеральный закон от 06.10.2003 № 131-ФЗ "Об общих принципах организации местного самоуправления в РФ"                                                                    Федеральный закон от 21.12.1994 № 68-ФЗ "О защите населения и территорий от чрезвычайных ситуаций природного и техногенного характера"                                                                                                                                                                                                                                                                                                                                                                                                   </t>
  </si>
  <si>
    <t xml:space="preserve">Постановление мэрии города от 30.12.2004 № 5592 "О создании МУ "Центр защиты населения и территорий от чрезвычайных ситуаций"       </t>
  </si>
  <si>
    <t xml:space="preserve">01.01.2005-не установлен       </t>
  </si>
  <si>
    <t xml:space="preserve">п.п. 8 п. 1 ст. 16  гл. 3                                                                                     
в целом     </t>
  </si>
  <si>
    <t xml:space="preserve">06.10.2003-не установлен                     
21.12.1994-не установлен                         </t>
  </si>
  <si>
    <t>А-16.001</t>
  </si>
  <si>
    <t>А-16.002</t>
  </si>
  <si>
    <t>А-16.003</t>
  </si>
  <si>
    <t>Решение Череповецкой городской Думы от 26.04.2011 № 52 "О межмуниципальном сотрудничестве"</t>
  </si>
  <si>
    <t>26.04.2011-не установлен</t>
  </si>
  <si>
    <t>трансферты Череповецкого района по межмуниципальному сотрудничеству в сфере участия в предупреждении и ликвидации последствий чрезвычайных ситуаций</t>
  </si>
  <si>
    <t>Постановление Правительства области от 17.08.2011 № 1000 "О выделении средств"</t>
  </si>
  <si>
    <t>17.08.2011-до исполнения</t>
  </si>
  <si>
    <t>формирование и содержание муниципального архива</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</si>
  <si>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</si>
  <si>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Наименование вопроса местного значения, расходного обязательства</t>
  </si>
  <si>
    <t>Примечание</t>
  </si>
  <si>
    <t>наименование и реквизиты нормативного правового  акта</t>
  </si>
  <si>
    <t>номер   статьи, части,  пункта, подпункта, абзаца</t>
  </si>
  <si>
    <t xml:space="preserve">часть 1 п.п. 7 п. 1 ст. 17                            гл. 3 </t>
  </si>
  <si>
    <t>очередной финансовый 2014 год *</t>
  </si>
  <si>
    <t>А-01.001</t>
  </si>
  <si>
    <t>А-01.002</t>
  </si>
  <si>
    <t>А-01.003</t>
  </si>
  <si>
    <t>А-01.004</t>
  </si>
  <si>
    <t>А-01.005</t>
  </si>
  <si>
    <t>А-01.006</t>
  </si>
  <si>
    <t>А-01.007</t>
  </si>
  <si>
    <t>А-01.008</t>
  </si>
  <si>
    <t>А-01.009</t>
  </si>
  <si>
    <t>А-01.010</t>
  </si>
  <si>
    <t>А-01.011</t>
  </si>
  <si>
    <t>А-01.012</t>
  </si>
  <si>
    <t>А-01.013</t>
  </si>
  <si>
    <t>А-01.014</t>
  </si>
  <si>
    <t>0102</t>
  </si>
  <si>
    <t>0103</t>
  </si>
  <si>
    <t>0104</t>
  </si>
  <si>
    <t>0111</t>
  </si>
  <si>
    <t>0412</t>
  </si>
  <si>
    <t>0505</t>
  </si>
  <si>
    <t>0605</t>
  </si>
  <si>
    <t>А-01.015</t>
  </si>
  <si>
    <t>А-01.016</t>
  </si>
  <si>
    <t>А-01.017</t>
  </si>
  <si>
    <t>А-01.018</t>
  </si>
  <si>
    <t>0709</t>
  </si>
  <si>
    <t>0804</t>
  </si>
  <si>
    <t>1202</t>
  </si>
  <si>
    <t>0909</t>
  </si>
  <si>
    <t>1105</t>
  </si>
  <si>
    <t>1001</t>
  </si>
  <si>
    <t>1006</t>
  </si>
  <si>
    <t xml:space="preserve">в целом                                                                                                                                                               </t>
  </si>
  <si>
    <t xml:space="preserve"> 01.01.2009 - 31.12.2015</t>
  </si>
  <si>
    <t>дата  вступления в силу и срок действия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</si>
  <si>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</si>
  <si>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А-07.000</t>
  </si>
  <si>
    <t>А-08.000</t>
  </si>
  <si>
    <t>А-09.000</t>
  </si>
  <si>
    <t>формирование, утверждение, исполнение бюджета городского округа и контроль за исполнением данного бюджета</t>
  </si>
  <si>
    <t>установление, изменение и отмена местных налогов и сборов городского округа</t>
  </si>
  <si>
    <t>А-10.000</t>
  </si>
  <si>
    <t>А-11.000</t>
  </si>
  <si>
    <t>А-12.000</t>
  </si>
  <si>
    <t>А-13.000</t>
  </si>
  <si>
    <t>А-14.000</t>
  </si>
  <si>
    <t>А-15.000</t>
  </si>
  <si>
    <t>А-16.000</t>
  </si>
  <si>
    <t>А-17.000</t>
  </si>
  <si>
    <t>А-18.000</t>
  </si>
  <si>
    <t>01.01.2010-не установлен</t>
  </si>
  <si>
    <t>0302</t>
  </si>
  <si>
    <t>расходы на вакцинопрофилактику</t>
  </si>
  <si>
    <t xml:space="preserve">расходы на реализацию ДЦП «Здоровый город» на 2009-2015 годы  </t>
  </si>
  <si>
    <t>расходы на проведение мероприятий по работе с детьми и молодежью (организация молодежных программ)</t>
  </si>
  <si>
    <t>расходы на реализацию ДЦП "Развитие инвестиционного потенциала города Череповца" на 2010 - 2015 годы</t>
  </si>
  <si>
    <t>расходы на реализацию ФЦП "Жилище" подпрограмма "Обеспечение жильем молодых семей" ( в том числе субсидии областного и федерального бюджета)</t>
  </si>
  <si>
    <t xml:space="preserve">Федеральный закон от 12.06.2002 № 67-ФЗ «Об основных гарантиях избирательных прав и права на участие в референдуме граждан Российской Федерации» </t>
  </si>
  <si>
    <t>25.06.2002-не установлен</t>
  </si>
  <si>
    <t>1101, 1102</t>
  </si>
  <si>
    <t>Постановление Череповецкой городской Думы от 08.08.2005 № 84 "Об Уставе города Череповца"</t>
  </si>
  <si>
    <t xml:space="preserve">Постановление Череповецкой городской Думы от 08.08.2005 № 84 "Об уставе города Череповца"                                                                                                  </t>
  </si>
  <si>
    <t>ВКЛЮЧАЯ:</t>
  </si>
  <si>
    <t>субсидия на финансовую поддержку социально-ориентированных некоммерческих организаций</t>
  </si>
  <si>
    <t>А-42.001</t>
  </si>
  <si>
    <t>А-42.002</t>
  </si>
  <si>
    <t>А-42.003</t>
  </si>
  <si>
    <t xml:space="preserve">Федеральный закон от 06.10.2003 № 131-ФЗ "Об общих принципах организации местного самоуправления в РФ";             </t>
  </si>
  <si>
    <t xml:space="preserve">п.п. 18 п. 1 ст. 16  гл. 3;      </t>
  </si>
  <si>
    <t xml:space="preserve"> ст. 40; </t>
  </si>
  <si>
    <t xml:space="preserve">06.10.2003-не установлен;      
</t>
  </si>
  <si>
    <t xml:space="preserve"> 09.10.1992-не установлен;</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</si>
  <si>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</si>
  <si>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в целом;  </t>
  </si>
  <si>
    <t xml:space="preserve">01.09.2010-не установлен;  </t>
  </si>
  <si>
    <t>А-20.017</t>
  </si>
  <si>
    <t>А-20.018</t>
  </si>
  <si>
    <t xml:space="preserve">Постановление мэрии города от 14.10.2011 № 4303 "О ведомственной целевой программе «Укрепление материально-технической базы образовательных учреждений города и обеспечение их безопасности» на 2012-2014 годы" </t>
  </si>
  <si>
    <t xml:space="preserve">расходы на реализацию ВЦП «Укрепление материально-технической базы образовательных учреждений города и обеспечение их безопасности» на 2012-2014 годы"  </t>
  </si>
  <si>
    <t>01.01.2012-31.12.2012</t>
  </si>
  <si>
    <t>Решение Череповецкой городской Думы от 09.03.2010 № 22 "О Положении о профессиональной переподготовке и повышении квалификации выборных должностей лиц, депутатов, муниципальных служащих органов городского самоуправления"</t>
  </si>
  <si>
    <t>расходы на реализацию ВЦП "Спортивный город" на 2009-2014 годы</t>
  </si>
  <si>
    <t>Постановление мэра города от 15.10.2008 № 3547 "О долгосрочной целевой программе "Спортивный город" на 2009-2011 годы" в новой редакции от 22.11.2010 № 4466</t>
  </si>
  <si>
    <t>Постановление мэрии города от 14.10.2011 № 4297 "О ведомственной целевой программе «Спортивный город» на 2012-2014 годы"</t>
  </si>
  <si>
    <t>Постановление мэрии города от 22.04.2009 № 1353 "О внесении изменений в устав муниципального учреждения "Централизованная бухгалтерия  по обслуживанию учреждений здравоохранения"</t>
  </si>
  <si>
    <t>Постановление мэрии города от 31.05.2002 № 1883 "О создании муниципального учреждения "Централизованная бухгалтерия  по обслуживанию учреждений образования"</t>
  </si>
  <si>
    <t>субсидия областного бюджета на реализацию ОЦП «Пожарная безопасность учреждений здравоохранения»</t>
  </si>
  <si>
    <t>субсидия областного бюджета на реализацию ОЦП "Пожарная безопасность учреждений культуры"</t>
  </si>
  <si>
    <t>Постановление Правительства области от 04.10.2010 № 1128 "О долгосрочной целевой программе "Комплексная безопасность образовательного учреждения на 2011-2015 годы"</t>
  </si>
  <si>
    <t>А-18.001</t>
  </si>
  <si>
    <t>А-18.002</t>
  </si>
  <si>
    <t>А-18.003</t>
  </si>
  <si>
    <t>А-18.004</t>
  </si>
  <si>
    <t>Решение Череповецкой городской Думы от 04.04.2006 № 63 "Об обеспечении первичных мер пожарной безопасности на территории города Череповца"</t>
  </si>
  <si>
    <t>04.04.2006-не установлен</t>
  </si>
  <si>
    <t>А-21.001</t>
  </si>
  <si>
    <t>А-21.002</t>
  </si>
  <si>
    <t>А-21.003</t>
  </si>
  <si>
    <t>А-21.004</t>
  </si>
  <si>
    <t>А-21.005</t>
  </si>
  <si>
    <t>А-21.006</t>
  </si>
  <si>
    <t>А-21.007</t>
  </si>
  <si>
    <t>0904</t>
  </si>
  <si>
    <t>0901, 0902, 0903, 0904</t>
  </si>
  <si>
    <t>0901</t>
  </si>
  <si>
    <t>субсидия федерального бюджета на денежные выплаты медицинскому персоналу ФАП, фельдшерам и медицинским сестрам скорой медицинской помощи</t>
  </si>
  <si>
    <t>0901, 0902</t>
  </si>
  <si>
    <t>0901, 0902, 0903, 0904, 0905, 0909</t>
  </si>
  <si>
    <t xml:space="preserve">Постановление Череповецкой городской Думы от 27.12.2005 № 182 "О Положении о порядке финансового обеспечения скорой медицинской помощи, первичной медико-санитарной помощи, медиц.помощи женщинам в период беременности, во время и после родов"                                                                                                                                                            </t>
  </si>
  <si>
    <t>01.01.2005-не установлен</t>
  </si>
  <si>
    <t>Решение Череповецкой городской Думы от 26.09.2006 № 137 "О Положении об обязательном страховании медицинских, фармацевтических и иных  работников муниципальных учреждений здравоохранения в городе Череповце"</t>
  </si>
  <si>
    <t>Федеральный закон от 06.10.2003 № 131-ФЗ "Об общих принципах организации местного самоуправления в РФ";                                                                         Федеральный закон от 22.10.2004 № 125-ФЗ "Об архивном деле в РФ";                                                                                                        Постановление Череповецкой городской Думы от 28.12.2004 № 171 "О Положении об оплате труда работников бюджетной сферы города"</t>
  </si>
  <si>
    <t>п.п. 22 п. 1 ст. 16  гл. 3;                                                                       ст.4; 
 в целом</t>
  </si>
  <si>
    <t>06.10.2003-не установлен;  
27.10.2004-не установлен; 
01.01.2005-не установлен</t>
  </si>
  <si>
    <t>Постановление мэрии города от 11.10.2010 № 3891 О долгосрочной целевой программе "Безбарьерная среда" на 2011-2013 годы</t>
  </si>
  <si>
    <t>01.01.2011-31.12.2013</t>
  </si>
  <si>
    <t>Ст.34 п.1</t>
  </si>
  <si>
    <t>01.01.2006 - не установлен</t>
  </si>
  <si>
    <t>Решение Череповецкой городской Думы от 04.03.2008 № 39 "О Положении о гарантиях осуществления полномочий выборных должностных лиц местного самоуправления в городе Череповце"</t>
  </si>
  <si>
    <t>01.02.2008 - не установлен</t>
  </si>
  <si>
    <t>в целом</t>
  </si>
  <si>
    <t xml:space="preserve">Ст.38 п.1                                                                                                                                                                                                                                                                                                                                                                                                                                   </t>
  </si>
  <si>
    <t xml:space="preserve">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</si>
  <si>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п.1</t>
  </si>
  <si>
    <t>субсидия областного бюджета на поощрение за качественное управление муниципальными финансами</t>
  </si>
  <si>
    <t>Постановление Правительства Вологодской области от 30.06.2008 № 1226 "Об оценке качества управления финансами муниципальных образований области"</t>
  </si>
  <si>
    <t>01.10.2008 - не установлен</t>
  </si>
  <si>
    <t>01.01.2011 - 31.12.2012</t>
  </si>
  <si>
    <t>06.03.2006 - не установлен</t>
  </si>
  <si>
    <t>Постановление мэра города от 06.03.2006 № 875 "Об утверждении Положения об исполнении судебных актов, предусматривающих обращение взыскания на средства городского бюджета"</t>
  </si>
  <si>
    <t>Постановление Правительства Вологодской области от 27.01.2009 № 118 "О долгосрочной целевой программе "Развитие малого и среднего предпринимательства в Вологодской области на 2009-2012 годы"</t>
  </si>
  <si>
    <t>субсидии областного бюджета на реализацию ДЦП "Развитие малого и среднего предпринимательства в Вологодской области на 2009-2012 годы"</t>
  </si>
  <si>
    <t>А-43.004</t>
  </si>
  <si>
    <t>Постановление Правительства Вологодской области от 23.12.2009 № 2038 "О долгосрочной целевой программе организации допризывной подготовки граждан Вологодской области на 2011-2013 годы"</t>
  </si>
  <si>
    <t xml:space="preserve">Федеральный закон от 06.10.2003 № 131-ФЗ "Об общих принципах организации местного самоуправления в РФ";                                                                                                                                                                                                                          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</si>
  <si>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п.п. 20 п. 1 ст. 16  гл. 3;     
 в целом; </t>
  </si>
  <si>
    <t xml:space="preserve">06.10.2003-не установлен;  
01.09.2010-не установлен; </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</si>
  <si>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РФ, субъекта РФ,  муниципального образования)           </t>
  </si>
  <si>
    <t>0106</t>
  </si>
  <si>
    <t>0707</t>
  </si>
  <si>
    <t>Решение Череповецкой городской Думы от 22.12.2009 № 196 "О Положении об управлении по делам культуры мэрии города Череповца"</t>
  </si>
  <si>
    <t>Постановление мэрии города от 04.12.2002  № 4452  "Об учреждении  муниципального учреждения "Централизованная бухгалтерия по обслуживанию учреждений культуры "</t>
  </si>
  <si>
    <t>04.12.2002 - не установлен</t>
  </si>
  <si>
    <t>01.01.2010-31.12.2013</t>
  </si>
  <si>
    <t>Постановление Правительства области  от 02.11.2009 № 1670 "О долгосрочной целевой программе «Развитие образования в сфере культуры и искусства в Вологодской области на 2010-2013 годы»</t>
  </si>
  <si>
    <t>А-23.001</t>
  </si>
  <si>
    <t>А-23.002</t>
  </si>
  <si>
    <t>А-23.003</t>
  </si>
  <si>
    <t>20.06.2006-не установлен</t>
  </si>
  <si>
    <t xml:space="preserve">Федеральный закон от 06.10.2003 № 131-ФЗ "Об общих принципах организации местного самоуправления в РФ"                                                            </t>
  </si>
  <si>
    <t xml:space="preserve">06.10.2003-не установлен                                                                                                                                                                                                                                          </t>
  </si>
  <si>
    <t xml:space="preserve">ст. 16.1  гл. 3                                                                                                                                                                                                    </t>
  </si>
  <si>
    <t xml:space="preserve">Постановление Правительства Вологодской области от 26.03.2010 № 334 "О долгосрочной целевой программе "Безбарьерная среда на 2010-2014 годы" </t>
  </si>
  <si>
    <t>Постановление мэра города от 21.03.2007 № 944 "О Положении об оплате труда работников МУ "Информационное мониторинговое агентство "Череповец"</t>
  </si>
  <si>
    <t>п.п. 1 п. 1 ст. 16  гл. 3</t>
  </si>
  <si>
    <t>расходы на предоставление муниципальных услуг и работ МБУ "Центр муниципальных информационных ресурсов и технологий"</t>
  </si>
  <si>
    <t>расходы на выполнение муниципальных работ централизованной бухгалтерией по обслуживанию учреждений образования</t>
  </si>
  <si>
    <t>расходы на выполнение муниципальных работ централизованной бухгалтерией по обслуживанию учреждений культуры</t>
  </si>
  <si>
    <t>расходы на исполнение функций МКУ "Централизованная бухгалтерия по обслуживанию учреждений социальной защиты населения"</t>
  </si>
  <si>
    <t>расходы на выполнение муниципальных работ централизованной бухгалтерией по обслуживанию учреждений физкультуры и спорта</t>
  </si>
  <si>
    <t>Распоряжение мэрии города от 02.12.2011 № 417-р "О создании фильма о Череповце"</t>
  </si>
  <si>
    <t>Постановление Правительства Вологодской области от 21.09.2011 № 1153 "О долгосрочной целевой программе "Обеспечение жильем молодых семей в Вологодской области на 2012-2015 годы"</t>
  </si>
  <si>
    <t>01.01.2012  - 31.12.2015</t>
  </si>
  <si>
    <t>расходы на возмещение затрат юридическим лицам по бесплатному проезду граждан внутригородским транспортом общего пользования (кроме такси) в целях участия в общегородских физкультурно-оздоровительных и культурных мероприятиях  4 декабря 2011, 4 марта 2012</t>
  </si>
  <si>
    <t>расходы на выполнение муниципальных работ МКУ "Центр по защите населения и территорий от чрезвычайных ситуаций"</t>
  </si>
  <si>
    <t>Постановление Правительства области от 20.06.2011 № 716 "О долгосрочной целевой программе "Пожарная безопасность учреждений культуры на 2012-2014 годы"</t>
  </si>
  <si>
    <t>расходы на оказание муниципальных услуг учреждениями образования (детские сады)</t>
  </si>
  <si>
    <t>расходы на оказание муниципальных услуг учреждениями образования (школы)</t>
  </si>
  <si>
    <t>расходы на оказание муниципальных услуг, выполнение работ учреждениями образования (учреждения по внешкольной работе с детьми, ДЮСШ, художественные и музыкальные школы)</t>
  </si>
  <si>
    <t>Распоряжение мэрии города от 04.04.2011 № 107-р "О расходовании средств по проведению ежегодного городского смотра-конкурса "Лучшее праздничное оформление предприятий сферы потребительского рынка"</t>
  </si>
  <si>
    <t>04.04.2011-31.12.2011</t>
  </si>
  <si>
    <t xml:space="preserve">Федеральный закон от 06.10.2003 № 131-ФЗ "Об общих принципах организации местного самоуправления в РФ"                                                                  </t>
  </si>
  <si>
    <t xml:space="preserve">п.п. 15 п. 1 ст. 16  гл. 3                                                                                                                                                                                   </t>
  </si>
  <si>
    <t>10.12.2009-не установлен</t>
  </si>
  <si>
    <t>Постановление мэрии города от 10.12.2009 № 4402 "О проведении ежегодного городского смотра-конкурса "Лучшее праздничное оформление предприятий сферы потребительского рынка"</t>
  </si>
  <si>
    <t>расходы на оказание муниципальных услуг, выполнение работ учреждениями культуры (библиотеки), пополнение книгоиздательского фонда</t>
  </si>
  <si>
    <t>субсидия областного бюджета ОЦП "Развитие библиотечного дела в Вологодской области на 2009-2016 годы"</t>
  </si>
  <si>
    <t>Постановление Правительства области от 25.07.2011 № 888 "О долгосрочной  целевой программе "Развитие библиотечного дела в Вологодской области  на 2012-2016 годы"</t>
  </si>
  <si>
    <t>расходы на оказание муниципальных услуг, выполнение работ учреждениями культуры (ДК, театры)</t>
  </si>
  <si>
    <t xml:space="preserve">расходы на оказание муниципальных услуг, выполнение работ учреждениями культуры (музеи), предоставление доступа к музейным коллекциям (фондам)  </t>
  </si>
  <si>
    <t>расходы на выполнение муниципальных работ учреждениями культуры (объединение парков МУК "ГОПКиО")</t>
  </si>
  <si>
    <t>расходы на оказание услуг, выполнение работ МКАУ "Череповецкий центр хранения документации"</t>
  </si>
  <si>
    <t>Решение Череповецкой городской Думы от 15.03.2011 № 46 "Об организации и финансировании временного трудоустройства инвалидов, одиноких и многодетных родителей, воспитывающих несовершеннолетних детей, детей-инвалидов"</t>
  </si>
  <si>
    <t>15.03.2011-не установлен</t>
  </si>
  <si>
    <t>22.12.200 - не установлен;</t>
  </si>
  <si>
    <t xml:space="preserve">Федеральный закон от 02.03.2007 № 25-ФЗ "О муниципальной службе в РФ" </t>
  </si>
  <si>
    <t xml:space="preserve">Федеральный закон от 06.10.2003 № 131-ФЗ "Об общих принципах организации местного самоуправления в РФ"     </t>
  </si>
  <si>
    <t xml:space="preserve">  ст. 22 </t>
  </si>
  <si>
    <t xml:space="preserve">01.06.2007-не установлен </t>
  </si>
  <si>
    <t xml:space="preserve">п.1,3      </t>
  </si>
  <si>
    <t xml:space="preserve">01.02.2008-не установлен          </t>
  </si>
  <si>
    <t xml:space="preserve">п. 9 ст. 34  гл. 6        </t>
  </si>
  <si>
    <t xml:space="preserve">Решение Череповецкой городской Думы от 04.03.2008 № 40 "О Положении об оплате труда муниципальных служащих органов городского самоуправления"                 </t>
  </si>
  <si>
    <t xml:space="preserve">06.10.2003-не установлен </t>
  </si>
  <si>
    <t xml:space="preserve"> 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</si>
  <si>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 xml:space="preserve"> п. 1       </t>
  </si>
  <si>
    <t xml:space="preserve">01.02.2008-не установлен    </t>
  </si>
  <si>
    <t xml:space="preserve">в целом  </t>
  </si>
  <si>
    <t>Постановление мэрии города от 14.10.2011 № 4307 "О долгосрочной целевой программе «Мероприятия, направленные на создание безопасных условий труда в органах городского самоуправления и муниципальных учреждениях города Череповца» на 2012-2016 годы"</t>
  </si>
  <si>
    <t>01.01.2012-31.12.2016</t>
  </si>
  <si>
    <t>расходы на реализацию ДЦП «Мероприятия, направленные на создание безопасных условий труда в органах городского самоуправления и муниципальных учреждениях города Череповца» на 2012-2016 годы"</t>
  </si>
  <si>
    <t>А-18.005</t>
  </si>
  <si>
    <t>01.01.2012-31.12.2014</t>
  </si>
  <si>
    <t>Постановление мэрии города от 14.10.2011 № 4306 "О долгосрочной целевой программе «Противопожарные мероприятия в городе Череповце» на 2012-2014 годы"</t>
  </si>
  <si>
    <t>расходы на реализацию ДЦП «Противопожарные мероприятия в городе Череповце» на 2012-2014 годы"</t>
  </si>
  <si>
    <t xml:space="preserve">  в целом </t>
  </si>
  <si>
    <t>Постановление мэрии города от 14.10.2011 № 4304 "О ведомственной целевой программе «Благоустройство и повышение внешней привлекательности города» на 2012-2014 годы"</t>
  </si>
  <si>
    <t>расходы на реализацию ВЦП  «Благоустройство и повышение внешней привлекательности города» на 2012-2014 годы"</t>
  </si>
  <si>
    <t>А-31.001</t>
  </si>
  <si>
    <t>0501, 0502, 0503</t>
  </si>
  <si>
    <t>А-02.009</t>
  </si>
  <si>
    <t>Постановление мэрии города от  24.06.2011 № 2690 "Об утверждении устава муниципального казенного учреждения "Управление капитального строительства и ремонтов"</t>
  </si>
  <si>
    <t>24.06.2011-не установлен</t>
  </si>
  <si>
    <t>Решение Череповецкой городской Думы от 28.06.2011 № 117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</si>
  <si>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28.06.2011-не установлен</t>
  </si>
  <si>
    <t>Постановление мэрии города от 25.07.2011 № 3115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"Управление капитального строительства и ремонтов"</t>
  </si>
  <si>
    <t>01.07.2011-не установлен</t>
  </si>
  <si>
    <t>Постановление мэрии города от 25.07.2011 № 3096 "О ликвидации муниципального учреждения "Централизованная бухгалтерия  по обслуживанию учреждений здравоохранения"</t>
  </si>
  <si>
    <t>25.07.2011-не установлен</t>
  </si>
  <si>
    <t>21.06.2011-не установлен</t>
  </si>
  <si>
    <t>Постановление мэрии города от  21.06.2011 № 2591 "О создании муниципального казенного учреждения "Управление капитального строительства и ремонтов""</t>
  </si>
  <si>
    <t>01.01.2011-31.12.2015</t>
  </si>
  <si>
    <t xml:space="preserve"> Федеральный закон от 10.07.1992 № 3266-1 "Об образовании"; </t>
  </si>
  <si>
    <t xml:space="preserve">Федеральный закон от 06.10.2003 № 131-ФЗ "Об общих принципах организации местного самоуправления в РФ";                                                                                                                                                                                                                                                                                                                          </t>
  </si>
  <si>
    <t xml:space="preserve">ст.31; </t>
  </si>
  <si>
    <t xml:space="preserve">в целом;                                                                                                                                                                                                                                                                               </t>
  </si>
  <si>
    <t xml:space="preserve">10.07.1992-не установлен,   </t>
  </si>
  <si>
    <t xml:space="preserve">п.п. 13 п. 1 ст. 16  гл. 3;                                                                  </t>
  </si>
  <si>
    <t xml:space="preserve">06.10.2003-не установлен;                                                                                                                                                                                                                                                                                                                                                                                                                                                                                                       </t>
  </si>
  <si>
    <t xml:space="preserve">01.01.2011-не установлен,       </t>
  </si>
  <si>
    <t xml:space="preserve">Постановление мэрии города от 08.08.2011 № 3297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учреждений дополнительного образования детей, подведомственных управлению по делам культуры мэрии, порядка исчисления заработной платы работников муниципальных учреждений дополнительного образования детей, подведомственных управлению по делам культуры мэрии";                     </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</si>
  <si>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</si>
  <si>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 xml:space="preserve">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города Череповца";         </t>
  </si>
  <si>
    <t>в целом;</t>
  </si>
  <si>
    <t>01.07.2010-не установлен;</t>
  </si>
  <si>
    <t xml:space="preserve">в целом;                                     </t>
  </si>
  <si>
    <t xml:space="preserve">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t>
  </si>
  <si>
    <t xml:space="preserve">расходы на выполнение функций комитетом по контролю в сфере благоустройства и охраны окружающей среды города </t>
  </si>
  <si>
    <t>расходы на выполнение функций ДЖКХ мэрии города</t>
  </si>
  <si>
    <t>расходы на выполнение функций управлением архитектуры и градостроительства мэрии города</t>
  </si>
  <si>
    <t>расходы на выполнение функций управлением капитального строительства и ремонтов мэрии города</t>
  </si>
  <si>
    <t>расходы на выполнение функций управлением образования мэрии города</t>
  </si>
  <si>
    <t>расходы на выполнение функций комитетом по физической культуре и спорту мэрии города</t>
  </si>
  <si>
    <t>расходы на выполнение функций финансовым управлением мэрии города</t>
  </si>
  <si>
    <t>расходы на выполнение функций централизованной бухгалтерией по обслуживанию учреждений здравоохранения, с 1 января 2012 года учреждение ликвидировано</t>
  </si>
  <si>
    <t>Постановление избирательной комиссии Вологодской области от 30.05.2011 № 129/651 "О возложении полномочий избирательных комиссий муниципальных образований на территориальные избирательные комиссии"</t>
  </si>
  <si>
    <t>30.05.2011-не установлен</t>
  </si>
  <si>
    <t>расходы по мероприятиям в рамках социального заказа, мероприятия в области культуры</t>
  </si>
  <si>
    <t>расходы на выполнение функций МКУ "Информационное мониторинговое агентство "Череповец"</t>
  </si>
  <si>
    <t xml:space="preserve">Федеральный закон от 06.10.2003 № 131-ФЗ "Об общих принципах организации местного самоуправления в РФ"                                                                                                                         </t>
  </si>
  <si>
    <t xml:space="preserve">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</si>
  <si>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ст.2, п.3         </t>
  </si>
  <si>
    <t xml:space="preserve">в целом      </t>
  </si>
  <si>
    <t>26.04.2002-не установлен</t>
  </si>
  <si>
    <t xml:space="preserve">06.10.2003-не установлен  </t>
  </si>
  <si>
    <t xml:space="preserve">16.05.2006-не установлен                                                                                                                                                                                                                                 </t>
  </si>
  <si>
    <t xml:space="preserve">п.п. 3 п. 1 ст. 16  гл. 3                                                                                                                                                                                                   </t>
  </si>
  <si>
    <t>п.п. 14 п. 1 ст. 16  гл. 3</t>
  </si>
  <si>
    <t xml:space="preserve">Постановление мэра города от 19.11.2008 № 3954 "Об утверждении Положения об оплате труда работников муниципальных учреждений здравоохранения"                                                                                                                                                                 </t>
  </si>
  <si>
    <t xml:space="preserve">Решение Череповецкой городской Думы от 30.09.2008 № 99 "О системе оплаты труда работников муниципальных учреждений здравоохранения города Череповца"                                                                                                                                                                                   </t>
  </si>
  <si>
    <t xml:space="preserve">01.01.2009-не установлен                                       </t>
  </si>
  <si>
    <t xml:space="preserve">Федеральный закон от 09.10.1992 № 3612-1 "Основы законодательства РФ о культуре";         </t>
  </si>
  <si>
    <t xml:space="preserve">Федеральный закон от 29.12.1994 № 78-ФЗ "О библиотечном деле";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</si>
  <si>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</si>
  <si>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Федеральный закон от 06.10.2003 № 131-ФЗ "Об общих принципах организации местного самоуправления в РФ";                                                                                                                                                                                                                                                                                                                                                                                                                                                                                                                             </t>
  </si>
  <si>
    <t xml:space="preserve">Постановление мэрии города от 13.09.2010 № 3491 "Об утверждении Положения об оплате труда работников муниципальных учреждений культуры"  </t>
  </si>
  <si>
    <t xml:space="preserve">в целом; </t>
  </si>
  <si>
    <t xml:space="preserve">09.10.1992-не установлен; </t>
  </si>
  <si>
    <t xml:space="preserve">02.01.1995-не установлен; </t>
  </si>
  <si>
    <t>01.09.2010-не установлен;</t>
  </si>
  <si>
    <t xml:space="preserve">п.п. 16 п. 1 ст. 16  гл. 3;   </t>
  </si>
  <si>
    <t xml:space="preserve">06.10.2003-не установлен; </t>
  </si>
  <si>
    <t>0702, 0709</t>
  </si>
  <si>
    <t>0113, 0309, 0412, 0707, 0709, 0804, 1006</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</si>
  <si>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</si>
  <si>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1.10</t>
  </si>
  <si>
    <t>1.11</t>
  </si>
  <si>
    <t>1.12</t>
  </si>
  <si>
    <t>1.13</t>
  </si>
  <si>
    <t>1.14</t>
  </si>
  <si>
    <t>1.15</t>
  </si>
  <si>
    <t>1.16</t>
  </si>
  <si>
    <t>1.17</t>
  </si>
  <si>
    <t>1.18</t>
  </si>
  <si>
    <t>29.09.2009 - не установлен</t>
  </si>
  <si>
    <t>Решение Череповецкой городской Думы от 29.09.2009 № 106 "О Положении о комитете по физической культуре и спорту мэрии города Череповца"</t>
  </si>
  <si>
    <t>01.01.2009-31.12.2011</t>
  </si>
  <si>
    <t>финансовое обеспечение деятельности органов местного самоуправления городских округов</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</si>
  <si>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</si>
  <si>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</si>
  <si>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</si>
  <si>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</si>
  <si>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</si>
  <si>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1.47</t>
  </si>
  <si>
    <t>1.48</t>
  </si>
  <si>
    <t>1.49</t>
  </si>
  <si>
    <t>1.50</t>
  </si>
  <si>
    <t>А-47.000</t>
  </si>
  <si>
    <t>А-48.000</t>
  </si>
  <si>
    <t>А-49.000</t>
  </si>
  <si>
    <t>А-50.000</t>
  </si>
  <si>
    <t>осуществление  муниципального лесного контроля</t>
  </si>
  <si>
    <t>п.п. 38 п. 1 ст. 16  гл. 3</t>
  </si>
  <si>
    <t>п.п. 39 п. 1 ст. 16  гл. 3</t>
  </si>
  <si>
    <t>осуществление муниципального контроля на территории особой экономической зоны</t>
  </si>
  <si>
    <t>п.п. 40 п. 1 ст. 16  гл. 3</t>
  </si>
  <si>
    <t>п.п. 41 п. 1 ст. 16  гл. 3</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</si>
  <si>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</si>
  <si>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</si>
  <si>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</si>
  <si>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</si>
  <si>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</si>
  <si>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</si>
  <si>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</si>
  <si>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 xml:space="preserve">п.п.4.1 п. 1 ст. 17  гл. 3 </t>
  </si>
  <si>
    <t xml:space="preserve">Федеральный закон от 06.10.2003 № 131-ФЗ "Об общих принципах организации местного самоуправления в РФ"         </t>
  </si>
  <si>
    <t>гр.12</t>
  </si>
  <si>
    <t>Расходные обязательства городского округа</t>
  </si>
  <si>
    <t>0107</t>
  </si>
  <si>
    <t>1.</t>
  </si>
  <si>
    <t>гр.11</t>
  </si>
  <si>
    <t>гр.10</t>
  </si>
  <si>
    <t>гр.9</t>
  </si>
  <si>
    <t>гр.8</t>
  </si>
  <si>
    <t>гр.7</t>
  </si>
  <si>
    <t>гр.6</t>
  </si>
  <si>
    <t>гр.5</t>
  </si>
  <si>
    <t>гр.4</t>
  </si>
  <si>
    <t>гр.3</t>
  </si>
  <si>
    <t>гр.2</t>
  </si>
  <si>
    <t>гр.1</t>
  </si>
  <si>
    <t>плановый период</t>
  </si>
  <si>
    <t>организация в границах городского округа электро-, тепло-, газо- и водоснабжения населения, водоотведения, снабжения населения топливом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</si>
  <si>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</si>
  <si>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владение, пользование и распоряжение имуществом, находящимся в муниципальной собственности городского округа</t>
  </si>
  <si>
    <t>организация сбора, вывоза, утилизации и переработки бытовых и промышленных отходов</t>
  </si>
  <si>
    <t>Код бюд-жетной классифи-кации               (Рз, Прз)</t>
  </si>
  <si>
    <t>0-00.000</t>
  </si>
  <si>
    <t>А-01.000</t>
  </si>
  <si>
    <t>А-02.000</t>
  </si>
  <si>
    <t>Постановление мэрии города от 21.10.2009 № 3706 "О содержании имущества казны"</t>
  </si>
  <si>
    <t>21.10.2009-не установлен</t>
  </si>
  <si>
    <t>25.12.2006-не установлен</t>
  </si>
  <si>
    <t>Постановление мэрии города от 25.12.2006 № 5568 "О видах затрат и выделении денежных средств на организацию и проведение приватизации муниципального имущества, продажи объектов недвижимости, земельных участков и прав их аренды"</t>
  </si>
  <si>
    <t>Распоряжение мэрии города от 27.02.2010 № 56-р "О порядке выделения и использования денежных средств на уплату государственной пошлины"</t>
  </si>
  <si>
    <t>27.02.2010-не установлен</t>
  </si>
  <si>
    <t>Постановление мэрии города от 14.03.2011 № 844 "О порядке оплаты услуг по предоставлению сведений, внесенных в государственный кадастр недвижимости"</t>
  </si>
  <si>
    <t>14.03.2011-31.12.2013</t>
  </si>
  <si>
    <t xml:space="preserve">п.п. 2 п. 1 ст. 16  гл. 3  </t>
  </si>
  <si>
    <t xml:space="preserve">Федеральный закон от 06.10.2003 № 131-ФЗ "Об общих принципах организации местного самоуправления в РФ"                                                          </t>
  </si>
  <si>
    <t xml:space="preserve">п.п. 29 п. 1 ст. 16  гл. 3    </t>
  </si>
  <si>
    <t>Решение Череповецкой городской Думы от 30.09.2008 № 100 "О заключении соглашения о межмуниципальном сотрудничестве в сфере охраны здоровья населения"</t>
  </si>
  <si>
    <t>01.01.2011-31.12.2012</t>
  </si>
  <si>
    <t>01.07.2006 - не установлен</t>
  </si>
  <si>
    <t xml:space="preserve">Постановление мэрии города от 20.12.2005 № 5217 "О порядке и условиях применения стимулирующих, компенсационных и иных выплат в централизованных бухгалтериях по обслуживанию муниципальных учреждений"                                                                                                                              </t>
  </si>
  <si>
    <t>01.03.2006-не установлен</t>
  </si>
  <si>
    <t>1101</t>
  </si>
  <si>
    <t>А-27.006</t>
  </si>
  <si>
    <t>А-27.007</t>
  </si>
  <si>
    <t>Постановление мэрии от 31.05.2011 № 2260 "Об утверждении Порядка оказания поддержки социально ориентированным некоммерческим организациям города"</t>
  </si>
  <si>
    <t>31.05.2011-не установлен</t>
  </si>
  <si>
    <t>Постановление мэрии от 08.12.2010 № 4747 "Об утверждении порядка предоставления в 2011 году субсидии из городского бюджета на реализацию долгосрочной целевой программы "Развитие инвестиционного потенциала города Череповца" на 2010-2015 годы"</t>
  </si>
  <si>
    <t>01.01.2011-31.12.2011</t>
  </si>
  <si>
    <t>Решение Череповецкой городской Думы от 12.12.2006 № 188 "О выделении денежных средств из городского бюджета на осуществление переданных государственных полномочий"</t>
  </si>
  <si>
    <t>ст. 16,17,34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</si>
  <si>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</si>
  <si>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</si>
  <si>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Федеральный закон от 06.10.2003 № 131-ФЗ "Об общих принципах организации местного самоуправления в РФ"</t>
  </si>
  <si>
    <t>06.10.2003-не установлен</t>
  </si>
  <si>
    <t>Постановление Череповецкой городской Думы от 08.08.2005 № 84 "Об уставе города Череповца"</t>
  </si>
  <si>
    <t xml:space="preserve">Постановление мэрии города от 04.08.2010 № 2976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                                                                                                                                                                                                                                                                    </t>
  </si>
  <si>
    <t>01.07.2010-не установлен</t>
  </si>
  <si>
    <t>Постановление мэрии города от 13.09.2010 № 3491 "Об утверждении Положения об оплате труда работников муниципальных учреждений культуры"</t>
  </si>
  <si>
    <t xml:space="preserve"> в целом</t>
  </si>
  <si>
    <t>01.09.2010-не установлен</t>
  </si>
  <si>
    <t xml:space="preserve">п.п.3 п. 1 ст. 17  гл. 3                                                                                                                                                        </t>
  </si>
  <si>
    <t xml:space="preserve">06.10.2003-не установлен   </t>
  </si>
  <si>
    <t>01.12.2009 - не установлен</t>
  </si>
  <si>
    <t xml:space="preserve">Решение Череповецкой городской Думы от 01.12.2009 № 144 "О Положении об управлении архитектуры и градостроительства мэрии города Череповца"                                                                                                  </t>
  </si>
  <si>
    <t>А-34.002</t>
  </si>
  <si>
    <t>А-34.001</t>
  </si>
  <si>
    <t>Постановление мэрии города от 19.10.2009 № 3694 "Об оказании содействия гражданам по оформлению в упрощенном порядке прав на земельные участки"</t>
  </si>
  <si>
    <t>19.10.2009-не установлен</t>
  </si>
  <si>
    <t>А-10.007</t>
  </si>
  <si>
    <t>А-10.008</t>
  </si>
  <si>
    <t>28.11.2006-не установлен</t>
  </si>
  <si>
    <t>А-10.009</t>
  </si>
  <si>
    <t>А-10.010</t>
  </si>
  <si>
    <t xml:space="preserve">Федеральный закон от 06.10.2003 № 131-ФЗ "Об общих принципах организации местного самоуправления в РФ"                                                        </t>
  </si>
  <si>
    <t xml:space="preserve">п.п. 7.1 п. 1 ст. 16  гл. 3                  </t>
  </si>
  <si>
    <t>расходы на капитальные вложения по ГО и ЧС (ремонт здания)</t>
  </si>
  <si>
    <t>А-26.003</t>
  </si>
  <si>
    <t>А-31.003</t>
  </si>
  <si>
    <t>расходы на капитальные вложения в области организации ритуальных услуг и содержания мест захоронения</t>
  </si>
  <si>
    <t>0409</t>
  </si>
  <si>
    <t>А-28.004</t>
  </si>
  <si>
    <t>17.01.2006 - не установлен</t>
  </si>
  <si>
    <t xml:space="preserve">Постановление Череповецкой городской Думы от 20.12.2005 № 158 "О Положении о муниципальных заимствованиях в г.Череповце "      </t>
  </si>
  <si>
    <t>01.01.2008 - не установлен</t>
  </si>
  <si>
    <t>глава 4,   ст.24-29</t>
  </si>
  <si>
    <t>01.01.2006- не установлен</t>
  </si>
  <si>
    <t>А-08.001</t>
  </si>
  <si>
    <t>А-08.002</t>
  </si>
  <si>
    <t>А-08.003</t>
  </si>
  <si>
    <t xml:space="preserve">в целом    </t>
  </si>
  <si>
    <t>27.12.2005 - не установлен</t>
  </si>
  <si>
    <t>А-13.001</t>
  </si>
  <si>
    <t>А-13.002</t>
  </si>
  <si>
    <t>А-13.003</t>
  </si>
  <si>
    <t>А-13.004</t>
  </si>
  <si>
    <t>0501</t>
  </si>
  <si>
    <t>1003</t>
  </si>
  <si>
    <t>14.04.2011  - 31.12.2011</t>
  </si>
  <si>
    <t>Распоряжение мэрии города от 14.04.2011 № 127-р "Об организации бесплатного проезда"</t>
  </si>
  <si>
    <t xml:space="preserve">в целом </t>
  </si>
  <si>
    <t xml:space="preserve">Решение Череповецкой городской Думы от 21.12.2010 № 247 "О Положении о комитете по контролю в сфере благоустройства и охраны окружающей среды города Череповца"                                                                                                </t>
  </si>
  <si>
    <t>01.01.2011 - не установлен</t>
  </si>
  <si>
    <t>А-02.001</t>
  </si>
  <si>
    <t>А-02.002</t>
  </si>
  <si>
    <t>А-02.003</t>
  </si>
  <si>
    <t>А-02.004</t>
  </si>
  <si>
    <t>А-02.005</t>
  </si>
  <si>
    <t>А-02.006</t>
  </si>
  <si>
    <t>А-02.007</t>
  </si>
  <si>
    <t>А-02.008</t>
  </si>
  <si>
    <t>0410</t>
  </si>
  <si>
    <t>А-03.000</t>
  </si>
  <si>
    <t>А-04.000</t>
  </si>
  <si>
    <t>28.09.2010-не установлен</t>
  </si>
  <si>
    <t>Постановление мэрии города от 14.10.2011 № 4302 "О ведомственной целевой программе «Информатизация библиотек города Череповца» на 2012-2014 годы"</t>
  </si>
  <si>
    <t>расходы на реализацию ВЦП «Информатизация библиотек города Череповца» на 2012-2014 годы</t>
  </si>
  <si>
    <t>Постановление мэрии города от 14.10.2011 № 4301 "О ведомственной целевой программе «Отрасль «Культура города Череповца» (2012-2014 годы) "</t>
  </si>
  <si>
    <t xml:space="preserve">расходы на реализацию ВЦП «Отрасль «Культура города Череповца» (2012-2014 годы) </t>
  </si>
  <si>
    <t>А-24.006</t>
  </si>
  <si>
    <t>А-26.001</t>
  </si>
  <si>
    <t>А-26.002</t>
  </si>
  <si>
    <t xml:space="preserve">Решение Череповецкой городской Думы от 27.06.2006 № 110 "Об утверждении Положения об организации деятельности музеев в городе Череповце"       </t>
  </si>
  <si>
    <t xml:space="preserve">18.07.2006-не установлен </t>
  </si>
  <si>
    <t xml:space="preserve">Постановление Правительства РФ от 28.08.2009 № 707 "О Всероссийском конкурсе на лучшую работу по формированию благоприятной среды жизнедеятельности населения муниципального образования"                                                                                                  </t>
  </si>
  <si>
    <t>01.01.2011-31.05.2011</t>
  </si>
  <si>
    <t>31.05.2011-31.12.2011</t>
  </si>
  <si>
    <t>расходы на организацию и финансирование временного трудоустройства инвалидов, одиноких и многодетных родителей, воспитывающих несовершеннолетних детей, детей-инвалидов</t>
  </si>
  <si>
    <t>расходы на мероприятия по восстановительному лечению работающих граждан после оказания им стационарной помощи</t>
  </si>
  <si>
    <t>расходы на стимулирующие выплаты за интенсивность и высокие результаты работы врачам стационаров муниципальных учреждений здравоохранения города Череповца, работающим в системе ОМС, в части выплаты за оказание экстренной медицинской помощи в ночное время, выходные и праздничные дни за время, отработанное сверх месячной нормы</t>
  </si>
  <si>
    <t>расходы на городской конкурс юных инспекторов движения "Безопасное колесо"</t>
  </si>
  <si>
    <t xml:space="preserve">Решение Череповецкой городской Думы от 29.04.2008 № 61 "О содержании медицинского вытрезвителя и иных расходах городского бюджета" </t>
  </si>
  <si>
    <t>Решение Череповецкой городской Думы от 31.05.2011 № 86 "О дополнительных расходах на материально-техническое обеспечение деятельности участковых уполномоченных управления внутренних дел по городу  Череповцу в 2011 году"</t>
  </si>
  <si>
    <t>расходы на материально-техническое оснащение 102 уполномоченных по работе с населением в 27 подразделениях участковых пунктов милиции</t>
  </si>
  <si>
    <t>Решение Череповецкой городской Думы от 31.05.2011 № 95 "О выплатах врачам стационаров муниципальных учреждений здравоохранения за счет средств городского бюджета"</t>
  </si>
  <si>
    <t>01.05.2011-31.12.2011</t>
  </si>
  <si>
    <t>Решение Череповецкой городской Думы от 26.04.2011 № 56 "О реализации мероприятий по восстановительному лечению работающих граждан после оказания им стационарной помощи"</t>
  </si>
  <si>
    <t>0702</t>
  </si>
  <si>
    <t>01.01.2007-не установлен</t>
  </si>
  <si>
    <t>Постановление Череповецкой городской Думы от 27.09.2005 № 87 "О Положении о звании "Почетный гражданин города Череповца"</t>
  </si>
  <si>
    <t>01.01.2006-не установлен</t>
  </si>
  <si>
    <t>Постановление Череповецкой городской Думы от 27.09.2005 № 88 "О Положении о Почетном знаке "За особые заслуги перед городом Череповцом"</t>
  </si>
  <si>
    <t>Постановление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t>
  </si>
  <si>
    <t>23.09.2003-не установлен</t>
  </si>
  <si>
    <t>Решение Череповецкой городской Думы от 23.12.2008 № 148 "О проведении городских конкурсов "Лучший врач года", "Лучший специалист со средним медицинским образованием""</t>
  </si>
  <si>
    <t>01.01.2009-не установлен</t>
  </si>
  <si>
    <t>01.01.2008-не установлен</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</si>
  <si>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</si>
  <si>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Решение Череповецкой городской Думы от 25.04.2006 № 79 "Об осуществлении функций по предупреждению распространения инфекционных заболеваний"</t>
  </si>
  <si>
    <t>А-27.001</t>
  </si>
  <si>
    <t>А-27.002</t>
  </si>
  <si>
    <t>А-27.003</t>
  </si>
  <si>
    <t>А-27.004</t>
  </si>
  <si>
    <t>А-27.005</t>
  </si>
  <si>
    <t xml:space="preserve">в целом   </t>
  </si>
  <si>
    <t xml:space="preserve">13.06.2010 - не установлен    </t>
  </si>
  <si>
    <t xml:space="preserve">Решение Череповецкой городской Думы от 25.05.2010 № 96 "О Положении об управлении здравоохранения мэрии города Череповца"                                                                               </t>
  </si>
  <si>
    <t>22.04.2009-не установлен</t>
  </si>
  <si>
    <t>Решение Череповецкой городской Думы от 28.03.2006 № 50 "Об участии муниципального образования "Город Череповец" в создании и деятельности Ассоциации "Совет муниципальных образований Вологодской области"</t>
  </si>
  <si>
    <t>расходы по пресечению незаконной деятельности организации азартных игр на территории города</t>
  </si>
  <si>
    <t>п.5</t>
  </si>
  <si>
    <t>А-31.002</t>
  </si>
  <si>
    <t xml:space="preserve">п.п. 25 п. 1 ст. 16  гл. 3   </t>
  </si>
  <si>
    <t xml:space="preserve"> п.4</t>
  </si>
  <si>
    <t>А-33.001</t>
  </si>
  <si>
    <t>А-33.002</t>
  </si>
  <si>
    <t xml:space="preserve">Федеральный закон от 06.10.2003 № 131-ФЗ "Об общих принципах организации местного самоуправления в РФ"                     </t>
  </si>
  <si>
    <t>А-23.005</t>
  </si>
  <si>
    <t>Решение Череповецкой городской Думы от 07.12.2010 № 218 "О поддержке социально ориентированных некоммерческих организаций"</t>
  </si>
  <si>
    <t>07.12.2010-не установлен</t>
  </si>
  <si>
    <t>А-43.001</t>
  </si>
  <si>
    <t>А-43.002</t>
  </si>
  <si>
    <t>А-43.003</t>
  </si>
  <si>
    <t xml:space="preserve">Постановление мэра города от 16.01.2001 № 128 "О создании муниципального учреждения "Молодежный центр города Череповца"       </t>
  </si>
  <si>
    <t>16.01.2001-не установлен</t>
  </si>
  <si>
    <t>01.01.2011 - 31.12.2011</t>
  </si>
  <si>
    <t>01.01.2009-31.12.2015</t>
  </si>
  <si>
    <t xml:space="preserve">Постановление мэра города от 19.02.2001 № 622  "О создании муниципального учреждения "Центр муниципальных информационных ресурсов и технологий"                                                                                               </t>
  </si>
  <si>
    <t xml:space="preserve">Федеральный закон от 06.10.2003 № 131-ФЗ "Об общих принципах организации местного самоуправления в РФ"                                                                                         </t>
  </si>
  <si>
    <t xml:space="preserve">п.п.5 п. 1 ст. 17  гл. 3   </t>
  </si>
  <si>
    <t>А-07.001</t>
  </si>
  <si>
    <t>А-07.002</t>
  </si>
  <si>
    <t>А-07.003</t>
  </si>
  <si>
    <t>А-07.004</t>
  </si>
  <si>
    <t>А-07.005</t>
  </si>
  <si>
    <t>Постановление мэра города от 27.12.2006 № 5698 "О создании муниципального учреждения "Информационное мониторинговое агентство "Череповец"</t>
  </si>
  <si>
    <t>расходы на маркетинговую и креативную стратегию города Череповца</t>
  </si>
  <si>
    <t>А-24.001</t>
  </si>
  <si>
    <t>А-24.002</t>
  </si>
  <si>
    <t>А-24.003</t>
  </si>
  <si>
    <t>А-24.004</t>
  </si>
  <si>
    <t>А-24.005</t>
  </si>
  <si>
    <t>субсидия областного бюджета на реализацию ДЦП "Традиционная народная культура как основа сохранения культурной самобытности Вологодской области" на 2011-2014 годы</t>
  </si>
  <si>
    <t>Федеральный закон от 09.10.1992 3612-1 "Основы законодательства РФ о культуре"</t>
  </si>
  <si>
    <t>09.10.1992-не установлен</t>
  </si>
  <si>
    <t>Федеральный закон от 04.12.2007 № 329-ФЗ "О физической культуре и спорте в РФ"</t>
  </si>
  <si>
    <t>ст. 9</t>
  </si>
  <si>
    <t>30.03.2008-не установлен</t>
  </si>
  <si>
    <t>ст.40</t>
  </si>
  <si>
    <t>09.06.1992-не установлен</t>
  </si>
  <si>
    <t xml:space="preserve">в целом        </t>
  </si>
  <si>
    <t>22.12.2009-не установлен</t>
  </si>
  <si>
    <t xml:space="preserve">Решение Череповецкой городской Думы от 22.12.2009 № 181 "О Положении о департаменте жилищно-коммунального хозяйства мэрии города Череповца" </t>
  </si>
  <si>
    <t xml:space="preserve">Постановление Череповецкой городской Думы от 27.12.2005 № 172 "О Положении о комитете по управлению имуществом города Череповца" </t>
  </si>
  <si>
    <t>Решение Череповецкой городской Думы от  29.09.2009 № 104 "О Положении об управлении капитального строительства и ремонтов мэрии города Череповца"</t>
  </si>
  <si>
    <t xml:space="preserve">Постановление мэрии города от 12.04.2010 № 1216  "О создании муниципального учреждения "Центр комплексного обслуживания"                                                                                               </t>
  </si>
  <si>
    <t>29.06.2010-не установлен</t>
  </si>
  <si>
    <t>30.03.2010 - не установлен</t>
  </si>
  <si>
    <t>0401</t>
  </si>
  <si>
    <t>Решение Череповецкой городской Думы от 30.03.2010 № 60 "Об организации и финансировании временного трудоустройства несовершеннолетних"</t>
  </si>
  <si>
    <t>гр.13</t>
  </si>
  <si>
    <t>РЕЕСТР РАСХОДНЫХ ОБЯЗАТЕЛЬСТВ МО «ГОРОД ЧЕРЕПОВЕЦ»</t>
  </si>
  <si>
    <t>(вид реестра  - предварительный/ плановый/ уточненный)</t>
  </si>
  <si>
    <t>Постановление Правительства РФ от 19.03.2001 № 196 "Об утверждении Типового положения об общеобразовательном учреждении"</t>
  </si>
  <si>
    <t>19.03.2001-не установлен</t>
  </si>
  <si>
    <t>Постановление Правительства РФ от 07.03.1995 № 233 "Об утверждении Типового положения об образовательном учреждении дополнительного образования детей"</t>
  </si>
  <si>
    <t>07.03.1995-не установлен</t>
  </si>
  <si>
    <t xml:space="preserve"> в  целом</t>
  </si>
  <si>
    <t>01.01.2005- не установлен</t>
  </si>
  <si>
    <t>01.07.2007 - не установлен</t>
  </si>
  <si>
    <t>организация ритуальных услуг и содержание мест захоронения</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</si>
</sst>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Red]\-#,##0.0;0.0"/>
    <numFmt numFmtId="165" formatCode="000000"/>
    <numFmt numFmtId="166" formatCode="#,##0.0"/>
    <numFmt numFmtId="167" formatCode="#,##0.00_ ;[Red]\-#,##0.00\ "/>
    <numFmt numFmtId="168" formatCode="#,##0.0_ ;[Red]\-#,##0.0\ "/>
    <numFmt numFmtId="169" formatCode="0000"/>
    <numFmt numFmtId="170" formatCode="00\.00"/>
  </numFmts>
  <fonts count="29">
    <font>
      <sz val="11"/>
      <color indexed="8"/>
      <name val="Calibri"/>
      <family val="2"/>
    </font>
    <font>
      <sz val="10"/>
      <name val="Arial"/>
      <family val="2"/>
    </font>
    <font>
      <sz val="11"/>
      <name val="Times New Roman"/>
      <family val="1"/>
    </font>
    <font>
      <sz val="10"/>
      <name val="Arial Cyr"/>
      <family val="2"/>
    </font>
    <font>
      <b/>
      <sz val="11"/>
      <name val="Times New Roman"/>
      <family val="1"/>
    </font>
    <font>
      <sz val="11"/>
      <color indexed="60"/>
      <name val="Times New Roman"/>
      <family val="1"/>
    </font>
    <font>
      <sz val="11"/>
      <color indexed="8"/>
      <name val="Times New Roman"/>
      <family val="1"/>
    </font>
    <font>
      <vertAlign val="superscript"/>
      <sz val="11"/>
      <name val="Times New Roman"/>
      <family val="1"/>
    </font>
    <font>
      <b/>
      <sz val="11"/>
      <color indexed="8"/>
      <name val="Times New Roman"/>
      <family val="1"/>
    </font>
    <font>
      <i/>
      <sz val="11"/>
      <name val="Times New Roman"/>
      <family val="1"/>
    </font>
    <font>
      <sz val="11"/>
      <name val="Times New Roman CYR"/>
      <family val="1"/>
    </font>
    <font>
      <u val="single"/>
      <sz val="11"/>
      <name val="Times New Roman"/>
      <family val="1"/>
    </font>
    <font>
      <b/>
      <sz val="11"/>
      <name val="Times New Roman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style="hair"/>
      <bottom/>
    </border>
    <border>
      <left/>
      <right/>
      <top/>
      <bottom style="thin"/>
    </border>
    <border>
      <left/>
      <right/>
      <top style="thin"/>
      <bottom/>
    </border>
    <border>
      <left/>
      <right/>
      <top/>
      <bottom style="hair"/>
    </border>
    <border>
      <left/>
      <right/>
      <top style="thin"/>
      <bottom style="thin"/>
    </border>
    <border>
      <left/>
      <right/>
      <top style="hair"/>
      <bottom style="thin"/>
    </border>
    <border>
      <left style="thin"/>
      <right style="thin"/>
      <top style="hair"/>
      <bottom style="thin"/>
    </border>
    <border>
      <left style="thin"/>
      <right/>
      <top style="hair"/>
      <bottom style="thin"/>
    </border>
    <border>
      <left style="thin"/>
      <right style="thin"/>
      <top/>
      <bottom style="thin"/>
    </border>
    <border>
      <left style="thin"/>
      <right style="thin"/>
      <top style="thin"/>
      <bottom/>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1" fillId="0" borderId="0">
      <alignment/>
      <protection/>
    </xf>
    <xf numFmtId="0" fontId="3" fillId="0" borderId="0">
      <alignment/>
      <protection/>
    </xf>
    <xf numFmtId="0" fontId="1" fillId="0" borderId="0">
      <alignment/>
      <protection/>
    </xf>
    <xf numFmtId="0" fontId="1" fillId="0" borderId="0">
      <alignment/>
      <protection/>
    </xf>
    <xf numFmtId="0" fontId="18"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221">
    <xf numFmtId="0" fontId="0" fillId="0" borderId="0" xfId="0" applyAlignment="1">
      <alignment/>
    </xf>
    <xf numFmtId="0" fontId="2" fillId="0" borderId="10" xfId="0" applyNumberFormat="1" applyFont="1" applyFill="1" applyBorder="1" applyAlignment="1">
      <alignment horizontal="left" vertical="top" wrapText="1"/>
    </xf>
    <xf numFmtId="0" fontId="2" fillId="0" borderId="10" xfId="0" applyFont="1" applyFill="1" applyBorder="1" applyAlignment="1">
      <alignment horizontal="justify" vertical="top" wrapText="1"/>
    </xf>
    <xf numFmtId="49" fontId="2" fillId="0" borderId="10" xfId="0" applyNumberFormat="1" applyFont="1" applyFill="1" applyBorder="1" applyAlignment="1">
      <alignment horizontal="center" vertical="top" wrapText="1"/>
    </xf>
    <xf numFmtId="14" fontId="2" fillId="0" borderId="10"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2" fillId="0" borderId="10" xfId="52" applyNumberFormat="1" applyFont="1" applyFill="1" applyBorder="1" applyAlignment="1" applyProtection="1">
      <alignment horizontal="left" vertical="top" wrapText="1"/>
      <protection hidden="1"/>
    </xf>
    <xf numFmtId="169" fontId="2" fillId="0" borderId="10" xfId="52" applyNumberFormat="1" applyFont="1" applyFill="1" applyBorder="1" applyAlignment="1" applyProtection="1">
      <alignment horizontal="center" vertical="top" wrapText="1"/>
      <protection hidden="1"/>
    </xf>
    <xf numFmtId="0" fontId="4" fillId="0" borderId="10" xfId="52" applyNumberFormat="1" applyFont="1" applyFill="1" applyBorder="1" applyAlignment="1" applyProtection="1">
      <alignment vertical="top" wrapText="1"/>
      <protection hidden="1"/>
    </xf>
    <xf numFmtId="0" fontId="4" fillId="0" borderId="0" xfId="52" applyNumberFormat="1" applyFont="1" applyFill="1" applyBorder="1" applyAlignment="1" applyProtection="1">
      <alignment horizontal="left" vertical="top" wrapText="1"/>
      <protection hidden="1"/>
    </xf>
    <xf numFmtId="0" fontId="4" fillId="0" borderId="0" xfId="52" applyNumberFormat="1" applyFont="1" applyFill="1" applyBorder="1" applyAlignment="1" applyProtection="1">
      <alignment horizontal="center" vertical="top" wrapText="1"/>
      <protection hidden="1"/>
    </xf>
    <xf numFmtId="0" fontId="4" fillId="0" borderId="10" xfId="0" applyFont="1" applyFill="1" applyBorder="1" applyAlignment="1" applyProtection="1">
      <alignment vertical="top" wrapText="1"/>
      <protection locked="0"/>
    </xf>
    <xf numFmtId="0" fontId="8" fillId="0" borderId="10" xfId="0" applyNumberFormat="1" applyFont="1" applyFill="1" applyBorder="1" applyAlignment="1" applyProtection="1">
      <alignment vertical="top" wrapText="1"/>
      <protection hidden="1"/>
    </xf>
    <xf numFmtId="0" fontId="2" fillId="0" borderId="10" xfId="0" applyFont="1" applyFill="1" applyBorder="1" applyAlignment="1">
      <alignment vertical="top" wrapText="1" shrinkToFit="1"/>
    </xf>
    <xf numFmtId="14" fontId="2" fillId="0" borderId="10" xfId="52" applyNumberFormat="1" applyFont="1" applyFill="1" applyBorder="1" applyAlignment="1" applyProtection="1">
      <alignment horizontal="center" vertical="top" wrapText="1"/>
      <protection hidden="1"/>
    </xf>
    <xf numFmtId="0" fontId="2" fillId="0" borderId="10" xfId="53" applyFont="1" applyFill="1" applyBorder="1" applyAlignment="1">
      <alignment horizontal="left" vertical="top" wrapText="1"/>
      <protection/>
    </xf>
    <xf numFmtId="0" fontId="2" fillId="0" borderId="10" xfId="53" applyFont="1" applyFill="1" applyBorder="1" applyAlignment="1">
      <alignment horizontal="center" vertical="top" wrapText="1"/>
      <protection/>
    </xf>
    <xf numFmtId="14" fontId="2" fillId="0" borderId="10" xfId="53" applyNumberFormat="1" applyFont="1" applyFill="1" applyBorder="1" applyAlignment="1">
      <alignment horizontal="center" vertical="top" wrapText="1"/>
      <protection/>
    </xf>
    <xf numFmtId="0" fontId="2" fillId="0" borderId="10" xfId="52" applyNumberFormat="1" applyFont="1" applyFill="1" applyBorder="1" applyAlignment="1" applyProtection="1">
      <alignment horizontal="center" vertical="top" wrapText="1"/>
      <protection hidden="1" locked="0"/>
    </xf>
    <xf numFmtId="49" fontId="2" fillId="0" borderId="10" xfId="0" applyNumberFormat="1" applyFont="1" applyFill="1" applyBorder="1" applyAlignment="1" applyProtection="1">
      <alignment horizontal="center" vertical="top" wrapText="1" shrinkToFit="1"/>
      <protection locked="0"/>
    </xf>
    <xf numFmtId="0" fontId="2" fillId="0" borderId="0" xfId="52" applyFont="1" applyFill="1" applyBorder="1" applyAlignment="1">
      <alignment horizontal="left" vertical="top" wrapText="1"/>
      <protection/>
    </xf>
    <xf numFmtId="0" fontId="2" fillId="0" borderId="0" xfId="52" applyFont="1" applyFill="1" applyBorder="1" applyAlignment="1">
      <alignment vertical="top" wrapText="1"/>
      <protection/>
    </xf>
    <xf numFmtId="0" fontId="2" fillId="0" borderId="10" xfId="0" applyNumberFormat="1" applyFont="1" applyFill="1" applyBorder="1" applyAlignment="1" applyProtection="1">
      <alignment vertical="top" wrapText="1"/>
      <protection hidden="1"/>
    </xf>
    <xf numFmtId="0" fontId="2" fillId="0" borderId="10" xfId="0" applyNumberFormat="1" applyFont="1" applyFill="1" applyBorder="1" applyAlignment="1" applyProtection="1">
      <alignment horizontal="center" vertical="top" wrapText="1"/>
      <protection hidden="1"/>
    </xf>
    <xf numFmtId="0" fontId="2" fillId="0" borderId="10" xfId="0" applyNumberFormat="1" applyFont="1" applyFill="1" applyBorder="1" applyAlignment="1" applyProtection="1">
      <alignment horizontal="center" vertical="top" wrapText="1"/>
      <protection/>
    </xf>
    <xf numFmtId="0" fontId="2" fillId="0" borderId="0" xfId="52" applyFont="1" applyFill="1" applyAlignment="1">
      <alignment vertical="top" wrapText="1"/>
      <protection/>
    </xf>
    <xf numFmtId="0" fontId="2" fillId="0" borderId="11" xfId="52" applyFont="1" applyFill="1" applyBorder="1" applyAlignment="1">
      <alignment vertical="top" wrapText="1"/>
      <protection/>
    </xf>
    <xf numFmtId="166" fontId="2" fillId="0" borderId="0" xfId="52" applyNumberFormat="1" applyFont="1" applyFill="1" applyBorder="1" applyAlignment="1" applyProtection="1">
      <alignment horizontal="center" vertical="top" wrapText="1"/>
      <protection hidden="1"/>
    </xf>
    <xf numFmtId="0" fontId="2" fillId="0" borderId="12" xfId="52" applyFont="1" applyFill="1" applyBorder="1" applyAlignment="1">
      <alignment vertical="top" wrapText="1"/>
      <protection/>
    </xf>
    <xf numFmtId="0" fontId="2" fillId="0" borderId="13" xfId="52" applyFont="1" applyFill="1" applyBorder="1" applyAlignment="1">
      <alignment vertical="top" wrapText="1"/>
      <protection/>
    </xf>
    <xf numFmtId="0" fontId="2" fillId="0" borderId="14" xfId="52" applyFont="1" applyFill="1" applyBorder="1" applyAlignment="1">
      <alignment vertical="top" wrapText="1"/>
      <protection/>
    </xf>
    <xf numFmtId="166" fontId="8" fillId="0" borderId="10" xfId="0" applyNumberFormat="1" applyFont="1" applyFill="1" applyBorder="1" applyAlignment="1">
      <alignment horizontal="center" vertical="top" wrapText="1"/>
    </xf>
    <xf numFmtId="166" fontId="4" fillId="0" borderId="10" xfId="0" applyNumberFormat="1" applyFont="1" applyFill="1" applyBorder="1" applyAlignment="1">
      <alignment horizontal="center" vertical="top" wrapText="1"/>
    </xf>
    <xf numFmtId="0" fontId="2" fillId="0" borderId="0" xfId="52" applyFont="1" applyFill="1" applyAlignment="1">
      <alignment horizontal="center" vertical="top" wrapText="1"/>
      <protection/>
    </xf>
    <xf numFmtId="168" fontId="2" fillId="0" borderId="0" xfId="52" applyNumberFormat="1" applyFont="1" applyFill="1" applyAlignment="1">
      <alignment horizontal="center" vertical="top" wrapText="1"/>
      <protection/>
    </xf>
    <xf numFmtId="14" fontId="2" fillId="0" borderId="10" xfId="0" applyNumberFormat="1" applyFont="1" applyFill="1" applyBorder="1" applyAlignment="1" applyProtection="1">
      <alignment horizontal="center" vertical="top" wrapText="1"/>
      <protection hidden="1"/>
    </xf>
    <xf numFmtId="0" fontId="2" fillId="0" borderId="10" xfId="0" applyNumberFormat="1" applyFont="1" applyFill="1" applyBorder="1" applyAlignment="1">
      <alignment horizontal="justify" vertical="top" wrapText="1"/>
    </xf>
    <xf numFmtId="0" fontId="2" fillId="0" borderId="10" xfId="0" applyFont="1" applyFill="1" applyBorder="1" applyAlignment="1" applyProtection="1">
      <alignment horizontal="left" vertical="top" wrapText="1"/>
      <protection locked="0"/>
    </xf>
    <xf numFmtId="0" fontId="2" fillId="0" borderId="15" xfId="52" applyFont="1" applyFill="1" applyBorder="1" applyAlignment="1">
      <alignment vertical="top" wrapText="1"/>
      <protection/>
    </xf>
    <xf numFmtId="167" fontId="6" fillId="0" borderId="0" xfId="0" applyNumberFormat="1" applyFont="1" applyFill="1" applyAlignment="1">
      <alignment horizontal="center" vertical="top" wrapText="1"/>
    </xf>
    <xf numFmtId="166" fontId="4" fillId="0" borderId="10" xfId="52" applyNumberFormat="1" applyFont="1" applyFill="1" applyBorder="1" applyAlignment="1" applyProtection="1">
      <alignment horizontal="center" vertical="top" wrapText="1"/>
      <protection hidden="1"/>
    </xf>
    <xf numFmtId="14" fontId="2" fillId="0" borderId="10" xfId="54" applyNumberFormat="1" applyFont="1" applyFill="1" applyBorder="1" applyAlignment="1" applyProtection="1">
      <alignment horizontal="center" vertical="top" wrapText="1"/>
      <protection locked="0"/>
    </xf>
    <xf numFmtId="0" fontId="2" fillId="0" borderId="10" xfId="52" applyFont="1" applyFill="1" applyBorder="1" applyAlignment="1">
      <alignment vertical="top" wrapText="1"/>
      <protection/>
    </xf>
    <xf numFmtId="166" fontId="6" fillId="0" borderId="10" xfId="0" applyNumberFormat="1" applyFont="1" applyFill="1" applyBorder="1" applyAlignment="1" applyProtection="1">
      <alignment horizontal="center" vertical="top"/>
      <protection locked="0"/>
    </xf>
    <xf numFmtId="170" fontId="6" fillId="0" borderId="0" xfId="0" applyNumberFormat="1" applyFont="1" applyFill="1" applyBorder="1" applyAlignment="1" applyProtection="1">
      <alignment vertical="top" wrapText="1"/>
      <protection locked="0"/>
    </xf>
    <xf numFmtId="47" fontId="2" fillId="0" borderId="10" xfId="0" applyNumberFormat="1" applyFont="1" applyFill="1" applyBorder="1" applyAlignment="1">
      <alignment horizontal="justify" vertical="top" wrapText="1"/>
    </xf>
    <xf numFmtId="40" fontId="2" fillId="0" borderId="10" xfId="0" applyNumberFormat="1" applyFont="1" applyFill="1" applyBorder="1" applyAlignment="1">
      <alignment horizontal="justify" vertical="top" wrapText="1"/>
    </xf>
    <xf numFmtId="166" fontId="2" fillId="0" borderId="10" xfId="54" applyNumberFormat="1" applyFont="1" applyFill="1" applyBorder="1" applyAlignment="1">
      <alignment horizontal="center" vertical="top"/>
      <protection/>
    </xf>
    <xf numFmtId="14" fontId="2" fillId="0" borderId="10" xfId="54" applyNumberFormat="1" applyFont="1" applyFill="1" applyBorder="1" applyAlignment="1">
      <alignment horizontal="center" vertical="top" wrapText="1"/>
      <protection/>
    </xf>
    <xf numFmtId="165" fontId="2" fillId="0" borderId="10" xfId="0" applyNumberFormat="1" applyFont="1" applyFill="1" applyBorder="1" applyAlignment="1">
      <alignment horizontal="justify" vertical="top" wrapText="1"/>
    </xf>
    <xf numFmtId="0" fontId="4" fillId="0" borderId="10" xfId="0" applyNumberFormat="1" applyFont="1" applyFill="1" applyBorder="1" applyAlignment="1" applyProtection="1">
      <alignment vertical="top" wrapText="1"/>
      <protection locked="0"/>
    </xf>
    <xf numFmtId="11" fontId="2" fillId="0" borderId="10" xfId="0" applyNumberFormat="1" applyFont="1" applyFill="1" applyBorder="1" applyAlignment="1">
      <alignment horizontal="justify" vertical="top" wrapText="1"/>
    </xf>
    <xf numFmtId="0" fontId="6" fillId="0" borderId="0" xfId="0" applyFont="1" applyFill="1" applyBorder="1" applyAlignment="1">
      <alignment vertical="top" wrapText="1"/>
    </xf>
    <xf numFmtId="0" fontId="6" fillId="0" borderId="0" xfId="0" applyFont="1" applyFill="1" applyAlignment="1">
      <alignment vertical="top" wrapText="1"/>
    </xf>
    <xf numFmtId="49" fontId="8" fillId="0" borderId="0" xfId="0" applyNumberFormat="1" applyFont="1" applyFill="1" applyAlignment="1">
      <alignment vertical="top" wrapText="1"/>
    </xf>
    <xf numFmtId="49" fontId="6" fillId="0" borderId="0" xfId="0" applyNumberFormat="1"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0" applyFont="1" applyFill="1" applyBorder="1" applyAlignment="1">
      <alignment horizontal="center" vertical="top" wrapText="1"/>
    </xf>
    <xf numFmtId="0" fontId="2" fillId="0" borderId="16" xfId="52" applyFont="1" applyFill="1" applyBorder="1" applyAlignment="1">
      <alignment vertical="top" wrapText="1"/>
      <protection/>
    </xf>
    <xf numFmtId="166" fontId="6" fillId="0" borderId="0" xfId="0" applyNumberFormat="1" applyFont="1" applyFill="1" applyBorder="1" applyAlignment="1" applyProtection="1">
      <alignment vertical="top" wrapText="1"/>
      <protection locked="0"/>
    </xf>
    <xf numFmtId="166" fontId="2" fillId="0" borderId="0" xfId="52" applyNumberFormat="1" applyFont="1" applyFill="1" applyBorder="1" applyAlignment="1">
      <alignment vertical="top" wrapText="1"/>
      <protection/>
    </xf>
    <xf numFmtId="14" fontId="2" fillId="0" borderId="10" xfId="52" applyNumberFormat="1" applyFont="1" applyFill="1" applyBorder="1" applyAlignment="1">
      <alignment horizontal="center" vertical="top" wrapText="1"/>
      <protection/>
    </xf>
    <xf numFmtId="49" fontId="2" fillId="0" borderId="10" xfId="0" applyNumberFormat="1" applyFont="1" applyFill="1" applyBorder="1" applyAlignment="1">
      <alignment vertical="top" wrapText="1"/>
    </xf>
    <xf numFmtId="166" fontId="2" fillId="0" borderId="10" xfId="0" applyNumberFormat="1" applyFont="1" applyFill="1" applyBorder="1" applyAlignment="1">
      <alignment horizontal="center" vertical="top"/>
    </xf>
    <xf numFmtId="0" fontId="8" fillId="0" borderId="0" xfId="0" applyFont="1" applyFill="1" applyAlignment="1">
      <alignment vertical="top" wrapText="1"/>
    </xf>
    <xf numFmtId="0" fontId="2" fillId="0" borderId="0" xfId="52" applyFont="1" applyFill="1" applyBorder="1" applyAlignment="1">
      <alignment horizontal="center" vertical="top" wrapText="1"/>
      <protection/>
    </xf>
    <xf numFmtId="49" fontId="4" fillId="0" borderId="0" xfId="52" applyNumberFormat="1" applyFont="1" applyFill="1" applyAlignment="1">
      <alignment vertical="top" wrapText="1"/>
      <protection/>
    </xf>
    <xf numFmtId="0" fontId="4" fillId="0" borderId="0" xfId="52" applyFont="1" applyFill="1" applyAlignment="1">
      <alignment vertical="top" wrapText="1"/>
      <protection/>
    </xf>
    <xf numFmtId="0" fontId="2" fillId="0" borderId="0" xfId="52" applyFont="1" applyFill="1" applyAlignment="1">
      <alignment horizontal="left" vertical="top" wrapText="1"/>
      <protection/>
    </xf>
    <xf numFmtId="0" fontId="6" fillId="0" borderId="0" xfId="0" applyFont="1" applyFill="1" applyAlignment="1">
      <alignment horizontal="left" vertical="top" wrapText="1"/>
    </xf>
    <xf numFmtId="164" fontId="2" fillId="0" borderId="10" xfId="52" applyNumberFormat="1" applyFont="1" applyFill="1" applyBorder="1" applyAlignment="1">
      <alignment horizontal="left" vertical="top" wrapText="1"/>
      <protection/>
    </xf>
    <xf numFmtId="0" fontId="4" fillId="0" borderId="10" xfId="52" applyFont="1" applyFill="1" applyBorder="1" applyAlignment="1">
      <alignment horizontal="left" vertical="top" wrapText="1"/>
      <protection/>
    </xf>
    <xf numFmtId="49" fontId="2" fillId="0" borderId="10" xfId="0" applyNumberFormat="1" applyFont="1" applyFill="1" applyBorder="1" applyAlignment="1">
      <alignment horizontal="left" vertical="top" wrapText="1"/>
    </xf>
    <xf numFmtId="0" fontId="2" fillId="0" borderId="10" xfId="0" applyNumberFormat="1" applyFont="1" applyFill="1" applyBorder="1" applyAlignment="1" applyProtection="1">
      <alignment horizontal="left" vertical="top" wrapText="1"/>
      <protection hidden="1"/>
    </xf>
    <xf numFmtId="166" fontId="6" fillId="0" borderId="10" xfId="0" applyNumberFormat="1" applyFont="1" applyFill="1" applyBorder="1" applyAlignment="1">
      <alignment horizontal="left" vertical="top" wrapText="1"/>
    </xf>
    <xf numFmtId="0" fontId="4" fillId="0" borderId="10" xfId="52" applyFont="1" applyFill="1" applyBorder="1" applyAlignment="1">
      <alignment vertical="top" wrapText="1"/>
      <protection/>
    </xf>
    <xf numFmtId="0" fontId="2" fillId="0" borderId="17" xfId="52" applyNumberFormat="1" applyFont="1" applyFill="1" applyBorder="1" applyAlignment="1" applyProtection="1">
      <alignment vertical="center" wrapText="1"/>
      <protection hidden="1"/>
    </xf>
    <xf numFmtId="49" fontId="2" fillId="24" borderId="18" xfId="52" applyNumberFormat="1" applyFont="1" applyFill="1" applyBorder="1" applyAlignment="1" applyProtection="1">
      <alignment horizontal="center" vertical="center" wrapText="1"/>
      <protection hidden="1"/>
    </xf>
    <xf numFmtId="0" fontId="2" fillId="0" borderId="17" xfId="0"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24" borderId="17" xfId="52" applyFont="1" applyFill="1" applyBorder="1" applyAlignment="1">
      <alignment horizontal="left" vertical="center" wrapText="1"/>
      <protection/>
    </xf>
    <xf numFmtId="0" fontId="2" fillId="25" borderId="0" xfId="52" applyFont="1" applyFill="1" applyBorder="1" applyAlignment="1">
      <alignment vertical="top" wrapText="1"/>
      <protection/>
    </xf>
    <xf numFmtId="0" fontId="2" fillId="25" borderId="0" xfId="52" applyFont="1" applyFill="1" applyAlignment="1">
      <alignment vertical="top" wrapText="1"/>
      <protection/>
    </xf>
    <xf numFmtId="0" fontId="4" fillId="0" borderId="0" xfId="0" applyFont="1" applyFill="1" applyAlignment="1">
      <alignment horizontal="center" vertical="top" wrapText="1"/>
    </xf>
    <xf numFmtId="0" fontId="2" fillId="0" borderId="0" xfId="0" applyFont="1" applyFill="1" applyAlignment="1">
      <alignment horizontal="center" vertical="top" wrapText="1"/>
    </xf>
    <xf numFmtId="0" fontId="10" fillId="0" borderId="10" xfId="53" applyFont="1" applyFill="1" applyBorder="1" applyAlignment="1">
      <alignment horizontal="center" vertical="top" wrapText="1"/>
      <protection/>
    </xf>
    <xf numFmtId="14" fontId="10" fillId="0" borderId="10" xfId="53" applyNumberFormat="1" applyFont="1" applyFill="1" applyBorder="1" applyAlignment="1">
      <alignment horizontal="center" vertical="top" wrapText="1"/>
      <protection/>
    </xf>
    <xf numFmtId="164" fontId="2" fillId="0" borderId="17" xfId="52" applyNumberFormat="1" applyFont="1" applyFill="1" applyBorder="1" applyAlignment="1" applyProtection="1">
      <alignment horizontal="center" vertical="center"/>
      <protection hidden="1"/>
    </xf>
    <xf numFmtId="0" fontId="10"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justify" vertical="top" wrapText="1"/>
    </xf>
    <xf numFmtId="166" fontId="6" fillId="0" borderId="10" xfId="0" applyNumberFormat="1" applyFont="1" applyFill="1" applyBorder="1" applyAlignment="1" applyProtection="1">
      <alignment horizontal="center" vertical="top" wrapText="1"/>
      <protection locked="0"/>
    </xf>
    <xf numFmtId="166" fontId="6" fillId="0" borderId="10" xfId="0" applyNumberFormat="1" applyFont="1" applyFill="1" applyBorder="1" applyAlignment="1">
      <alignment horizontal="center" vertical="top" wrapText="1"/>
    </xf>
    <xf numFmtId="0" fontId="2" fillId="0" borderId="10" xfId="52" applyFont="1" applyFill="1" applyBorder="1" applyAlignment="1">
      <alignment horizontal="left" vertical="top" wrapText="1"/>
      <protection/>
    </xf>
    <xf numFmtId="0" fontId="4" fillId="0" borderId="10" xfId="52" applyNumberFormat="1" applyFont="1" applyFill="1" applyBorder="1" applyAlignment="1" applyProtection="1">
      <alignment horizontal="left" vertical="top" wrapText="1"/>
      <protection hidden="1"/>
    </xf>
    <xf numFmtId="166" fontId="2" fillId="0" borderId="10" xfId="0" applyNumberFormat="1" applyFont="1" applyFill="1" applyBorder="1" applyAlignment="1">
      <alignment horizontal="center" vertical="top" wrapText="1"/>
    </xf>
    <xf numFmtId="166" fontId="2" fillId="0" borderId="10" xfId="0" applyNumberFormat="1" applyFont="1" applyFill="1" applyBorder="1" applyAlignment="1" applyProtection="1">
      <alignment horizontal="center" vertical="top" wrapText="1"/>
      <protection locked="0"/>
    </xf>
    <xf numFmtId="0" fontId="2" fillId="0" borderId="10" xfId="52" applyNumberFormat="1" applyFont="1" applyFill="1" applyBorder="1" applyAlignment="1" applyProtection="1">
      <alignment horizontal="center" vertical="top" wrapText="1"/>
      <protection hidden="1"/>
    </xf>
    <xf numFmtId="49" fontId="2" fillId="0" borderId="10" xfId="52" applyNumberFormat="1" applyFont="1" applyFill="1" applyBorder="1" applyAlignment="1" applyProtection="1">
      <alignment horizontal="center" vertical="top" wrapText="1"/>
      <protection hidden="1"/>
    </xf>
    <xf numFmtId="166" fontId="2" fillId="0" borderId="10" xfId="52" applyNumberFormat="1" applyFont="1" applyFill="1" applyBorder="1" applyAlignment="1">
      <alignment horizontal="center" vertical="top" wrapText="1"/>
      <protection/>
    </xf>
    <xf numFmtId="49" fontId="4" fillId="0" borderId="10" xfId="52" applyNumberFormat="1" applyFont="1" applyFill="1" applyBorder="1" applyAlignment="1" applyProtection="1">
      <alignment horizontal="center" vertical="top" wrapText="1"/>
      <protection hidden="1"/>
    </xf>
    <xf numFmtId="0" fontId="4" fillId="0" borderId="10" xfId="52" applyNumberFormat="1" applyFont="1" applyFill="1" applyBorder="1" applyAlignment="1" applyProtection="1">
      <alignment horizontal="center" vertical="top" wrapText="1"/>
      <protection hidden="1"/>
    </xf>
    <xf numFmtId="49" fontId="2" fillId="0" borderId="10" xfId="52" applyNumberFormat="1" applyFont="1" applyFill="1" applyBorder="1" applyAlignment="1">
      <alignment horizontal="center" vertical="top" wrapText="1"/>
      <protection/>
    </xf>
    <xf numFmtId="0" fontId="2" fillId="0" borderId="10" xfId="0" applyFont="1" applyFill="1" applyBorder="1" applyAlignment="1">
      <alignment horizontal="center" vertical="top" wrapText="1"/>
    </xf>
    <xf numFmtId="0" fontId="2" fillId="0" borderId="10" xfId="52" applyFont="1" applyFill="1" applyBorder="1" applyAlignment="1">
      <alignment horizontal="center" vertical="top" wrapText="1"/>
      <protection/>
    </xf>
    <xf numFmtId="0" fontId="6" fillId="0" borderId="10" xfId="0" applyNumberFormat="1" applyFont="1" applyFill="1" applyBorder="1" applyAlignment="1" applyProtection="1">
      <alignment horizontal="center" vertical="top" wrapText="1"/>
      <protection hidden="1"/>
    </xf>
    <xf numFmtId="166" fontId="6" fillId="0" borderId="0" xfId="0" applyNumberFormat="1" applyFont="1" applyFill="1" applyBorder="1" applyAlignment="1">
      <alignment horizontal="center" vertical="top" wrapText="1"/>
    </xf>
    <xf numFmtId="166" fontId="2" fillId="0" borderId="0" xfId="0" applyNumberFormat="1" applyFont="1" applyFill="1" applyBorder="1" applyAlignment="1">
      <alignment horizontal="center" vertical="top" wrapText="1"/>
    </xf>
    <xf numFmtId="166" fontId="2" fillId="0" borderId="10" xfId="52" applyNumberFormat="1" applyFont="1" applyFill="1" applyBorder="1" applyAlignment="1" applyProtection="1">
      <alignment horizontal="center" vertical="top" wrapText="1"/>
      <protection hidden="1"/>
    </xf>
    <xf numFmtId="49" fontId="2" fillId="0" borderId="10" xfId="55" applyNumberFormat="1" applyFont="1" applyFill="1" applyBorder="1" applyAlignment="1" applyProtection="1">
      <alignment horizontal="center" vertical="top" wrapText="1"/>
      <protection hidden="1"/>
    </xf>
    <xf numFmtId="0" fontId="2" fillId="0" borderId="10" xfId="0" applyFont="1" applyFill="1" applyBorder="1" applyAlignment="1">
      <alignment horizontal="left" vertical="top" wrapText="1"/>
    </xf>
    <xf numFmtId="169" fontId="2" fillId="0" borderId="10" xfId="52" applyNumberFormat="1" applyFont="1" applyFill="1" applyBorder="1" applyAlignment="1">
      <alignment horizontal="center" vertical="top" wrapText="1"/>
      <protection/>
    </xf>
    <xf numFmtId="49" fontId="2" fillId="0" borderId="10" xfId="0" applyNumberFormat="1" applyFont="1" applyFill="1" applyBorder="1" applyAlignment="1">
      <alignment horizontal="justify" vertical="top" wrapText="1"/>
    </xf>
    <xf numFmtId="0" fontId="10" fillId="0" borderId="10" xfId="0" applyFont="1" applyBorder="1" applyAlignment="1">
      <alignment horizontal="center" vertical="top"/>
    </xf>
    <xf numFmtId="0" fontId="10" fillId="0" borderId="10" xfId="0" applyFont="1" applyBorder="1" applyAlignment="1">
      <alignment vertical="top" wrapText="1"/>
    </xf>
    <xf numFmtId="0" fontId="10" fillId="24" borderId="10" xfId="0" applyFont="1" applyFill="1" applyBorder="1" applyAlignment="1">
      <alignment horizontal="center" vertical="top" wrapText="1"/>
    </xf>
    <xf numFmtId="0" fontId="10" fillId="0" borderId="10" xfId="0" applyFont="1" applyBorder="1" applyAlignment="1">
      <alignment horizontal="center" vertical="top" wrapText="1"/>
    </xf>
    <xf numFmtId="0" fontId="12" fillId="0" borderId="10" xfId="0" applyFont="1" applyBorder="1" applyAlignment="1">
      <alignment horizontal="center" vertical="top" wrapText="1"/>
    </xf>
    <xf numFmtId="0" fontId="12" fillId="0" borderId="10" xfId="0" applyFont="1" applyBorder="1" applyAlignment="1">
      <alignment vertical="top" wrapText="1"/>
    </xf>
    <xf numFmtId="0" fontId="4" fillId="0" borderId="10" xfId="0" applyFont="1" applyBorder="1" applyAlignment="1" applyProtection="1">
      <alignment vertical="top" wrapText="1"/>
      <protection locked="0"/>
    </xf>
    <xf numFmtId="166" fontId="2" fillId="0" borderId="19" xfId="0" applyNumberFormat="1" applyFont="1" applyFill="1" applyBorder="1" applyAlignment="1">
      <alignment horizontal="center" vertical="top" wrapText="1"/>
    </xf>
    <xf numFmtId="166" fontId="2" fillId="0" borderId="10" xfId="0" applyNumberFormat="1" applyFont="1" applyFill="1" applyBorder="1" applyAlignment="1" applyProtection="1">
      <alignment horizontal="center" vertical="top" wrapText="1"/>
      <protection locked="0"/>
    </xf>
    <xf numFmtId="0" fontId="4" fillId="0" borderId="10" xfId="52" applyNumberFormat="1" applyFont="1" applyFill="1" applyBorder="1" applyAlignment="1" applyProtection="1">
      <alignment horizontal="left" vertical="top" wrapText="1"/>
      <protection hidden="1"/>
    </xf>
    <xf numFmtId="0" fontId="2" fillId="0" borderId="10" xfId="52" applyNumberFormat="1" applyFont="1" applyFill="1" applyBorder="1" applyAlignment="1" applyProtection="1">
      <alignment horizontal="center" vertical="top" wrapText="1"/>
      <protection hidden="1"/>
    </xf>
    <xf numFmtId="49" fontId="4" fillId="0" borderId="10" xfId="52" applyNumberFormat="1" applyFont="1" applyFill="1" applyBorder="1" applyAlignment="1" applyProtection="1">
      <alignment horizontal="center" vertical="top" wrapText="1"/>
      <protection hidden="1"/>
    </xf>
    <xf numFmtId="49" fontId="2" fillId="0" borderId="20" xfId="52" applyNumberFormat="1" applyFont="1" applyFill="1" applyBorder="1" applyAlignment="1" applyProtection="1">
      <alignment horizontal="center" vertical="top" wrapText="1"/>
      <protection hidden="1"/>
    </xf>
    <xf numFmtId="49" fontId="2" fillId="0" borderId="19" xfId="52" applyNumberFormat="1" applyFont="1" applyFill="1" applyBorder="1" applyAlignment="1" applyProtection="1">
      <alignment horizontal="center" vertical="top" wrapText="1"/>
      <protection hidden="1"/>
    </xf>
    <xf numFmtId="166" fontId="2" fillId="0" borderId="20" xfId="52" applyNumberFormat="1" applyFont="1" applyFill="1" applyBorder="1" applyAlignment="1" applyProtection="1">
      <alignment horizontal="center" vertical="top" wrapText="1"/>
      <protection hidden="1"/>
    </xf>
    <xf numFmtId="166" fontId="2" fillId="0" borderId="19" xfId="52" applyNumberFormat="1" applyFont="1" applyFill="1" applyBorder="1" applyAlignment="1" applyProtection="1">
      <alignment horizontal="center" vertical="top" wrapText="1"/>
      <protection hidden="1"/>
    </xf>
    <xf numFmtId="166" fontId="6" fillId="0" borderId="0" xfId="0" applyNumberFormat="1" applyFont="1" applyFill="1" applyBorder="1" applyAlignment="1">
      <alignment horizontal="center" vertical="top" wrapText="1"/>
    </xf>
    <xf numFmtId="166" fontId="6" fillId="0" borderId="20" xfId="0" applyNumberFormat="1" applyFont="1" applyFill="1" applyBorder="1" applyAlignment="1">
      <alignment horizontal="center" vertical="top" wrapText="1"/>
    </xf>
    <xf numFmtId="166" fontId="6" fillId="0" borderId="19" xfId="0" applyNumberFormat="1" applyFont="1" applyFill="1" applyBorder="1" applyAlignment="1">
      <alignment horizontal="center" vertical="top" wrapText="1"/>
    </xf>
    <xf numFmtId="166" fontId="2" fillId="0" borderId="20" xfId="0" applyNumberFormat="1" applyFont="1" applyFill="1" applyBorder="1" applyAlignment="1">
      <alignment horizontal="center" vertical="top" wrapText="1"/>
    </xf>
    <xf numFmtId="166" fontId="6" fillId="0" borderId="10" xfId="0" applyNumberFormat="1" applyFont="1" applyFill="1" applyBorder="1" applyAlignment="1">
      <alignment horizontal="center" vertical="top" wrapText="1"/>
    </xf>
    <xf numFmtId="0" fontId="2" fillId="0" borderId="10" xfId="52" applyFont="1" applyFill="1" applyBorder="1" applyAlignment="1">
      <alignment horizontal="left" vertical="top" wrapText="1"/>
      <protection/>
    </xf>
    <xf numFmtId="166" fontId="6" fillId="0" borderId="10" xfId="0" applyNumberFormat="1" applyFont="1" applyFill="1" applyBorder="1" applyAlignment="1" applyProtection="1">
      <alignment horizontal="center" vertical="top" wrapText="1"/>
      <protection locked="0"/>
    </xf>
    <xf numFmtId="166" fontId="6"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lignment horizontal="left" vertical="top" wrapText="1"/>
    </xf>
    <xf numFmtId="166" fontId="2" fillId="0" borderId="10" xfId="52" applyNumberFormat="1" applyFont="1" applyFill="1" applyBorder="1" applyAlignment="1">
      <alignment horizontal="center" vertical="top" wrapText="1"/>
      <protection/>
    </xf>
    <xf numFmtId="49" fontId="2" fillId="0" borderId="10" xfId="52" applyNumberFormat="1" applyFont="1" applyFill="1" applyBorder="1" applyAlignment="1" applyProtection="1">
      <alignment horizontal="center" vertical="top" wrapText="1"/>
      <protection hidden="1"/>
    </xf>
    <xf numFmtId="166" fontId="2"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justify" vertical="top" wrapText="1"/>
    </xf>
    <xf numFmtId="166" fontId="2" fillId="0" borderId="20" xfId="0" applyNumberFormat="1" applyFont="1" applyFill="1" applyBorder="1" applyAlignment="1" applyProtection="1">
      <alignment horizontal="center" vertical="top" wrapText="1"/>
      <protection locked="0"/>
    </xf>
    <xf numFmtId="166" fontId="2" fillId="0" borderId="19" xfId="0" applyNumberFormat="1" applyFont="1" applyFill="1" applyBorder="1" applyAlignment="1" applyProtection="1">
      <alignment horizontal="center" vertical="top" wrapText="1"/>
      <protection locked="0"/>
    </xf>
    <xf numFmtId="166" fontId="6" fillId="0" borderId="20" xfId="0" applyNumberFormat="1" applyFont="1" applyFill="1" applyBorder="1" applyAlignment="1" applyProtection="1">
      <alignment horizontal="center" vertical="top" wrapText="1"/>
      <protection locked="0"/>
    </xf>
    <xf numFmtId="166" fontId="6" fillId="0" borderId="19" xfId="0" applyNumberFormat="1" applyFont="1" applyFill="1" applyBorder="1" applyAlignment="1" applyProtection="1">
      <alignment horizontal="center" vertical="top" wrapText="1"/>
      <protection locked="0"/>
    </xf>
    <xf numFmtId="0" fontId="4" fillId="0" borderId="10" xfId="0" applyFont="1" applyFill="1" applyBorder="1" applyAlignment="1">
      <alignment horizontal="left" vertical="top" wrapText="1"/>
    </xf>
    <xf numFmtId="0" fontId="2" fillId="0" borderId="20"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0" xfId="52" applyNumberFormat="1" applyFont="1" applyFill="1" applyBorder="1" applyAlignment="1" applyProtection="1">
      <alignment horizontal="center" vertical="top" wrapText="1"/>
      <protection hidden="1"/>
    </xf>
    <xf numFmtId="0" fontId="2" fillId="0" borderId="19" xfId="52" applyNumberFormat="1" applyFont="1" applyFill="1" applyBorder="1" applyAlignment="1" applyProtection="1">
      <alignment horizontal="center" vertical="top" wrapText="1"/>
      <protection hidden="1"/>
    </xf>
    <xf numFmtId="166" fontId="2" fillId="0" borderId="10" xfId="52" applyNumberFormat="1" applyFont="1" applyFill="1" applyBorder="1" applyAlignment="1" applyProtection="1">
      <alignment horizontal="center" vertical="top" wrapText="1"/>
      <protection hidden="1"/>
    </xf>
    <xf numFmtId="0" fontId="4" fillId="0" borderId="10" xfId="55" applyNumberFormat="1" applyFont="1" applyFill="1" applyBorder="1" applyAlignment="1" applyProtection="1">
      <alignment horizontal="left" vertical="top" wrapText="1"/>
      <protection hidden="1"/>
    </xf>
    <xf numFmtId="49" fontId="2" fillId="0" borderId="10" xfId="55" applyNumberFormat="1" applyFont="1" applyFill="1" applyBorder="1" applyAlignment="1" applyProtection="1">
      <alignment horizontal="center" vertical="top" wrapText="1"/>
      <protection hidden="1"/>
    </xf>
    <xf numFmtId="0" fontId="2" fillId="0" borderId="21" xfId="52" applyNumberFormat="1" applyFont="1" applyFill="1" applyBorder="1" applyAlignment="1" applyProtection="1">
      <alignment horizontal="center" vertical="top" wrapText="1"/>
      <protection hidden="1"/>
    </xf>
    <xf numFmtId="166" fontId="2" fillId="0" borderId="20" xfId="0" applyNumberFormat="1" applyFont="1" applyFill="1" applyBorder="1" applyAlignment="1">
      <alignment horizontal="left" vertical="top" wrapText="1"/>
    </xf>
    <xf numFmtId="166" fontId="2" fillId="0" borderId="21" xfId="0" applyNumberFormat="1" applyFont="1" applyFill="1" applyBorder="1" applyAlignment="1">
      <alignment horizontal="left" vertical="top" wrapText="1"/>
    </xf>
    <xf numFmtId="166" fontId="2" fillId="0" borderId="19" xfId="0" applyNumberFormat="1" applyFont="1" applyFill="1" applyBorder="1" applyAlignment="1">
      <alignment horizontal="left" vertical="top" wrapText="1"/>
    </xf>
    <xf numFmtId="0" fontId="4" fillId="0" borderId="0" xfId="0" applyFont="1" applyFill="1" applyAlignment="1">
      <alignment horizontal="center" vertical="top" wrapText="1"/>
    </xf>
    <xf numFmtId="0" fontId="11" fillId="0" borderId="0" xfId="0" applyFont="1" applyFill="1" applyAlignment="1">
      <alignment horizontal="center" vertical="top" wrapText="1"/>
    </xf>
    <xf numFmtId="0" fontId="2" fillId="0" borderId="0" xfId="0" applyFont="1" applyFill="1" applyAlignment="1">
      <alignment horizontal="center" vertical="top" wrapText="1"/>
    </xf>
    <xf numFmtId="0" fontId="7" fillId="0" borderId="12" xfId="0" applyFont="1" applyFill="1" applyBorder="1" applyAlignment="1">
      <alignment horizontal="center" vertical="top" wrapText="1"/>
    </xf>
    <xf numFmtId="0" fontId="2" fillId="0" borderId="10" xfId="0" applyFont="1" applyFill="1" applyBorder="1" applyAlignment="1">
      <alignment horizontal="center" vertical="top" wrapText="1"/>
    </xf>
    <xf numFmtId="0" fontId="6" fillId="0" borderId="10" xfId="0" applyNumberFormat="1" applyFont="1" applyFill="1" applyBorder="1" applyAlignment="1" applyProtection="1">
      <alignment horizontal="center" vertical="top" wrapText="1"/>
      <protection hidden="1"/>
    </xf>
    <xf numFmtId="49" fontId="2" fillId="0" borderId="21" xfId="52" applyNumberFormat="1" applyFont="1" applyFill="1" applyBorder="1" applyAlignment="1" applyProtection="1">
      <alignment horizontal="center" vertical="top" wrapText="1"/>
      <protection hidden="1"/>
    </xf>
    <xf numFmtId="0" fontId="6" fillId="0" borderId="20" xfId="0" applyNumberFormat="1" applyFont="1" applyFill="1" applyBorder="1" applyAlignment="1" applyProtection="1">
      <alignment horizontal="center" vertical="top" wrapText="1"/>
      <protection hidden="1"/>
    </xf>
    <xf numFmtId="0" fontId="6" fillId="0" borderId="21" xfId="0" applyNumberFormat="1" applyFont="1" applyFill="1" applyBorder="1" applyAlignment="1" applyProtection="1">
      <alignment horizontal="center" vertical="top" wrapText="1"/>
      <protection hidden="1"/>
    </xf>
    <xf numFmtId="0" fontId="6" fillId="0" borderId="19" xfId="0" applyNumberFormat="1" applyFont="1" applyFill="1" applyBorder="1" applyAlignment="1" applyProtection="1">
      <alignment horizontal="center" vertical="top" wrapText="1"/>
      <protection hidden="1"/>
    </xf>
    <xf numFmtId="166" fontId="2" fillId="0" borderId="0" xfId="0" applyNumberFormat="1" applyFont="1" applyFill="1" applyBorder="1" applyAlignment="1">
      <alignment horizontal="center" vertical="top" wrapText="1"/>
    </xf>
    <xf numFmtId="166" fontId="6" fillId="0" borderId="21" xfId="0" applyNumberFormat="1" applyFont="1" applyFill="1" applyBorder="1" applyAlignment="1">
      <alignment horizontal="center" vertical="top" wrapText="1"/>
    </xf>
    <xf numFmtId="49" fontId="2" fillId="0" borderId="13" xfId="52" applyNumberFormat="1" applyFont="1" applyFill="1" applyBorder="1" applyAlignment="1" applyProtection="1">
      <alignment horizontal="left" vertical="top" wrapText="1"/>
      <protection hidden="1"/>
    </xf>
    <xf numFmtId="0" fontId="2" fillId="0" borderId="10" xfId="52" applyFont="1" applyFill="1" applyBorder="1" applyAlignment="1">
      <alignment horizontal="center" vertical="top" wrapText="1"/>
      <protection/>
    </xf>
    <xf numFmtId="49" fontId="4" fillId="0" borderId="10" xfId="52" applyNumberFormat="1" applyFont="1" applyFill="1" applyBorder="1" applyAlignment="1">
      <alignment horizontal="center" vertical="top" wrapText="1"/>
      <protection/>
    </xf>
    <xf numFmtId="49" fontId="4" fillId="0" borderId="20" xfId="52" applyNumberFormat="1" applyFont="1" applyFill="1" applyBorder="1" applyAlignment="1" applyProtection="1">
      <alignment horizontal="center" vertical="top" wrapText="1"/>
      <protection hidden="1"/>
    </xf>
    <xf numFmtId="49" fontId="4" fillId="0" borderId="21" xfId="52" applyNumberFormat="1" applyFont="1" applyFill="1" applyBorder="1" applyAlignment="1" applyProtection="1">
      <alignment horizontal="center" vertical="top" wrapText="1"/>
      <protection hidden="1"/>
    </xf>
    <xf numFmtId="49" fontId="4" fillId="0" borderId="19" xfId="52" applyNumberFormat="1" applyFont="1" applyFill="1" applyBorder="1" applyAlignment="1" applyProtection="1">
      <alignment horizontal="center" vertical="top" wrapText="1"/>
      <protection hidden="1"/>
    </xf>
    <xf numFmtId="165" fontId="8" fillId="0" borderId="10" xfId="0" applyNumberFormat="1" applyFont="1" applyFill="1" applyBorder="1" applyAlignment="1" applyProtection="1">
      <alignment horizontal="left" vertical="top" wrapText="1"/>
      <protection hidden="1"/>
    </xf>
    <xf numFmtId="49" fontId="4" fillId="0" borderId="10" xfId="52" applyNumberFormat="1" applyFont="1" applyFill="1" applyBorder="1" applyAlignment="1" applyProtection="1">
      <alignment horizontal="left" vertical="top" wrapText="1"/>
      <protection hidden="1"/>
    </xf>
    <xf numFmtId="0" fontId="8" fillId="0" borderId="10" xfId="0" applyNumberFormat="1" applyFont="1" applyFill="1" applyBorder="1" applyAlignment="1" applyProtection="1">
      <alignment horizontal="left" vertical="top" wrapText="1"/>
      <protection hidden="1"/>
    </xf>
    <xf numFmtId="0" fontId="2" fillId="0" borderId="10" xfId="55" applyNumberFormat="1" applyFont="1" applyFill="1" applyBorder="1" applyAlignment="1" applyProtection="1">
      <alignment horizontal="center" vertical="top" wrapText="1"/>
      <protection hidden="1"/>
    </xf>
    <xf numFmtId="0" fontId="4" fillId="0" borderId="20" xfId="52" applyNumberFormat="1" applyFont="1" applyFill="1" applyBorder="1" applyAlignment="1" applyProtection="1">
      <alignment horizontal="left" vertical="top" wrapText="1"/>
      <protection hidden="1"/>
    </xf>
    <xf numFmtId="0" fontId="4" fillId="0" borderId="21" xfId="52" applyNumberFormat="1" applyFont="1" applyFill="1" applyBorder="1" applyAlignment="1" applyProtection="1">
      <alignment horizontal="left" vertical="top" wrapText="1"/>
      <protection hidden="1"/>
    </xf>
    <xf numFmtId="0" fontId="4" fillId="0" borderId="19" xfId="52" applyNumberFormat="1" applyFont="1" applyFill="1" applyBorder="1" applyAlignment="1" applyProtection="1">
      <alignment horizontal="left" vertical="top" wrapText="1"/>
      <protection hidden="1"/>
    </xf>
    <xf numFmtId="166" fontId="2" fillId="0" borderId="21"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4" fillId="0" borderId="10" xfId="0" applyFont="1" applyFill="1" applyBorder="1" applyAlignment="1" applyProtection="1">
      <alignment horizontal="left" vertical="top" wrapText="1"/>
      <protection locked="0"/>
    </xf>
    <xf numFmtId="0" fontId="4" fillId="0" borderId="10" xfId="0" applyFont="1" applyFill="1" applyBorder="1" applyAlignment="1">
      <alignment horizontal="center" vertical="top" wrapText="1"/>
    </xf>
    <xf numFmtId="169" fontId="4" fillId="0" borderId="10" xfId="52" applyNumberFormat="1" applyFont="1" applyFill="1" applyBorder="1" applyAlignment="1">
      <alignment horizontal="center" vertical="top" wrapText="1"/>
      <protection/>
    </xf>
    <xf numFmtId="169" fontId="2" fillId="0" borderId="10" xfId="52" applyNumberFormat="1" applyFont="1" applyFill="1" applyBorder="1" applyAlignment="1">
      <alignment horizontal="center" vertical="top" wrapText="1"/>
      <protection/>
    </xf>
    <xf numFmtId="0" fontId="4" fillId="0" borderId="10" xfId="0" applyNumberFormat="1" applyFont="1" applyFill="1" applyBorder="1" applyAlignment="1" applyProtection="1">
      <alignment horizontal="left" vertical="top" wrapText="1"/>
      <protection locked="0"/>
    </xf>
    <xf numFmtId="0" fontId="4" fillId="0" borderId="10" xfId="52" applyNumberFormat="1" applyFont="1" applyFill="1" applyBorder="1" applyAlignment="1" applyProtection="1">
      <alignment horizontal="center" vertical="top" wrapText="1"/>
      <protection hidden="1"/>
    </xf>
    <xf numFmtId="49" fontId="2" fillId="0" borderId="10" xfId="52" applyNumberFormat="1" applyFont="1" applyFill="1" applyBorder="1" applyAlignment="1">
      <alignment horizontal="center" vertical="top" wrapText="1"/>
      <protection/>
    </xf>
    <xf numFmtId="0" fontId="0" fillId="0" borderId="21" xfId="0" applyFont="1" applyBorder="1" applyAlignment="1">
      <alignment/>
    </xf>
    <xf numFmtId="0" fontId="0" fillId="0" borderId="19" xfId="0" applyFont="1" applyBorder="1" applyAlignment="1">
      <alignment/>
    </xf>
    <xf numFmtId="166" fontId="6" fillId="0" borderId="21" xfId="0" applyNumberFormat="1" applyFont="1" applyFill="1" applyBorder="1" applyAlignment="1" applyProtection="1">
      <alignment horizontal="center" vertical="top" wrapText="1"/>
      <protection locked="0"/>
    </xf>
    <xf numFmtId="0" fontId="2" fillId="0" borderId="20" xfId="52" applyFont="1" applyFill="1" applyBorder="1" applyAlignment="1">
      <alignment horizontal="left" vertical="top" wrapText="1"/>
      <protection/>
    </xf>
    <xf numFmtId="0" fontId="2" fillId="0" borderId="21" xfId="52" applyFont="1" applyFill="1" applyBorder="1" applyAlignment="1">
      <alignment horizontal="left" vertical="top" wrapText="1"/>
      <protection/>
    </xf>
    <xf numFmtId="0" fontId="2" fillId="0" borderId="19" xfId="52" applyFont="1" applyFill="1" applyBorder="1" applyAlignment="1">
      <alignment horizontal="left" vertical="top" wrapText="1"/>
      <protection/>
    </xf>
    <xf numFmtId="169" fontId="2" fillId="0" borderId="20" xfId="52" applyNumberFormat="1" applyFont="1" applyFill="1" applyBorder="1" applyAlignment="1">
      <alignment horizontal="center" vertical="top" wrapText="1"/>
      <protection/>
    </xf>
    <xf numFmtId="169" fontId="2" fillId="0" borderId="19" xfId="52" applyNumberFormat="1" applyFont="1" applyFill="1" applyBorder="1" applyAlignment="1">
      <alignment horizontal="center" vertical="top" wrapText="1"/>
      <protection/>
    </xf>
    <xf numFmtId="166" fontId="8" fillId="0" borderId="20" xfId="0" applyNumberFormat="1" applyFont="1" applyFill="1" applyBorder="1" applyAlignment="1">
      <alignment horizontal="center" vertical="top" wrapText="1"/>
    </xf>
    <xf numFmtId="166" fontId="8" fillId="0" borderId="21" xfId="0" applyNumberFormat="1" applyFont="1" applyFill="1" applyBorder="1" applyAlignment="1">
      <alignment horizontal="center" vertical="top" wrapText="1"/>
    </xf>
    <xf numFmtId="166" fontId="8" fillId="0" borderId="19" xfId="0" applyNumberFormat="1" applyFont="1" applyFill="1" applyBorder="1" applyAlignment="1">
      <alignment horizontal="center" vertical="top" wrapText="1"/>
    </xf>
    <xf numFmtId="0" fontId="2" fillId="0" borderId="21" xfId="0" applyFont="1" applyFill="1" applyBorder="1" applyAlignment="1">
      <alignment horizontal="center" vertical="top" wrapText="1"/>
    </xf>
    <xf numFmtId="169" fontId="2" fillId="0" borderId="21" xfId="52" applyNumberFormat="1" applyFont="1" applyFill="1" applyBorder="1" applyAlignment="1">
      <alignment horizontal="center" vertical="top" wrapText="1"/>
      <protection/>
    </xf>
    <xf numFmtId="166" fontId="2" fillId="0" borderId="10" xfId="0" applyNumberFormat="1" applyFont="1" applyFill="1" applyBorder="1" applyAlignment="1" applyProtection="1">
      <alignment horizontal="center" vertical="top" wrapText="1"/>
      <protection/>
    </xf>
    <xf numFmtId="0" fontId="2" fillId="0" borderId="20" xfId="52" applyFont="1" applyFill="1" applyBorder="1" applyAlignment="1">
      <alignment horizontal="center" vertical="top" wrapText="1"/>
      <protection/>
    </xf>
    <xf numFmtId="0" fontId="2" fillId="0" borderId="19" xfId="52" applyFont="1" applyFill="1" applyBorder="1" applyAlignment="1">
      <alignment horizontal="center" vertical="top" wrapText="1"/>
      <protection/>
    </xf>
    <xf numFmtId="166" fontId="6" fillId="0" borderId="20" xfId="0" applyNumberFormat="1" applyFont="1" applyFill="1" applyBorder="1" applyAlignment="1" applyProtection="1">
      <alignment horizontal="center" vertical="top" wrapText="1"/>
      <protection locked="0"/>
    </xf>
    <xf numFmtId="166" fontId="6" fillId="0" borderId="19" xfId="0" applyNumberFormat="1" applyFont="1" applyFill="1" applyBorder="1" applyAlignment="1" applyProtection="1">
      <alignment horizontal="center" vertical="top" wrapText="1"/>
      <protection locked="0"/>
    </xf>
    <xf numFmtId="0" fontId="2" fillId="0"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52" applyNumberFormat="1" applyFont="1" applyFill="1" applyBorder="1" applyAlignment="1" applyProtection="1">
      <alignment horizontal="left" vertical="top" wrapText="1"/>
      <protection hidden="1"/>
    </xf>
    <xf numFmtId="0" fontId="2" fillId="0" borderId="19" xfId="52" applyNumberFormat="1" applyFont="1" applyFill="1" applyBorder="1" applyAlignment="1" applyProtection="1">
      <alignment horizontal="left" vertical="top" wrapText="1"/>
      <protection hidden="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9" xfId="0" applyFont="1" applyFill="1" applyBorder="1" applyAlignment="1">
      <alignment horizontal="left" vertical="top" wrapText="1"/>
    </xf>
    <xf numFmtId="166" fontId="2" fillId="0" borderId="21" xfId="0" applyNumberFormat="1" applyFont="1" applyFill="1" applyBorder="1" applyAlignment="1" applyProtection="1">
      <alignment horizontal="center" vertical="top"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25 805 (Образование)2" xfId="53"/>
    <cellStyle name="Обычный_Tmp1" xfId="54"/>
    <cellStyle name="Обычный_Отчет 76н (субъект)_4"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56;&#1054;%20(&#1091;&#1090;&#1086;&#1095;&#1085;&#1077;&#1085;&#1085;&#1099;&#1081;)\&#1052;&#1077;&#1089;&#1090;&#1085;&#1099;&#1081;\&#1050;&#1086;&#1087;&#1080;&#1103;%20&#1056;&#1056;&#1054;_28-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РО"/>
      <sheetName val="Суммы"/>
    </sheetNames>
    <sheetDataSet>
      <sheetData sheetId="1">
        <row r="3">
          <cell r="A3">
            <v>100</v>
          </cell>
        </row>
        <row r="4">
          <cell r="A4">
            <v>101</v>
          </cell>
        </row>
        <row r="5">
          <cell r="A5">
            <v>102</v>
          </cell>
        </row>
        <row r="6">
          <cell r="A6">
            <v>103</v>
          </cell>
        </row>
        <row r="7">
          <cell r="A7">
            <v>105</v>
          </cell>
        </row>
        <row r="8">
          <cell r="A8">
            <v>106</v>
          </cell>
        </row>
        <row r="9">
          <cell r="A9">
            <v>107</v>
          </cell>
        </row>
        <row r="10">
          <cell r="A10">
            <v>200</v>
          </cell>
        </row>
        <row r="11">
          <cell r="A11">
            <v>201</v>
          </cell>
        </row>
        <row r="12">
          <cell r="A12">
            <v>202</v>
          </cell>
        </row>
        <row r="13">
          <cell r="A13">
            <v>203</v>
          </cell>
        </row>
        <row r="14">
          <cell r="A14">
            <v>204</v>
          </cell>
        </row>
        <row r="15">
          <cell r="A15">
            <v>205</v>
          </cell>
        </row>
        <row r="16">
          <cell r="A16">
            <v>206</v>
          </cell>
        </row>
        <row r="17">
          <cell r="A17">
            <v>207</v>
          </cell>
        </row>
        <row r="18">
          <cell r="A18">
            <v>208</v>
          </cell>
        </row>
        <row r="19">
          <cell r="A19">
            <v>209</v>
          </cell>
        </row>
        <row r="20">
          <cell r="A20">
            <v>300</v>
          </cell>
        </row>
        <row r="21">
          <cell r="A21">
            <v>301</v>
          </cell>
        </row>
        <row r="22">
          <cell r="A22">
            <v>302</v>
          </cell>
        </row>
        <row r="23">
          <cell r="A23">
            <v>303</v>
          </cell>
        </row>
        <row r="24">
          <cell r="A24">
            <v>304</v>
          </cell>
        </row>
        <row r="25">
          <cell r="A25">
            <v>305</v>
          </cell>
        </row>
        <row r="26">
          <cell r="A26">
            <v>306</v>
          </cell>
        </row>
        <row r="27">
          <cell r="A27">
            <v>307</v>
          </cell>
        </row>
        <row r="28">
          <cell r="A28">
            <v>308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494"/>
  <sheetViews>
    <sheetView tabSelected="1" view="pageBreakPreview" zoomScale="65" zoomScaleNormal="75" zoomScaleSheetLayoutView="65" zoomScalePageLayoutView="0" workbookViewId="0" topLeftCell="F1">
      <selection activeCell="L477" sqref="L477:M477"/>
    </sheetView>
  </sheetViews>
  <sheetFormatPr defaultColWidth="21.140625" defaultRowHeight="15"/>
  <cols>
    <col min="1" max="1" width="5.8515625" style="67" customWidth="1"/>
    <col min="2" max="2" width="47.8515625" style="68" customWidth="1"/>
    <col min="3" max="3" width="9.421875" style="33" customWidth="1"/>
    <col min="4" max="4" width="12.140625" style="33" customWidth="1"/>
    <col min="5" max="5" width="68.7109375" style="69" customWidth="1"/>
    <col min="6" max="6" width="11.00390625" style="33" customWidth="1"/>
    <col min="7" max="7" width="16.421875" style="33" customWidth="1"/>
    <col min="8" max="8" width="14.421875" style="33" customWidth="1"/>
    <col min="9" max="9" width="13.8515625" style="33" customWidth="1"/>
    <col min="10" max="10" width="19.28125" style="33" customWidth="1"/>
    <col min="11" max="11" width="18.7109375" style="33" customWidth="1"/>
    <col min="12" max="12" width="15.57421875" style="33" customWidth="1"/>
    <col min="13" max="13" width="16.8515625" style="33" customWidth="1"/>
    <col min="14" max="14" width="36.140625" style="69" customWidth="1"/>
    <col min="15" max="16384" width="21.140625" style="21" customWidth="1"/>
  </cols>
  <sheetData>
    <row r="1" spans="1:256" s="53" customFormat="1" ht="15">
      <c r="A1" s="161" t="s">
        <v>1560</v>
      </c>
      <c r="B1" s="161"/>
      <c r="C1" s="161"/>
      <c r="D1" s="161"/>
      <c r="E1" s="161"/>
      <c r="F1" s="161"/>
      <c r="G1" s="161"/>
      <c r="H1" s="161"/>
      <c r="I1" s="161"/>
      <c r="J1" s="161"/>
      <c r="K1" s="161"/>
      <c r="L1" s="161"/>
      <c r="M1" s="161"/>
      <c r="N1" s="161"/>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s="53" customFormat="1" ht="15">
      <c r="A2" s="54"/>
      <c r="B2" s="85"/>
      <c r="C2" s="86"/>
      <c r="D2" s="55"/>
      <c r="E2" s="55"/>
      <c r="F2" s="55"/>
      <c r="G2" s="55"/>
      <c r="H2" s="39"/>
      <c r="I2" s="39"/>
      <c r="J2" s="39"/>
      <c r="K2" s="39"/>
      <c r="L2" s="39"/>
      <c r="M2" s="39"/>
      <c r="N2" s="70"/>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s="57" customFormat="1" ht="15">
      <c r="A3" s="162" t="s">
        <v>610</v>
      </c>
      <c r="B3" s="163"/>
      <c r="C3" s="163"/>
      <c r="D3" s="163"/>
      <c r="E3" s="163"/>
      <c r="F3" s="163"/>
      <c r="G3" s="163"/>
      <c r="H3" s="163"/>
      <c r="I3" s="163"/>
      <c r="J3" s="163"/>
      <c r="K3" s="163"/>
      <c r="L3" s="163"/>
      <c r="M3" s="163"/>
      <c r="N3" s="163"/>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256" s="57" customFormat="1" ht="18">
      <c r="A4" s="164" t="s">
        <v>1561</v>
      </c>
      <c r="B4" s="164"/>
      <c r="C4" s="164"/>
      <c r="D4" s="164"/>
      <c r="E4" s="164"/>
      <c r="F4" s="164"/>
      <c r="G4" s="164"/>
      <c r="H4" s="164"/>
      <c r="I4" s="164"/>
      <c r="J4" s="164"/>
      <c r="K4" s="164"/>
      <c r="L4" s="164"/>
      <c r="M4" s="164"/>
      <c r="N4" s="164"/>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row>
    <row r="5" spans="1:14" s="58" customFormat="1" ht="23.25" customHeight="1">
      <c r="A5" s="165" t="s">
        <v>1029</v>
      </c>
      <c r="B5" s="165"/>
      <c r="C5" s="165"/>
      <c r="D5" s="165" t="s">
        <v>1371</v>
      </c>
      <c r="E5" s="165" t="s">
        <v>1172</v>
      </c>
      <c r="F5" s="165"/>
      <c r="G5" s="165"/>
      <c r="H5" s="143" t="s">
        <v>681</v>
      </c>
      <c r="I5" s="143"/>
      <c r="J5" s="143"/>
      <c r="K5" s="143"/>
      <c r="L5" s="143"/>
      <c r="M5" s="143"/>
      <c r="N5" s="165" t="s">
        <v>1030</v>
      </c>
    </row>
    <row r="6" spans="1:14" s="58" customFormat="1" ht="21.75" customHeight="1">
      <c r="A6" s="165"/>
      <c r="B6" s="165"/>
      <c r="C6" s="165"/>
      <c r="D6" s="165"/>
      <c r="E6" s="165"/>
      <c r="F6" s="165"/>
      <c r="G6" s="165"/>
      <c r="H6" s="143" t="s">
        <v>530</v>
      </c>
      <c r="I6" s="143"/>
      <c r="J6" s="143" t="s">
        <v>682</v>
      </c>
      <c r="K6" s="143" t="s">
        <v>531</v>
      </c>
      <c r="L6" s="143" t="s">
        <v>1366</v>
      </c>
      <c r="M6" s="143"/>
      <c r="N6" s="165"/>
    </row>
    <row r="7" spans="1:14" s="58" customFormat="1" ht="90">
      <c r="A7" s="165"/>
      <c r="B7" s="165"/>
      <c r="C7" s="165"/>
      <c r="D7" s="165"/>
      <c r="E7" s="106" t="s">
        <v>1031</v>
      </c>
      <c r="F7" s="106" t="s">
        <v>1032</v>
      </c>
      <c r="G7" s="106" t="s">
        <v>1069</v>
      </c>
      <c r="H7" s="98" t="s">
        <v>12</v>
      </c>
      <c r="I7" s="98" t="s">
        <v>962</v>
      </c>
      <c r="J7" s="143"/>
      <c r="K7" s="143"/>
      <c r="L7" s="3" t="s">
        <v>1034</v>
      </c>
      <c r="M7" s="3" t="s">
        <v>532</v>
      </c>
      <c r="N7" s="165"/>
    </row>
    <row r="8" spans="1:14" ht="15">
      <c r="A8" s="101" t="s">
        <v>1365</v>
      </c>
      <c r="B8" s="100" t="s">
        <v>1364</v>
      </c>
      <c r="C8" s="100" t="s">
        <v>1363</v>
      </c>
      <c r="D8" s="100" t="s">
        <v>1362</v>
      </c>
      <c r="E8" s="100" t="s">
        <v>1361</v>
      </c>
      <c r="F8" s="100" t="s">
        <v>1360</v>
      </c>
      <c r="G8" s="100" t="s">
        <v>1359</v>
      </c>
      <c r="H8" s="100" t="s">
        <v>1358</v>
      </c>
      <c r="I8" s="100" t="s">
        <v>1357</v>
      </c>
      <c r="J8" s="100" t="s">
        <v>1356</v>
      </c>
      <c r="K8" s="100" t="s">
        <v>1355</v>
      </c>
      <c r="L8" s="100" t="s">
        <v>1351</v>
      </c>
      <c r="M8" s="100" t="s">
        <v>1559</v>
      </c>
      <c r="N8" s="100" t="s">
        <v>996</v>
      </c>
    </row>
    <row r="9" spans="1:14" ht="15">
      <c r="A9" s="103"/>
      <c r="B9" s="97" t="s">
        <v>1352</v>
      </c>
      <c r="C9" s="104" t="s">
        <v>1372</v>
      </c>
      <c r="D9" s="100"/>
      <c r="E9" s="6"/>
      <c r="F9" s="100"/>
      <c r="G9" s="100"/>
      <c r="H9" s="40">
        <f aca="true" t="shared" si="0" ref="H9:M9">H10+H363+H420+H362</f>
        <v>7379600.393000001</v>
      </c>
      <c r="I9" s="40">
        <f t="shared" si="0"/>
        <v>7091473.282299999</v>
      </c>
      <c r="J9" s="40">
        <f t="shared" si="0"/>
        <v>7278345.1000000015</v>
      </c>
      <c r="K9" s="40">
        <f t="shared" si="0"/>
        <v>5828278.500000001</v>
      </c>
      <c r="L9" s="40">
        <f t="shared" si="0"/>
        <v>5226790.82</v>
      </c>
      <c r="M9" s="40">
        <f t="shared" si="0"/>
        <v>5186181.270000001</v>
      </c>
      <c r="N9" s="96"/>
    </row>
    <row r="10" spans="1:14" ht="88.5" customHeight="1">
      <c r="A10" s="103" t="s">
        <v>1354</v>
      </c>
      <c r="B10" s="11" t="s">
        <v>614</v>
      </c>
      <c r="C10" s="106" t="s">
        <v>613</v>
      </c>
      <c r="D10" s="104" t="s">
        <v>889</v>
      </c>
      <c r="E10" s="97" t="s">
        <v>1402</v>
      </c>
      <c r="F10" s="104" t="s">
        <v>1399</v>
      </c>
      <c r="G10" s="104" t="s">
        <v>1403</v>
      </c>
      <c r="H10" s="40">
        <f aca="true" t="shared" si="1" ref="H10:M10">H11+H41+H71+H72+H76+H77+H89+H97+H98+H114+H118+H128+H139+H142+H144+H153+H157+H166+H169+H198+H212+H217+H231+H241+H243+H253+H268+H275+H280+H285+H290+H299+H307+H312+H313+H315+H316+H317+H318+H319+H329+H338+H339+H341+H342+H343+H344+H345+H348+H349+H350+H351+H353+H357+H358+H359+H360+H361</f>
        <v>5016214.1000000015</v>
      </c>
      <c r="I10" s="40">
        <f t="shared" si="1"/>
        <v>4792524.825899999</v>
      </c>
      <c r="J10" s="40">
        <f t="shared" si="1"/>
        <v>4496983.500000001</v>
      </c>
      <c r="K10" s="40">
        <f t="shared" si="1"/>
        <v>3577505.6000000006</v>
      </c>
      <c r="L10" s="40">
        <f t="shared" si="1"/>
        <v>3242900.3200000003</v>
      </c>
      <c r="M10" s="40">
        <f t="shared" si="1"/>
        <v>3193931.170000001</v>
      </c>
      <c r="N10" s="71"/>
    </row>
    <row r="11" spans="1:14" ht="36" customHeight="1">
      <c r="A11" s="127" t="s">
        <v>53</v>
      </c>
      <c r="B11" s="125" t="s">
        <v>1322</v>
      </c>
      <c r="C11" s="126" t="s">
        <v>1373</v>
      </c>
      <c r="D11" s="152" t="s">
        <v>34</v>
      </c>
      <c r="E11" s="6" t="s">
        <v>1221</v>
      </c>
      <c r="F11" s="100" t="s">
        <v>1226</v>
      </c>
      <c r="G11" s="100" t="s">
        <v>1228</v>
      </c>
      <c r="H11" s="154">
        <f aca="true" t="shared" si="2" ref="H11:M11">SUM(H17:H40)</f>
        <v>286462.1</v>
      </c>
      <c r="I11" s="154">
        <f t="shared" si="2"/>
        <v>257599.32589999997</v>
      </c>
      <c r="J11" s="154">
        <f>SUM(J17:J40)</f>
        <v>274385.5</v>
      </c>
      <c r="K11" s="154">
        <f t="shared" si="2"/>
        <v>290555.3</v>
      </c>
      <c r="L11" s="154">
        <f t="shared" si="2"/>
        <v>311297.72</v>
      </c>
      <c r="M11" s="154">
        <f t="shared" si="2"/>
        <v>311502.76999999996</v>
      </c>
      <c r="N11" s="137"/>
    </row>
    <row r="12" spans="1:14" ht="30">
      <c r="A12" s="127"/>
      <c r="B12" s="125"/>
      <c r="C12" s="126"/>
      <c r="D12" s="157"/>
      <c r="E12" s="6" t="s">
        <v>1220</v>
      </c>
      <c r="F12" s="100" t="s">
        <v>1222</v>
      </c>
      <c r="G12" s="100" t="s">
        <v>1223</v>
      </c>
      <c r="H12" s="154"/>
      <c r="I12" s="154"/>
      <c r="J12" s="154"/>
      <c r="K12" s="154"/>
      <c r="L12" s="154"/>
      <c r="M12" s="154"/>
      <c r="N12" s="137"/>
    </row>
    <row r="13" spans="1:14" ht="54" customHeight="1">
      <c r="A13" s="127"/>
      <c r="B13" s="125"/>
      <c r="C13" s="126"/>
      <c r="D13" s="157"/>
      <c r="E13" s="6" t="s">
        <v>489</v>
      </c>
      <c r="F13" s="100" t="s">
        <v>1155</v>
      </c>
      <c r="G13" s="100" t="s">
        <v>1420</v>
      </c>
      <c r="H13" s="154"/>
      <c r="I13" s="154"/>
      <c r="J13" s="154"/>
      <c r="K13" s="154"/>
      <c r="L13" s="154"/>
      <c r="M13" s="154"/>
      <c r="N13" s="137"/>
    </row>
    <row r="14" spans="1:14" ht="48" customHeight="1">
      <c r="A14" s="127"/>
      <c r="B14" s="125"/>
      <c r="C14" s="126"/>
      <c r="D14" s="157"/>
      <c r="E14" s="6" t="s">
        <v>1227</v>
      </c>
      <c r="F14" s="100" t="s">
        <v>1224</v>
      </c>
      <c r="G14" s="100" t="s">
        <v>1225</v>
      </c>
      <c r="H14" s="154"/>
      <c r="I14" s="154"/>
      <c r="J14" s="154"/>
      <c r="K14" s="154"/>
      <c r="L14" s="154"/>
      <c r="M14" s="154"/>
      <c r="N14" s="137"/>
    </row>
    <row r="15" spans="1:14" ht="67.5" customHeight="1">
      <c r="A15" s="127"/>
      <c r="B15" s="125"/>
      <c r="C15" s="126"/>
      <c r="D15" s="157"/>
      <c r="E15" s="6" t="s">
        <v>1229</v>
      </c>
      <c r="F15" s="100" t="s">
        <v>1230</v>
      </c>
      <c r="G15" s="100" t="s">
        <v>1231</v>
      </c>
      <c r="H15" s="154"/>
      <c r="I15" s="154"/>
      <c r="J15" s="154"/>
      <c r="K15" s="154"/>
      <c r="L15" s="154"/>
      <c r="M15" s="154"/>
      <c r="N15" s="137"/>
    </row>
    <row r="16" spans="1:14" ht="15">
      <c r="A16" s="127"/>
      <c r="B16" s="125"/>
      <c r="C16" s="126"/>
      <c r="D16" s="153"/>
      <c r="E16" s="6" t="s">
        <v>1097</v>
      </c>
      <c r="F16" s="100"/>
      <c r="G16" s="100"/>
      <c r="H16" s="111"/>
      <c r="I16" s="111"/>
      <c r="J16" s="111"/>
      <c r="K16" s="111"/>
      <c r="L16" s="111"/>
      <c r="M16" s="111"/>
      <c r="N16" s="96"/>
    </row>
    <row r="17" spans="1:14" ht="30">
      <c r="A17" s="127"/>
      <c r="B17" s="125"/>
      <c r="C17" s="126" t="s">
        <v>1035</v>
      </c>
      <c r="D17" s="142" t="s">
        <v>1049</v>
      </c>
      <c r="E17" s="2" t="s">
        <v>1404</v>
      </c>
      <c r="F17" s="106" t="s">
        <v>1151</v>
      </c>
      <c r="G17" s="106" t="s">
        <v>1152</v>
      </c>
      <c r="H17" s="138">
        <v>2299.3</v>
      </c>
      <c r="I17" s="138">
        <v>2174.6</v>
      </c>
      <c r="J17" s="138">
        <v>2355.3</v>
      </c>
      <c r="K17" s="138">
        <v>2355.3</v>
      </c>
      <c r="L17" s="138">
        <v>2355.3</v>
      </c>
      <c r="M17" s="138">
        <v>2355.3</v>
      </c>
      <c r="N17" s="137" t="s">
        <v>837</v>
      </c>
    </row>
    <row r="18" spans="1:14" ht="51" customHeight="1">
      <c r="A18" s="127"/>
      <c r="B18" s="125"/>
      <c r="C18" s="126"/>
      <c r="D18" s="142"/>
      <c r="E18" s="2" t="s">
        <v>1153</v>
      </c>
      <c r="F18" s="106" t="s">
        <v>1155</v>
      </c>
      <c r="G18" s="106" t="s">
        <v>1154</v>
      </c>
      <c r="H18" s="138"/>
      <c r="I18" s="138"/>
      <c r="J18" s="138"/>
      <c r="K18" s="138"/>
      <c r="L18" s="138"/>
      <c r="M18" s="138"/>
      <c r="N18" s="137"/>
    </row>
    <row r="19" spans="1:14" ht="30">
      <c r="A19" s="127"/>
      <c r="B19" s="125"/>
      <c r="C19" s="126" t="s">
        <v>1036</v>
      </c>
      <c r="D19" s="142" t="s">
        <v>1050</v>
      </c>
      <c r="E19" s="113" t="s">
        <v>1095</v>
      </c>
      <c r="F19" s="106" t="s">
        <v>1434</v>
      </c>
      <c r="G19" s="106" t="s">
        <v>1435</v>
      </c>
      <c r="H19" s="154">
        <v>19210.7</v>
      </c>
      <c r="I19" s="154">
        <v>18056.2</v>
      </c>
      <c r="J19" s="154">
        <v>19943.9</v>
      </c>
      <c r="K19" s="154">
        <v>21384.7</v>
      </c>
      <c r="L19" s="154">
        <f>20510-85.1</f>
        <v>20424.9</v>
      </c>
      <c r="M19" s="154">
        <f>20513.8-88.9</f>
        <v>20424.899999999998</v>
      </c>
      <c r="N19" s="137" t="s">
        <v>838</v>
      </c>
    </row>
    <row r="20" spans="1:14" ht="37.5" customHeight="1">
      <c r="A20" s="127"/>
      <c r="B20" s="125"/>
      <c r="C20" s="126"/>
      <c r="D20" s="142"/>
      <c r="E20" s="113" t="s">
        <v>683</v>
      </c>
      <c r="F20" s="106" t="s">
        <v>1155</v>
      </c>
      <c r="G20" s="106" t="s">
        <v>684</v>
      </c>
      <c r="H20" s="154"/>
      <c r="I20" s="154"/>
      <c r="J20" s="154"/>
      <c r="K20" s="154"/>
      <c r="L20" s="154"/>
      <c r="M20" s="154"/>
      <c r="N20" s="137"/>
    </row>
    <row r="21" spans="1:14" ht="48" customHeight="1">
      <c r="A21" s="127"/>
      <c r="B21" s="125"/>
      <c r="C21" s="126"/>
      <c r="D21" s="142"/>
      <c r="E21" s="2" t="s">
        <v>1153</v>
      </c>
      <c r="F21" s="106" t="s">
        <v>1155</v>
      </c>
      <c r="G21" s="106" t="s">
        <v>1154</v>
      </c>
      <c r="H21" s="154"/>
      <c r="I21" s="154"/>
      <c r="J21" s="154"/>
      <c r="K21" s="154"/>
      <c r="L21" s="154"/>
      <c r="M21" s="154"/>
      <c r="N21" s="137"/>
    </row>
    <row r="22" spans="1:14" ht="36.75" customHeight="1">
      <c r="A22" s="127"/>
      <c r="B22" s="125"/>
      <c r="C22" s="100" t="s">
        <v>1037</v>
      </c>
      <c r="D22" s="101" t="s">
        <v>213</v>
      </c>
      <c r="E22" s="2" t="s">
        <v>1096</v>
      </c>
      <c r="F22" s="106" t="s">
        <v>1156</v>
      </c>
      <c r="G22" s="106" t="s">
        <v>1152</v>
      </c>
      <c r="H22" s="111">
        <f>98853.9+159</f>
        <v>99012.9</v>
      </c>
      <c r="I22" s="111">
        <f>96089.4+159</f>
        <v>96248.4</v>
      </c>
      <c r="J22" s="111">
        <f>108702.9</f>
        <v>108702.9</v>
      </c>
      <c r="K22" s="111">
        <v>102740.3</v>
      </c>
      <c r="L22" s="111">
        <v>103964.9</v>
      </c>
      <c r="M22" s="111">
        <v>103964.9</v>
      </c>
      <c r="N22" s="96" t="s">
        <v>839</v>
      </c>
    </row>
    <row r="23" spans="1:14" ht="52.5" customHeight="1">
      <c r="A23" s="127"/>
      <c r="B23" s="125"/>
      <c r="C23" s="152" t="s">
        <v>1038</v>
      </c>
      <c r="D23" s="128" t="s">
        <v>1051</v>
      </c>
      <c r="E23" s="6" t="s">
        <v>1160</v>
      </c>
      <c r="F23" s="100" t="s">
        <v>1155</v>
      </c>
      <c r="G23" s="100" t="s">
        <v>1161</v>
      </c>
      <c r="H23" s="130">
        <v>625</v>
      </c>
      <c r="I23" s="130">
        <v>315.4</v>
      </c>
      <c r="J23" s="130">
        <v>309.6</v>
      </c>
      <c r="K23" s="130"/>
      <c r="L23" s="130"/>
      <c r="M23" s="130"/>
      <c r="N23" s="198" t="s">
        <v>1159</v>
      </c>
    </row>
    <row r="24" spans="1:14" ht="30">
      <c r="A24" s="127"/>
      <c r="B24" s="125"/>
      <c r="C24" s="153"/>
      <c r="D24" s="129"/>
      <c r="E24" s="113" t="s">
        <v>443</v>
      </c>
      <c r="F24" s="3" t="s">
        <v>1155</v>
      </c>
      <c r="G24" s="106" t="s">
        <v>442</v>
      </c>
      <c r="H24" s="131"/>
      <c r="I24" s="131"/>
      <c r="J24" s="131"/>
      <c r="K24" s="131"/>
      <c r="L24" s="131"/>
      <c r="M24" s="131"/>
      <c r="N24" s="200"/>
    </row>
    <row r="25" spans="1:14" ht="96.75" customHeight="1">
      <c r="A25" s="127"/>
      <c r="B25" s="125"/>
      <c r="C25" s="152" t="s">
        <v>1039</v>
      </c>
      <c r="D25" s="128" t="s">
        <v>33</v>
      </c>
      <c r="E25" s="6" t="s">
        <v>446</v>
      </c>
      <c r="F25" s="3" t="s">
        <v>1155</v>
      </c>
      <c r="G25" s="106" t="s">
        <v>447</v>
      </c>
      <c r="H25" s="130"/>
      <c r="I25" s="130"/>
      <c r="J25" s="130">
        <v>120</v>
      </c>
      <c r="K25" s="130"/>
      <c r="L25" s="130"/>
      <c r="M25" s="130"/>
      <c r="N25" s="137" t="s">
        <v>445</v>
      </c>
    </row>
    <row r="26" spans="1:14" ht="36.75" customHeight="1">
      <c r="A26" s="127"/>
      <c r="B26" s="125"/>
      <c r="C26" s="153"/>
      <c r="D26" s="129"/>
      <c r="E26" s="113" t="s">
        <v>441</v>
      </c>
      <c r="F26" s="3" t="s">
        <v>1155</v>
      </c>
      <c r="G26" s="106" t="s">
        <v>444</v>
      </c>
      <c r="H26" s="131"/>
      <c r="I26" s="131"/>
      <c r="J26" s="131"/>
      <c r="K26" s="131"/>
      <c r="L26" s="131"/>
      <c r="M26" s="131"/>
      <c r="N26" s="137"/>
    </row>
    <row r="27" spans="1:256" s="30" customFormat="1" ht="45">
      <c r="A27" s="127"/>
      <c r="B27" s="125"/>
      <c r="C27" s="100" t="s">
        <v>1040</v>
      </c>
      <c r="D27" s="101" t="s">
        <v>1052</v>
      </c>
      <c r="E27" s="113" t="s">
        <v>739</v>
      </c>
      <c r="F27" s="106" t="s">
        <v>1155</v>
      </c>
      <c r="G27" s="4" t="s">
        <v>1433</v>
      </c>
      <c r="H27" s="111">
        <v>19071.5</v>
      </c>
      <c r="I27" s="111"/>
      <c r="J27" s="111">
        <v>5010.7</v>
      </c>
      <c r="K27" s="111">
        <v>26855.9</v>
      </c>
      <c r="L27" s="111">
        <v>50000</v>
      </c>
      <c r="M27" s="111">
        <v>50000</v>
      </c>
      <c r="N27" s="96" t="s">
        <v>387</v>
      </c>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row>
    <row r="28" spans="1:14" ht="96" customHeight="1">
      <c r="A28" s="127"/>
      <c r="B28" s="125"/>
      <c r="C28" s="100" t="s">
        <v>1041</v>
      </c>
      <c r="D28" s="101" t="s">
        <v>926</v>
      </c>
      <c r="E28" s="1" t="s">
        <v>483</v>
      </c>
      <c r="F28" s="3" t="s">
        <v>1155</v>
      </c>
      <c r="G28" s="106" t="s">
        <v>484</v>
      </c>
      <c r="H28" s="111">
        <v>1972</v>
      </c>
      <c r="I28" s="111">
        <v>1825.4</v>
      </c>
      <c r="J28" s="111"/>
      <c r="K28" s="111"/>
      <c r="L28" s="111"/>
      <c r="M28" s="111"/>
      <c r="N28" s="96" t="s">
        <v>846</v>
      </c>
    </row>
    <row r="29" spans="1:14" ht="54.75" customHeight="1">
      <c r="A29" s="127"/>
      <c r="B29" s="125"/>
      <c r="C29" s="100" t="s">
        <v>1042</v>
      </c>
      <c r="D29" s="101" t="s">
        <v>1053</v>
      </c>
      <c r="E29" s="5" t="s">
        <v>1413</v>
      </c>
      <c r="F29" s="106" t="s">
        <v>1155</v>
      </c>
      <c r="G29" s="106" t="s">
        <v>1412</v>
      </c>
      <c r="H29" s="111">
        <f>24948.5</f>
        <v>24948.5</v>
      </c>
      <c r="I29" s="111">
        <v>24153.4</v>
      </c>
      <c r="J29" s="111">
        <v>26436.5</v>
      </c>
      <c r="K29" s="111">
        <v>26487.2</v>
      </c>
      <c r="L29" s="111">
        <f>26264.4-173.2</f>
        <v>26091.2</v>
      </c>
      <c r="M29" s="111">
        <f>26271.2-180</f>
        <v>26091.2</v>
      </c>
      <c r="N29" s="96" t="s">
        <v>1274</v>
      </c>
    </row>
    <row r="30" spans="1:256" s="30" customFormat="1" ht="48" customHeight="1">
      <c r="A30" s="127"/>
      <c r="B30" s="125"/>
      <c r="C30" s="100" t="s">
        <v>1043</v>
      </c>
      <c r="D30" s="101" t="s">
        <v>1053</v>
      </c>
      <c r="E30" s="5" t="s">
        <v>1552</v>
      </c>
      <c r="F30" s="106" t="s">
        <v>1155</v>
      </c>
      <c r="G30" s="106" t="s">
        <v>1440</v>
      </c>
      <c r="H30" s="111">
        <v>26664.3</v>
      </c>
      <c r="I30" s="111">
        <v>25816.4</v>
      </c>
      <c r="J30" s="111">
        <f>28731.4</f>
        <v>28731.4</v>
      </c>
      <c r="K30" s="111">
        <v>30800.5</v>
      </c>
      <c r="L30" s="111">
        <v>29400.5</v>
      </c>
      <c r="M30" s="111">
        <v>29400.5</v>
      </c>
      <c r="N30" s="96" t="s">
        <v>842</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c r="IV30" s="21"/>
    </row>
    <row r="31" spans="1:256" s="26" customFormat="1" ht="64.5" customHeight="1">
      <c r="A31" s="127"/>
      <c r="B31" s="125"/>
      <c r="C31" s="100" t="s">
        <v>1044</v>
      </c>
      <c r="D31" s="101" t="s">
        <v>1053</v>
      </c>
      <c r="E31" s="113" t="s">
        <v>1553</v>
      </c>
      <c r="F31" s="106" t="s">
        <v>1449</v>
      </c>
      <c r="G31" s="4" t="s">
        <v>537</v>
      </c>
      <c r="H31" s="111">
        <v>14049.5</v>
      </c>
      <c r="I31" s="111">
        <v>13844.1</v>
      </c>
      <c r="J31" s="111"/>
      <c r="K31" s="111"/>
      <c r="L31" s="111"/>
      <c r="M31" s="111"/>
      <c r="N31" s="96" t="s">
        <v>1275</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c r="IV31" s="21"/>
    </row>
    <row r="32" spans="1:14" ht="45">
      <c r="A32" s="127"/>
      <c r="B32" s="125"/>
      <c r="C32" s="100" t="s">
        <v>1045</v>
      </c>
      <c r="D32" s="101" t="s">
        <v>1054</v>
      </c>
      <c r="E32" s="5" t="s">
        <v>1551</v>
      </c>
      <c r="F32" s="106" t="s">
        <v>1549</v>
      </c>
      <c r="G32" s="106" t="s">
        <v>1550</v>
      </c>
      <c r="H32" s="111">
        <f>17548.9</f>
        <v>17548.9</v>
      </c>
      <c r="I32" s="111">
        <v>17128.5</v>
      </c>
      <c r="J32" s="111">
        <f>19181</f>
        <v>19181</v>
      </c>
      <c r="K32" s="111">
        <v>20254.9</v>
      </c>
      <c r="L32" s="111">
        <f>20367.3-112.4</f>
        <v>20254.899999999998</v>
      </c>
      <c r="M32" s="111">
        <f>20372.2-117.3</f>
        <v>20254.9</v>
      </c>
      <c r="N32" s="96" t="s">
        <v>1273</v>
      </c>
    </row>
    <row r="33" spans="1:14" ht="70.5" customHeight="1">
      <c r="A33" s="127"/>
      <c r="B33" s="125"/>
      <c r="C33" s="100" t="s">
        <v>1046</v>
      </c>
      <c r="D33" s="101" t="s">
        <v>1055</v>
      </c>
      <c r="E33" s="5" t="s">
        <v>1450</v>
      </c>
      <c r="F33" s="106" t="s">
        <v>1155</v>
      </c>
      <c r="G33" s="106" t="s">
        <v>1451</v>
      </c>
      <c r="H33" s="98">
        <v>9121.2</v>
      </c>
      <c r="I33" s="98">
        <v>8933.4259</v>
      </c>
      <c r="J33" s="98">
        <v>9426.800000000001</v>
      </c>
      <c r="K33" s="98">
        <v>9603.6</v>
      </c>
      <c r="L33" s="98">
        <f>9681.92-78.3</f>
        <v>9603.62</v>
      </c>
      <c r="M33" s="98">
        <f>9685.37-81.8</f>
        <v>9603.570000000002</v>
      </c>
      <c r="N33" s="96" t="s">
        <v>1272</v>
      </c>
    </row>
    <row r="34" spans="1:14" ht="48" customHeight="1">
      <c r="A34" s="127"/>
      <c r="B34" s="125"/>
      <c r="C34" s="100" t="s">
        <v>1047</v>
      </c>
      <c r="D34" s="101" t="s">
        <v>1060</v>
      </c>
      <c r="E34" s="6" t="s">
        <v>829</v>
      </c>
      <c r="F34" s="100" t="s">
        <v>1155</v>
      </c>
      <c r="G34" s="100" t="s">
        <v>830</v>
      </c>
      <c r="H34" s="111">
        <v>13904.6</v>
      </c>
      <c r="I34" s="111">
        <v>13648.3</v>
      </c>
      <c r="J34" s="111">
        <f>17098.7</f>
        <v>17098.7</v>
      </c>
      <c r="K34" s="111">
        <v>17959.1</v>
      </c>
      <c r="L34" s="111">
        <v>16759.1</v>
      </c>
      <c r="M34" s="111">
        <v>16759.1</v>
      </c>
      <c r="N34" s="96" t="s">
        <v>1276</v>
      </c>
    </row>
    <row r="35" spans="1:14" ht="51" customHeight="1">
      <c r="A35" s="127"/>
      <c r="B35" s="125"/>
      <c r="C35" s="100" t="s">
        <v>1048</v>
      </c>
      <c r="D35" s="101" t="s">
        <v>1061</v>
      </c>
      <c r="E35" s="113" t="s">
        <v>1175</v>
      </c>
      <c r="F35" s="106" t="s">
        <v>1155</v>
      </c>
      <c r="G35" s="106" t="s">
        <v>1219</v>
      </c>
      <c r="H35" s="111">
        <v>5137.1</v>
      </c>
      <c r="I35" s="111">
        <v>5131</v>
      </c>
      <c r="J35" s="111">
        <v>7143.5</v>
      </c>
      <c r="K35" s="111">
        <v>7125.4</v>
      </c>
      <c r="L35" s="111">
        <f>7156.1-30.7</f>
        <v>7125.400000000001</v>
      </c>
      <c r="M35" s="111">
        <f>7157.4-32</f>
        <v>7125.4</v>
      </c>
      <c r="N35" s="96" t="s">
        <v>171</v>
      </c>
    </row>
    <row r="36" spans="1:14" ht="186.75" customHeight="1">
      <c r="A36" s="127"/>
      <c r="B36" s="125"/>
      <c r="C36" s="100" t="s">
        <v>1056</v>
      </c>
      <c r="D36" s="101" t="s">
        <v>1063</v>
      </c>
      <c r="E36" s="5" t="s">
        <v>1505</v>
      </c>
      <c r="F36" s="106" t="s">
        <v>1503</v>
      </c>
      <c r="G36" s="106" t="s">
        <v>1504</v>
      </c>
      <c r="H36" s="111">
        <v>10833.5</v>
      </c>
      <c r="I36" s="111">
        <v>10369.4</v>
      </c>
      <c r="J36" s="111">
        <v>369.3</v>
      </c>
      <c r="K36" s="111"/>
      <c r="L36" s="111"/>
      <c r="M36" s="111"/>
      <c r="N36" s="96" t="s">
        <v>744</v>
      </c>
    </row>
    <row r="37" spans="1:14" ht="52.5" customHeight="1">
      <c r="A37" s="127"/>
      <c r="B37" s="125"/>
      <c r="C37" s="100" t="s">
        <v>1057</v>
      </c>
      <c r="D37" s="101" t="s">
        <v>450</v>
      </c>
      <c r="E37" s="5" t="s">
        <v>1320</v>
      </c>
      <c r="F37" s="106" t="s">
        <v>1449</v>
      </c>
      <c r="G37" s="106" t="s">
        <v>1319</v>
      </c>
      <c r="H37" s="111">
        <f>3199.1</f>
        <v>3199.1</v>
      </c>
      <c r="I37" s="111">
        <v>3075.9</v>
      </c>
      <c r="J37" s="111">
        <f>5052.8-100</f>
        <v>4952.8</v>
      </c>
      <c r="K37" s="111">
        <v>4955.8</v>
      </c>
      <c r="L37" s="111">
        <v>4955.8</v>
      </c>
      <c r="M37" s="111">
        <v>4955.8</v>
      </c>
      <c r="N37" s="96" t="s">
        <v>1277</v>
      </c>
    </row>
    <row r="38" spans="1:14" ht="66" customHeight="1">
      <c r="A38" s="127"/>
      <c r="B38" s="125"/>
      <c r="C38" s="100" t="s">
        <v>1058</v>
      </c>
      <c r="D38" s="101" t="s">
        <v>1065</v>
      </c>
      <c r="E38" s="6" t="s">
        <v>1157</v>
      </c>
      <c r="F38" s="100" t="s">
        <v>1158</v>
      </c>
      <c r="G38" s="100" t="s">
        <v>1154</v>
      </c>
      <c r="H38" s="98">
        <v>6423.6</v>
      </c>
      <c r="I38" s="98">
        <v>4785.8</v>
      </c>
      <c r="J38" s="98">
        <v>11215.6</v>
      </c>
      <c r="K38" s="98">
        <v>14115.6</v>
      </c>
      <c r="L38" s="98">
        <v>14115.6</v>
      </c>
      <c r="M38" s="98">
        <v>14115.6</v>
      </c>
      <c r="N38" s="96" t="s">
        <v>843</v>
      </c>
    </row>
    <row r="39" spans="1:14" ht="49.5" customHeight="1">
      <c r="A39" s="127"/>
      <c r="B39" s="125"/>
      <c r="C39" s="100" t="s">
        <v>1059</v>
      </c>
      <c r="D39" s="101" t="s">
        <v>1066</v>
      </c>
      <c r="E39" s="6" t="s">
        <v>538</v>
      </c>
      <c r="F39" s="100" t="s">
        <v>1155</v>
      </c>
      <c r="G39" s="100" t="s">
        <v>1463</v>
      </c>
      <c r="H39" s="111">
        <f>12403.2+37.2</f>
        <v>12440.400000000001</v>
      </c>
      <c r="I39" s="111">
        <v>12093.1</v>
      </c>
      <c r="J39" s="111">
        <v>13387.5</v>
      </c>
      <c r="K39" s="111">
        <f>5817+100</f>
        <v>5917</v>
      </c>
      <c r="L39" s="111">
        <f>5034.8-633.8</f>
        <v>4401</v>
      </c>
      <c r="M39" s="111">
        <f>5187.4-786.4</f>
        <v>4401</v>
      </c>
      <c r="N39" s="96" t="s">
        <v>844</v>
      </c>
    </row>
    <row r="40" spans="1:256" s="28" customFormat="1" ht="91.5" customHeight="1">
      <c r="A40" s="127"/>
      <c r="B40" s="125"/>
      <c r="C40" s="100" t="s">
        <v>448</v>
      </c>
      <c r="D40" s="101" t="s">
        <v>454</v>
      </c>
      <c r="E40" s="113" t="s">
        <v>1233</v>
      </c>
      <c r="F40" s="3" t="s">
        <v>1155</v>
      </c>
      <c r="G40" s="106" t="s">
        <v>1234</v>
      </c>
      <c r="H40" s="111"/>
      <c r="I40" s="111"/>
      <c r="J40" s="111"/>
      <c r="K40" s="111"/>
      <c r="L40" s="111">
        <f>1964.7-119.2</f>
        <v>1845.5</v>
      </c>
      <c r="M40" s="111">
        <f>2175-124.4</f>
        <v>2050.6</v>
      </c>
      <c r="N40" s="96" t="s">
        <v>1235</v>
      </c>
      <c r="O40" s="27"/>
      <c r="P40" s="27"/>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c r="IV40" s="21"/>
    </row>
    <row r="41" spans="1:256" s="29" customFormat="1" ht="45">
      <c r="A41" s="127" t="s">
        <v>54</v>
      </c>
      <c r="B41" s="125" t="s">
        <v>615</v>
      </c>
      <c r="C41" s="126" t="s">
        <v>1374</v>
      </c>
      <c r="D41" s="126" t="s">
        <v>35</v>
      </c>
      <c r="E41" s="6" t="s">
        <v>812</v>
      </c>
      <c r="F41" s="100" t="s">
        <v>1410</v>
      </c>
      <c r="G41" s="100" t="s">
        <v>1411</v>
      </c>
      <c r="H41" s="143">
        <f aca="true" t="shared" si="3" ref="H41:M41">SUM(H47:H70)</f>
        <v>251963.8</v>
      </c>
      <c r="I41" s="143">
        <f t="shared" si="3"/>
        <v>238790.8</v>
      </c>
      <c r="J41" s="158">
        <f t="shared" si="3"/>
        <v>275178.6</v>
      </c>
      <c r="K41" s="143">
        <f t="shared" si="3"/>
        <v>281040.00000000006</v>
      </c>
      <c r="L41" s="143">
        <f t="shared" si="3"/>
        <v>252720.4</v>
      </c>
      <c r="M41" s="143">
        <f t="shared" si="3"/>
        <v>253840.30000000002</v>
      </c>
      <c r="N41" s="137"/>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c r="IV41" s="21"/>
    </row>
    <row r="42" spans="1:14" ht="30">
      <c r="A42" s="127"/>
      <c r="B42" s="125"/>
      <c r="C42" s="126"/>
      <c r="D42" s="126"/>
      <c r="E42" s="6" t="s">
        <v>479</v>
      </c>
      <c r="F42" s="100" t="s">
        <v>1155</v>
      </c>
      <c r="G42" s="100" t="s">
        <v>480</v>
      </c>
      <c r="H42" s="143"/>
      <c r="I42" s="143"/>
      <c r="J42" s="159"/>
      <c r="K42" s="143"/>
      <c r="L42" s="143"/>
      <c r="M42" s="143"/>
      <c r="N42" s="137"/>
    </row>
    <row r="43" spans="1:14" ht="30">
      <c r="A43" s="127"/>
      <c r="B43" s="125"/>
      <c r="C43" s="126"/>
      <c r="D43" s="126"/>
      <c r="E43" s="6" t="s">
        <v>488</v>
      </c>
      <c r="F43" s="100" t="s">
        <v>1155</v>
      </c>
      <c r="G43" s="100" t="s">
        <v>1144</v>
      </c>
      <c r="H43" s="143"/>
      <c r="I43" s="143"/>
      <c r="J43" s="159"/>
      <c r="K43" s="143"/>
      <c r="L43" s="143"/>
      <c r="M43" s="143"/>
      <c r="N43" s="137"/>
    </row>
    <row r="44" spans="1:14" ht="64.5" customHeight="1">
      <c r="A44" s="127"/>
      <c r="B44" s="125"/>
      <c r="C44" s="126"/>
      <c r="D44" s="126"/>
      <c r="E44" s="6" t="s">
        <v>562</v>
      </c>
      <c r="F44" s="100" t="s">
        <v>1155</v>
      </c>
      <c r="G44" s="100" t="s">
        <v>563</v>
      </c>
      <c r="H44" s="143"/>
      <c r="I44" s="143"/>
      <c r="J44" s="159"/>
      <c r="K44" s="143"/>
      <c r="L44" s="143"/>
      <c r="M44" s="143"/>
      <c r="N44" s="137"/>
    </row>
    <row r="45" spans="1:14" ht="70.5" customHeight="1">
      <c r="A45" s="127"/>
      <c r="B45" s="125"/>
      <c r="C45" s="126"/>
      <c r="D45" s="126"/>
      <c r="E45" s="6" t="s">
        <v>1389</v>
      </c>
      <c r="F45" s="100" t="s">
        <v>1155</v>
      </c>
      <c r="G45" s="100" t="s">
        <v>1390</v>
      </c>
      <c r="H45" s="143"/>
      <c r="I45" s="143"/>
      <c r="J45" s="160"/>
      <c r="K45" s="143"/>
      <c r="L45" s="143"/>
      <c r="M45" s="143"/>
      <c r="N45" s="137"/>
    </row>
    <row r="46" spans="1:14" ht="15">
      <c r="A46" s="127"/>
      <c r="B46" s="125"/>
      <c r="C46" s="126"/>
      <c r="D46" s="126"/>
      <c r="E46" s="6" t="s">
        <v>1097</v>
      </c>
      <c r="F46" s="100"/>
      <c r="G46" s="100"/>
      <c r="H46" s="111"/>
      <c r="I46" s="111"/>
      <c r="J46" s="111"/>
      <c r="K46" s="111"/>
      <c r="L46" s="111"/>
      <c r="M46" s="111"/>
      <c r="N46" s="96"/>
    </row>
    <row r="47" spans="1:14" ht="41.25" customHeight="1">
      <c r="A47" s="127"/>
      <c r="B47" s="125"/>
      <c r="C47" s="126" t="s">
        <v>1452</v>
      </c>
      <c r="D47" s="142" t="s">
        <v>926</v>
      </c>
      <c r="E47" s="2" t="s">
        <v>1554</v>
      </c>
      <c r="F47" s="106" t="s">
        <v>1155</v>
      </c>
      <c r="G47" s="106" t="s">
        <v>832</v>
      </c>
      <c r="H47" s="143">
        <f>90251.4</f>
        <v>90251.4</v>
      </c>
      <c r="I47" s="143">
        <v>82295</v>
      </c>
      <c r="J47" s="143">
        <v>82922.8</v>
      </c>
      <c r="K47" s="143">
        <v>73778.1</v>
      </c>
      <c r="L47" s="143">
        <v>72945.9</v>
      </c>
      <c r="M47" s="143">
        <v>73493.7</v>
      </c>
      <c r="N47" s="137" t="s">
        <v>699</v>
      </c>
    </row>
    <row r="48" spans="1:14" ht="55.5" customHeight="1">
      <c r="A48" s="127"/>
      <c r="B48" s="125"/>
      <c r="C48" s="126"/>
      <c r="D48" s="142"/>
      <c r="E48" s="2" t="s">
        <v>564</v>
      </c>
      <c r="F48" s="106" t="s">
        <v>1158</v>
      </c>
      <c r="G48" s="106" t="s">
        <v>565</v>
      </c>
      <c r="H48" s="143"/>
      <c r="I48" s="143"/>
      <c r="J48" s="143"/>
      <c r="K48" s="143"/>
      <c r="L48" s="143"/>
      <c r="M48" s="143"/>
      <c r="N48" s="137"/>
    </row>
    <row r="49" spans="1:14" ht="41.25" customHeight="1">
      <c r="A49" s="127"/>
      <c r="B49" s="125"/>
      <c r="C49" s="100" t="s">
        <v>1453</v>
      </c>
      <c r="D49" s="101" t="s">
        <v>1429</v>
      </c>
      <c r="E49" s="113" t="s">
        <v>756</v>
      </c>
      <c r="F49" s="106" t="s">
        <v>1155</v>
      </c>
      <c r="G49" s="106" t="s">
        <v>757</v>
      </c>
      <c r="H49" s="98"/>
      <c r="I49" s="98"/>
      <c r="J49" s="98"/>
      <c r="K49" s="98">
        <v>5000</v>
      </c>
      <c r="L49" s="98">
        <v>5000</v>
      </c>
      <c r="M49" s="98">
        <v>5000</v>
      </c>
      <c r="N49" s="96" t="s">
        <v>758</v>
      </c>
    </row>
    <row r="50" spans="1:14" ht="58.5" customHeight="1">
      <c r="A50" s="127"/>
      <c r="B50" s="125"/>
      <c r="C50" s="126" t="s">
        <v>1454</v>
      </c>
      <c r="D50" s="142" t="s">
        <v>1460</v>
      </c>
      <c r="E50" s="113" t="s">
        <v>1526</v>
      </c>
      <c r="F50" s="106" t="s">
        <v>1155</v>
      </c>
      <c r="G50" s="106" t="s">
        <v>833</v>
      </c>
      <c r="H50" s="143">
        <v>57335.1</v>
      </c>
      <c r="I50" s="143">
        <v>53208.5</v>
      </c>
      <c r="J50" s="143">
        <v>53857</v>
      </c>
      <c r="K50" s="143">
        <v>66339.1</v>
      </c>
      <c r="L50" s="143">
        <v>41021.7</v>
      </c>
      <c r="M50" s="143">
        <v>41112.4</v>
      </c>
      <c r="N50" s="137" t="s">
        <v>1190</v>
      </c>
    </row>
    <row r="51" spans="1:14" ht="67.5" customHeight="1">
      <c r="A51" s="127"/>
      <c r="B51" s="125"/>
      <c r="C51" s="126"/>
      <c r="D51" s="142"/>
      <c r="E51" s="113" t="s">
        <v>566</v>
      </c>
      <c r="F51" s="106" t="s">
        <v>567</v>
      </c>
      <c r="G51" s="106" t="s">
        <v>568</v>
      </c>
      <c r="H51" s="143"/>
      <c r="I51" s="143"/>
      <c r="J51" s="143"/>
      <c r="K51" s="143"/>
      <c r="L51" s="143"/>
      <c r="M51" s="143"/>
      <c r="N51" s="137"/>
    </row>
    <row r="52" spans="1:14" ht="51" customHeight="1">
      <c r="A52" s="127"/>
      <c r="B52" s="125"/>
      <c r="C52" s="126" t="s">
        <v>1455</v>
      </c>
      <c r="D52" s="142" t="s">
        <v>1060</v>
      </c>
      <c r="E52" s="6" t="s">
        <v>1120</v>
      </c>
      <c r="F52" s="100" t="s">
        <v>1155</v>
      </c>
      <c r="G52" s="100" t="s">
        <v>831</v>
      </c>
      <c r="H52" s="143">
        <v>50795.3</v>
      </c>
      <c r="I52" s="143">
        <v>50538.5</v>
      </c>
      <c r="J52" s="143">
        <v>49743.2</v>
      </c>
      <c r="K52" s="143">
        <v>49798.7</v>
      </c>
      <c r="L52" s="143">
        <v>49928.4</v>
      </c>
      <c r="M52" s="143">
        <v>50150.6</v>
      </c>
      <c r="N52" s="137" t="s">
        <v>1191</v>
      </c>
    </row>
    <row r="53" spans="1:256" s="30" customFormat="1" ht="67.5" customHeight="1">
      <c r="A53" s="127"/>
      <c r="B53" s="125"/>
      <c r="C53" s="126"/>
      <c r="D53" s="142"/>
      <c r="E53" s="6" t="s">
        <v>569</v>
      </c>
      <c r="F53" s="100" t="s">
        <v>1449</v>
      </c>
      <c r="G53" s="100" t="s">
        <v>570</v>
      </c>
      <c r="H53" s="143"/>
      <c r="I53" s="143"/>
      <c r="J53" s="143"/>
      <c r="K53" s="143"/>
      <c r="L53" s="143"/>
      <c r="M53" s="143"/>
      <c r="N53" s="137"/>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c r="IV53" s="21"/>
    </row>
    <row r="54" spans="1:14" ht="60">
      <c r="A54" s="127"/>
      <c r="B54" s="125"/>
      <c r="C54" s="100" t="s">
        <v>1456</v>
      </c>
      <c r="D54" s="101" t="s">
        <v>1060</v>
      </c>
      <c r="E54" s="15" t="s">
        <v>150</v>
      </c>
      <c r="F54" s="87" t="s">
        <v>1449</v>
      </c>
      <c r="G54" s="87" t="s">
        <v>151</v>
      </c>
      <c r="H54" s="98"/>
      <c r="I54" s="98"/>
      <c r="J54" s="98">
        <v>3753.8</v>
      </c>
      <c r="K54" s="98">
        <f>5824.7-3607.1</f>
        <v>2217.6</v>
      </c>
      <c r="L54" s="98">
        <v>2245.1</v>
      </c>
      <c r="M54" s="98">
        <v>2278.7</v>
      </c>
      <c r="N54" s="15" t="s">
        <v>332</v>
      </c>
    </row>
    <row r="55" spans="1:14" ht="30">
      <c r="A55" s="127"/>
      <c r="B55" s="125"/>
      <c r="C55" s="100" t="s">
        <v>1457</v>
      </c>
      <c r="D55" s="101" t="s">
        <v>1060</v>
      </c>
      <c r="E55" s="15" t="s">
        <v>331</v>
      </c>
      <c r="F55" s="87" t="s">
        <v>1449</v>
      </c>
      <c r="G55" s="88">
        <v>41235</v>
      </c>
      <c r="H55" s="98"/>
      <c r="I55" s="98"/>
      <c r="J55" s="98">
        <v>90</v>
      </c>
      <c r="K55" s="98"/>
      <c r="L55" s="98"/>
      <c r="M55" s="98"/>
      <c r="N55" s="15" t="s">
        <v>13</v>
      </c>
    </row>
    <row r="56" spans="1:256" s="26" customFormat="1" ht="51" customHeight="1">
      <c r="A56" s="127"/>
      <c r="B56" s="125"/>
      <c r="C56" s="126" t="s">
        <v>1458</v>
      </c>
      <c r="D56" s="142" t="s">
        <v>1061</v>
      </c>
      <c r="E56" s="22" t="s">
        <v>1176</v>
      </c>
      <c r="F56" s="23" t="s">
        <v>1155</v>
      </c>
      <c r="G56" s="35" t="s">
        <v>1177</v>
      </c>
      <c r="H56" s="143">
        <v>7913.8</v>
      </c>
      <c r="I56" s="143">
        <v>7820.8</v>
      </c>
      <c r="J56" s="143">
        <v>6928.5</v>
      </c>
      <c r="K56" s="143">
        <v>6899.7</v>
      </c>
      <c r="L56" s="143">
        <v>6901.8</v>
      </c>
      <c r="M56" s="143">
        <v>6920.3</v>
      </c>
      <c r="N56" s="137" t="s">
        <v>1192</v>
      </c>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c r="IV56" s="21"/>
    </row>
    <row r="57" spans="1:14" ht="60">
      <c r="A57" s="127"/>
      <c r="B57" s="125"/>
      <c r="C57" s="126"/>
      <c r="D57" s="142"/>
      <c r="E57" s="22" t="s">
        <v>571</v>
      </c>
      <c r="F57" s="23" t="s">
        <v>1155</v>
      </c>
      <c r="G57" s="35" t="s">
        <v>572</v>
      </c>
      <c r="H57" s="143"/>
      <c r="I57" s="143"/>
      <c r="J57" s="143"/>
      <c r="K57" s="143"/>
      <c r="L57" s="143"/>
      <c r="M57" s="143"/>
      <c r="N57" s="137"/>
    </row>
    <row r="58" spans="1:14" ht="47.25" customHeight="1">
      <c r="A58" s="127"/>
      <c r="B58" s="125"/>
      <c r="C58" s="126" t="s">
        <v>1459</v>
      </c>
      <c r="D58" s="142" t="s">
        <v>1063</v>
      </c>
      <c r="E58" s="5" t="s">
        <v>1119</v>
      </c>
      <c r="F58" s="106" t="s">
        <v>1155</v>
      </c>
      <c r="G58" s="4" t="s">
        <v>1506</v>
      </c>
      <c r="H58" s="143">
        <v>9313.4</v>
      </c>
      <c r="I58" s="143">
        <v>9313.3</v>
      </c>
      <c r="J58" s="143"/>
      <c r="K58" s="143"/>
      <c r="L58" s="143"/>
      <c r="M58" s="143"/>
      <c r="N58" s="137" t="s">
        <v>1279</v>
      </c>
    </row>
    <row r="59" spans="1:14" ht="52.5" customHeight="1">
      <c r="A59" s="127"/>
      <c r="B59" s="125"/>
      <c r="C59" s="126"/>
      <c r="D59" s="142"/>
      <c r="E59" s="5" t="s">
        <v>1252</v>
      </c>
      <c r="F59" s="106" t="s">
        <v>1155</v>
      </c>
      <c r="G59" s="4" t="s">
        <v>1253</v>
      </c>
      <c r="H59" s="143"/>
      <c r="I59" s="143"/>
      <c r="J59" s="143"/>
      <c r="K59" s="143"/>
      <c r="L59" s="143"/>
      <c r="M59" s="143"/>
      <c r="N59" s="137"/>
    </row>
    <row r="60" spans="1:14" ht="51" customHeight="1">
      <c r="A60" s="127"/>
      <c r="B60" s="125"/>
      <c r="C60" s="126" t="s">
        <v>1245</v>
      </c>
      <c r="D60" s="142" t="s">
        <v>1066</v>
      </c>
      <c r="E60" s="5" t="s">
        <v>575</v>
      </c>
      <c r="F60" s="106" t="s">
        <v>1155</v>
      </c>
      <c r="G60" s="4" t="s">
        <v>576</v>
      </c>
      <c r="H60" s="143">
        <v>926.2</v>
      </c>
      <c r="I60" s="143">
        <v>922.9</v>
      </c>
      <c r="J60" s="143">
        <v>101.6</v>
      </c>
      <c r="K60" s="143"/>
      <c r="L60" s="143"/>
      <c r="M60" s="143"/>
      <c r="N60" s="137" t="s">
        <v>1193</v>
      </c>
    </row>
    <row r="61" spans="1:14" ht="60" customHeight="1">
      <c r="A61" s="127"/>
      <c r="B61" s="125"/>
      <c r="C61" s="126"/>
      <c r="D61" s="142"/>
      <c r="E61" s="6" t="s">
        <v>573</v>
      </c>
      <c r="F61" s="100" t="s">
        <v>1158</v>
      </c>
      <c r="G61" s="100" t="s">
        <v>574</v>
      </c>
      <c r="H61" s="143"/>
      <c r="I61" s="143"/>
      <c r="J61" s="143"/>
      <c r="K61" s="143"/>
      <c r="L61" s="143"/>
      <c r="M61" s="143"/>
      <c r="N61" s="137"/>
    </row>
    <row r="62" spans="1:14" ht="78" customHeight="1">
      <c r="A62" s="127"/>
      <c r="B62" s="125"/>
      <c r="C62" s="100" t="s">
        <v>606</v>
      </c>
      <c r="D62" s="101" t="s">
        <v>1064</v>
      </c>
      <c r="E62" s="13" t="s">
        <v>577</v>
      </c>
      <c r="F62" s="106" t="s">
        <v>1449</v>
      </c>
      <c r="G62" s="106" t="s">
        <v>578</v>
      </c>
      <c r="H62" s="98">
        <f>4068.8</f>
        <v>4068.8</v>
      </c>
      <c r="I62" s="98">
        <v>4010.6</v>
      </c>
      <c r="J62" s="98">
        <v>3609</v>
      </c>
      <c r="K62" s="98">
        <v>3519.4</v>
      </c>
      <c r="L62" s="98">
        <v>3523.7</v>
      </c>
      <c r="M62" s="98">
        <v>3531</v>
      </c>
      <c r="N62" s="96" t="s">
        <v>1194</v>
      </c>
    </row>
    <row r="63" spans="1:14" ht="49.5" customHeight="1">
      <c r="A63" s="127"/>
      <c r="B63" s="125"/>
      <c r="C63" s="126" t="s">
        <v>608</v>
      </c>
      <c r="D63" s="142" t="s">
        <v>1053</v>
      </c>
      <c r="E63" s="13" t="s">
        <v>1246</v>
      </c>
      <c r="F63" s="106" t="s">
        <v>1155</v>
      </c>
      <c r="G63" s="106" t="s">
        <v>1247</v>
      </c>
      <c r="H63" s="143">
        <v>14320.7</v>
      </c>
      <c r="I63" s="143">
        <v>13753</v>
      </c>
      <c r="J63" s="143">
        <v>47112</v>
      </c>
      <c r="K63" s="143">
        <v>45768</v>
      </c>
      <c r="L63" s="143">
        <v>45481.2</v>
      </c>
      <c r="M63" s="143">
        <v>45528.9</v>
      </c>
      <c r="N63" s="137" t="s">
        <v>602</v>
      </c>
    </row>
    <row r="64" spans="1:14" ht="52.5" customHeight="1">
      <c r="A64" s="127"/>
      <c r="B64" s="125"/>
      <c r="C64" s="126"/>
      <c r="D64" s="142"/>
      <c r="E64" s="13" t="s">
        <v>1255</v>
      </c>
      <c r="F64" s="106" t="s">
        <v>1155</v>
      </c>
      <c r="G64" s="106" t="s">
        <v>1254</v>
      </c>
      <c r="H64" s="143"/>
      <c r="I64" s="143"/>
      <c r="J64" s="143"/>
      <c r="K64" s="143"/>
      <c r="L64" s="143"/>
      <c r="M64" s="143"/>
      <c r="N64" s="137"/>
    </row>
    <row r="65" spans="1:14" ht="70.5" customHeight="1">
      <c r="A65" s="127"/>
      <c r="B65" s="125"/>
      <c r="C65" s="126"/>
      <c r="D65" s="142"/>
      <c r="E65" s="13" t="s">
        <v>1248</v>
      </c>
      <c r="F65" s="106" t="s">
        <v>1155</v>
      </c>
      <c r="G65" s="106" t="s">
        <v>1249</v>
      </c>
      <c r="H65" s="143"/>
      <c r="I65" s="143"/>
      <c r="J65" s="143"/>
      <c r="K65" s="143"/>
      <c r="L65" s="143"/>
      <c r="M65" s="143"/>
      <c r="N65" s="137"/>
    </row>
    <row r="66" spans="1:14" ht="85.5" customHeight="1">
      <c r="A66" s="127"/>
      <c r="B66" s="125"/>
      <c r="C66" s="126"/>
      <c r="D66" s="142"/>
      <c r="E66" s="13" t="s">
        <v>1250</v>
      </c>
      <c r="F66" s="106" t="s">
        <v>1155</v>
      </c>
      <c r="G66" s="106" t="s">
        <v>1251</v>
      </c>
      <c r="H66" s="143"/>
      <c r="I66" s="143"/>
      <c r="J66" s="143"/>
      <c r="K66" s="143"/>
      <c r="L66" s="143"/>
      <c r="M66" s="143"/>
      <c r="N66" s="137"/>
    </row>
    <row r="67" spans="1:14" ht="52.5" customHeight="1">
      <c r="A67" s="127"/>
      <c r="B67" s="125"/>
      <c r="C67" s="126" t="s">
        <v>149</v>
      </c>
      <c r="D67" s="142" t="s">
        <v>1062</v>
      </c>
      <c r="E67" s="2" t="s">
        <v>1534</v>
      </c>
      <c r="F67" s="106" t="s">
        <v>581</v>
      </c>
      <c r="G67" s="4" t="s">
        <v>1487</v>
      </c>
      <c r="H67" s="136">
        <f>42663.2-25624.1</f>
        <v>17039.1</v>
      </c>
      <c r="I67" s="143">
        <f>41859.2-24931</f>
        <v>16928.199999999997</v>
      </c>
      <c r="J67" s="136">
        <v>27060.7</v>
      </c>
      <c r="K67" s="136">
        <v>27719.4</v>
      </c>
      <c r="L67" s="136">
        <v>25528.5</v>
      </c>
      <c r="M67" s="136">
        <v>25777.7</v>
      </c>
      <c r="N67" s="137" t="s">
        <v>1283</v>
      </c>
    </row>
    <row r="68" spans="1:14" ht="52.5" customHeight="1">
      <c r="A68" s="127"/>
      <c r="B68" s="125"/>
      <c r="C68" s="126"/>
      <c r="D68" s="142"/>
      <c r="E68" s="2" t="s">
        <v>579</v>
      </c>
      <c r="F68" s="106" t="s">
        <v>1158</v>
      </c>
      <c r="G68" s="4" t="s">
        <v>580</v>
      </c>
      <c r="H68" s="136"/>
      <c r="I68" s="143"/>
      <c r="J68" s="136"/>
      <c r="K68" s="136"/>
      <c r="L68" s="136"/>
      <c r="M68" s="136"/>
      <c r="N68" s="137"/>
    </row>
    <row r="69" spans="1:14" ht="51" customHeight="1">
      <c r="A69" s="127"/>
      <c r="B69" s="125"/>
      <c r="C69" s="126"/>
      <c r="D69" s="142"/>
      <c r="E69" s="2" t="s">
        <v>1188</v>
      </c>
      <c r="F69" s="106" t="s">
        <v>1155</v>
      </c>
      <c r="G69" s="4" t="s">
        <v>1487</v>
      </c>
      <c r="H69" s="136"/>
      <c r="I69" s="143"/>
      <c r="J69" s="136"/>
      <c r="K69" s="136"/>
      <c r="L69" s="136"/>
      <c r="M69" s="136"/>
      <c r="N69" s="137"/>
    </row>
    <row r="70" spans="1:14" ht="90">
      <c r="A70" s="127"/>
      <c r="B70" s="125"/>
      <c r="C70" s="100" t="s">
        <v>408</v>
      </c>
      <c r="D70" s="101" t="s">
        <v>869</v>
      </c>
      <c r="E70" s="113" t="s">
        <v>1233</v>
      </c>
      <c r="F70" s="3" t="s">
        <v>1155</v>
      </c>
      <c r="G70" s="106" t="s">
        <v>1234</v>
      </c>
      <c r="H70" s="111"/>
      <c r="I70" s="111"/>
      <c r="J70" s="111"/>
      <c r="K70" s="111"/>
      <c r="L70" s="111">
        <f>149-4.9</f>
        <v>144.1</v>
      </c>
      <c r="M70" s="111">
        <f>302.6-250-5.6</f>
        <v>47.00000000000002</v>
      </c>
      <c r="N70" s="96" t="s">
        <v>1235</v>
      </c>
    </row>
    <row r="71" spans="1:256" s="38" customFormat="1" ht="82.5" customHeight="1">
      <c r="A71" s="103" t="s">
        <v>55</v>
      </c>
      <c r="B71" s="8" t="s">
        <v>1323</v>
      </c>
      <c r="C71" s="100" t="s">
        <v>1461</v>
      </c>
      <c r="D71" s="100"/>
      <c r="E71" s="6" t="s">
        <v>1350</v>
      </c>
      <c r="F71" s="100" t="s">
        <v>1349</v>
      </c>
      <c r="G71" s="100" t="s">
        <v>1403</v>
      </c>
      <c r="H71" s="94"/>
      <c r="I71" s="99"/>
      <c r="J71" s="94"/>
      <c r="K71" s="94"/>
      <c r="L71" s="94"/>
      <c r="M71" s="94"/>
      <c r="N71" s="96"/>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c r="IP71" s="21"/>
      <c r="IQ71" s="21"/>
      <c r="IR71" s="21"/>
      <c r="IS71" s="21"/>
      <c r="IT71" s="21"/>
      <c r="IU71" s="21"/>
      <c r="IV71" s="21"/>
    </row>
    <row r="72" spans="1:256" s="29" customFormat="1" ht="45">
      <c r="A72" s="127" t="s">
        <v>56</v>
      </c>
      <c r="B72" s="181" t="s">
        <v>395</v>
      </c>
      <c r="C72" s="166" t="s">
        <v>1462</v>
      </c>
      <c r="D72" s="142" t="s">
        <v>1353</v>
      </c>
      <c r="E72" s="6" t="s">
        <v>1527</v>
      </c>
      <c r="F72" s="100" t="s">
        <v>1528</v>
      </c>
      <c r="G72" s="100" t="s">
        <v>1403</v>
      </c>
      <c r="H72" s="139"/>
      <c r="I72" s="124"/>
      <c r="J72" s="139">
        <v>9747.1</v>
      </c>
      <c r="K72" s="139">
        <v>2647.5</v>
      </c>
      <c r="L72" s="139"/>
      <c r="M72" s="139"/>
      <c r="N72" s="137" t="s">
        <v>603</v>
      </c>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c r="IM72" s="21"/>
      <c r="IN72" s="21"/>
      <c r="IO72" s="21"/>
      <c r="IP72" s="21"/>
      <c r="IQ72" s="21"/>
      <c r="IR72" s="21"/>
      <c r="IS72" s="21"/>
      <c r="IT72" s="21"/>
      <c r="IU72" s="21"/>
      <c r="IV72" s="21"/>
    </row>
    <row r="73" spans="1:14" ht="60" customHeight="1">
      <c r="A73" s="127"/>
      <c r="B73" s="181"/>
      <c r="C73" s="166"/>
      <c r="D73" s="142"/>
      <c r="E73" s="6" t="s">
        <v>1092</v>
      </c>
      <c r="F73" s="100" t="s">
        <v>1155</v>
      </c>
      <c r="G73" s="100" t="s">
        <v>1093</v>
      </c>
      <c r="H73" s="139"/>
      <c r="I73" s="124"/>
      <c r="J73" s="139"/>
      <c r="K73" s="139"/>
      <c r="L73" s="139"/>
      <c r="M73" s="139"/>
      <c r="N73" s="137"/>
    </row>
    <row r="74" spans="1:14" ht="72" customHeight="1">
      <c r="A74" s="127"/>
      <c r="B74" s="181"/>
      <c r="C74" s="166"/>
      <c r="D74" s="142"/>
      <c r="E74" s="6" t="s">
        <v>481</v>
      </c>
      <c r="F74" s="100" t="s">
        <v>1155</v>
      </c>
      <c r="G74" s="14" t="s">
        <v>482</v>
      </c>
      <c r="H74" s="139"/>
      <c r="I74" s="124"/>
      <c r="J74" s="139"/>
      <c r="K74" s="139"/>
      <c r="L74" s="139"/>
      <c r="M74" s="139"/>
      <c r="N74" s="137"/>
    </row>
    <row r="75" spans="1:14" ht="60">
      <c r="A75" s="127"/>
      <c r="B75" s="181"/>
      <c r="C75" s="166"/>
      <c r="D75" s="142"/>
      <c r="E75" s="6" t="s">
        <v>1280</v>
      </c>
      <c r="F75" s="100" t="s">
        <v>1155</v>
      </c>
      <c r="G75" s="100" t="s">
        <v>1281</v>
      </c>
      <c r="H75" s="139"/>
      <c r="I75" s="124"/>
      <c r="J75" s="139"/>
      <c r="K75" s="139"/>
      <c r="L75" s="139"/>
      <c r="M75" s="139"/>
      <c r="N75" s="137"/>
    </row>
    <row r="76" spans="1:14" ht="78.75" customHeight="1">
      <c r="A76" s="103" t="s">
        <v>57</v>
      </c>
      <c r="B76" s="12" t="s">
        <v>1070</v>
      </c>
      <c r="C76" s="108" t="s">
        <v>771</v>
      </c>
      <c r="D76" s="100"/>
      <c r="E76" s="6" t="s">
        <v>1402</v>
      </c>
      <c r="F76" s="100" t="s">
        <v>1033</v>
      </c>
      <c r="G76" s="100" t="s">
        <v>1403</v>
      </c>
      <c r="H76" s="94"/>
      <c r="I76" s="99"/>
      <c r="J76" s="94"/>
      <c r="K76" s="94"/>
      <c r="L76" s="94"/>
      <c r="M76" s="94"/>
      <c r="N76" s="96"/>
    </row>
    <row r="77" spans="1:14" ht="60" customHeight="1">
      <c r="A77" s="176" t="s">
        <v>58</v>
      </c>
      <c r="B77" s="183" t="s">
        <v>884</v>
      </c>
      <c r="C77" s="126" t="s">
        <v>1071</v>
      </c>
      <c r="D77" s="126" t="s">
        <v>36</v>
      </c>
      <c r="E77" s="6" t="s">
        <v>449</v>
      </c>
      <c r="F77" s="100" t="s">
        <v>453</v>
      </c>
      <c r="G77" s="100" t="s">
        <v>1403</v>
      </c>
      <c r="H77" s="95">
        <f aca="true" t="shared" si="4" ref="H77:M77">SUM(H79:H88)</f>
        <v>33039.7</v>
      </c>
      <c r="I77" s="95">
        <f t="shared" si="4"/>
        <v>31404.100000000002</v>
      </c>
      <c r="J77" s="95">
        <f t="shared" si="4"/>
        <v>26585.800000000003</v>
      </c>
      <c r="K77" s="95">
        <f t="shared" si="4"/>
        <v>23567.8</v>
      </c>
      <c r="L77" s="95">
        <f t="shared" si="4"/>
        <v>15189.1</v>
      </c>
      <c r="M77" s="95">
        <f t="shared" si="4"/>
        <v>15169.800000000001</v>
      </c>
      <c r="N77" s="96"/>
    </row>
    <row r="78" spans="1:14" ht="15">
      <c r="A78" s="177"/>
      <c r="B78" s="184"/>
      <c r="C78" s="126"/>
      <c r="D78" s="126"/>
      <c r="E78" s="6" t="s">
        <v>1097</v>
      </c>
      <c r="F78" s="100"/>
      <c r="G78" s="100"/>
      <c r="H78" s="111"/>
      <c r="I78" s="111"/>
      <c r="J78" s="111"/>
      <c r="K78" s="111"/>
      <c r="L78" s="111"/>
      <c r="M78" s="111"/>
      <c r="N78" s="96"/>
    </row>
    <row r="79" spans="1:14" ht="49.5" customHeight="1">
      <c r="A79" s="177"/>
      <c r="B79" s="184"/>
      <c r="C79" s="100" t="s">
        <v>1529</v>
      </c>
      <c r="D79" s="101" t="s">
        <v>1353</v>
      </c>
      <c r="E79" s="6" t="s">
        <v>1092</v>
      </c>
      <c r="F79" s="100" t="s">
        <v>1155</v>
      </c>
      <c r="G79" s="100" t="s">
        <v>1093</v>
      </c>
      <c r="H79" s="95">
        <f>520+663.8</f>
        <v>1183.8</v>
      </c>
      <c r="I79" s="98">
        <f>436.1+293.9</f>
        <v>730</v>
      </c>
      <c r="J79" s="95"/>
      <c r="K79" s="95"/>
      <c r="L79" s="95"/>
      <c r="M79" s="95"/>
      <c r="N79" s="96" t="s">
        <v>452</v>
      </c>
    </row>
    <row r="80" spans="1:14" ht="42.75" customHeight="1">
      <c r="A80" s="177"/>
      <c r="B80" s="184"/>
      <c r="C80" s="126" t="s">
        <v>1530</v>
      </c>
      <c r="D80" s="142" t="s">
        <v>459</v>
      </c>
      <c r="E80" s="113" t="s">
        <v>535</v>
      </c>
      <c r="F80" s="106" t="s">
        <v>1155</v>
      </c>
      <c r="G80" s="106" t="s">
        <v>536</v>
      </c>
      <c r="H80" s="136">
        <f>1479.1+500</f>
        <v>1979.1</v>
      </c>
      <c r="I80" s="143">
        <f>498.4+999.9</f>
        <v>1498.3</v>
      </c>
      <c r="J80" s="136">
        <f>480+172+2294.2+132.7+100+100+100+100</f>
        <v>3478.8999999999996</v>
      </c>
      <c r="K80" s="136">
        <f>233+500</f>
        <v>733</v>
      </c>
      <c r="L80" s="136"/>
      <c r="M80" s="136"/>
      <c r="N80" s="137" t="s">
        <v>455</v>
      </c>
    </row>
    <row r="81" spans="1:14" ht="49.5" customHeight="1">
      <c r="A81" s="177"/>
      <c r="B81" s="184"/>
      <c r="C81" s="126"/>
      <c r="D81" s="142"/>
      <c r="E81" s="113" t="s">
        <v>155</v>
      </c>
      <c r="F81" s="3" t="s">
        <v>1155</v>
      </c>
      <c r="G81" s="106" t="s">
        <v>484</v>
      </c>
      <c r="H81" s="136"/>
      <c r="I81" s="143"/>
      <c r="J81" s="136"/>
      <c r="K81" s="136"/>
      <c r="L81" s="136"/>
      <c r="M81" s="136"/>
      <c r="N81" s="137"/>
    </row>
    <row r="82" spans="1:14" ht="42" customHeight="1">
      <c r="A82" s="177"/>
      <c r="B82" s="184"/>
      <c r="C82" s="126"/>
      <c r="D82" s="142"/>
      <c r="E82" s="113" t="s">
        <v>1195</v>
      </c>
      <c r="F82" s="106" t="s">
        <v>1155</v>
      </c>
      <c r="G82" s="106" t="s">
        <v>502</v>
      </c>
      <c r="H82" s="136"/>
      <c r="I82" s="143"/>
      <c r="J82" s="136"/>
      <c r="K82" s="136"/>
      <c r="L82" s="136"/>
      <c r="M82" s="136"/>
      <c r="N82" s="137"/>
    </row>
    <row r="83" spans="1:14" ht="51" customHeight="1">
      <c r="A83" s="177"/>
      <c r="B83" s="184"/>
      <c r="C83" s="126"/>
      <c r="D83" s="142"/>
      <c r="E83" s="113" t="s">
        <v>701</v>
      </c>
      <c r="F83" s="106" t="s">
        <v>1155</v>
      </c>
      <c r="G83" s="106" t="s">
        <v>702</v>
      </c>
      <c r="H83" s="136"/>
      <c r="I83" s="143"/>
      <c r="J83" s="136"/>
      <c r="K83" s="136"/>
      <c r="L83" s="136"/>
      <c r="M83" s="136"/>
      <c r="N83" s="137"/>
    </row>
    <row r="84" spans="1:14" ht="35.25" customHeight="1">
      <c r="A84" s="177"/>
      <c r="B84" s="184"/>
      <c r="C84" s="100" t="s">
        <v>1531</v>
      </c>
      <c r="D84" s="101" t="s">
        <v>963</v>
      </c>
      <c r="E84" s="2" t="s">
        <v>745</v>
      </c>
      <c r="F84" s="106" t="s">
        <v>1067</v>
      </c>
      <c r="G84" s="4" t="s">
        <v>503</v>
      </c>
      <c r="H84" s="95">
        <f>2394.9+107.8</f>
        <v>2502.7000000000003</v>
      </c>
      <c r="I84" s="98">
        <f>2390.9+107.7</f>
        <v>2498.6</v>
      </c>
      <c r="J84" s="95">
        <f>1283+150</f>
        <v>1433</v>
      </c>
      <c r="K84" s="95">
        <f>1460+470</f>
        <v>1930</v>
      </c>
      <c r="L84" s="95">
        <f>1645+290</f>
        <v>1935</v>
      </c>
      <c r="M84" s="95">
        <f>1645+270</f>
        <v>1915</v>
      </c>
      <c r="N84" s="96" t="s">
        <v>516</v>
      </c>
    </row>
    <row r="85" spans="1:14" ht="52.5" customHeight="1">
      <c r="A85" s="177"/>
      <c r="B85" s="184"/>
      <c r="C85" s="126" t="s">
        <v>1532</v>
      </c>
      <c r="D85" s="142" t="s">
        <v>1062</v>
      </c>
      <c r="E85" s="2" t="s">
        <v>1534</v>
      </c>
      <c r="F85" s="106" t="s">
        <v>581</v>
      </c>
      <c r="G85" s="4" t="s">
        <v>1487</v>
      </c>
      <c r="H85" s="136">
        <v>25624.1</v>
      </c>
      <c r="I85" s="143">
        <v>24931</v>
      </c>
      <c r="J85" s="136">
        <v>21673.9</v>
      </c>
      <c r="K85" s="136">
        <v>20904.8</v>
      </c>
      <c r="L85" s="136">
        <v>13249.2</v>
      </c>
      <c r="M85" s="136">
        <v>13249.2</v>
      </c>
      <c r="N85" s="137" t="s">
        <v>609</v>
      </c>
    </row>
    <row r="86" spans="1:14" ht="52.5" customHeight="1">
      <c r="A86" s="177"/>
      <c r="B86" s="184"/>
      <c r="C86" s="126"/>
      <c r="D86" s="142"/>
      <c r="E86" s="2" t="s">
        <v>579</v>
      </c>
      <c r="F86" s="106" t="s">
        <v>1158</v>
      </c>
      <c r="G86" s="4" t="s">
        <v>580</v>
      </c>
      <c r="H86" s="136"/>
      <c r="I86" s="143"/>
      <c r="J86" s="136"/>
      <c r="K86" s="136"/>
      <c r="L86" s="136"/>
      <c r="M86" s="136"/>
      <c r="N86" s="137"/>
    </row>
    <row r="87" spans="1:14" ht="48" customHeight="1">
      <c r="A87" s="177"/>
      <c r="B87" s="184"/>
      <c r="C87" s="100" t="s">
        <v>1533</v>
      </c>
      <c r="D87" s="101" t="s">
        <v>1062</v>
      </c>
      <c r="E87" s="113" t="s">
        <v>955</v>
      </c>
      <c r="F87" s="106" t="s">
        <v>1155</v>
      </c>
      <c r="G87" s="106" t="s">
        <v>800</v>
      </c>
      <c r="H87" s="95">
        <v>1750</v>
      </c>
      <c r="I87" s="98">
        <v>1746.2</v>
      </c>
      <c r="J87" s="95"/>
      <c r="K87" s="95"/>
      <c r="L87" s="95"/>
      <c r="M87" s="95"/>
      <c r="N87" s="96" t="s">
        <v>1535</v>
      </c>
    </row>
    <row r="88" spans="1:15" ht="107.25" customHeight="1">
      <c r="A88" s="178"/>
      <c r="B88" s="185"/>
      <c r="C88" s="77" t="s">
        <v>451</v>
      </c>
      <c r="D88" s="78" t="s">
        <v>1062</v>
      </c>
      <c r="E88" s="79" t="s">
        <v>1233</v>
      </c>
      <c r="F88" s="80" t="s">
        <v>1155</v>
      </c>
      <c r="G88" s="81" t="s">
        <v>1234</v>
      </c>
      <c r="H88" s="89"/>
      <c r="I88" s="89"/>
      <c r="J88" s="89"/>
      <c r="K88" s="89"/>
      <c r="L88" s="89">
        <v>4.9</v>
      </c>
      <c r="M88" s="89">
        <v>5.6</v>
      </c>
      <c r="N88" s="82" t="s">
        <v>1235</v>
      </c>
      <c r="O88" s="25"/>
    </row>
    <row r="89" spans="1:256" s="29" customFormat="1" ht="45">
      <c r="A89" s="176" t="s">
        <v>59</v>
      </c>
      <c r="B89" s="183" t="s">
        <v>1074</v>
      </c>
      <c r="C89" s="126" t="s">
        <v>1072</v>
      </c>
      <c r="D89" s="142" t="s">
        <v>1173</v>
      </c>
      <c r="E89" s="6" t="s">
        <v>1402</v>
      </c>
      <c r="F89" s="100" t="s">
        <v>1189</v>
      </c>
      <c r="G89" s="100" t="s">
        <v>1403</v>
      </c>
      <c r="H89" s="95">
        <f aca="true" t="shared" si="5" ref="H89:M89">SUM(H91:H95)</f>
        <v>29246.3</v>
      </c>
      <c r="I89" s="95">
        <f t="shared" si="5"/>
        <v>26977.5</v>
      </c>
      <c r="J89" s="95">
        <f t="shared" si="5"/>
        <v>30822.4</v>
      </c>
      <c r="K89" s="95">
        <f t="shared" si="5"/>
        <v>30469.2</v>
      </c>
      <c r="L89" s="95">
        <f t="shared" si="5"/>
        <v>30647.1</v>
      </c>
      <c r="M89" s="95">
        <f t="shared" si="5"/>
        <v>30654.9</v>
      </c>
      <c r="N89" s="96"/>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21"/>
      <c r="FT89" s="21"/>
      <c r="FU89" s="21"/>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c r="IB89" s="21"/>
      <c r="IC89" s="21"/>
      <c r="ID89" s="21"/>
      <c r="IE89" s="21"/>
      <c r="IF89" s="21"/>
      <c r="IG89" s="21"/>
      <c r="IH89" s="21"/>
      <c r="II89" s="21"/>
      <c r="IJ89" s="21"/>
      <c r="IK89" s="21"/>
      <c r="IL89" s="21"/>
      <c r="IM89" s="21"/>
      <c r="IN89" s="21"/>
      <c r="IO89" s="21"/>
      <c r="IP89" s="21"/>
      <c r="IQ89" s="21"/>
      <c r="IR89" s="21"/>
      <c r="IS89" s="21"/>
      <c r="IT89" s="21"/>
      <c r="IU89" s="21"/>
      <c r="IV89" s="21"/>
    </row>
    <row r="90" spans="1:14" ht="15">
      <c r="A90" s="177"/>
      <c r="B90" s="184"/>
      <c r="C90" s="126"/>
      <c r="D90" s="142"/>
      <c r="E90" s="6" t="s">
        <v>1097</v>
      </c>
      <c r="F90" s="100"/>
      <c r="G90" s="100"/>
      <c r="H90" s="95"/>
      <c r="I90" s="98"/>
      <c r="J90" s="95"/>
      <c r="K90" s="95"/>
      <c r="L90" s="95"/>
      <c r="M90" s="95"/>
      <c r="N90" s="96"/>
    </row>
    <row r="91" spans="1:14" ht="45">
      <c r="A91" s="177"/>
      <c r="B91" s="184"/>
      <c r="C91" s="100" t="s">
        <v>1436</v>
      </c>
      <c r="D91" s="101" t="s">
        <v>1173</v>
      </c>
      <c r="E91" s="1" t="s">
        <v>740</v>
      </c>
      <c r="F91" s="3" t="s">
        <v>1439</v>
      </c>
      <c r="G91" s="19" t="s">
        <v>1440</v>
      </c>
      <c r="H91" s="95">
        <v>28371.3</v>
      </c>
      <c r="I91" s="98">
        <v>26119.2</v>
      </c>
      <c r="J91" s="95">
        <f>30822.4-270-16.7</f>
        <v>30535.7</v>
      </c>
      <c r="K91" s="95">
        <v>30469.2</v>
      </c>
      <c r="L91" s="95">
        <v>30470</v>
      </c>
      <c r="M91" s="95">
        <v>30470</v>
      </c>
      <c r="N91" s="96" t="s">
        <v>1278</v>
      </c>
    </row>
    <row r="92" spans="1:14" ht="60" customHeight="1">
      <c r="A92" s="177"/>
      <c r="B92" s="184"/>
      <c r="C92" s="152" t="s">
        <v>1437</v>
      </c>
      <c r="D92" s="128" t="s">
        <v>1173</v>
      </c>
      <c r="E92" s="6" t="s">
        <v>1160</v>
      </c>
      <c r="F92" s="100" t="s">
        <v>1155</v>
      </c>
      <c r="G92" s="100" t="s">
        <v>1161</v>
      </c>
      <c r="H92" s="130">
        <v>875</v>
      </c>
      <c r="I92" s="130">
        <v>858.3</v>
      </c>
      <c r="J92" s="130">
        <v>16.7</v>
      </c>
      <c r="K92" s="130"/>
      <c r="L92" s="130"/>
      <c r="M92" s="130"/>
      <c r="N92" s="198" t="s">
        <v>1159</v>
      </c>
    </row>
    <row r="93" spans="1:14" ht="30">
      <c r="A93" s="177"/>
      <c r="B93" s="184"/>
      <c r="C93" s="153"/>
      <c r="D93" s="129"/>
      <c r="E93" s="113" t="s">
        <v>443</v>
      </c>
      <c r="F93" s="3" t="s">
        <v>1155</v>
      </c>
      <c r="G93" s="106" t="s">
        <v>442</v>
      </c>
      <c r="H93" s="131"/>
      <c r="I93" s="131"/>
      <c r="J93" s="131"/>
      <c r="K93" s="131"/>
      <c r="L93" s="131"/>
      <c r="M93" s="131"/>
      <c r="N93" s="200"/>
    </row>
    <row r="94" spans="1:14" ht="106.5" customHeight="1">
      <c r="A94" s="177"/>
      <c r="B94" s="184"/>
      <c r="C94" s="100" t="s">
        <v>1438</v>
      </c>
      <c r="D94" s="101" t="s">
        <v>1173</v>
      </c>
      <c r="E94" s="113" t="s">
        <v>1233</v>
      </c>
      <c r="F94" s="3" t="s">
        <v>1155</v>
      </c>
      <c r="G94" s="106" t="s">
        <v>1234</v>
      </c>
      <c r="H94" s="111"/>
      <c r="I94" s="111"/>
      <c r="J94" s="111"/>
      <c r="K94" s="111"/>
      <c r="L94" s="111">
        <v>177.1</v>
      </c>
      <c r="M94" s="111">
        <v>184.9</v>
      </c>
      <c r="N94" s="96" t="s">
        <v>1235</v>
      </c>
    </row>
    <row r="95" spans="1:14" ht="96.75" customHeight="1">
      <c r="A95" s="177"/>
      <c r="B95" s="184"/>
      <c r="C95" s="152" t="s">
        <v>21</v>
      </c>
      <c r="D95" s="128" t="s">
        <v>1173</v>
      </c>
      <c r="E95" s="6" t="s">
        <v>446</v>
      </c>
      <c r="F95" s="3" t="s">
        <v>1155</v>
      </c>
      <c r="G95" s="106" t="s">
        <v>447</v>
      </c>
      <c r="H95" s="130"/>
      <c r="I95" s="130"/>
      <c r="J95" s="130">
        <v>270</v>
      </c>
      <c r="K95" s="130"/>
      <c r="L95" s="130"/>
      <c r="M95" s="130"/>
      <c r="N95" s="137" t="s">
        <v>445</v>
      </c>
    </row>
    <row r="96" spans="1:14" ht="43.5" customHeight="1">
      <c r="A96" s="178"/>
      <c r="B96" s="185"/>
      <c r="C96" s="153"/>
      <c r="D96" s="129"/>
      <c r="E96" s="113" t="s">
        <v>441</v>
      </c>
      <c r="F96" s="3" t="s">
        <v>1155</v>
      </c>
      <c r="G96" s="106" t="s">
        <v>444</v>
      </c>
      <c r="H96" s="131"/>
      <c r="I96" s="131"/>
      <c r="J96" s="131"/>
      <c r="K96" s="131"/>
      <c r="L96" s="131"/>
      <c r="M96" s="131"/>
      <c r="N96" s="137"/>
    </row>
    <row r="97" spans="1:14" ht="45">
      <c r="A97" s="103" t="s">
        <v>52</v>
      </c>
      <c r="B97" s="8" t="s">
        <v>1075</v>
      </c>
      <c r="C97" s="100" t="s">
        <v>1073</v>
      </c>
      <c r="D97" s="100"/>
      <c r="E97" s="6" t="s">
        <v>1402</v>
      </c>
      <c r="F97" s="100" t="s">
        <v>1383</v>
      </c>
      <c r="G97" s="100" t="s">
        <v>1403</v>
      </c>
      <c r="H97" s="94"/>
      <c r="I97" s="99"/>
      <c r="J97" s="94"/>
      <c r="K97" s="94"/>
      <c r="L97" s="94"/>
      <c r="M97" s="94"/>
      <c r="N97" s="96"/>
    </row>
    <row r="98" spans="1:14" ht="45">
      <c r="A98" s="127" t="s">
        <v>60</v>
      </c>
      <c r="B98" s="125" t="s">
        <v>1369</v>
      </c>
      <c r="C98" s="126" t="s">
        <v>1076</v>
      </c>
      <c r="D98" s="126" t="s">
        <v>37</v>
      </c>
      <c r="E98" s="6" t="s">
        <v>1284</v>
      </c>
      <c r="F98" s="100" t="s">
        <v>1291</v>
      </c>
      <c r="G98" s="100" t="s">
        <v>1289</v>
      </c>
      <c r="H98" s="136">
        <f aca="true" t="shared" si="6" ref="H98:M98">SUM(H102:H113)</f>
        <v>64839.8</v>
      </c>
      <c r="I98" s="143">
        <f t="shared" si="6"/>
        <v>44061.7</v>
      </c>
      <c r="J98" s="136">
        <f t="shared" si="6"/>
        <v>42739.200000000004</v>
      </c>
      <c r="K98" s="136">
        <f t="shared" si="6"/>
        <v>49041.9</v>
      </c>
      <c r="L98" s="136">
        <f t="shared" si="6"/>
        <v>60591.4</v>
      </c>
      <c r="M98" s="136">
        <f t="shared" si="6"/>
        <v>70645.1</v>
      </c>
      <c r="N98" s="137"/>
    </row>
    <row r="99" spans="1:14" ht="36" customHeight="1">
      <c r="A99" s="127"/>
      <c r="B99" s="125"/>
      <c r="C99" s="126"/>
      <c r="D99" s="126"/>
      <c r="E99" s="6" t="s">
        <v>954</v>
      </c>
      <c r="F99" s="100" t="s">
        <v>1286</v>
      </c>
      <c r="G99" s="100" t="s">
        <v>1288</v>
      </c>
      <c r="H99" s="136"/>
      <c r="I99" s="143"/>
      <c r="J99" s="136"/>
      <c r="K99" s="136"/>
      <c r="L99" s="136"/>
      <c r="M99" s="136"/>
      <c r="N99" s="137"/>
    </row>
    <row r="100" spans="1:14" ht="52.5" customHeight="1">
      <c r="A100" s="127"/>
      <c r="B100" s="125"/>
      <c r="C100" s="126"/>
      <c r="D100" s="126"/>
      <c r="E100" s="6" t="s">
        <v>1285</v>
      </c>
      <c r="F100" s="100" t="s">
        <v>1287</v>
      </c>
      <c r="G100" s="100" t="s">
        <v>1290</v>
      </c>
      <c r="H100" s="136"/>
      <c r="I100" s="143"/>
      <c r="J100" s="136"/>
      <c r="K100" s="136"/>
      <c r="L100" s="136"/>
      <c r="M100" s="136"/>
      <c r="N100" s="137"/>
    </row>
    <row r="101" spans="1:14" ht="22.5" customHeight="1">
      <c r="A101" s="127"/>
      <c r="B101" s="125"/>
      <c r="C101" s="126"/>
      <c r="D101" s="126"/>
      <c r="E101" s="6" t="s">
        <v>1097</v>
      </c>
      <c r="F101" s="100"/>
      <c r="G101" s="100"/>
      <c r="H101" s="95"/>
      <c r="I101" s="98"/>
      <c r="J101" s="95"/>
      <c r="K101" s="95"/>
      <c r="L101" s="95"/>
      <c r="M101" s="95"/>
      <c r="N101" s="96"/>
    </row>
    <row r="102" spans="1:14" ht="45">
      <c r="A102" s="127"/>
      <c r="B102" s="125"/>
      <c r="C102" s="100" t="s">
        <v>964</v>
      </c>
      <c r="D102" s="101" t="s">
        <v>926</v>
      </c>
      <c r="E102" s="2" t="s">
        <v>971</v>
      </c>
      <c r="F102" s="106" t="s">
        <v>1449</v>
      </c>
      <c r="G102" s="4" t="s">
        <v>970</v>
      </c>
      <c r="H102" s="95">
        <v>2423.3</v>
      </c>
      <c r="I102" s="98">
        <v>1935.5</v>
      </c>
      <c r="J102" s="95">
        <v>1250.2</v>
      </c>
      <c r="K102" s="95">
        <v>1250</v>
      </c>
      <c r="L102" s="95"/>
      <c r="M102" s="95"/>
      <c r="N102" s="96" t="s">
        <v>1508</v>
      </c>
    </row>
    <row r="103" spans="1:14" ht="48" customHeight="1">
      <c r="A103" s="127"/>
      <c r="B103" s="125"/>
      <c r="C103" s="100" t="s">
        <v>965</v>
      </c>
      <c r="D103" s="101" t="s">
        <v>926</v>
      </c>
      <c r="E103" s="6" t="s">
        <v>711</v>
      </c>
      <c r="F103" s="100" t="s">
        <v>1155</v>
      </c>
      <c r="G103" s="100" t="s">
        <v>712</v>
      </c>
      <c r="H103" s="95">
        <v>1708</v>
      </c>
      <c r="I103" s="98">
        <v>1703.3</v>
      </c>
      <c r="J103" s="95">
        <v>1557.2</v>
      </c>
      <c r="K103" s="95">
        <v>1557.2</v>
      </c>
      <c r="L103" s="95">
        <v>1557.2</v>
      </c>
      <c r="M103" s="95">
        <v>1557.2</v>
      </c>
      <c r="N103" s="96" t="s">
        <v>927</v>
      </c>
    </row>
    <row r="104" spans="1:14" ht="33" customHeight="1">
      <c r="A104" s="127"/>
      <c r="B104" s="125"/>
      <c r="C104" s="126" t="s">
        <v>966</v>
      </c>
      <c r="D104" s="142" t="s">
        <v>926</v>
      </c>
      <c r="E104" s="6" t="s">
        <v>1375</v>
      </c>
      <c r="F104" s="100" t="s">
        <v>1155</v>
      </c>
      <c r="G104" s="100" t="s">
        <v>1376</v>
      </c>
      <c r="H104" s="136">
        <v>5271.4</v>
      </c>
      <c r="I104" s="143">
        <v>4675.5</v>
      </c>
      <c r="J104" s="136">
        <f>17218.7+206</f>
        <v>17424.7</v>
      </c>
      <c r="K104" s="136">
        <f>8596.2+412+144</f>
        <v>9152.2</v>
      </c>
      <c r="L104" s="136">
        <f>7018.7+412+144</f>
        <v>7574.7</v>
      </c>
      <c r="M104" s="136">
        <f>5380.6+412+144</f>
        <v>5936.6</v>
      </c>
      <c r="N104" s="137" t="s">
        <v>714</v>
      </c>
    </row>
    <row r="105" spans="1:14" ht="52.5" customHeight="1">
      <c r="A105" s="127"/>
      <c r="B105" s="125"/>
      <c r="C105" s="126"/>
      <c r="D105" s="142"/>
      <c r="E105" s="6" t="s">
        <v>490</v>
      </c>
      <c r="F105" s="100" t="s">
        <v>1155</v>
      </c>
      <c r="G105" s="100" t="s">
        <v>491</v>
      </c>
      <c r="H105" s="136"/>
      <c r="I105" s="143"/>
      <c r="J105" s="136"/>
      <c r="K105" s="136"/>
      <c r="L105" s="136"/>
      <c r="M105" s="136"/>
      <c r="N105" s="137"/>
    </row>
    <row r="106" spans="1:14" ht="90">
      <c r="A106" s="127"/>
      <c r="B106" s="125"/>
      <c r="C106" s="100" t="s">
        <v>967</v>
      </c>
      <c r="D106" s="101" t="s">
        <v>926</v>
      </c>
      <c r="E106" s="6" t="s">
        <v>1378</v>
      </c>
      <c r="F106" s="100" t="s">
        <v>1155</v>
      </c>
      <c r="G106" s="100" t="s">
        <v>1377</v>
      </c>
      <c r="H106" s="95">
        <v>3093</v>
      </c>
      <c r="I106" s="98">
        <v>2544.6</v>
      </c>
      <c r="J106" s="95">
        <f>2925.4+16.2</f>
        <v>2941.6</v>
      </c>
      <c r="K106" s="95">
        <v>3508.3</v>
      </c>
      <c r="L106" s="95">
        <v>2688.3</v>
      </c>
      <c r="M106" s="95">
        <v>2688.3</v>
      </c>
      <c r="N106" s="96" t="s">
        <v>715</v>
      </c>
    </row>
    <row r="107" spans="1:14" ht="43.5" customHeight="1">
      <c r="A107" s="127"/>
      <c r="B107" s="125"/>
      <c r="C107" s="100" t="s">
        <v>968</v>
      </c>
      <c r="D107" s="101" t="s">
        <v>926</v>
      </c>
      <c r="E107" s="6" t="s">
        <v>713</v>
      </c>
      <c r="F107" s="100" t="s">
        <v>1155</v>
      </c>
      <c r="G107" s="100" t="s">
        <v>712</v>
      </c>
      <c r="H107" s="95">
        <v>35</v>
      </c>
      <c r="I107" s="98">
        <v>2.5</v>
      </c>
      <c r="J107" s="95">
        <v>21.1</v>
      </c>
      <c r="K107" s="95">
        <v>21.1</v>
      </c>
      <c r="L107" s="95">
        <v>21.1</v>
      </c>
      <c r="M107" s="95">
        <v>21.1</v>
      </c>
      <c r="N107" s="96" t="s">
        <v>928</v>
      </c>
    </row>
    <row r="108" spans="1:14" ht="48" customHeight="1">
      <c r="A108" s="127"/>
      <c r="B108" s="125"/>
      <c r="C108" s="100" t="s">
        <v>969</v>
      </c>
      <c r="D108" s="101" t="s">
        <v>926</v>
      </c>
      <c r="E108" s="6" t="s">
        <v>1379</v>
      </c>
      <c r="F108" s="100" t="s">
        <v>1155</v>
      </c>
      <c r="G108" s="100" t="s">
        <v>1380</v>
      </c>
      <c r="H108" s="95">
        <v>400</v>
      </c>
      <c r="I108" s="98">
        <v>58.1</v>
      </c>
      <c r="J108" s="95">
        <v>400</v>
      </c>
      <c r="K108" s="95">
        <v>400</v>
      </c>
      <c r="L108" s="95">
        <v>400</v>
      </c>
      <c r="M108" s="95">
        <v>400</v>
      </c>
      <c r="N108" s="96" t="s">
        <v>523</v>
      </c>
    </row>
    <row r="109" spans="1:14" ht="48" customHeight="1">
      <c r="A109" s="127"/>
      <c r="B109" s="125"/>
      <c r="C109" s="100" t="s">
        <v>1418</v>
      </c>
      <c r="D109" s="101" t="s">
        <v>926</v>
      </c>
      <c r="E109" s="113" t="s">
        <v>1164</v>
      </c>
      <c r="F109" s="3" t="s">
        <v>1155</v>
      </c>
      <c r="G109" s="19" t="s">
        <v>1163</v>
      </c>
      <c r="H109" s="111">
        <v>300</v>
      </c>
      <c r="I109" s="111">
        <v>250.1</v>
      </c>
      <c r="J109" s="111">
        <v>389.2</v>
      </c>
      <c r="K109" s="111">
        <v>300</v>
      </c>
      <c r="L109" s="111">
        <v>300</v>
      </c>
      <c r="M109" s="111">
        <v>300</v>
      </c>
      <c r="N109" s="96" t="s">
        <v>840</v>
      </c>
    </row>
    <row r="110" spans="1:14" ht="52.5" customHeight="1">
      <c r="A110" s="127"/>
      <c r="B110" s="125"/>
      <c r="C110" s="100" t="s">
        <v>1419</v>
      </c>
      <c r="D110" s="101" t="s">
        <v>926</v>
      </c>
      <c r="E110" s="6" t="s">
        <v>1381</v>
      </c>
      <c r="F110" s="100" t="s">
        <v>1155</v>
      </c>
      <c r="G110" s="100" t="s">
        <v>1382</v>
      </c>
      <c r="H110" s="95">
        <v>85</v>
      </c>
      <c r="I110" s="98">
        <v>85</v>
      </c>
      <c r="J110" s="95"/>
      <c r="K110" s="95">
        <v>20</v>
      </c>
      <c r="L110" s="95"/>
      <c r="M110" s="95"/>
      <c r="N110" s="96" t="s">
        <v>524</v>
      </c>
    </row>
    <row r="111" spans="1:14" ht="30">
      <c r="A111" s="127"/>
      <c r="B111" s="125"/>
      <c r="C111" s="100" t="s">
        <v>1421</v>
      </c>
      <c r="D111" s="101" t="s">
        <v>925</v>
      </c>
      <c r="E111" s="113" t="s">
        <v>1432</v>
      </c>
      <c r="F111" s="3" t="s">
        <v>1155</v>
      </c>
      <c r="G111" s="106" t="s">
        <v>1431</v>
      </c>
      <c r="H111" s="111">
        <v>16729</v>
      </c>
      <c r="I111" s="111">
        <v>1273</v>
      </c>
      <c r="J111" s="111">
        <v>9474</v>
      </c>
      <c r="K111" s="111">
        <v>31614.7</v>
      </c>
      <c r="L111" s="111">
        <v>47970.1</v>
      </c>
      <c r="M111" s="111">
        <v>59661.9</v>
      </c>
      <c r="N111" s="96" t="s">
        <v>845</v>
      </c>
    </row>
    <row r="112" spans="1:14" ht="55.5" customHeight="1">
      <c r="A112" s="127"/>
      <c r="B112" s="125"/>
      <c r="C112" s="100" t="s">
        <v>1422</v>
      </c>
      <c r="D112" s="101" t="s">
        <v>1053</v>
      </c>
      <c r="E112" s="5" t="s">
        <v>16</v>
      </c>
      <c r="F112" s="106" t="s">
        <v>1155</v>
      </c>
      <c r="G112" s="106" t="s">
        <v>731</v>
      </c>
      <c r="H112" s="111">
        <v>300</v>
      </c>
      <c r="I112" s="111">
        <v>283.3</v>
      </c>
      <c r="J112" s="111">
        <v>179.3</v>
      </c>
      <c r="K112" s="111">
        <v>218.4</v>
      </c>
      <c r="L112" s="111">
        <v>80</v>
      </c>
      <c r="M112" s="111">
        <v>80</v>
      </c>
      <c r="N112" s="113" t="s">
        <v>760</v>
      </c>
    </row>
    <row r="113" spans="1:256" s="28" customFormat="1" ht="87" customHeight="1">
      <c r="A113" s="127"/>
      <c r="B113" s="125"/>
      <c r="C113" s="100" t="s">
        <v>759</v>
      </c>
      <c r="D113" s="101" t="s">
        <v>721</v>
      </c>
      <c r="E113" s="1" t="s">
        <v>483</v>
      </c>
      <c r="F113" s="3" t="s">
        <v>1155</v>
      </c>
      <c r="G113" s="106" t="s">
        <v>484</v>
      </c>
      <c r="H113" s="95">
        <v>34495.1</v>
      </c>
      <c r="I113" s="98">
        <v>31250.8</v>
      </c>
      <c r="J113" s="95">
        <v>9101.9</v>
      </c>
      <c r="K113" s="95">
        <v>1000</v>
      </c>
      <c r="L113" s="95"/>
      <c r="M113" s="95"/>
      <c r="N113" s="96" t="s">
        <v>929</v>
      </c>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c r="FM113" s="21"/>
      <c r="FN113" s="21"/>
      <c r="FO113" s="21"/>
      <c r="FP113" s="21"/>
      <c r="FQ113" s="21"/>
      <c r="FR113" s="21"/>
      <c r="FS113" s="21"/>
      <c r="FT113" s="21"/>
      <c r="FU113" s="21"/>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c r="HE113" s="21"/>
      <c r="HF113" s="21"/>
      <c r="HG113" s="21"/>
      <c r="HH113" s="21"/>
      <c r="HI113" s="21"/>
      <c r="HJ113" s="21"/>
      <c r="HK113" s="21"/>
      <c r="HL113" s="21"/>
      <c r="HM113" s="21"/>
      <c r="HN113" s="21"/>
      <c r="HO113" s="21"/>
      <c r="HP113" s="21"/>
      <c r="HQ113" s="21"/>
      <c r="HR113" s="21"/>
      <c r="HS113" s="21"/>
      <c r="HT113" s="21"/>
      <c r="HU113" s="21"/>
      <c r="HV113" s="21"/>
      <c r="HW113" s="21"/>
      <c r="HX113" s="21"/>
      <c r="HY113" s="21"/>
      <c r="HZ113" s="21"/>
      <c r="IA113" s="21"/>
      <c r="IB113" s="21"/>
      <c r="IC113" s="21"/>
      <c r="ID113" s="21"/>
      <c r="IE113" s="21"/>
      <c r="IF113" s="21"/>
      <c r="IG113" s="21"/>
      <c r="IH113" s="21"/>
      <c r="II113" s="21"/>
      <c r="IJ113" s="21"/>
      <c r="IK113" s="21"/>
      <c r="IL113" s="21"/>
      <c r="IM113" s="21"/>
      <c r="IN113" s="21"/>
      <c r="IO113" s="21"/>
      <c r="IP113" s="21"/>
      <c r="IQ113" s="21"/>
      <c r="IR113" s="21"/>
      <c r="IS113" s="21"/>
      <c r="IT113" s="21"/>
      <c r="IU113" s="21"/>
      <c r="IV113" s="21"/>
    </row>
    <row r="114" spans="1:256" s="29" customFormat="1" ht="45">
      <c r="A114" s="175" t="s">
        <v>1310</v>
      </c>
      <c r="B114" s="125" t="s">
        <v>1367</v>
      </c>
      <c r="C114" s="126" t="s">
        <v>1077</v>
      </c>
      <c r="D114" s="142" t="s">
        <v>722</v>
      </c>
      <c r="E114" s="6" t="s">
        <v>487</v>
      </c>
      <c r="F114" s="100" t="s">
        <v>485</v>
      </c>
      <c r="G114" s="100" t="s">
        <v>486</v>
      </c>
      <c r="H114" s="136">
        <v>13899.9</v>
      </c>
      <c r="I114" s="143">
        <v>13514.9</v>
      </c>
      <c r="J114" s="136">
        <v>19334</v>
      </c>
      <c r="K114" s="136">
        <v>65734.2</v>
      </c>
      <c r="L114" s="136"/>
      <c r="M114" s="136"/>
      <c r="N114" s="137" t="s">
        <v>700</v>
      </c>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21"/>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c r="HE114" s="21"/>
      <c r="HF114" s="21"/>
      <c r="HG114" s="21"/>
      <c r="HH114" s="21"/>
      <c r="HI114" s="21"/>
      <c r="HJ114" s="21"/>
      <c r="HK114" s="21"/>
      <c r="HL114" s="21"/>
      <c r="HM114" s="21"/>
      <c r="HN114" s="21"/>
      <c r="HO114" s="21"/>
      <c r="HP114" s="21"/>
      <c r="HQ114" s="21"/>
      <c r="HR114" s="21"/>
      <c r="HS114" s="21"/>
      <c r="HT114" s="21"/>
      <c r="HU114" s="21"/>
      <c r="HV114" s="21"/>
      <c r="HW114" s="21"/>
      <c r="HX114" s="21"/>
      <c r="HY114" s="21"/>
      <c r="HZ114" s="21"/>
      <c r="IA114" s="21"/>
      <c r="IB114" s="21"/>
      <c r="IC114" s="21"/>
      <c r="ID114" s="21"/>
      <c r="IE114" s="21"/>
      <c r="IF114" s="21"/>
      <c r="IG114" s="21"/>
      <c r="IH114" s="21"/>
      <c r="II114" s="21"/>
      <c r="IJ114" s="21"/>
      <c r="IK114" s="21"/>
      <c r="IL114" s="21"/>
      <c r="IM114" s="21"/>
      <c r="IN114" s="21"/>
      <c r="IO114" s="21"/>
      <c r="IP114" s="21"/>
      <c r="IQ114" s="21"/>
      <c r="IR114" s="21"/>
      <c r="IS114" s="21"/>
      <c r="IT114" s="21"/>
      <c r="IU114" s="21"/>
      <c r="IV114" s="21"/>
    </row>
    <row r="115" spans="1:14" ht="81" customHeight="1">
      <c r="A115" s="175"/>
      <c r="B115" s="125"/>
      <c r="C115" s="126"/>
      <c r="D115" s="142"/>
      <c r="E115" s="37" t="s">
        <v>483</v>
      </c>
      <c r="F115" s="3" t="s">
        <v>1155</v>
      </c>
      <c r="G115" s="106" t="s">
        <v>484</v>
      </c>
      <c r="H115" s="136"/>
      <c r="I115" s="143"/>
      <c r="J115" s="136"/>
      <c r="K115" s="136"/>
      <c r="L115" s="136"/>
      <c r="M115" s="136"/>
      <c r="N115" s="137"/>
    </row>
    <row r="116" spans="1:14" ht="67.5" customHeight="1">
      <c r="A116" s="175"/>
      <c r="B116" s="125"/>
      <c r="C116" s="126"/>
      <c r="D116" s="142"/>
      <c r="E116" s="113" t="s">
        <v>396</v>
      </c>
      <c r="F116" s="3" t="s">
        <v>1155</v>
      </c>
      <c r="G116" s="106" t="s">
        <v>697</v>
      </c>
      <c r="H116" s="136"/>
      <c r="I116" s="143"/>
      <c r="J116" s="136"/>
      <c r="K116" s="136"/>
      <c r="L116" s="136"/>
      <c r="M116" s="136"/>
      <c r="N116" s="137"/>
    </row>
    <row r="117" spans="1:14" ht="66" customHeight="1">
      <c r="A117" s="175"/>
      <c r="B117" s="125"/>
      <c r="C117" s="126"/>
      <c r="D117" s="142"/>
      <c r="E117" s="113" t="s">
        <v>397</v>
      </c>
      <c r="F117" s="3" t="s">
        <v>1155</v>
      </c>
      <c r="G117" s="106" t="s">
        <v>698</v>
      </c>
      <c r="H117" s="136"/>
      <c r="I117" s="143"/>
      <c r="J117" s="136"/>
      <c r="K117" s="136"/>
      <c r="L117" s="136"/>
      <c r="M117" s="136"/>
      <c r="N117" s="137"/>
    </row>
    <row r="118" spans="1:14" ht="45">
      <c r="A118" s="175" t="s">
        <v>1311</v>
      </c>
      <c r="B118" s="149" t="s">
        <v>1324</v>
      </c>
      <c r="C118" s="166" t="s">
        <v>1078</v>
      </c>
      <c r="D118" s="126" t="s">
        <v>38</v>
      </c>
      <c r="E118" s="6" t="s">
        <v>492</v>
      </c>
      <c r="F118" s="100" t="s">
        <v>493</v>
      </c>
      <c r="G118" s="14" t="s">
        <v>495</v>
      </c>
      <c r="H118" s="136">
        <f aca="true" t="shared" si="7" ref="H118:M118">SUM(H121:H127)</f>
        <v>689812</v>
      </c>
      <c r="I118" s="136">
        <f t="shared" si="7"/>
        <v>679957.8</v>
      </c>
      <c r="J118" s="136">
        <f t="shared" si="7"/>
        <v>1256144.4999999998</v>
      </c>
      <c r="K118" s="136">
        <f t="shared" si="7"/>
        <v>353917.4</v>
      </c>
      <c r="L118" s="136">
        <f t="shared" si="7"/>
        <v>310160</v>
      </c>
      <c r="M118" s="136">
        <f t="shared" si="7"/>
        <v>310160</v>
      </c>
      <c r="N118" s="137"/>
    </row>
    <row r="119" spans="1:14" ht="52.5" customHeight="1">
      <c r="A119" s="175"/>
      <c r="B119" s="149"/>
      <c r="C119" s="166"/>
      <c r="D119" s="126"/>
      <c r="E119" s="6" t="s">
        <v>497</v>
      </c>
      <c r="F119" s="100" t="s">
        <v>494</v>
      </c>
      <c r="G119" s="14" t="s">
        <v>496</v>
      </c>
      <c r="H119" s="136"/>
      <c r="I119" s="136"/>
      <c r="J119" s="136"/>
      <c r="K119" s="136"/>
      <c r="L119" s="136"/>
      <c r="M119" s="136"/>
      <c r="N119" s="137"/>
    </row>
    <row r="120" spans="1:14" ht="15">
      <c r="A120" s="175"/>
      <c r="B120" s="149"/>
      <c r="C120" s="166"/>
      <c r="D120" s="126"/>
      <c r="E120" s="6" t="s">
        <v>1097</v>
      </c>
      <c r="F120" s="100"/>
      <c r="G120" s="100"/>
      <c r="H120" s="95"/>
      <c r="I120" s="98"/>
      <c r="J120" s="95"/>
      <c r="K120" s="95"/>
      <c r="L120" s="95"/>
      <c r="M120" s="95"/>
      <c r="N120" s="96"/>
    </row>
    <row r="121" spans="1:14" ht="60" customHeight="1">
      <c r="A121" s="175"/>
      <c r="B121" s="149"/>
      <c r="C121" s="108" t="s">
        <v>989</v>
      </c>
      <c r="D121" s="7">
        <v>113</v>
      </c>
      <c r="E121" s="113" t="s">
        <v>100</v>
      </c>
      <c r="F121" s="106" t="s">
        <v>1155</v>
      </c>
      <c r="G121" s="106" t="s">
        <v>731</v>
      </c>
      <c r="H121" s="95"/>
      <c r="I121" s="98"/>
      <c r="J121" s="95">
        <f>220.7+109.8</f>
        <v>330.5</v>
      </c>
      <c r="K121" s="95">
        <v>160</v>
      </c>
      <c r="L121" s="95">
        <v>160</v>
      </c>
      <c r="M121" s="95">
        <v>160</v>
      </c>
      <c r="N121" s="113" t="s">
        <v>761</v>
      </c>
    </row>
    <row r="122" spans="1:14" ht="85.5" customHeight="1">
      <c r="A122" s="175"/>
      <c r="B122" s="149"/>
      <c r="C122" s="168" t="s">
        <v>990</v>
      </c>
      <c r="D122" s="128" t="s">
        <v>723</v>
      </c>
      <c r="E122" s="1" t="s">
        <v>483</v>
      </c>
      <c r="F122" s="3" t="s">
        <v>1155</v>
      </c>
      <c r="G122" s="106" t="s">
        <v>484</v>
      </c>
      <c r="H122" s="136">
        <f>354724.3+335087.7</f>
        <v>689812</v>
      </c>
      <c r="I122" s="143">
        <f>354724.3+325233.5</f>
        <v>679957.8</v>
      </c>
      <c r="J122" s="136">
        <f>852291.2+188120.5+60100.4+1110+83439.4+70752.5</f>
        <v>1255813.9999999998</v>
      </c>
      <c r="K122" s="136">
        <f>43557.4+218614.2+91385.8+200</f>
        <v>353757.4</v>
      </c>
      <c r="L122" s="208">
        <f>218614.2+91385.8</f>
        <v>310000</v>
      </c>
      <c r="M122" s="208">
        <f>218614.2+91385.8</f>
        <v>310000</v>
      </c>
      <c r="N122" s="198" t="s">
        <v>7</v>
      </c>
    </row>
    <row r="123" spans="1:14" ht="37.5" customHeight="1">
      <c r="A123" s="175"/>
      <c r="B123" s="149"/>
      <c r="C123" s="169"/>
      <c r="D123" s="167"/>
      <c r="E123" s="5" t="s">
        <v>766</v>
      </c>
      <c r="F123" s="106" t="s">
        <v>762</v>
      </c>
      <c r="G123" s="106" t="s">
        <v>763</v>
      </c>
      <c r="H123" s="136"/>
      <c r="I123" s="143"/>
      <c r="J123" s="136"/>
      <c r="K123" s="136"/>
      <c r="L123" s="208"/>
      <c r="M123" s="208"/>
      <c r="N123" s="199"/>
    </row>
    <row r="124" spans="1:14" ht="72" customHeight="1">
      <c r="A124" s="175"/>
      <c r="B124" s="149"/>
      <c r="C124" s="169"/>
      <c r="D124" s="167"/>
      <c r="E124" s="113" t="s">
        <v>765</v>
      </c>
      <c r="F124" s="106" t="s">
        <v>1155</v>
      </c>
      <c r="G124" s="24" t="s">
        <v>764</v>
      </c>
      <c r="H124" s="136"/>
      <c r="I124" s="143"/>
      <c r="J124" s="136"/>
      <c r="K124" s="136"/>
      <c r="L124" s="208"/>
      <c r="M124" s="208"/>
      <c r="N124" s="199"/>
    </row>
    <row r="125" spans="1:14" ht="97.5" customHeight="1">
      <c r="A125" s="175"/>
      <c r="B125" s="149"/>
      <c r="C125" s="169"/>
      <c r="D125" s="167"/>
      <c r="E125" s="6" t="s">
        <v>446</v>
      </c>
      <c r="F125" s="3" t="s">
        <v>1155</v>
      </c>
      <c r="G125" s="106" t="s">
        <v>447</v>
      </c>
      <c r="H125" s="136"/>
      <c r="I125" s="143"/>
      <c r="J125" s="136"/>
      <c r="K125" s="136"/>
      <c r="L125" s="208"/>
      <c r="M125" s="208"/>
      <c r="N125" s="199"/>
    </row>
    <row r="126" spans="1:14" ht="30">
      <c r="A126" s="175"/>
      <c r="B126" s="149"/>
      <c r="C126" s="169"/>
      <c r="D126" s="167"/>
      <c r="E126" s="113" t="s">
        <v>441</v>
      </c>
      <c r="F126" s="3" t="s">
        <v>1155</v>
      </c>
      <c r="G126" s="106" t="s">
        <v>444</v>
      </c>
      <c r="H126" s="136"/>
      <c r="I126" s="143"/>
      <c r="J126" s="136"/>
      <c r="K126" s="136"/>
      <c r="L126" s="208"/>
      <c r="M126" s="208"/>
      <c r="N126" s="199"/>
    </row>
    <row r="127" spans="1:14" ht="52.5" customHeight="1">
      <c r="A127" s="175"/>
      <c r="B127" s="149"/>
      <c r="C127" s="170"/>
      <c r="D127" s="129"/>
      <c r="E127" s="113" t="s">
        <v>99</v>
      </c>
      <c r="F127" s="106" t="s">
        <v>1155</v>
      </c>
      <c r="G127" s="24" t="s">
        <v>767</v>
      </c>
      <c r="H127" s="136"/>
      <c r="I127" s="143"/>
      <c r="J127" s="136"/>
      <c r="K127" s="136"/>
      <c r="L127" s="208"/>
      <c r="M127" s="208"/>
      <c r="N127" s="200"/>
    </row>
    <row r="128" spans="1:14" ht="45">
      <c r="A128" s="127" t="s">
        <v>1312</v>
      </c>
      <c r="B128" s="179" t="s">
        <v>679</v>
      </c>
      <c r="C128" s="166" t="s">
        <v>1079</v>
      </c>
      <c r="D128" s="152" t="s">
        <v>39</v>
      </c>
      <c r="E128" s="6" t="s">
        <v>864</v>
      </c>
      <c r="F128" s="100" t="s">
        <v>866</v>
      </c>
      <c r="G128" s="100" t="s">
        <v>1411</v>
      </c>
      <c r="H128" s="136">
        <f aca="true" t="shared" si="8" ref="H128:M128">SUM(H131:H138)</f>
        <v>13268.4</v>
      </c>
      <c r="I128" s="143">
        <f t="shared" si="8"/>
        <v>9457.7</v>
      </c>
      <c r="J128" s="136">
        <f t="shared" si="8"/>
        <v>11589.1</v>
      </c>
      <c r="K128" s="136">
        <f t="shared" si="8"/>
        <v>14858.4</v>
      </c>
      <c r="L128" s="136">
        <f t="shared" si="8"/>
        <v>14858.4</v>
      </c>
      <c r="M128" s="136">
        <f t="shared" si="8"/>
        <v>14858.4</v>
      </c>
      <c r="N128" s="137"/>
    </row>
    <row r="129" spans="1:14" ht="60">
      <c r="A129" s="127"/>
      <c r="B129" s="179"/>
      <c r="C129" s="166"/>
      <c r="D129" s="157"/>
      <c r="E129" s="6" t="s">
        <v>865</v>
      </c>
      <c r="F129" s="100" t="s">
        <v>867</v>
      </c>
      <c r="G129" s="100" t="s">
        <v>868</v>
      </c>
      <c r="H129" s="136"/>
      <c r="I129" s="143"/>
      <c r="J129" s="136"/>
      <c r="K129" s="136"/>
      <c r="L129" s="136"/>
      <c r="M129" s="136"/>
      <c r="N129" s="137"/>
    </row>
    <row r="130" spans="1:14" ht="15">
      <c r="A130" s="127"/>
      <c r="B130" s="179"/>
      <c r="C130" s="166"/>
      <c r="D130" s="153"/>
      <c r="E130" s="6" t="s">
        <v>1097</v>
      </c>
      <c r="F130" s="100"/>
      <c r="G130" s="100"/>
      <c r="H130" s="95"/>
      <c r="I130" s="95"/>
      <c r="J130" s="95"/>
      <c r="K130" s="95"/>
      <c r="L130" s="95"/>
      <c r="M130" s="95"/>
      <c r="N130" s="96"/>
    </row>
    <row r="131" spans="1:14" ht="52.5" customHeight="1">
      <c r="A131" s="127"/>
      <c r="B131" s="179"/>
      <c r="C131" s="166" t="s">
        <v>1441</v>
      </c>
      <c r="D131" s="142" t="s">
        <v>1445</v>
      </c>
      <c r="E131" s="6" t="s">
        <v>994</v>
      </c>
      <c r="F131" s="100" t="s">
        <v>1155</v>
      </c>
      <c r="G131" s="100" t="s">
        <v>995</v>
      </c>
      <c r="H131" s="136">
        <v>2123.9</v>
      </c>
      <c r="I131" s="143">
        <v>2123.8</v>
      </c>
      <c r="J131" s="136"/>
      <c r="K131" s="136"/>
      <c r="L131" s="136"/>
      <c r="M131" s="136"/>
      <c r="N131" s="137" t="s">
        <v>142</v>
      </c>
    </row>
    <row r="132" spans="1:256" s="30" customFormat="1" ht="60">
      <c r="A132" s="127"/>
      <c r="B132" s="179"/>
      <c r="C132" s="166"/>
      <c r="D132" s="142"/>
      <c r="E132" s="6" t="s">
        <v>893</v>
      </c>
      <c r="F132" s="100" t="s">
        <v>1155</v>
      </c>
      <c r="G132" s="100" t="s">
        <v>988</v>
      </c>
      <c r="H132" s="136"/>
      <c r="I132" s="143"/>
      <c r="J132" s="136"/>
      <c r="K132" s="136"/>
      <c r="L132" s="136"/>
      <c r="M132" s="136"/>
      <c r="N132" s="137"/>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c r="IM132" s="21"/>
      <c r="IN132" s="21"/>
      <c r="IO132" s="21"/>
      <c r="IP132" s="21"/>
      <c r="IQ132" s="21"/>
      <c r="IR132" s="21"/>
      <c r="IS132" s="21"/>
      <c r="IT132" s="21"/>
      <c r="IU132" s="21"/>
      <c r="IV132" s="21"/>
    </row>
    <row r="133" spans="1:14" ht="64.5" customHeight="1">
      <c r="A133" s="127"/>
      <c r="B133" s="179"/>
      <c r="C133" s="108" t="s">
        <v>1442</v>
      </c>
      <c r="D133" s="101" t="s">
        <v>1445</v>
      </c>
      <c r="E133" s="113" t="s">
        <v>890</v>
      </c>
      <c r="F133" s="106" t="s">
        <v>1155</v>
      </c>
      <c r="G133" s="106" t="s">
        <v>891</v>
      </c>
      <c r="H133" s="95">
        <v>2291.4</v>
      </c>
      <c r="I133" s="98">
        <v>1206.5</v>
      </c>
      <c r="J133" s="95">
        <v>4313.3</v>
      </c>
      <c r="K133" s="95">
        <v>5538.8</v>
      </c>
      <c r="L133" s="95">
        <v>5538.8</v>
      </c>
      <c r="M133" s="95">
        <v>5538.8</v>
      </c>
      <c r="N133" s="96" t="s">
        <v>930</v>
      </c>
    </row>
    <row r="134" spans="1:14" ht="63.75" customHeight="1">
      <c r="A134" s="127"/>
      <c r="B134" s="179"/>
      <c r="C134" s="108" t="s">
        <v>1443</v>
      </c>
      <c r="D134" s="101" t="s">
        <v>1445</v>
      </c>
      <c r="E134" s="5" t="s">
        <v>992</v>
      </c>
      <c r="F134" s="106" t="s">
        <v>1155</v>
      </c>
      <c r="G134" s="106" t="s">
        <v>993</v>
      </c>
      <c r="H134" s="95">
        <v>3834.2</v>
      </c>
      <c r="I134" s="98">
        <v>3515.9</v>
      </c>
      <c r="J134" s="95">
        <v>3246.5</v>
      </c>
      <c r="K134" s="95">
        <v>3342</v>
      </c>
      <c r="L134" s="95">
        <v>3342</v>
      </c>
      <c r="M134" s="95">
        <v>3342</v>
      </c>
      <c r="N134" s="96" t="s">
        <v>991</v>
      </c>
    </row>
    <row r="135" spans="1:14" ht="45">
      <c r="A135" s="127"/>
      <c r="B135" s="179"/>
      <c r="C135" s="166" t="s">
        <v>1444</v>
      </c>
      <c r="D135" s="142" t="s">
        <v>1446</v>
      </c>
      <c r="E135" s="2" t="s">
        <v>973</v>
      </c>
      <c r="F135" s="106" t="s">
        <v>1449</v>
      </c>
      <c r="G135" s="4" t="s">
        <v>972</v>
      </c>
      <c r="H135" s="136">
        <f>1112.8+1123.4+779.4</f>
        <v>3015.6</v>
      </c>
      <c r="I135" s="143">
        <f>569.1+664.3+385.4</f>
        <v>1618.8000000000002</v>
      </c>
      <c r="J135" s="136">
        <f>1562.5+1132.3+1334.5</f>
        <v>4029.3</v>
      </c>
      <c r="K135" s="136">
        <f>3134.7+2842.9</f>
        <v>5977.6</v>
      </c>
      <c r="L135" s="136">
        <f>3134.7+2842.9</f>
        <v>5977.6</v>
      </c>
      <c r="M135" s="136">
        <f>3134.7+2842.9</f>
        <v>5977.6</v>
      </c>
      <c r="N135" s="137" t="s">
        <v>1091</v>
      </c>
    </row>
    <row r="136" spans="1:14" ht="51" customHeight="1">
      <c r="A136" s="127"/>
      <c r="B136" s="179"/>
      <c r="C136" s="166"/>
      <c r="D136" s="142"/>
      <c r="E136" s="2" t="s">
        <v>1196</v>
      </c>
      <c r="F136" s="106" t="s">
        <v>1449</v>
      </c>
      <c r="G136" s="106" t="s">
        <v>1197</v>
      </c>
      <c r="H136" s="136"/>
      <c r="I136" s="143"/>
      <c r="J136" s="136"/>
      <c r="K136" s="136"/>
      <c r="L136" s="136"/>
      <c r="M136" s="136"/>
      <c r="N136" s="137"/>
    </row>
    <row r="137" spans="1:14" ht="30">
      <c r="A137" s="127"/>
      <c r="B137" s="179"/>
      <c r="C137" s="166"/>
      <c r="D137" s="142"/>
      <c r="E137" s="6" t="s">
        <v>974</v>
      </c>
      <c r="F137" s="100" t="s">
        <v>1155</v>
      </c>
      <c r="G137" s="100" t="s">
        <v>1256</v>
      </c>
      <c r="H137" s="136"/>
      <c r="I137" s="143"/>
      <c r="J137" s="136"/>
      <c r="K137" s="136"/>
      <c r="L137" s="136"/>
      <c r="M137" s="136"/>
      <c r="N137" s="137"/>
    </row>
    <row r="138" spans="1:256" s="26" customFormat="1" ht="87" customHeight="1">
      <c r="A138" s="127"/>
      <c r="B138" s="179"/>
      <c r="C138" s="108" t="s">
        <v>409</v>
      </c>
      <c r="D138" s="101" t="s">
        <v>1445</v>
      </c>
      <c r="E138" s="1" t="s">
        <v>483</v>
      </c>
      <c r="F138" s="3" t="s">
        <v>1155</v>
      </c>
      <c r="G138" s="106" t="s">
        <v>484</v>
      </c>
      <c r="H138" s="95">
        <v>2003.3</v>
      </c>
      <c r="I138" s="98">
        <v>992.7</v>
      </c>
      <c r="J138" s="95"/>
      <c r="K138" s="95"/>
      <c r="L138" s="95"/>
      <c r="M138" s="95"/>
      <c r="N138" s="96" t="s">
        <v>931</v>
      </c>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c r="GY138" s="21"/>
      <c r="GZ138" s="21"/>
      <c r="HA138" s="21"/>
      <c r="HB138" s="21"/>
      <c r="HC138" s="21"/>
      <c r="HD138" s="21"/>
      <c r="HE138" s="21"/>
      <c r="HF138" s="21"/>
      <c r="HG138" s="21"/>
      <c r="HH138" s="21"/>
      <c r="HI138" s="21"/>
      <c r="HJ138" s="21"/>
      <c r="HK138" s="21"/>
      <c r="HL138" s="21"/>
      <c r="HM138" s="21"/>
      <c r="HN138" s="21"/>
      <c r="HO138" s="21"/>
      <c r="HP138" s="21"/>
      <c r="HQ138" s="21"/>
      <c r="HR138" s="21"/>
      <c r="HS138" s="21"/>
      <c r="HT138" s="21"/>
      <c r="HU138" s="21"/>
      <c r="HV138" s="21"/>
      <c r="HW138" s="21"/>
      <c r="HX138" s="21"/>
      <c r="HY138" s="21"/>
      <c r="HZ138" s="21"/>
      <c r="IA138" s="21"/>
      <c r="IB138" s="21"/>
      <c r="IC138" s="21"/>
      <c r="ID138" s="21"/>
      <c r="IE138" s="21"/>
      <c r="IF138" s="21"/>
      <c r="IG138" s="21"/>
      <c r="IH138" s="21"/>
      <c r="II138" s="21"/>
      <c r="IJ138" s="21"/>
      <c r="IK138" s="21"/>
      <c r="IL138" s="21"/>
      <c r="IM138" s="21"/>
      <c r="IN138" s="21"/>
      <c r="IO138" s="21"/>
      <c r="IP138" s="21"/>
      <c r="IQ138" s="21"/>
      <c r="IR138" s="21"/>
      <c r="IS138" s="21"/>
      <c r="IT138" s="21"/>
      <c r="IU138" s="21"/>
      <c r="IV138" s="21"/>
    </row>
    <row r="139" spans="1:14" ht="45">
      <c r="A139" s="180" t="s">
        <v>1313</v>
      </c>
      <c r="B139" s="125" t="s">
        <v>1368</v>
      </c>
      <c r="C139" s="152" t="s">
        <v>1080</v>
      </c>
      <c r="D139" s="128" t="s">
        <v>324</v>
      </c>
      <c r="E139" s="6" t="s">
        <v>979</v>
      </c>
      <c r="F139" s="100" t="s">
        <v>980</v>
      </c>
      <c r="G139" s="100" t="s">
        <v>1403</v>
      </c>
      <c r="H139" s="145">
        <v>1500</v>
      </c>
      <c r="I139" s="145">
        <v>1500</v>
      </c>
      <c r="J139" s="145">
        <v>1500</v>
      </c>
      <c r="K139" s="145"/>
      <c r="L139" s="145"/>
      <c r="M139" s="145"/>
      <c r="N139" s="198" t="s">
        <v>1198</v>
      </c>
    </row>
    <row r="140" spans="1:14" ht="100.5" customHeight="1">
      <c r="A140" s="180"/>
      <c r="B140" s="125"/>
      <c r="C140" s="157"/>
      <c r="D140" s="167"/>
      <c r="E140" s="113" t="s">
        <v>512</v>
      </c>
      <c r="F140" s="106" t="s">
        <v>1155</v>
      </c>
      <c r="G140" s="106" t="s">
        <v>513</v>
      </c>
      <c r="H140" s="220"/>
      <c r="I140" s="220"/>
      <c r="J140" s="220"/>
      <c r="K140" s="220"/>
      <c r="L140" s="220"/>
      <c r="M140" s="220"/>
      <c r="N140" s="199"/>
    </row>
    <row r="141" spans="1:14" ht="49.5" customHeight="1">
      <c r="A141" s="180"/>
      <c r="B141" s="125"/>
      <c r="C141" s="153"/>
      <c r="D141" s="129"/>
      <c r="E141" s="5" t="s">
        <v>1448</v>
      </c>
      <c r="F141" s="106" t="s">
        <v>1449</v>
      </c>
      <c r="G141" s="106" t="s">
        <v>1447</v>
      </c>
      <c r="H141" s="146"/>
      <c r="I141" s="146"/>
      <c r="J141" s="146"/>
      <c r="K141" s="146"/>
      <c r="L141" s="146"/>
      <c r="M141" s="146"/>
      <c r="N141" s="200"/>
    </row>
    <row r="142" spans="1:14" ht="45">
      <c r="A142" s="127" t="s">
        <v>1314</v>
      </c>
      <c r="B142" s="125" t="s">
        <v>880</v>
      </c>
      <c r="C142" s="152" t="s">
        <v>1081</v>
      </c>
      <c r="D142" s="128" t="s">
        <v>1460</v>
      </c>
      <c r="E142" s="6" t="s">
        <v>1423</v>
      </c>
      <c r="F142" s="100" t="s">
        <v>1424</v>
      </c>
      <c r="G142" s="107" t="s">
        <v>1403</v>
      </c>
      <c r="H142" s="145"/>
      <c r="I142" s="145"/>
      <c r="J142" s="145"/>
      <c r="K142" s="147">
        <v>12676</v>
      </c>
      <c r="L142" s="147">
        <v>1491.7</v>
      </c>
      <c r="M142" s="147">
        <v>2171.8</v>
      </c>
      <c r="N142" s="198" t="s">
        <v>325</v>
      </c>
    </row>
    <row r="143" spans="1:14" ht="69" customHeight="1">
      <c r="A143" s="127"/>
      <c r="B143" s="125"/>
      <c r="C143" s="153"/>
      <c r="D143" s="129"/>
      <c r="E143" s="90" t="s">
        <v>326</v>
      </c>
      <c r="F143" s="91" t="s">
        <v>1155</v>
      </c>
      <c r="G143" s="91" t="s">
        <v>327</v>
      </c>
      <c r="H143" s="146"/>
      <c r="I143" s="146"/>
      <c r="J143" s="146"/>
      <c r="K143" s="148"/>
      <c r="L143" s="148"/>
      <c r="M143" s="148"/>
      <c r="N143" s="200"/>
    </row>
    <row r="144" spans="1:14" ht="90" customHeight="1">
      <c r="A144" s="127" t="s">
        <v>1315</v>
      </c>
      <c r="B144" s="125" t="s">
        <v>881</v>
      </c>
      <c r="C144" s="126" t="s">
        <v>1082</v>
      </c>
      <c r="D144" s="128" t="s">
        <v>40</v>
      </c>
      <c r="E144" s="6" t="s">
        <v>1014</v>
      </c>
      <c r="F144" s="100" t="s">
        <v>1017</v>
      </c>
      <c r="G144" s="100" t="s">
        <v>1018</v>
      </c>
      <c r="H144" s="136">
        <f aca="true" t="shared" si="9" ref="H144:M144">SUM(H147:H152)</f>
        <v>62417.799999999996</v>
      </c>
      <c r="I144" s="136">
        <f t="shared" si="9"/>
        <v>51815.1</v>
      </c>
      <c r="J144" s="136">
        <f t="shared" si="9"/>
        <v>57381</v>
      </c>
      <c r="K144" s="136">
        <f t="shared" si="9"/>
        <v>53957.5</v>
      </c>
      <c r="L144" s="136">
        <f t="shared" si="9"/>
        <v>49599.4</v>
      </c>
      <c r="M144" s="136">
        <f t="shared" si="9"/>
        <v>49819.9</v>
      </c>
      <c r="N144" s="137"/>
    </row>
    <row r="145" spans="1:14" ht="30">
      <c r="A145" s="127"/>
      <c r="B145" s="125"/>
      <c r="C145" s="126"/>
      <c r="D145" s="167"/>
      <c r="E145" s="6" t="s">
        <v>1015</v>
      </c>
      <c r="F145" s="100" t="s">
        <v>1232</v>
      </c>
      <c r="G145" s="100" t="s">
        <v>1016</v>
      </c>
      <c r="H145" s="136"/>
      <c r="I145" s="136"/>
      <c r="J145" s="136"/>
      <c r="K145" s="136"/>
      <c r="L145" s="136"/>
      <c r="M145" s="136"/>
      <c r="N145" s="137"/>
    </row>
    <row r="146" spans="1:14" ht="15">
      <c r="A146" s="127"/>
      <c r="B146" s="125"/>
      <c r="C146" s="126"/>
      <c r="D146" s="129"/>
      <c r="E146" s="6" t="s">
        <v>1097</v>
      </c>
      <c r="F146" s="100"/>
      <c r="G146" s="100"/>
      <c r="H146" s="95"/>
      <c r="I146" s="95"/>
      <c r="J146" s="95"/>
      <c r="K146" s="95"/>
      <c r="L146" s="95"/>
      <c r="M146" s="95"/>
      <c r="N146" s="96"/>
    </row>
    <row r="147" spans="1:14" ht="51" customHeight="1">
      <c r="A147" s="127"/>
      <c r="B147" s="125"/>
      <c r="C147" s="126" t="s">
        <v>1019</v>
      </c>
      <c r="D147" s="142" t="s">
        <v>882</v>
      </c>
      <c r="E147" s="6" t="s">
        <v>582</v>
      </c>
      <c r="F147" s="106" t="s">
        <v>1155</v>
      </c>
      <c r="G147" s="100" t="s">
        <v>583</v>
      </c>
      <c r="H147" s="136">
        <v>42133.4</v>
      </c>
      <c r="I147" s="143">
        <v>41607.1</v>
      </c>
      <c r="J147" s="136">
        <v>57124.1</v>
      </c>
      <c r="K147" s="136">
        <v>53957.5</v>
      </c>
      <c r="L147" s="136">
        <v>49349.4</v>
      </c>
      <c r="M147" s="136">
        <v>49569.9</v>
      </c>
      <c r="N147" s="137" t="s">
        <v>1199</v>
      </c>
    </row>
    <row r="148" spans="1:14" ht="45">
      <c r="A148" s="127"/>
      <c r="B148" s="125"/>
      <c r="C148" s="126"/>
      <c r="D148" s="187"/>
      <c r="E148" s="6" t="s">
        <v>951</v>
      </c>
      <c r="F148" s="106" t="s">
        <v>1155</v>
      </c>
      <c r="G148" s="100" t="s">
        <v>952</v>
      </c>
      <c r="H148" s="136"/>
      <c r="I148" s="143"/>
      <c r="J148" s="136"/>
      <c r="K148" s="136"/>
      <c r="L148" s="136"/>
      <c r="M148" s="136"/>
      <c r="N148" s="137"/>
    </row>
    <row r="149" spans="1:14" ht="80.25" customHeight="1">
      <c r="A149" s="127"/>
      <c r="B149" s="125"/>
      <c r="C149" s="100" t="s">
        <v>1020</v>
      </c>
      <c r="D149" s="101" t="s">
        <v>882</v>
      </c>
      <c r="E149" s="113" t="s">
        <v>1022</v>
      </c>
      <c r="F149" s="106" t="s">
        <v>1155</v>
      </c>
      <c r="G149" s="4" t="s">
        <v>1023</v>
      </c>
      <c r="H149" s="95">
        <v>756.2</v>
      </c>
      <c r="I149" s="98">
        <v>669.5</v>
      </c>
      <c r="J149" s="95">
        <v>256.9</v>
      </c>
      <c r="K149" s="95"/>
      <c r="L149" s="95"/>
      <c r="M149" s="95"/>
      <c r="N149" s="96" t="s">
        <v>1024</v>
      </c>
    </row>
    <row r="150" spans="1:14" ht="108.75" customHeight="1">
      <c r="A150" s="127"/>
      <c r="B150" s="125"/>
      <c r="C150" s="100" t="s">
        <v>1021</v>
      </c>
      <c r="D150" s="101" t="s">
        <v>882</v>
      </c>
      <c r="E150" s="113" t="s">
        <v>1233</v>
      </c>
      <c r="F150" s="3" t="s">
        <v>1155</v>
      </c>
      <c r="G150" s="106" t="s">
        <v>1234</v>
      </c>
      <c r="H150" s="111"/>
      <c r="I150" s="111"/>
      <c r="J150" s="111"/>
      <c r="K150" s="111"/>
      <c r="L150" s="111">
        <v>250</v>
      </c>
      <c r="M150" s="111">
        <v>250</v>
      </c>
      <c r="N150" s="96" t="s">
        <v>1235</v>
      </c>
    </row>
    <row r="151" spans="1:14" ht="78" customHeight="1">
      <c r="A151" s="127"/>
      <c r="B151" s="125"/>
      <c r="C151" s="100" t="s">
        <v>870</v>
      </c>
      <c r="D151" s="101" t="s">
        <v>511</v>
      </c>
      <c r="E151" s="1" t="s">
        <v>956</v>
      </c>
      <c r="F151" s="3" t="s">
        <v>1155</v>
      </c>
      <c r="G151" s="106" t="s">
        <v>472</v>
      </c>
      <c r="H151" s="95">
        <v>17895</v>
      </c>
      <c r="I151" s="98">
        <v>7905.3</v>
      </c>
      <c r="J151" s="95"/>
      <c r="K151" s="95"/>
      <c r="L151" s="95"/>
      <c r="M151" s="95"/>
      <c r="N151" s="96" t="s">
        <v>1425</v>
      </c>
    </row>
    <row r="152" spans="1:256" s="28" customFormat="1" ht="90">
      <c r="A152" s="127"/>
      <c r="B152" s="125"/>
      <c r="C152" s="100" t="s">
        <v>410</v>
      </c>
      <c r="D152" s="101" t="s">
        <v>1066</v>
      </c>
      <c r="E152" s="5" t="s">
        <v>1025</v>
      </c>
      <c r="F152" s="106" t="s">
        <v>1155</v>
      </c>
      <c r="G152" s="106" t="s">
        <v>1026</v>
      </c>
      <c r="H152" s="95">
        <f>1307.2+326</f>
        <v>1633.2</v>
      </c>
      <c r="I152" s="98">
        <f>1307.2+326</f>
        <v>1633.2</v>
      </c>
      <c r="J152" s="95"/>
      <c r="K152" s="95"/>
      <c r="L152" s="95"/>
      <c r="M152" s="95"/>
      <c r="N152" s="96" t="s">
        <v>505</v>
      </c>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c r="FP152" s="21"/>
      <c r="FQ152" s="21"/>
      <c r="FR152" s="21"/>
      <c r="FS152" s="21"/>
      <c r="FT152" s="21"/>
      <c r="FU152" s="21"/>
      <c r="FV152" s="21"/>
      <c r="FW152" s="21"/>
      <c r="FX152" s="21"/>
      <c r="FY152" s="21"/>
      <c r="FZ152" s="21"/>
      <c r="GA152" s="21"/>
      <c r="GB152" s="21"/>
      <c r="GC152" s="21"/>
      <c r="GD152" s="21"/>
      <c r="GE152" s="21"/>
      <c r="GF152" s="21"/>
      <c r="GG152" s="21"/>
      <c r="GH152" s="21"/>
      <c r="GI152" s="21"/>
      <c r="GJ152" s="21"/>
      <c r="GK152" s="21"/>
      <c r="GL152" s="21"/>
      <c r="GM152" s="21"/>
      <c r="GN152" s="21"/>
      <c r="GO152" s="21"/>
      <c r="GP152" s="21"/>
      <c r="GQ152" s="21"/>
      <c r="GR152" s="21"/>
      <c r="GS152" s="21"/>
      <c r="GT152" s="21"/>
      <c r="GU152" s="21"/>
      <c r="GV152" s="21"/>
      <c r="GW152" s="21"/>
      <c r="GX152" s="21"/>
      <c r="GY152" s="21"/>
      <c r="GZ152" s="21"/>
      <c r="HA152" s="21"/>
      <c r="HB152" s="21"/>
      <c r="HC152" s="21"/>
      <c r="HD152" s="21"/>
      <c r="HE152" s="21"/>
      <c r="HF152" s="21"/>
      <c r="HG152" s="21"/>
      <c r="HH152" s="21"/>
      <c r="HI152" s="21"/>
      <c r="HJ152" s="21"/>
      <c r="HK152" s="21"/>
      <c r="HL152" s="21"/>
      <c r="HM152" s="21"/>
      <c r="HN152" s="21"/>
      <c r="HO152" s="21"/>
      <c r="HP152" s="21"/>
      <c r="HQ152" s="21"/>
      <c r="HR152" s="21"/>
      <c r="HS152" s="21"/>
      <c r="HT152" s="21"/>
      <c r="HU152" s="21"/>
      <c r="HV152" s="21"/>
      <c r="HW152" s="21"/>
      <c r="HX152" s="21"/>
      <c r="HY152" s="21"/>
      <c r="HZ152" s="21"/>
      <c r="IA152" s="21"/>
      <c r="IB152" s="21"/>
      <c r="IC152" s="21"/>
      <c r="ID152" s="21"/>
      <c r="IE152" s="21"/>
      <c r="IF152" s="21"/>
      <c r="IG152" s="21"/>
      <c r="IH152" s="21"/>
      <c r="II152" s="21"/>
      <c r="IJ152" s="21"/>
      <c r="IK152" s="21"/>
      <c r="IL152" s="21"/>
      <c r="IM152" s="21"/>
      <c r="IN152" s="21"/>
      <c r="IO152" s="21"/>
      <c r="IP152" s="21"/>
      <c r="IQ152" s="21"/>
      <c r="IR152" s="21"/>
      <c r="IS152" s="21"/>
      <c r="IT152" s="21"/>
      <c r="IU152" s="21"/>
      <c r="IV152" s="21"/>
    </row>
    <row r="153" spans="1:256" s="29" customFormat="1" ht="45">
      <c r="A153" s="127" t="s">
        <v>1316</v>
      </c>
      <c r="B153" s="125" t="s">
        <v>883</v>
      </c>
      <c r="C153" s="126" t="s">
        <v>1083</v>
      </c>
      <c r="D153" s="142" t="s">
        <v>1086</v>
      </c>
      <c r="E153" s="6" t="s">
        <v>857</v>
      </c>
      <c r="F153" s="100" t="s">
        <v>858</v>
      </c>
      <c r="G153" s="100" t="s">
        <v>852</v>
      </c>
      <c r="H153" s="136">
        <f>16157.6-1187.5</f>
        <v>14970.1</v>
      </c>
      <c r="I153" s="143">
        <v>11802.7</v>
      </c>
      <c r="J153" s="136"/>
      <c r="K153" s="136"/>
      <c r="L153" s="136"/>
      <c r="M153" s="136"/>
      <c r="N153" s="137" t="s">
        <v>689</v>
      </c>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c r="FP153" s="21"/>
      <c r="FQ153" s="21"/>
      <c r="FR153" s="21"/>
      <c r="FS153" s="21"/>
      <c r="FT153" s="21"/>
      <c r="FU153" s="21"/>
      <c r="FV153" s="21"/>
      <c r="FW153" s="21"/>
      <c r="FX153" s="21"/>
      <c r="FY153" s="21"/>
      <c r="FZ153" s="21"/>
      <c r="GA153" s="21"/>
      <c r="GB153" s="21"/>
      <c r="GC153" s="21"/>
      <c r="GD153" s="21"/>
      <c r="GE153" s="21"/>
      <c r="GF153" s="21"/>
      <c r="GG153" s="21"/>
      <c r="GH153" s="21"/>
      <c r="GI153" s="21"/>
      <c r="GJ153" s="21"/>
      <c r="GK153" s="21"/>
      <c r="GL153" s="21"/>
      <c r="GM153" s="21"/>
      <c r="GN153" s="21"/>
      <c r="GO153" s="21"/>
      <c r="GP153" s="21"/>
      <c r="GQ153" s="21"/>
      <c r="GR153" s="21"/>
      <c r="GS153" s="21"/>
      <c r="GT153" s="21"/>
      <c r="GU153" s="21"/>
      <c r="GV153" s="21"/>
      <c r="GW153" s="21"/>
      <c r="GX153" s="21"/>
      <c r="GY153" s="21"/>
      <c r="GZ153" s="21"/>
      <c r="HA153" s="21"/>
      <c r="HB153" s="21"/>
      <c r="HC153" s="21"/>
      <c r="HD153" s="21"/>
      <c r="HE153" s="21"/>
      <c r="HF153" s="21"/>
      <c r="HG153" s="21"/>
      <c r="HH153" s="21"/>
      <c r="HI153" s="21"/>
      <c r="HJ153" s="21"/>
      <c r="HK153" s="21"/>
      <c r="HL153" s="21"/>
      <c r="HM153" s="21"/>
      <c r="HN153" s="21"/>
      <c r="HO153" s="21"/>
      <c r="HP153" s="21"/>
      <c r="HQ153" s="21"/>
      <c r="HR153" s="21"/>
      <c r="HS153" s="21"/>
      <c r="HT153" s="21"/>
      <c r="HU153" s="21"/>
      <c r="HV153" s="21"/>
      <c r="HW153" s="21"/>
      <c r="HX153" s="21"/>
      <c r="HY153" s="21"/>
      <c r="HZ153" s="21"/>
      <c r="IA153" s="21"/>
      <c r="IB153" s="21"/>
      <c r="IC153" s="21"/>
      <c r="ID153" s="21"/>
      <c r="IE153" s="21"/>
      <c r="IF153" s="21"/>
      <c r="IG153" s="21"/>
      <c r="IH153" s="21"/>
      <c r="II153" s="21"/>
      <c r="IJ153" s="21"/>
      <c r="IK153" s="21"/>
      <c r="IL153" s="21"/>
      <c r="IM153" s="21"/>
      <c r="IN153" s="21"/>
      <c r="IO153" s="21"/>
      <c r="IP153" s="21"/>
      <c r="IQ153" s="21"/>
      <c r="IR153" s="21"/>
      <c r="IS153" s="21"/>
      <c r="IT153" s="21"/>
      <c r="IU153" s="21"/>
      <c r="IV153" s="21"/>
    </row>
    <row r="154" spans="1:14" ht="30">
      <c r="A154" s="127"/>
      <c r="B154" s="125"/>
      <c r="C154" s="126"/>
      <c r="D154" s="142"/>
      <c r="E154" s="6" t="s">
        <v>859</v>
      </c>
      <c r="F154" s="100" t="s">
        <v>854</v>
      </c>
      <c r="G154" s="100" t="s">
        <v>861</v>
      </c>
      <c r="H154" s="136"/>
      <c r="I154" s="143"/>
      <c r="J154" s="136"/>
      <c r="K154" s="136"/>
      <c r="L154" s="136"/>
      <c r="M154" s="136"/>
      <c r="N154" s="137"/>
    </row>
    <row r="155" spans="1:14" ht="30">
      <c r="A155" s="127"/>
      <c r="B155" s="125"/>
      <c r="C155" s="126"/>
      <c r="D155" s="142"/>
      <c r="E155" s="6" t="s">
        <v>860</v>
      </c>
      <c r="F155" s="100" t="s">
        <v>855</v>
      </c>
      <c r="G155" s="100" t="s">
        <v>862</v>
      </c>
      <c r="H155" s="136"/>
      <c r="I155" s="143"/>
      <c r="J155" s="136"/>
      <c r="K155" s="136"/>
      <c r="L155" s="136"/>
      <c r="M155" s="136"/>
      <c r="N155" s="137"/>
    </row>
    <row r="156" spans="1:14" ht="45">
      <c r="A156" s="127"/>
      <c r="B156" s="125"/>
      <c r="C156" s="126"/>
      <c r="D156" s="142"/>
      <c r="E156" s="6" t="s">
        <v>853</v>
      </c>
      <c r="F156" s="100" t="s">
        <v>856</v>
      </c>
      <c r="G156" s="100" t="s">
        <v>473</v>
      </c>
      <c r="H156" s="136"/>
      <c r="I156" s="143"/>
      <c r="J156" s="136"/>
      <c r="K156" s="136"/>
      <c r="L156" s="136"/>
      <c r="M156" s="136"/>
      <c r="N156" s="137"/>
    </row>
    <row r="157" spans="1:14" ht="52.5" customHeight="1">
      <c r="A157" s="127" t="s">
        <v>1317</v>
      </c>
      <c r="B157" s="125" t="s">
        <v>885</v>
      </c>
      <c r="C157" s="126" t="s">
        <v>1084</v>
      </c>
      <c r="D157" s="126" t="s">
        <v>333</v>
      </c>
      <c r="E157" s="6" t="s">
        <v>337</v>
      </c>
      <c r="F157" s="100" t="s">
        <v>335</v>
      </c>
      <c r="G157" s="100" t="s">
        <v>96</v>
      </c>
      <c r="H157" s="136">
        <f aca="true" t="shared" si="10" ref="H157:M157">SUM(H160:H165)</f>
        <v>20728.6</v>
      </c>
      <c r="I157" s="143">
        <f t="shared" si="10"/>
        <v>19404.2</v>
      </c>
      <c r="J157" s="136">
        <f t="shared" si="10"/>
        <v>13961.6</v>
      </c>
      <c r="K157" s="136">
        <f t="shared" si="10"/>
        <v>11296.7</v>
      </c>
      <c r="L157" s="136">
        <f t="shared" si="10"/>
        <v>11785.6</v>
      </c>
      <c r="M157" s="136">
        <f t="shared" si="10"/>
        <v>55.2</v>
      </c>
      <c r="N157" s="137"/>
    </row>
    <row r="158" spans="1:14" ht="30">
      <c r="A158" s="127"/>
      <c r="B158" s="125"/>
      <c r="C158" s="126"/>
      <c r="D158" s="126"/>
      <c r="E158" s="6" t="s">
        <v>338</v>
      </c>
      <c r="F158" s="100" t="s">
        <v>336</v>
      </c>
      <c r="G158" s="100" t="s">
        <v>334</v>
      </c>
      <c r="H158" s="136"/>
      <c r="I158" s="143"/>
      <c r="J158" s="136"/>
      <c r="K158" s="136"/>
      <c r="L158" s="136"/>
      <c r="M158" s="136"/>
      <c r="N158" s="137"/>
    </row>
    <row r="159" spans="1:14" ht="15">
      <c r="A159" s="127"/>
      <c r="B159" s="125"/>
      <c r="C159" s="126"/>
      <c r="D159" s="126"/>
      <c r="E159" s="6" t="s">
        <v>1097</v>
      </c>
      <c r="F159" s="100"/>
      <c r="G159" s="100"/>
      <c r="H159" s="95"/>
      <c r="I159" s="98"/>
      <c r="J159" s="95"/>
      <c r="K159" s="95"/>
      <c r="L159" s="95"/>
      <c r="M159" s="95"/>
      <c r="N159" s="96"/>
    </row>
    <row r="160" spans="1:20" ht="90">
      <c r="A160" s="127"/>
      <c r="B160" s="125"/>
      <c r="C160" s="100" t="s">
        <v>1124</v>
      </c>
      <c r="D160" s="100" t="s">
        <v>333</v>
      </c>
      <c r="E160" s="6" t="s">
        <v>1128</v>
      </c>
      <c r="F160" s="106" t="s">
        <v>1155</v>
      </c>
      <c r="G160" s="100" t="s">
        <v>1129</v>
      </c>
      <c r="H160" s="95">
        <v>15305.6</v>
      </c>
      <c r="I160" s="98">
        <v>13981.4</v>
      </c>
      <c r="J160" s="95">
        <v>50.6</v>
      </c>
      <c r="K160" s="95">
        <v>55.2</v>
      </c>
      <c r="L160" s="95">
        <v>55.2</v>
      </c>
      <c r="M160" s="95">
        <v>55.2</v>
      </c>
      <c r="N160" s="96" t="s">
        <v>932</v>
      </c>
      <c r="O160" s="109"/>
      <c r="P160" s="110"/>
      <c r="Q160" s="109"/>
      <c r="R160" s="109"/>
      <c r="S160" s="109"/>
      <c r="T160" s="109"/>
    </row>
    <row r="161" spans="1:14" ht="64.5" customHeight="1">
      <c r="A161" s="127"/>
      <c r="B161" s="125"/>
      <c r="C161" s="100" t="s">
        <v>1125</v>
      </c>
      <c r="D161" s="101" t="s">
        <v>1063</v>
      </c>
      <c r="E161" s="113" t="s">
        <v>17</v>
      </c>
      <c r="F161" s="106" t="s">
        <v>1155</v>
      </c>
      <c r="G161" s="4" t="s">
        <v>847</v>
      </c>
      <c r="H161" s="95">
        <v>2500</v>
      </c>
      <c r="I161" s="98">
        <v>2499.9</v>
      </c>
      <c r="J161" s="95"/>
      <c r="K161" s="95"/>
      <c r="L161" s="95"/>
      <c r="M161" s="95"/>
      <c r="N161" s="96" t="s">
        <v>1121</v>
      </c>
    </row>
    <row r="162" spans="1:14" ht="53.25" customHeight="1">
      <c r="A162" s="127"/>
      <c r="B162" s="125"/>
      <c r="C162" s="100" t="s">
        <v>1126</v>
      </c>
      <c r="D162" s="101" t="s">
        <v>879</v>
      </c>
      <c r="E162" s="5" t="s">
        <v>1200</v>
      </c>
      <c r="F162" s="106" t="s">
        <v>1155</v>
      </c>
      <c r="G162" s="106" t="s">
        <v>1237</v>
      </c>
      <c r="H162" s="95">
        <v>350</v>
      </c>
      <c r="I162" s="98">
        <v>350</v>
      </c>
      <c r="J162" s="95"/>
      <c r="K162" s="95"/>
      <c r="L162" s="95"/>
      <c r="M162" s="95"/>
      <c r="N162" s="96" t="s">
        <v>1122</v>
      </c>
    </row>
    <row r="163" spans="1:14" ht="60" customHeight="1">
      <c r="A163" s="127"/>
      <c r="B163" s="125"/>
      <c r="C163" s="126" t="s">
        <v>1127</v>
      </c>
      <c r="D163" s="142" t="s">
        <v>1307</v>
      </c>
      <c r="E163" s="113" t="s">
        <v>1123</v>
      </c>
      <c r="F163" s="106" t="s">
        <v>1155</v>
      </c>
      <c r="G163" s="106" t="s">
        <v>1256</v>
      </c>
      <c r="H163" s="136">
        <v>2573</v>
      </c>
      <c r="I163" s="143">
        <v>2572.9</v>
      </c>
      <c r="J163" s="136">
        <v>1960</v>
      </c>
      <c r="K163" s="136"/>
      <c r="L163" s="136"/>
      <c r="M163" s="136"/>
      <c r="N163" s="137" t="s">
        <v>553</v>
      </c>
    </row>
    <row r="164" spans="1:14" ht="42" customHeight="1">
      <c r="A164" s="127"/>
      <c r="B164" s="125"/>
      <c r="C164" s="126"/>
      <c r="D164" s="142"/>
      <c r="E164" s="113" t="s">
        <v>544</v>
      </c>
      <c r="F164" s="106" t="s">
        <v>1155</v>
      </c>
      <c r="G164" s="106" t="s">
        <v>1114</v>
      </c>
      <c r="H164" s="136"/>
      <c r="I164" s="143"/>
      <c r="J164" s="136"/>
      <c r="K164" s="136"/>
      <c r="L164" s="136"/>
      <c r="M164" s="136"/>
      <c r="N164" s="137"/>
    </row>
    <row r="165" spans="1:14" ht="60">
      <c r="A165" s="127"/>
      <c r="B165" s="125"/>
      <c r="C165" s="100" t="s">
        <v>1236</v>
      </c>
      <c r="D165" s="101" t="s">
        <v>1308</v>
      </c>
      <c r="E165" s="113" t="s">
        <v>1238</v>
      </c>
      <c r="F165" s="3" t="s">
        <v>1155</v>
      </c>
      <c r="G165" s="106" t="s">
        <v>1237</v>
      </c>
      <c r="H165" s="95"/>
      <c r="I165" s="98"/>
      <c r="J165" s="95">
        <v>11951</v>
      </c>
      <c r="K165" s="95">
        <v>11241.5</v>
      </c>
      <c r="L165" s="95">
        <v>11730.4</v>
      </c>
      <c r="M165" s="95"/>
      <c r="N165" s="96" t="s">
        <v>1239</v>
      </c>
    </row>
    <row r="166" spans="1:14" ht="45">
      <c r="A166" s="127" t="s">
        <v>1318</v>
      </c>
      <c r="B166" s="125" t="s">
        <v>961</v>
      </c>
      <c r="C166" s="152" t="s">
        <v>900</v>
      </c>
      <c r="D166" s="152" t="s">
        <v>690</v>
      </c>
      <c r="E166" s="6" t="s">
        <v>691</v>
      </c>
      <c r="F166" s="100" t="s">
        <v>693</v>
      </c>
      <c r="G166" s="100" t="s">
        <v>695</v>
      </c>
      <c r="H166" s="133">
        <f>10198.5-200</f>
        <v>9998.5</v>
      </c>
      <c r="I166" s="135">
        <f>9719.2-21.6</f>
        <v>9697.6</v>
      </c>
      <c r="J166" s="133">
        <f>6207.1-200</f>
        <v>6007.1</v>
      </c>
      <c r="K166" s="133">
        <f>6207.1-200</f>
        <v>6007.1</v>
      </c>
      <c r="L166" s="133">
        <f>6207.1-200</f>
        <v>6007.1</v>
      </c>
      <c r="M166" s="133">
        <f>6207.1-200</f>
        <v>6007.1</v>
      </c>
      <c r="N166" s="198" t="s">
        <v>518</v>
      </c>
    </row>
    <row r="167" spans="1:14" ht="30">
      <c r="A167" s="127"/>
      <c r="B167" s="125"/>
      <c r="C167" s="157"/>
      <c r="D167" s="157"/>
      <c r="E167" s="6" t="s">
        <v>692</v>
      </c>
      <c r="F167" s="100" t="s">
        <v>694</v>
      </c>
      <c r="G167" s="100" t="s">
        <v>696</v>
      </c>
      <c r="H167" s="172"/>
      <c r="I167" s="186"/>
      <c r="J167" s="172"/>
      <c r="K167" s="172"/>
      <c r="L167" s="172"/>
      <c r="M167" s="172"/>
      <c r="N167" s="199"/>
    </row>
    <row r="168" spans="1:14" ht="45" customHeight="1">
      <c r="A168" s="127"/>
      <c r="B168" s="125"/>
      <c r="C168" s="153"/>
      <c r="D168" s="153"/>
      <c r="E168" s="6" t="s">
        <v>457</v>
      </c>
      <c r="F168" s="106" t="s">
        <v>1155</v>
      </c>
      <c r="G168" s="100" t="s">
        <v>1525</v>
      </c>
      <c r="H168" s="134"/>
      <c r="I168" s="123"/>
      <c r="J168" s="134"/>
      <c r="K168" s="134"/>
      <c r="L168" s="134"/>
      <c r="M168" s="134"/>
      <c r="N168" s="200"/>
    </row>
    <row r="169" spans="1:14" ht="45">
      <c r="A169" s="127" t="s">
        <v>772</v>
      </c>
      <c r="B169" s="155" t="s">
        <v>616</v>
      </c>
      <c r="C169" s="182" t="s">
        <v>901</v>
      </c>
      <c r="D169" s="126" t="s">
        <v>41</v>
      </c>
      <c r="E169" s="6" t="s">
        <v>1258</v>
      </c>
      <c r="F169" s="100" t="s">
        <v>1262</v>
      </c>
      <c r="G169" s="100" t="s">
        <v>1263</v>
      </c>
      <c r="H169" s="136">
        <f aca="true" t="shared" si="11" ref="H169:M169">SUM(H177:H197)</f>
        <v>1458122</v>
      </c>
      <c r="I169" s="143">
        <f t="shared" si="11"/>
        <v>1436818.9</v>
      </c>
      <c r="J169" s="136">
        <f t="shared" si="11"/>
        <v>1604330.5000000002</v>
      </c>
      <c r="K169" s="136">
        <f t="shared" si="11"/>
        <v>1744181.3</v>
      </c>
      <c r="L169" s="136">
        <f t="shared" si="11"/>
        <v>1548662.5999999999</v>
      </c>
      <c r="M169" s="136">
        <f t="shared" si="11"/>
        <v>1531045.5999999999</v>
      </c>
      <c r="N169" s="137"/>
    </row>
    <row r="170" spans="1:14" ht="30">
      <c r="A170" s="127"/>
      <c r="B170" s="155"/>
      <c r="C170" s="182"/>
      <c r="D170" s="126"/>
      <c r="E170" s="6" t="s">
        <v>1257</v>
      </c>
      <c r="F170" s="100" t="s">
        <v>1259</v>
      </c>
      <c r="G170" s="100" t="s">
        <v>1261</v>
      </c>
      <c r="H170" s="136"/>
      <c r="I170" s="143"/>
      <c r="J170" s="136"/>
      <c r="K170" s="136"/>
      <c r="L170" s="136"/>
      <c r="M170" s="136"/>
      <c r="N170" s="137"/>
    </row>
    <row r="171" spans="1:14" ht="146.25" customHeight="1">
      <c r="A171" s="127"/>
      <c r="B171" s="155"/>
      <c r="C171" s="182"/>
      <c r="D171" s="126"/>
      <c r="E171" s="6" t="s">
        <v>1265</v>
      </c>
      <c r="F171" s="100" t="s">
        <v>1260</v>
      </c>
      <c r="G171" s="100" t="s">
        <v>1264</v>
      </c>
      <c r="H171" s="136"/>
      <c r="I171" s="143"/>
      <c r="J171" s="136"/>
      <c r="K171" s="136"/>
      <c r="L171" s="136"/>
      <c r="M171" s="136"/>
      <c r="N171" s="137"/>
    </row>
    <row r="172" spans="1:14" ht="78" customHeight="1">
      <c r="A172" s="127"/>
      <c r="B172" s="155"/>
      <c r="C172" s="182"/>
      <c r="D172" s="126"/>
      <c r="E172" s="6" t="s">
        <v>1266</v>
      </c>
      <c r="F172" s="100" t="s">
        <v>1270</v>
      </c>
      <c r="G172" s="100" t="s">
        <v>1269</v>
      </c>
      <c r="H172" s="136"/>
      <c r="I172" s="143"/>
      <c r="J172" s="136"/>
      <c r="K172" s="136"/>
      <c r="L172" s="136"/>
      <c r="M172" s="136"/>
      <c r="N172" s="137"/>
    </row>
    <row r="173" spans="1:14" ht="108" customHeight="1">
      <c r="A173" s="127"/>
      <c r="B173" s="155"/>
      <c r="C173" s="182"/>
      <c r="D173" s="126"/>
      <c r="E173" s="6" t="s">
        <v>1267</v>
      </c>
      <c r="F173" s="100" t="s">
        <v>1268</v>
      </c>
      <c r="G173" s="100" t="s">
        <v>1269</v>
      </c>
      <c r="H173" s="136"/>
      <c r="I173" s="143"/>
      <c r="J173" s="136"/>
      <c r="K173" s="136"/>
      <c r="L173" s="136"/>
      <c r="M173" s="136"/>
      <c r="N173" s="137"/>
    </row>
    <row r="174" spans="1:14" ht="60" customHeight="1">
      <c r="A174" s="127"/>
      <c r="B174" s="155"/>
      <c r="C174" s="182"/>
      <c r="D174" s="126"/>
      <c r="E174" s="6" t="s">
        <v>1271</v>
      </c>
      <c r="F174" s="100" t="s">
        <v>802</v>
      </c>
      <c r="G174" s="100" t="s">
        <v>803</v>
      </c>
      <c r="H174" s="136"/>
      <c r="I174" s="143"/>
      <c r="J174" s="136"/>
      <c r="K174" s="136"/>
      <c r="L174" s="136"/>
      <c r="M174" s="136"/>
      <c r="N174" s="137"/>
    </row>
    <row r="175" spans="1:14" ht="117" customHeight="1">
      <c r="A175" s="127"/>
      <c r="B175" s="155"/>
      <c r="C175" s="182"/>
      <c r="D175" s="126"/>
      <c r="E175" s="6" t="s">
        <v>801</v>
      </c>
      <c r="F175" s="100" t="s">
        <v>1155</v>
      </c>
      <c r="G175" s="100" t="s">
        <v>1085</v>
      </c>
      <c r="H175" s="136"/>
      <c r="I175" s="143"/>
      <c r="J175" s="136"/>
      <c r="K175" s="136"/>
      <c r="L175" s="136"/>
      <c r="M175" s="136"/>
      <c r="N175" s="137"/>
    </row>
    <row r="176" spans="1:14" ht="15">
      <c r="A176" s="127"/>
      <c r="B176" s="155"/>
      <c r="C176" s="182"/>
      <c r="D176" s="126"/>
      <c r="E176" s="6" t="s">
        <v>1097</v>
      </c>
      <c r="F176" s="100"/>
      <c r="G176" s="100"/>
      <c r="H176" s="95"/>
      <c r="I176" s="98"/>
      <c r="J176" s="95"/>
      <c r="K176" s="95"/>
      <c r="L176" s="95"/>
      <c r="M176" s="95"/>
      <c r="N176" s="96"/>
    </row>
    <row r="177" spans="1:14" ht="37.5" customHeight="1">
      <c r="A177" s="127"/>
      <c r="B177" s="155"/>
      <c r="C177" s="156" t="s">
        <v>813</v>
      </c>
      <c r="D177" s="142" t="s">
        <v>834</v>
      </c>
      <c r="E177" s="6" t="s">
        <v>835</v>
      </c>
      <c r="F177" s="100" t="s">
        <v>1155</v>
      </c>
      <c r="G177" s="100" t="s">
        <v>545</v>
      </c>
      <c r="H177" s="136">
        <v>898630.6</v>
      </c>
      <c r="I177" s="143">
        <v>895132</v>
      </c>
      <c r="J177" s="136">
        <v>975826</v>
      </c>
      <c r="K177" s="136">
        <v>1026082.1</v>
      </c>
      <c r="L177" s="136">
        <v>1032235.5</v>
      </c>
      <c r="M177" s="136">
        <v>1045897.7</v>
      </c>
      <c r="N177" s="137" t="s">
        <v>1201</v>
      </c>
    </row>
    <row r="178" spans="1:14" ht="49.5" customHeight="1">
      <c r="A178" s="127"/>
      <c r="B178" s="155"/>
      <c r="C178" s="156"/>
      <c r="D178" s="142"/>
      <c r="E178" s="6" t="s">
        <v>546</v>
      </c>
      <c r="F178" s="100" t="s">
        <v>1155</v>
      </c>
      <c r="G178" s="100" t="s">
        <v>547</v>
      </c>
      <c r="H178" s="136"/>
      <c r="I178" s="143"/>
      <c r="J178" s="136"/>
      <c r="K178" s="136"/>
      <c r="L178" s="136"/>
      <c r="M178" s="136"/>
      <c r="N178" s="137"/>
    </row>
    <row r="179" spans="1:14" ht="55.5" customHeight="1">
      <c r="A179" s="127"/>
      <c r="B179" s="155"/>
      <c r="C179" s="112" t="s">
        <v>814</v>
      </c>
      <c r="D179" s="101" t="s">
        <v>1486</v>
      </c>
      <c r="E179" s="6" t="s">
        <v>1562</v>
      </c>
      <c r="F179" s="100" t="s">
        <v>1155</v>
      </c>
      <c r="G179" s="100" t="s">
        <v>1563</v>
      </c>
      <c r="H179" s="95">
        <v>141611.4</v>
      </c>
      <c r="I179" s="98">
        <v>137725.2</v>
      </c>
      <c r="J179" s="95">
        <v>145930.8</v>
      </c>
      <c r="K179" s="95">
        <v>162690.5</v>
      </c>
      <c r="L179" s="95">
        <v>167282.2</v>
      </c>
      <c r="M179" s="95">
        <v>176777.2</v>
      </c>
      <c r="N179" s="96" t="s">
        <v>1202</v>
      </c>
    </row>
    <row r="180" spans="1:20" ht="94.5" customHeight="1">
      <c r="A180" s="127"/>
      <c r="B180" s="155"/>
      <c r="C180" s="112" t="s">
        <v>815</v>
      </c>
      <c r="D180" s="101" t="s">
        <v>1486</v>
      </c>
      <c r="E180" s="6" t="s">
        <v>1564</v>
      </c>
      <c r="F180" s="100" t="s">
        <v>1155</v>
      </c>
      <c r="G180" s="100" t="s">
        <v>1565</v>
      </c>
      <c r="H180" s="95">
        <f>107948.1+50175.7+65561</f>
        <v>223684.8</v>
      </c>
      <c r="I180" s="98">
        <f>101818.9+50079.6+65158.8</f>
        <v>217057.3</v>
      </c>
      <c r="J180" s="95">
        <f>112705.2+53993.9+69628</f>
        <v>236327.1</v>
      </c>
      <c r="K180" s="95">
        <f>115025.5+54583.7+68919</f>
        <v>238528.2</v>
      </c>
      <c r="L180" s="95">
        <f>115168.2+54697.3+69130</f>
        <v>238995.5</v>
      </c>
      <c r="M180" s="95">
        <f>116344.4+54920.3+69486.2</f>
        <v>240750.90000000002</v>
      </c>
      <c r="N180" s="96" t="s">
        <v>1203</v>
      </c>
      <c r="O180" s="109"/>
      <c r="P180" s="110"/>
      <c r="Q180" s="109"/>
      <c r="R180" s="109"/>
      <c r="S180" s="109"/>
      <c r="T180" s="109"/>
    </row>
    <row r="181" spans="1:20" ht="70.5" customHeight="1">
      <c r="A181" s="127"/>
      <c r="B181" s="155"/>
      <c r="C181" s="112" t="s">
        <v>816</v>
      </c>
      <c r="D181" s="101" t="s">
        <v>836</v>
      </c>
      <c r="E181" s="113" t="s">
        <v>153</v>
      </c>
      <c r="F181" s="106" t="s">
        <v>1566</v>
      </c>
      <c r="G181" s="4" t="s">
        <v>1567</v>
      </c>
      <c r="H181" s="95">
        <f>211.2+314.4+5991.5</f>
        <v>6517.1</v>
      </c>
      <c r="I181" s="98">
        <f>169.9+272.5+5783.3</f>
        <v>6225.7</v>
      </c>
      <c r="J181" s="95">
        <f>192+316.8+5941.2</f>
        <v>6450</v>
      </c>
      <c r="K181" s="95">
        <f>192+316.8+6451.2</f>
        <v>6960</v>
      </c>
      <c r="L181" s="95">
        <f>192+316.8+6451.2</f>
        <v>6960</v>
      </c>
      <c r="M181" s="95">
        <f>192+316.8+6451.2</f>
        <v>6960</v>
      </c>
      <c r="N181" s="96" t="s">
        <v>440</v>
      </c>
      <c r="O181" s="109"/>
      <c r="P181" s="110"/>
      <c r="Q181" s="109"/>
      <c r="R181" s="109"/>
      <c r="S181" s="109"/>
      <c r="T181" s="109"/>
    </row>
    <row r="182" spans="1:14" ht="60">
      <c r="A182" s="127"/>
      <c r="B182" s="155"/>
      <c r="C182" s="112" t="s">
        <v>817</v>
      </c>
      <c r="D182" s="101" t="s">
        <v>834</v>
      </c>
      <c r="E182" s="113" t="s">
        <v>18</v>
      </c>
      <c r="F182" s="106" t="s">
        <v>1155</v>
      </c>
      <c r="G182" s="106" t="s">
        <v>1568</v>
      </c>
      <c r="H182" s="95">
        <v>9722.4</v>
      </c>
      <c r="I182" s="98">
        <v>9710.5</v>
      </c>
      <c r="J182" s="95">
        <v>11556.4</v>
      </c>
      <c r="K182" s="95">
        <v>43900</v>
      </c>
      <c r="L182" s="95">
        <v>43900</v>
      </c>
      <c r="M182" s="95">
        <v>43900</v>
      </c>
      <c r="N182" s="96" t="s">
        <v>933</v>
      </c>
    </row>
    <row r="183" spans="1:14" ht="45">
      <c r="A183" s="127"/>
      <c r="B183" s="155"/>
      <c r="C183" s="112" t="s">
        <v>818</v>
      </c>
      <c r="D183" s="101" t="s">
        <v>872</v>
      </c>
      <c r="E183" s="15" t="s">
        <v>1149</v>
      </c>
      <c r="F183" s="16" t="s">
        <v>1155</v>
      </c>
      <c r="G183" s="17" t="s">
        <v>1150</v>
      </c>
      <c r="H183" s="95">
        <v>180</v>
      </c>
      <c r="I183" s="98">
        <v>138.4</v>
      </c>
      <c r="J183" s="95"/>
      <c r="K183" s="95">
        <v>177</v>
      </c>
      <c r="L183" s="95">
        <v>249.6</v>
      </c>
      <c r="M183" s="95"/>
      <c r="N183" s="96" t="s">
        <v>517</v>
      </c>
    </row>
    <row r="184" spans="1:256" s="30" customFormat="1" ht="30">
      <c r="A184" s="127"/>
      <c r="B184" s="155"/>
      <c r="C184" s="112" t="s">
        <v>819</v>
      </c>
      <c r="D184" s="101" t="s">
        <v>1060</v>
      </c>
      <c r="E184" s="2" t="s">
        <v>745</v>
      </c>
      <c r="F184" s="106" t="s">
        <v>1067</v>
      </c>
      <c r="G184" s="4" t="s">
        <v>1068</v>
      </c>
      <c r="H184" s="102">
        <f>94+1799</f>
        <v>1893</v>
      </c>
      <c r="I184" s="102">
        <f>94+1798.9</f>
        <v>1892.9</v>
      </c>
      <c r="J184" s="102">
        <f>90+50+1904.9-143.4</f>
        <v>1901.5</v>
      </c>
      <c r="K184" s="102">
        <f>50+1724.7</f>
        <v>1774.7</v>
      </c>
      <c r="L184" s="102">
        <f>50+1676.7</f>
        <v>1726.7</v>
      </c>
      <c r="M184" s="102">
        <f>50+1618</f>
        <v>1668</v>
      </c>
      <c r="N184" s="96" t="s">
        <v>519</v>
      </c>
      <c r="O184" s="109"/>
      <c r="P184" s="110"/>
      <c r="Q184" s="109"/>
      <c r="R184" s="109"/>
      <c r="S184" s="109"/>
      <c r="T184" s="109"/>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c r="FP184" s="21"/>
      <c r="FQ184" s="21"/>
      <c r="FR184" s="21"/>
      <c r="FS184" s="21"/>
      <c r="FT184" s="21"/>
      <c r="FU184" s="21"/>
      <c r="FV184" s="21"/>
      <c r="FW184" s="21"/>
      <c r="FX184" s="21"/>
      <c r="FY184" s="21"/>
      <c r="FZ184" s="21"/>
      <c r="GA184" s="21"/>
      <c r="GB184" s="21"/>
      <c r="GC184" s="21"/>
      <c r="GD184" s="21"/>
      <c r="GE184" s="21"/>
      <c r="GF184" s="21"/>
      <c r="GG184" s="21"/>
      <c r="GH184" s="21"/>
      <c r="GI184" s="21"/>
      <c r="GJ184" s="21"/>
      <c r="GK184" s="21"/>
      <c r="GL184" s="21"/>
      <c r="GM184" s="21"/>
      <c r="GN184" s="21"/>
      <c r="GO184" s="21"/>
      <c r="GP184" s="21"/>
      <c r="GQ184" s="21"/>
      <c r="GR184" s="21"/>
      <c r="GS184" s="21"/>
      <c r="GT184" s="21"/>
      <c r="GU184" s="21"/>
      <c r="GV184" s="21"/>
      <c r="GW184" s="21"/>
      <c r="GX184" s="21"/>
      <c r="GY184" s="21"/>
      <c r="GZ184" s="21"/>
      <c r="HA184" s="21"/>
      <c r="HB184" s="21"/>
      <c r="HC184" s="21"/>
      <c r="HD184" s="21"/>
      <c r="HE184" s="21"/>
      <c r="HF184" s="21"/>
      <c r="HG184" s="21"/>
      <c r="HH184" s="21"/>
      <c r="HI184" s="21"/>
      <c r="HJ184" s="21"/>
      <c r="HK184" s="21"/>
      <c r="HL184" s="21"/>
      <c r="HM184" s="21"/>
      <c r="HN184" s="21"/>
      <c r="HO184" s="21"/>
      <c r="HP184" s="21"/>
      <c r="HQ184" s="21"/>
      <c r="HR184" s="21"/>
      <c r="HS184" s="21"/>
      <c r="HT184" s="21"/>
      <c r="HU184" s="21"/>
      <c r="HV184" s="21"/>
      <c r="HW184" s="21"/>
      <c r="HX184" s="21"/>
      <c r="HY184" s="21"/>
      <c r="HZ184" s="21"/>
      <c r="IA184" s="21"/>
      <c r="IB184" s="21"/>
      <c r="IC184" s="21"/>
      <c r="ID184" s="21"/>
      <c r="IE184" s="21"/>
      <c r="IF184" s="21"/>
      <c r="IG184" s="21"/>
      <c r="IH184" s="21"/>
      <c r="II184" s="21"/>
      <c r="IJ184" s="21"/>
      <c r="IK184" s="21"/>
      <c r="IL184" s="21"/>
      <c r="IM184" s="21"/>
      <c r="IN184" s="21"/>
      <c r="IO184" s="21"/>
      <c r="IP184" s="21"/>
      <c r="IQ184" s="21"/>
      <c r="IR184" s="21"/>
      <c r="IS184" s="21"/>
      <c r="IT184" s="21"/>
      <c r="IU184" s="21"/>
      <c r="IV184" s="21"/>
    </row>
    <row r="185" spans="1:256" s="26" customFormat="1" ht="30">
      <c r="A185" s="127"/>
      <c r="B185" s="155"/>
      <c r="C185" s="112" t="s">
        <v>820</v>
      </c>
      <c r="D185" s="101" t="s">
        <v>1060</v>
      </c>
      <c r="E185" s="15" t="s">
        <v>561</v>
      </c>
      <c r="F185" s="16" t="s">
        <v>1155</v>
      </c>
      <c r="G185" s="17" t="s">
        <v>1150</v>
      </c>
      <c r="H185" s="95">
        <v>1735.4</v>
      </c>
      <c r="I185" s="98">
        <v>1671.6</v>
      </c>
      <c r="J185" s="95">
        <v>1513.8</v>
      </c>
      <c r="K185" s="95">
        <v>1772.8</v>
      </c>
      <c r="L185" s="95"/>
      <c r="M185" s="95"/>
      <c r="N185" s="96" t="s">
        <v>520</v>
      </c>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c r="FP185" s="21"/>
      <c r="FQ185" s="21"/>
      <c r="FR185" s="21"/>
      <c r="FS185" s="21"/>
      <c r="FT185" s="21"/>
      <c r="FU185" s="21"/>
      <c r="FV185" s="21"/>
      <c r="FW185" s="21"/>
      <c r="FX185" s="21"/>
      <c r="FY185" s="21"/>
      <c r="FZ185" s="21"/>
      <c r="GA185" s="21"/>
      <c r="GB185" s="21"/>
      <c r="GC185" s="21"/>
      <c r="GD185" s="21"/>
      <c r="GE185" s="21"/>
      <c r="GF185" s="21"/>
      <c r="GG185" s="21"/>
      <c r="GH185" s="21"/>
      <c r="GI185" s="21"/>
      <c r="GJ185" s="21"/>
      <c r="GK185" s="21"/>
      <c r="GL185" s="21"/>
      <c r="GM185" s="21"/>
      <c r="GN185" s="21"/>
      <c r="GO185" s="21"/>
      <c r="GP185" s="21"/>
      <c r="GQ185" s="21"/>
      <c r="GR185" s="21"/>
      <c r="GS185" s="21"/>
      <c r="GT185" s="21"/>
      <c r="GU185" s="21"/>
      <c r="GV185" s="21"/>
      <c r="GW185" s="21"/>
      <c r="GX185" s="21"/>
      <c r="GY185" s="21"/>
      <c r="GZ185" s="21"/>
      <c r="HA185" s="21"/>
      <c r="HB185" s="21"/>
      <c r="HC185" s="21"/>
      <c r="HD185" s="21"/>
      <c r="HE185" s="21"/>
      <c r="HF185" s="21"/>
      <c r="HG185" s="21"/>
      <c r="HH185" s="21"/>
      <c r="HI185" s="21"/>
      <c r="HJ185" s="21"/>
      <c r="HK185" s="21"/>
      <c r="HL185" s="21"/>
      <c r="HM185" s="21"/>
      <c r="HN185" s="21"/>
      <c r="HO185" s="21"/>
      <c r="HP185" s="21"/>
      <c r="HQ185" s="21"/>
      <c r="HR185" s="21"/>
      <c r="HS185" s="21"/>
      <c r="HT185" s="21"/>
      <c r="HU185" s="21"/>
      <c r="HV185" s="21"/>
      <c r="HW185" s="21"/>
      <c r="HX185" s="21"/>
      <c r="HY185" s="21"/>
      <c r="HZ185" s="21"/>
      <c r="IA185" s="21"/>
      <c r="IB185" s="21"/>
      <c r="IC185" s="21"/>
      <c r="ID185" s="21"/>
      <c r="IE185" s="21"/>
      <c r="IF185" s="21"/>
      <c r="IG185" s="21"/>
      <c r="IH185" s="21"/>
      <c r="II185" s="21"/>
      <c r="IJ185" s="21"/>
      <c r="IK185" s="21"/>
      <c r="IL185" s="21"/>
      <c r="IM185" s="21"/>
      <c r="IN185" s="21"/>
      <c r="IO185" s="21"/>
      <c r="IP185" s="21"/>
      <c r="IQ185" s="21"/>
      <c r="IR185" s="21"/>
      <c r="IS185" s="21"/>
      <c r="IT185" s="21"/>
      <c r="IU185" s="21"/>
      <c r="IV185" s="21"/>
    </row>
    <row r="186" spans="1:20" ht="48" customHeight="1">
      <c r="A186" s="127"/>
      <c r="B186" s="155"/>
      <c r="C186" s="156" t="s">
        <v>821</v>
      </c>
      <c r="D186" s="142" t="s">
        <v>1060</v>
      </c>
      <c r="E186" s="15" t="s">
        <v>728</v>
      </c>
      <c r="F186" s="16" t="s">
        <v>1155</v>
      </c>
      <c r="G186" s="17" t="s">
        <v>1321</v>
      </c>
      <c r="H186" s="136">
        <f>7391.6</f>
        <v>7391.6</v>
      </c>
      <c r="I186" s="143">
        <f>7061</f>
        <v>7061</v>
      </c>
      <c r="J186" s="136">
        <v>4546.1</v>
      </c>
      <c r="K186" s="136">
        <v>5565.2</v>
      </c>
      <c r="L186" s="136">
        <v>14651.4</v>
      </c>
      <c r="M186" s="136"/>
      <c r="N186" s="137" t="s">
        <v>1116</v>
      </c>
      <c r="O186" s="132"/>
      <c r="P186" s="171"/>
      <c r="Q186" s="132"/>
      <c r="R186" s="132"/>
      <c r="S186" s="132"/>
      <c r="T186" s="132"/>
    </row>
    <row r="187" spans="1:20" ht="30">
      <c r="A187" s="127"/>
      <c r="B187" s="155"/>
      <c r="C187" s="156"/>
      <c r="D187" s="142"/>
      <c r="E187" s="113" t="s">
        <v>1118</v>
      </c>
      <c r="F187" s="3" t="s">
        <v>1155</v>
      </c>
      <c r="G187" s="106" t="s">
        <v>1237</v>
      </c>
      <c r="H187" s="136"/>
      <c r="I187" s="143"/>
      <c r="J187" s="136"/>
      <c r="K187" s="136"/>
      <c r="L187" s="136"/>
      <c r="M187" s="136"/>
      <c r="N187" s="137"/>
      <c r="O187" s="132"/>
      <c r="P187" s="171"/>
      <c r="Q187" s="132"/>
      <c r="R187" s="132"/>
      <c r="S187" s="132"/>
      <c r="T187" s="132"/>
    </row>
    <row r="188" spans="1:14" ht="108.75" customHeight="1">
      <c r="A188" s="127"/>
      <c r="B188" s="155"/>
      <c r="C188" s="112" t="s">
        <v>822</v>
      </c>
      <c r="D188" s="101" t="s">
        <v>1174</v>
      </c>
      <c r="E188" s="36" t="s">
        <v>548</v>
      </c>
      <c r="F188" s="106" t="s">
        <v>1155</v>
      </c>
      <c r="G188" s="106" t="s">
        <v>1114</v>
      </c>
      <c r="H188" s="95">
        <v>32975</v>
      </c>
      <c r="I188" s="98">
        <v>32975</v>
      </c>
      <c r="J188" s="95">
        <v>33000</v>
      </c>
      <c r="K188" s="95">
        <v>33000</v>
      </c>
      <c r="L188" s="95"/>
      <c r="M188" s="95"/>
      <c r="N188" s="96" t="s">
        <v>340</v>
      </c>
    </row>
    <row r="189" spans="1:14" ht="63" customHeight="1">
      <c r="A189" s="127"/>
      <c r="B189" s="155"/>
      <c r="C189" s="112" t="s">
        <v>411</v>
      </c>
      <c r="D189" s="101" t="s">
        <v>1060</v>
      </c>
      <c r="E189" s="113" t="s">
        <v>1179</v>
      </c>
      <c r="F189" s="106" t="s">
        <v>1155</v>
      </c>
      <c r="G189" s="4" t="s">
        <v>1178</v>
      </c>
      <c r="H189" s="95">
        <v>159</v>
      </c>
      <c r="I189" s="98">
        <v>159</v>
      </c>
      <c r="J189" s="95"/>
      <c r="K189" s="95">
        <v>150</v>
      </c>
      <c r="L189" s="95"/>
      <c r="M189" s="95"/>
      <c r="N189" s="96" t="s">
        <v>934</v>
      </c>
    </row>
    <row r="190" spans="1:14" ht="95.25" customHeight="1">
      <c r="A190" s="127"/>
      <c r="B190" s="155"/>
      <c r="C190" s="112" t="s">
        <v>823</v>
      </c>
      <c r="D190" s="101" t="s">
        <v>894</v>
      </c>
      <c r="E190" s="1" t="s">
        <v>483</v>
      </c>
      <c r="F190" s="3" t="s">
        <v>1155</v>
      </c>
      <c r="G190" s="106" t="s">
        <v>484</v>
      </c>
      <c r="H190" s="95">
        <v>132725.5</v>
      </c>
      <c r="I190" s="98">
        <v>126182.1</v>
      </c>
      <c r="J190" s="95">
        <v>102982.1</v>
      </c>
      <c r="K190" s="95">
        <v>191328.8</v>
      </c>
      <c r="L190" s="95">
        <v>5684</v>
      </c>
      <c r="M190" s="95">
        <v>6762.6</v>
      </c>
      <c r="N190" s="96" t="s">
        <v>935</v>
      </c>
    </row>
    <row r="191" spans="1:14" ht="66" customHeight="1">
      <c r="A191" s="127"/>
      <c r="B191" s="155"/>
      <c r="C191" s="112" t="s">
        <v>824</v>
      </c>
      <c r="D191" s="101" t="s">
        <v>106</v>
      </c>
      <c r="E191" s="6" t="s">
        <v>1012</v>
      </c>
      <c r="F191" s="100" t="s">
        <v>1155</v>
      </c>
      <c r="G191" s="100" t="s">
        <v>1256</v>
      </c>
      <c r="H191" s="95">
        <v>500</v>
      </c>
      <c r="I191" s="98">
        <v>500</v>
      </c>
      <c r="J191" s="95">
        <v>2000</v>
      </c>
      <c r="K191" s="95"/>
      <c r="L191" s="95"/>
      <c r="M191" s="95"/>
      <c r="N191" s="96" t="s">
        <v>936</v>
      </c>
    </row>
    <row r="192" spans="1:14" ht="67.5" customHeight="1">
      <c r="A192" s="127"/>
      <c r="B192" s="155"/>
      <c r="C192" s="112" t="s">
        <v>825</v>
      </c>
      <c r="D192" s="101" t="s">
        <v>1060</v>
      </c>
      <c r="E192" s="113" t="s">
        <v>875</v>
      </c>
      <c r="F192" s="3" t="s">
        <v>1155</v>
      </c>
      <c r="G192" s="106" t="s">
        <v>876</v>
      </c>
      <c r="H192" s="95">
        <v>396.2</v>
      </c>
      <c r="I192" s="98">
        <v>388.2</v>
      </c>
      <c r="J192" s="95"/>
      <c r="K192" s="95"/>
      <c r="L192" s="95"/>
      <c r="M192" s="95"/>
      <c r="N192" s="96" t="s">
        <v>877</v>
      </c>
    </row>
    <row r="193" spans="1:14" ht="97.5" customHeight="1">
      <c r="A193" s="127"/>
      <c r="B193" s="155"/>
      <c r="C193" s="112" t="s">
        <v>826</v>
      </c>
      <c r="D193" s="101" t="s">
        <v>1060</v>
      </c>
      <c r="E193" s="113" t="s">
        <v>1233</v>
      </c>
      <c r="F193" s="3" t="s">
        <v>1155</v>
      </c>
      <c r="G193" s="106" t="s">
        <v>1234</v>
      </c>
      <c r="H193" s="111"/>
      <c r="I193" s="111"/>
      <c r="J193" s="111"/>
      <c r="K193" s="111"/>
      <c r="L193" s="111">
        <f>6.5+227+40+4775</f>
        <v>5048.5</v>
      </c>
      <c r="M193" s="111">
        <f>6.5+56.8+423.5+7842.4</f>
        <v>8329.199999999999</v>
      </c>
      <c r="N193" s="96" t="s">
        <v>1235</v>
      </c>
    </row>
    <row r="194" spans="1:256" s="30" customFormat="1" ht="52.5" customHeight="1">
      <c r="A194" s="127"/>
      <c r="B194" s="155"/>
      <c r="C194" s="112" t="s">
        <v>827</v>
      </c>
      <c r="D194" s="101" t="s">
        <v>1060</v>
      </c>
      <c r="E194" s="113" t="s">
        <v>1466</v>
      </c>
      <c r="F194" s="3" t="s">
        <v>1155</v>
      </c>
      <c r="G194" s="106" t="s">
        <v>1237</v>
      </c>
      <c r="H194" s="95"/>
      <c r="I194" s="98"/>
      <c r="J194" s="95"/>
      <c r="K194" s="95"/>
      <c r="L194" s="95">
        <v>606</v>
      </c>
      <c r="M194" s="95"/>
      <c r="N194" s="96" t="s">
        <v>1467</v>
      </c>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c r="FP194" s="21"/>
      <c r="FQ194" s="21"/>
      <c r="FR194" s="21"/>
      <c r="FS194" s="21"/>
      <c r="FT194" s="21"/>
      <c r="FU194" s="21"/>
      <c r="FV194" s="21"/>
      <c r="FW194" s="21"/>
      <c r="FX194" s="21"/>
      <c r="FY194" s="21"/>
      <c r="FZ194" s="21"/>
      <c r="GA194" s="21"/>
      <c r="GB194" s="21"/>
      <c r="GC194" s="21"/>
      <c r="GD194" s="21"/>
      <c r="GE194" s="21"/>
      <c r="GF194" s="21"/>
      <c r="GG194" s="21"/>
      <c r="GH194" s="21"/>
      <c r="GI194" s="21"/>
      <c r="GJ194" s="21"/>
      <c r="GK194" s="21"/>
      <c r="GL194" s="21"/>
      <c r="GM194" s="21"/>
      <c r="GN194" s="21"/>
      <c r="GO194" s="21"/>
      <c r="GP194" s="21"/>
      <c r="GQ194" s="21"/>
      <c r="GR194" s="21"/>
      <c r="GS194" s="21"/>
      <c r="GT194" s="21"/>
      <c r="GU194" s="21"/>
      <c r="GV194" s="21"/>
      <c r="GW194" s="21"/>
      <c r="GX194" s="21"/>
      <c r="GY194" s="21"/>
      <c r="GZ194" s="21"/>
      <c r="HA194" s="21"/>
      <c r="HB194" s="21"/>
      <c r="HC194" s="21"/>
      <c r="HD194" s="21"/>
      <c r="HE194" s="21"/>
      <c r="HF194" s="21"/>
      <c r="HG194" s="21"/>
      <c r="HH194" s="21"/>
      <c r="HI194" s="21"/>
      <c r="HJ194" s="21"/>
      <c r="HK194" s="21"/>
      <c r="HL194" s="21"/>
      <c r="HM194" s="21"/>
      <c r="HN194" s="21"/>
      <c r="HO194" s="21"/>
      <c r="HP194" s="21"/>
      <c r="HQ194" s="21"/>
      <c r="HR194" s="21"/>
      <c r="HS194" s="21"/>
      <c r="HT194" s="21"/>
      <c r="HU194" s="21"/>
      <c r="HV194" s="21"/>
      <c r="HW194" s="21"/>
      <c r="HX194" s="21"/>
      <c r="HY194" s="21"/>
      <c r="HZ194" s="21"/>
      <c r="IA194" s="21"/>
      <c r="IB194" s="21"/>
      <c r="IC194" s="21"/>
      <c r="ID194" s="21"/>
      <c r="IE194" s="21"/>
      <c r="IF194" s="21"/>
      <c r="IG194" s="21"/>
      <c r="IH194" s="21"/>
      <c r="II194" s="21"/>
      <c r="IJ194" s="21"/>
      <c r="IK194" s="21"/>
      <c r="IL194" s="21"/>
      <c r="IM194" s="21"/>
      <c r="IN194" s="21"/>
      <c r="IO194" s="21"/>
      <c r="IP194" s="21"/>
      <c r="IQ194" s="21"/>
      <c r="IR194" s="21"/>
      <c r="IS194" s="21"/>
      <c r="IT194" s="21"/>
      <c r="IU194" s="21"/>
      <c r="IV194" s="21"/>
    </row>
    <row r="195" spans="1:256" s="59" customFormat="1" ht="87" customHeight="1">
      <c r="A195" s="127"/>
      <c r="B195" s="155"/>
      <c r="C195" s="112" t="s">
        <v>1110</v>
      </c>
      <c r="D195" s="101" t="s">
        <v>1060</v>
      </c>
      <c r="E195" s="113" t="s">
        <v>1112</v>
      </c>
      <c r="F195" s="3" t="s">
        <v>1155</v>
      </c>
      <c r="G195" s="106" t="s">
        <v>1237</v>
      </c>
      <c r="H195" s="95"/>
      <c r="I195" s="98"/>
      <c r="J195" s="95">
        <v>32252.2</v>
      </c>
      <c r="K195" s="95">
        <v>32252</v>
      </c>
      <c r="L195" s="95">
        <v>31323.2</v>
      </c>
      <c r="M195" s="95"/>
      <c r="N195" s="96" t="s">
        <v>1113</v>
      </c>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c r="FP195" s="21"/>
      <c r="FQ195" s="21"/>
      <c r="FR195" s="21"/>
      <c r="FS195" s="21"/>
      <c r="FT195" s="21"/>
      <c r="FU195" s="21"/>
      <c r="FV195" s="21"/>
      <c r="FW195" s="21"/>
      <c r="FX195" s="21"/>
      <c r="FY195" s="21"/>
      <c r="FZ195" s="21"/>
      <c r="GA195" s="21"/>
      <c r="GB195" s="21"/>
      <c r="GC195" s="21"/>
      <c r="GD195" s="21"/>
      <c r="GE195" s="21"/>
      <c r="GF195" s="21"/>
      <c r="GG195" s="21"/>
      <c r="GH195" s="21"/>
      <c r="GI195" s="21"/>
      <c r="GJ195" s="21"/>
      <c r="GK195" s="21"/>
      <c r="GL195" s="21"/>
      <c r="GM195" s="21"/>
      <c r="GN195" s="21"/>
      <c r="GO195" s="21"/>
      <c r="GP195" s="21"/>
      <c r="GQ195" s="21"/>
      <c r="GR195" s="21"/>
      <c r="GS195" s="21"/>
      <c r="GT195" s="21"/>
      <c r="GU195" s="21"/>
      <c r="GV195" s="21"/>
      <c r="GW195" s="21"/>
      <c r="GX195" s="21"/>
      <c r="GY195" s="21"/>
      <c r="GZ195" s="21"/>
      <c r="HA195" s="21"/>
      <c r="HB195" s="21"/>
      <c r="HC195" s="21"/>
      <c r="HD195" s="21"/>
      <c r="HE195" s="21"/>
      <c r="HF195" s="21"/>
      <c r="HG195" s="21"/>
      <c r="HH195" s="21"/>
      <c r="HI195" s="21"/>
      <c r="HJ195" s="21"/>
      <c r="HK195" s="21"/>
      <c r="HL195" s="21"/>
      <c r="HM195" s="21"/>
      <c r="HN195" s="21"/>
      <c r="HO195" s="21"/>
      <c r="HP195" s="21"/>
      <c r="HQ195" s="21"/>
      <c r="HR195" s="21"/>
      <c r="HS195" s="21"/>
      <c r="HT195" s="21"/>
      <c r="HU195" s="21"/>
      <c r="HV195" s="21"/>
      <c r="HW195" s="21"/>
      <c r="HX195" s="21"/>
      <c r="HY195" s="21"/>
      <c r="HZ195" s="21"/>
      <c r="IA195" s="21"/>
      <c r="IB195" s="21"/>
      <c r="IC195" s="21"/>
      <c r="ID195" s="21"/>
      <c r="IE195" s="21"/>
      <c r="IF195" s="21"/>
      <c r="IG195" s="21"/>
      <c r="IH195" s="21"/>
      <c r="II195" s="21"/>
      <c r="IJ195" s="21"/>
      <c r="IK195" s="21"/>
      <c r="IL195" s="21"/>
      <c r="IM195" s="21"/>
      <c r="IN195" s="21"/>
      <c r="IO195" s="21"/>
      <c r="IP195" s="21"/>
      <c r="IQ195" s="21"/>
      <c r="IR195" s="21"/>
      <c r="IS195" s="21"/>
      <c r="IT195" s="21"/>
      <c r="IU195" s="21"/>
      <c r="IV195" s="21"/>
    </row>
    <row r="196" spans="1:256" s="59" customFormat="1" ht="75">
      <c r="A196" s="127"/>
      <c r="B196" s="155"/>
      <c r="C196" s="112" t="s">
        <v>1111</v>
      </c>
      <c r="D196" s="101" t="s">
        <v>1060</v>
      </c>
      <c r="E196" s="113" t="s">
        <v>339</v>
      </c>
      <c r="F196" s="3" t="s">
        <v>1155</v>
      </c>
      <c r="G196" s="106" t="s">
        <v>107</v>
      </c>
      <c r="H196" s="95"/>
      <c r="I196" s="98"/>
      <c r="J196" s="95">
        <v>44.5</v>
      </c>
      <c r="K196" s="95"/>
      <c r="L196" s="95"/>
      <c r="M196" s="95"/>
      <c r="N196" s="96" t="s">
        <v>154</v>
      </c>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c r="FP196" s="21"/>
      <c r="FQ196" s="21"/>
      <c r="FR196" s="21"/>
      <c r="FS196" s="21"/>
      <c r="FT196" s="21"/>
      <c r="FU196" s="21"/>
      <c r="FV196" s="21"/>
      <c r="FW196" s="21"/>
      <c r="FX196" s="21"/>
      <c r="FY196" s="21"/>
      <c r="FZ196" s="21"/>
      <c r="GA196" s="21"/>
      <c r="GB196" s="21"/>
      <c r="GC196" s="21"/>
      <c r="GD196" s="21"/>
      <c r="GE196" s="21"/>
      <c r="GF196" s="21"/>
      <c r="GG196" s="21"/>
      <c r="GH196" s="21"/>
      <c r="GI196" s="21"/>
      <c r="GJ196" s="21"/>
      <c r="GK196" s="21"/>
      <c r="GL196" s="21"/>
      <c r="GM196" s="21"/>
      <c r="GN196" s="21"/>
      <c r="GO196" s="21"/>
      <c r="GP196" s="21"/>
      <c r="GQ196" s="21"/>
      <c r="GR196" s="21"/>
      <c r="GS196" s="21"/>
      <c r="GT196" s="21"/>
      <c r="GU196" s="21"/>
      <c r="GV196" s="21"/>
      <c r="GW196" s="21"/>
      <c r="GX196" s="21"/>
      <c r="GY196" s="21"/>
      <c r="GZ196" s="21"/>
      <c r="HA196" s="21"/>
      <c r="HB196" s="21"/>
      <c r="HC196" s="21"/>
      <c r="HD196" s="21"/>
      <c r="HE196" s="21"/>
      <c r="HF196" s="21"/>
      <c r="HG196" s="21"/>
      <c r="HH196" s="21"/>
      <c r="HI196" s="21"/>
      <c r="HJ196" s="21"/>
      <c r="HK196" s="21"/>
      <c r="HL196" s="21"/>
      <c r="HM196" s="21"/>
      <c r="HN196" s="21"/>
      <c r="HO196" s="21"/>
      <c r="HP196" s="21"/>
      <c r="HQ196" s="21"/>
      <c r="HR196" s="21"/>
      <c r="HS196" s="21"/>
      <c r="HT196" s="21"/>
      <c r="HU196" s="21"/>
      <c r="HV196" s="21"/>
      <c r="HW196" s="21"/>
      <c r="HX196" s="21"/>
      <c r="HY196" s="21"/>
      <c r="HZ196" s="21"/>
      <c r="IA196" s="21"/>
      <c r="IB196" s="21"/>
      <c r="IC196" s="21"/>
      <c r="ID196" s="21"/>
      <c r="IE196" s="21"/>
      <c r="IF196" s="21"/>
      <c r="IG196" s="21"/>
      <c r="IH196" s="21"/>
      <c r="II196" s="21"/>
      <c r="IJ196" s="21"/>
      <c r="IK196" s="21"/>
      <c r="IL196" s="21"/>
      <c r="IM196" s="21"/>
      <c r="IN196" s="21"/>
      <c r="IO196" s="21"/>
      <c r="IP196" s="21"/>
      <c r="IQ196" s="21"/>
      <c r="IR196" s="21"/>
      <c r="IS196" s="21"/>
      <c r="IT196" s="21"/>
      <c r="IU196" s="21"/>
      <c r="IV196" s="21"/>
    </row>
    <row r="197" spans="1:256" s="59" customFormat="1" ht="55.5" customHeight="1">
      <c r="A197" s="127"/>
      <c r="B197" s="155"/>
      <c r="C197" s="112" t="s">
        <v>412</v>
      </c>
      <c r="D197" s="101" t="s">
        <v>1060</v>
      </c>
      <c r="E197" s="113" t="s">
        <v>108</v>
      </c>
      <c r="F197" s="3" t="s">
        <v>1155</v>
      </c>
      <c r="G197" s="106" t="s">
        <v>731</v>
      </c>
      <c r="H197" s="95"/>
      <c r="I197" s="98"/>
      <c r="J197" s="95">
        <v>50000</v>
      </c>
      <c r="K197" s="95"/>
      <c r="L197" s="95"/>
      <c r="M197" s="95"/>
      <c r="N197" s="96" t="s">
        <v>152</v>
      </c>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c r="FP197" s="21"/>
      <c r="FQ197" s="21"/>
      <c r="FR197" s="21"/>
      <c r="FS197" s="21"/>
      <c r="FT197" s="21"/>
      <c r="FU197" s="21"/>
      <c r="FV197" s="21"/>
      <c r="FW197" s="21"/>
      <c r="FX197" s="21"/>
      <c r="FY197" s="21"/>
      <c r="FZ197" s="21"/>
      <c r="GA197" s="21"/>
      <c r="GB197" s="21"/>
      <c r="GC197" s="21"/>
      <c r="GD197" s="21"/>
      <c r="GE197" s="21"/>
      <c r="GF197" s="21"/>
      <c r="GG197" s="21"/>
      <c r="GH197" s="21"/>
      <c r="GI197" s="21"/>
      <c r="GJ197" s="21"/>
      <c r="GK197" s="21"/>
      <c r="GL197" s="21"/>
      <c r="GM197" s="21"/>
      <c r="GN197" s="21"/>
      <c r="GO197" s="21"/>
      <c r="GP197" s="21"/>
      <c r="GQ197" s="21"/>
      <c r="GR197" s="21"/>
      <c r="GS197" s="21"/>
      <c r="GT197" s="21"/>
      <c r="GU197" s="21"/>
      <c r="GV197" s="21"/>
      <c r="GW197" s="21"/>
      <c r="GX197" s="21"/>
      <c r="GY197" s="21"/>
      <c r="GZ197" s="21"/>
      <c r="HA197" s="21"/>
      <c r="HB197" s="21"/>
      <c r="HC197" s="21"/>
      <c r="HD197" s="21"/>
      <c r="HE197" s="21"/>
      <c r="HF197" s="21"/>
      <c r="HG197" s="21"/>
      <c r="HH197" s="21"/>
      <c r="HI197" s="21"/>
      <c r="HJ197" s="21"/>
      <c r="HK197" s="21"/>
      <c r="HL197" s="21"/>
      <c r="HM197" s="21"/>
      <c r="HN197" s="21"/>
      <c r="HO197" s="21"/>
      <c r="HP197" s="21"/>
      <c r="HQ197" s="21"/>
      <c r="HR197" s="21"/>
      <c r="HS197" s="21"/>
      <c r="HT197" s="21"/>
      <c r="HU197" s="21"/>
      <c r="HV197" s="21"/>
      <c r="HW197" s="21"/>
      <c r="HX197" s="21"/>
      <c r="HY197" s="21"/>
      <c r="HZ197" s="21"/>
      <c r="IA197" s="21"/>
      <c r="IB197" s="21"/>
      <c r="IC197" s="21"/>
      <c r="ID197" s="21"/>
      <c r="IE197" s="21"/>
      <c r="IF197" s="21"/>
      <c r="IG197" s="21"/>
      <c r="IH197" s="21"/>
      <c r="II197" s="21"/>
      <c r="IJ197" s="21"/>
      <c r="IK197" s="21"/>
      <c r="IL197" s="21"/>
      <c r="IM197" s="21"/>
      <c r="IN197" s="21"/>
      <c r="IO197" s="21"/>
      <c r="IP197" s="21"/>
      <c r="IQ197" s="21"/>
      <c r="IR197" s="21"/>
      <c r="IS197" s="21"/>
      <c r="IT197" s="21"/>
      <c r="IU197" s="21"/>
      <c r="IV197" s="21"/>
    </row>
    <row r="198" spans="1:256" s="29" customFormat="1" ht="45">
      <c r="A198" s="127" t="s">
        <v>773</v>
      </c>
      <c r="B198" s="125" t="s">
        <v>617</v>
      </c>
      <c r="C198" s="126" t="s">
        <v>902</v>
      </c>
      <c r="D198" s="126" t="s">
        <v>1142</v>
      </c>
      <c r="E198" s="6" t="s">
        <v>1402</v>
      </c>
      <c r="F198" s="100" t="s">
        <v>1292</v>
      </c>
      <c r="G198" s="100" t="s">
        <v>1403</v>
      </c>
      <c r="H198" s="136">
        <f>SUM(H204:H211)</f>
        <v>538347.5</v>
      </c>
      <c r="I198" s="143">
        <f>SUM(I204:I211)</f>
        <v>503693</v>
      </c>
      <c r="J198" s="136">
        <f>SUM(J204:J211)</f>
        <v>191918.90000000002</v>
      </c>
      <c r="K198" s="136"/>
      <c r="L198" s="136"/>
      <c r="M198" s="136"/>
      <c r="N198" s="137" t="s">
        <v>388</v>
      </c>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c r="FP198" s="21"/>
      <c r="FQ198" s="21"/>
      <c r="FR198" s="21"/>
      <c r="FS198" s="21"/>
      <c r="FT198" s="21"/>
      <c r="FU198" s="21"/>
      <c r="FV198" s="21"/>
      <c r="FW198" s="21"/>
      <c r="FX198" s="21"/>
      <c r="FY198" s="21"/>
      <c r="FZ198" s="21"/>
      <c r="GA198" s="21"/>
      <c r="GB198" s="21"/>
      <c r="GC198" s="21"/>
      <c r="GD198" s="21"/>
      <c r="GE198" s="21"/>
      <c r="GF198" s="21"/>
      <c r="GG198" s="21"/>
      <c r="GH198" s="21"/>
      <c r="GI198" s="21"/>
      <c r="GJ198" s="21"/>
      <c r="GK198" s="21"/>
      <c r="GL198" s="21"/>
      <c r="GM198" s="21"/>
      <c r="GN198" s="21"/>
      <c r="GO198" s="21"/>
      <c r="GP198" s="21"/>
      <c r="GQ198" s="21"/>
      <c r="GR198" s="21"/>
      <c r="GS198" s="21"/>
      <c r="GT198" s="21"/>
      <c r="GU198" s="21"/>
      <c r="GV198" s="21"/>
      <c r="GW198" s="21"/>
      <c r="GX198" s="21"/>
      <c r="GY198" s="21"/>
      <c r="GZ198" s="21"/>
      <c r="HA198" s="21"/>
      <c r="HB198" s="21"/>
      <c r="HC198" s="21"/>
      <c r="HD198" s="21"/>
      <c r="HE198" s="21"/>
      <c r="HF198" s="21"/>
      <c r="HG198" s="21"/>
      <c r="HH198" s="21"/>
      <c r="HI198" s="21"/>
      <c r="HJ198" s="21"/>
      <c r="HK198" s="21"/>
      <c r="HL198" s="21"/>
      <c r="HM198" s="21"/>
      <c r="HN198" s="21"/>
      <c r="HO198" s="21"/>
      <c r="HP198" s="21"/>
      <c r="HQ198" s="21"/>
      <c r="HR198" s="21"/>
      <c r="HS198" s="21"/>
      <c r="HT198" s="21"/>
      <c r="HU198" s="21"/>
      <c r="HV198" s="21"/>
      <c r="HW198" s="21"/>
      <c r="HX198" s="21"/>
      <c r="HY198" s="21"/>
      <c r="HZ198" s="21"/>
      <c r="IA198" s="21"/>
      <c r="IB198" s="21"/>
      <c r="IC198" s="21"/>
      <c r="ID198" s="21"/>
      <c r="IE198" s="21"/>
      <c r="IF198" s="21"/>
      <c r="IG198" s="21"/>
      <c r="IH198" s="21"/>
      <c r="II198" s="21"/>
      <c r="IJ198" s="21"/>
      <c r="IK198" s="21"/>
      <c r="IL198" s="21"/>
      <c r="IM198" s="21"/>
      <c r="IN198" s="21"/>
      <c r="IO198" s="21"/>
      <c r="IP198" s="21"/>
      <c r="IQ198" s="21"/>
      <c r="IR198" s="21"/>
      <c r="IS198" s="21"/>
      <c r="IT198" s="21"/>
      <c r="IU198" s="21"/>
      <c r="IV198" s="21"/>
    </row>
    <row r="199" spans="1:14" ht="34.5" customHeight="1">
      <c r="A199" s="127"/>
      <c r="B199" s="125"/>
      <c r="C199" s="126"/>
      <c r="D199" s="126"/>
      <c r="E199" s="6" t="s">
        <v>499</v>
      </c>
      <c r="F199" s="100" t="s">
        <v>500</v>
      </c>
      <c r="G199" s="100" t="s">
        <v>501</v>
      </c>
      <c r="H199" s="136"/>
      <c r="I199" s="143"/>
      <c r="J199" s="136"/>
      <c r="K199" s="136"/>
      <c r="L199" s="136"/>
      <c r="M199" s="136"/>
      <c r="N199" s="137"/>
    </row>
    <row r="200" spans="1:14" ht="70.5" customHeight="1">
      <c r="A200" s="127"/>
      <c r="B200" s="125"/>
      <c r="C200" s="126"/>
      <c r="D200" s="126"/>
      <c r="E200" s="6" t="s">
        <v>514</v>
      </c>
      <c r="F200" s="100" t="s">
        <v>806</v>
      </c>
      <c r="G200" s="100" t="s">
        <v>533</v>
      </c>
      <c r="H200" s="136"/>
      <c r="I200" s="143"/>
      <c r="J200" s="136"/>
      <c r="K200" s="136"/>
      <c r="L200" s="136"/>
      <c r="M200" s="136"/>
      <c r="N200" s="137"/>
    </row>
    <row r="201" spans="1:14" ht="52.5" customHeight="1">
      <c r="A201" s="127"/>
      <c r="B201" s="125"/>
      <c r="C201" s="126"/>
      <c r="D201" s="126"/>
      <c r="E201" s="6" t="s">
        <v>1294</v>
      </c>
      <c r="F201" s="100" t="s">
        <v>1155</v>
      </c>
      <c r="G201" s="100" t="s">
        <v>1494</v>
      </c>
      <c r="H201" s="136"/>
      <c r="I201" s="143"/>
      <c r="J201" s="136"/>
      <c r="K201" s="136"/>
      <c r="L201" s="136"/>
      <c r="M201" s="136"/>
      <c r="N201" s="137"/>
    </row>
    <row r="202" spans="1:14" ht="55.5" customHeight="1">
      <c r="A202" s="127"/>
      <c r="B202" s="125"/>
      <c r="C202" s="126"/>
      <c r="D202" s="126"/>
      <c r="E202" s="6" t="s">
        <v>1293</v>
      </c>
      <c r="F202" s="100" t="s">
        <v>1449</v>
      </c>
      <c r="G202" s="100" t="s">
        <v>1295</v>
      </c>
      <c r="H202" s="136"/>
      <c r="I202" s="143"/>
      <c r="J202" s="136"/>
      <c r="K202" s="136"/>
      <c r="L202" s="136"/>
      <c r="M202" s="136"/>
      <c r="N202" s="137"/>
    </row>
    <row r="203" spans="1:14" ht="15">
      <c r="A203" s="127"/>
      <c r="B203" s="125"/>
      <c r="C203" s="126"/>
      <c r="D203" s="126"/>
      <c r="E203" s="6" t="s">
        <v>1097</v>
      </c>
      <c r="F203" s="100"/>
      <c r="G203" s="100"/>
      <c r="H203" s="95"/>
      <c r="I203" s="98"/>
      <c r="J203" s="95"/>
      <c r="K203" s="95"/>
      <c r="L203" s="95"/>
      <c r="M203" s="95"/>
      <c r="N203" s="96"/>
    </row>
    <row r="204" spans="1:14" ht="285" customHeight="1">
      <c r="A204" s="127"/>
      <c r="B204" s="125"/>
      <c r="C204" s="101" t="s">
        <v>1130</v>
      </c>
      <c r="D204" s="101" t="s">
        <v>1142</v>
      </c>
      <c r="E204" s="6" t="s">
        <v>1143</v>
      </c>
      <c r="F204" s="100" t="s">
        <v>1155</v>
      </c>
      <c r="G204" s="100" t="s">
        <v>529</v>
      </c>
      <c r="H204" s="95">
        <f>359763.5-412.2-18300-629.3-19068-27895.7</f>
        <v>293458.3</v>
      </c>
      <c r="I204" s="98">
        <f>335611.4-411.4-18288.6-628-17542.7-6469.7</f>
        <v>292271</v>
      </c>
      <c r="J204" s="95"/>
      <c r="K204" s="95"/>
      <c r="L204" s="95"/>
      <c r="M204" s="95"/>
      <c r="N204" s="96" t="s">
        <v>746</v>
      </c>
    </row>
    <row r="205" spans="1:14" ht="64.5" customHeight="1">
      <c r="A205" s="127"/>
      <c r="B205" s="125"/>
      <c r="C205" s="101" t="s">
        <v>1131</v>
      </c>
      <c r="D205" s="101" t="s">
        <v>1138</v>
      </c>
      <c r="E205" s="6" t="s">
        <v>1145</v>
      </c>
      <c r="F205" s="100" t="s">
        <v>1155</v>
      </c>
      <c r="G205" s="100" t="s">
        <v>534</v>
      </c>
      <c r="H205" s="95">
        <v>412.2</v>
      </c>
      <c r="I205" s="98">
        <v>411.4</v>
      </c>
      <c r="J205" s="95"/>
      <c r="K205" s="95"/>
      <c r="L205" s="95"/>
      <c r="M205" s="95"/>
      <c r="N205" s="96" t="s">
        <v>937</v>
      </c>
    </row>
    <row r="206" spans="1:14" ht="40.5" customHeight="1">
      <c r="A206" s="127"/>
      <c r="B206" s="125"/>
      <c r="C206" s="101" t="s">
        <v>1132</v>
      </c>
      <c r="D206" s="101" t="s">
        <v>1063</v>
      </c>
      <c r="E206" s="2" t="s">
        <v>745</v>
      </c>
      <c r="F206" s="106" t="s">
        <v>1067</v>
      </c>
      <c r="G206" s="4" t="s">
        <v>1068</v>
      </c>
      <c r="H206" s="95">
        <v>629.3</v>
      </c>
      <c r="I206" s="98">
        <v>628</v>
      </c>
      <c r="J206" s="95">
        <v>365</v>
      </c>
      <c r="K206" s="95"/>
      <c r="L206" s="95"/>
      <c r="M206" s="95"/>
      <c r="N206" s="96" t="s">
        <v>521</v>
      </c>
    </row>
    <row r="207" spans="1:14" ht="48" customHeight="1">
      <c r="A207" s="127"/>
      <c r="B207" s="125"/>
      <c r="C207" s="142" t="s">
        <v>1133</v>
      </c>
      <c r="D207" s="142" t="s">
        <v>1137</v>
      </c>
      <c r="E207" s="113" t="s">
        <v>1386</v>
      </c>
      <c r="F207" s="106" t="s">
        <v>1155</v>
      </c>
      <c r="G207" s="4" t="s">
        <v>526</v>
      </c>
      <c r="H207" s="136">
        <v>18300</v>
      </c>
      <c r="I207" s="143">
        <v>18288.6</v>
      </c>
      <c r="J207" s="136">
        <v>13275</v>
      </c>
      <c r="K207" s="136"/>
      <c r="L207" s="136"/>
      <c r="M207" s="136"/>
      <c r="N207" s="137" t="s">
        <v>944</v>
      </c>
    </row>
    <row r="208" spans="1:14" ht="38.25" customHeight="1">
      <c r="A208" s="127"/>
      <c r="B208" s="125"/>
      <c r="C208" s="142"/>
      <c r="D208" s="142"/>
      <c r="E208" s="113" t="s">
        <v>527</v>
      </c>
      <c r="F208" s="106" t="s">
        <v>1155</v>
      </c>
      <c r="G208" s="4" t="s">
        <v>528</v>
      </c>
      <c r="H208" s="136"/>
      <c r="I208" s="143"/>
      <c r="J208" s="136"/>
      <c r="K208" s="136"/>
      <c r="L208" s="136"/>
      <c r="M208" s="136"/>
      <c r="N208" s="137"/>
    </row>
    <row r="209" spans="1:14" ht="78" customHeight="1">
      <c r="A209" s="127"/>
      <c r="B209" s="125"/>
      <c r="C209" s="101" t="s">
        <v>1134</v>
      </c>
      <c r="D209" s="101" t="s">
        <v>1137</v>
      </c>
      <c r="E209" s="113" t="s">
        <v>19</v>
      </c>
      <c r="F209" s="106" t="s">
        <v>1155</v>
      </c>
      <c r="G209" s="4" t="s">
        <v>1388</v>
      </c>
      <c r="H209" s="95">
        <v>19068</v>
      </c>
      <c r="I209" s="98">
        <v>17542.7</v>
      </c>
      <c r="J209" s="95">
        <v>13532.2</v>
      </c>
      <c r="K209" s="95"/>
      <c r="L209" s="95"/>
      <c r="M209" s="95"/>
      <c r="N209" s="96" t="s">
        <v>1140</v>
      </c>
    </row>
    <row r="210" spans="1:14" ht="88.5" customHeight="1">
      <c r="A210" s="127"/>
      <c r="B210" s="125"/>
      <c r="C210" s="101" t="s">
        <v>1135</v>
      </c>
      <c r="D210" s="101" t="s">
        <v>895</v>
      </c>
      <c r="E210" s="1" t="s">
        <v>483</v>
      </c>
      <c r="F210" s="3" t="s">
        <v>1155</v>
      </c>
      <c r="G210" s="106" t="s">
        <v>484</v>
      </c>
      <c r="H210" s="95">
        <v>29590.1</v>
      </c>
      <c r="I210" s="98">
        <v>21167</v>
      </c>
      <c r="J210" s="95">
        <f>36847.3+127899.4</f>
        <v>164746.7</v>
      </c>
      <c r="K210" s="95"/>
      <c r="L210" s="95"/>
      <c r="M210" s="95"/>
      <c r="N210" s="96" t="s">
        <v>938</v>
      </c>
    </row>
    <row r="211" spans="1:14" ht="153.75" customHeight="1">
      <c r="A211" s="127"/>
      <c r="B211" s="125"/>
      <c r="C211" s="101" t="s">
        <v>1136</v>
      </c>
      <c r="D211" s="101" t="s">
        <v>895</v>
      </c>
      <c r="E211" s="1" t="s">
        <v>1013</v>
      </c>
      <c r="F211" s="3" t="s">
        <v>1155</v>
      </c>
      <c r="G211" s="106" t="s">
        <v>1387</v>
      </c>
      <c r="H211" s="95">
        <f>171820.9+5068.7</f>
        <v>176889.6</v>
      </c>
      <c r="I211" s="98">
        <f>148760.3+4624</f>
        <v>153384.3</v>
      </c>
      <c r="J211" s="95"/>
      <c r="K211" s="95"/>
      <c r="L211" s="95"/>
      <c r="M211" s="95"/>
      <c r="N211" s="96" t="s">
        <v>506</v>
      </c>
    </row>
    <row r="212" spans="1:256" s="28" customFormat="1" ht="45">
      <c r="A212" s="127" t="s">
        <v>774</v>
      </c>
      <c r="B212" s="125" t="s">
        <v>904</v>
      </c>
      <c r="C212" s="126" t="s">
        <v>903</v>
      </c>
      <c r="D212" s="142" t="s">
        <v>963</v>
      </c>
      <c r="E212" s="6" t="s">
        <v>1206</v>
      </c>
      <c r="F212" s="100" t="s">
        <v>1207</v>
      </c>
      <c r="G212" s="100" t="s">
        <v>1289</v>
      </c>
      <c r="H212" s="139">
        <v>363</v>
      </c>
      <c r="I212" s="124">
        <v>283.3</v>
      </c>
      <c r="J212" s="139">
        <v>204</v>
      </c>
      <c r="K212" s="139">
        <v>204</v>
      </c>
      <c r="L212" s="139">
        <v>204</v>
      </c>
      <c r="M212" s="139">
        <v>204</v>
      </c>
      <c r="N212" s="137" t="s">
        <v>458</v>
      </c>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c r="FP212" s="21"/>
      <c r="FQ212" s="21"/>
      <c r="FR212" s="21"/>
      <c r="FS212" s="21"/>
      <c r="FT212" s="21"/>
      <c r="FU212" s="21"/>
      <c r="FV212" s="21"/>
      <c r="FW212" s="21"/>
      <c r="FX212" s="21"/>
      <c r="FY212" s="21"/>
      <c r="FZ212" s="21"/>
      <c r="GA212" s="21"/>
      <c r="GB212" s="21"/>
      <c r="GC212" s="21"/>
      <c r="GD212" s="21"/>
      <c r="GE212" s="21"/>
      <c r="GF212" s="21"/>
      <c r="GG212" s="21"/>
      <c r="GH212" s="21"/>
      <c r="GI212" s="21"/>
      <c r="GJ212" s="21"/>
      <c r="GK212" s="21"/>
      <c r="GL212" s="21"/>
      <c r="GM212" s="21"/>
      <c r="GN212" s="21"/>
      <c r="GO212" s="21"/>
      <c r="GP212" s="21"/>
      <c r="GQ212" s="21"/>
      <c r="GR212" s="21"/>
      <c r="GS212" s="21"/>
      <c r="GT212" s="21"/>
      <c r="GU212" s="21"/>
      <c r="GV212" s="21"/>
      <c r="GW212" s="21"/>
      <c r="GX212" s="21"/>
      <c r="GY212" s="21"/>
      <c r="GZ212" s="21"/>
      <c r="HA212" s="21"/>
      <c r="HB212" s="21"/>
      <c r="HC212" s="21"/>
      <c r="HD212" s="21"/>
      <c r="HE212" s="21"/>
      <c r="HF212" s="21"/>
      <c r="HG212" s="21"/>
      <c r="HH212" s="21"/>
      <c r="HI212" s="21"/>
      <c r="HJ212" s="21"/>
      <c r="HK212" s="21"/>
      <c r="HL212" s="21"/>
      <c r="HM212" s="21"/>
      <c r="HN212" s="21"/>
      <c r="HO212" s="21"/>
      <c r="HP212" s="21"/>
      <c r="HQ212" s="21"/>
      <c r="HR212" s="21"/>
      <c r="HS212" s="21"/>
      <c r="HT212" s="21"/>
      <c r="HU212" s="21"/>
      <c r="HV212" s="21"/>
      <c r="HW212" s="21"/>
      <c r="HX212" s="21"/>
      <c r="HY212" s="21"/>
      <c r="HZ212" s="21"/>
      <c r="IA212" s="21"/>
      <c r="IB212" s="21"/>
      <c r="IC212" s="21"/>
      <c r="ID212" s="21"/>
      <c r="IE212" s="21"/>
      <c r="IF212" s="21"/>
      <c r="IG212" s="21"/>
      <c r="IH212" s="21"/>
      <c r="II212" s="21"/>
      <c r="IJ212" s="21"/>
      <c r="IK212" s="21"/>
      <c r="IL212" s="21"/>
      <c r="IM212" s="21"/>
      <c r="IN212" s="21"/>
      <c r="IO212" s="21"/>
      <c r="IP212" s="21"/>
      <c r="IQ212" s="21"/>
      <c r="IR212" s="21"/>
      <c r="IS212" s="21"/>
      <c r="IT212" s="21"/>
      <c r="IU212" s="21"/>
      <c r="IV212" s="21"/>
    </row>
    <row r="213" spans="1:14" ht="60">
      <c r="A213" s="127"/>
      <c r="B213" s="125"/>
      <c r="C213" s="126"/>
      <c r="D213" s="142"/>
      <c r="E213" s="6" t="s">
        <v>1204</v>
      </c>
      <c r="F213" s="100" t="s">
        <v>867</v>
      </c>
      <c r="G213" s="100" t="s">
        <v>1205</v>
      </c>
      <c r="H213" s="139"/>
      <c r="I213" s="124"/>
      <c r="J213" s="139"/>
      <c r="K213" s="139"/>
      <c r="L213" s="139"/>
      <c r="M213" s="139"/>
      <c r="N213" s="137"/>
    </row>
    <row r="214" spans="1:14" ht="58.5" customHeight="1">
      <c r="A214" s="127"/>
      <c r="B214" s="125"/>
      <c r="C214" s="126"/>
      <c r="D214" s="142"/>
      <c r="E214" s="6" t="s">
        <v>1209</v>
      </c>
      <c r="F214" s="100" t="s">
        <v>1155</v>
      </c>
      <c r="G214" s="100" t="s">
        <v>1208</v>
      </c>
      <c r="H214" s="139"/>
      <c r="I214" s="124"/>
      <c r="J214" s="139"/>
      <c r="K214" s="139"/>
      <c r="L214" s="139"/>
      <c r="M214" s="139"/>
      <c r="N214" s="137"/>
    </row>
    <row r="215" spans="1:256" s="28" customFormat="1" ht="36" customHeight="1">
      <c r="A215" s="127"/>
      <c r="B215" s="125"/>
      <c r="C215" s="126"/>
      <c r="D215" s="142"/>
      <c r="E215" s="6" t="s">
        <v>549</v>
      </c>
      <c r="F215" s="100" t="s">
        <v>1155</v>
      </c>
      <c r="G215" s="100" t="s">
        <v>550</v>
      </c>
      <c r="H215" s="139"/>
      <c r="I215" s="124"/>
      <c r="J215" s="139"/>
      <c r="K215" s="139"/>
      <c r="L215" s="139"/>
      <c r="M215" s="139"/>
      <c r="N215" s="137"/>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c r="FP215" s="21"/>
      <c r="FQ215" s="21"/>
      <c r="FR215" s="21"/>
      <c r="FS215" s="21"/>
      <c r="FT215" s="21"/>
      <c r="FU215" s="21"/>
      <c r="FV215" s="21"/>
      <c r="FW215" s="21"/>
      <c r="FX215" s="21"/>
      <c r="FY215" s="21"/>
      <c r="FZ215" s="21"/>
      <c r="GA215" s="21"/>
      <c r="GB215" s="21"/>
      <c r="GC215" s="21"/>
      <c r="GD215" s="21"/>
      <c r="GE215" s="21"/>
      <c r="GF215" s="21"/>
      <c r="GG215" s="21"/>
      <c r="GH215" s="21"/>
      <c r="GI215" s="21"/>
      <c r="GJ215" s="21"/>
      <c r="GK215" s="21"/>
      <c r="GL215" s="21"/>
      <c r="GM215" s="21"/>
      <c r="GN215" s="21"/>
      <c r="GO215" s="21"/>
      <c r="GP215" s="21"/>
      <c r="GQ215" s="21"/>
      <c r="GR215" s="21"/>
      <c r="GS215" s="21"/>
      <c r="GT215" s="21"/>
      <c r="GU215" s="21"/>
      <c r="GV215" s="21"/>
      <c r="GW215" s="21"/>
      <c r="GX215" s="21"/>
      <c r="GY215" s="21"/>
      <c r="GZ215" s="21"/>
      <c r="HA215" s="21"/>
      <c r="HB215" s="21"/>
      <c r="HC215" s="21"/>
      <c r="HD215" s="21"/>
      <c r="HE215" s="21"/>
      <c r="HF215" s="21"/>
      <c r="HG215" s="21"/>
      <c r="HH215" s="21"/>
      <c r="HI215" s="21"/>
      <c r="HJ215" s="21"/>
      <c r="HK215" s="21"/>
      <c r="HL215" s="21"/>
      <c r="HM215" s="21"/>
      <c r="HN215" s="21"/>
      <c r="HO215" s="21"/>
      <c r="HP215" s="21"/>
      <c r="HQ215" s="21"/>
      <c r="HR215" s="21"/>
      <c r="HS215" s="21"/>
      <c r="HT215" s="21"/>
      <c r="HU215" s="21"/>
      <c r="HV215" s="21"/>
      <c r="HW215" s="21"/>
      <c r="HX215" s="21"/>
      <c r="HY215" s="21"/>
      <c r="HZ215" s="21"/>
      <c r="IA215" s="21"/>
      <c r="IB215" s="21"/>
      <c r="IC215" s="21"/>
      <c r="ID215" s="21"/>
      <c r="IE215" s="21"/>
      <c r="IF215" s="21"/>
      <c r="IG215" s="21"/>
      <c r="IH215" s="21"/>
      <c r="II215" s="21"/>
      <c r="IJ215" s="21"/>
      <c r="IK215" s="21"/>
      <c r="IL215" s="21"/>
      <c r="IM215" s="21"/>
      <c r="IN215" s="21"/>
      <c r="IO215" s="21"/>
      <c r="IP215" s="21"/>
      <c r="IQ215" s="21"/>
      <c r="IR215" s="21"/>
      <c r="IS215" s="21"/>
      <c r="IT215" s="21"/>
      <c r="IU215" s="21"/>
      <c r="IV215" s="21"/>
    </row>
    <row r="216" spans="1:256" s="28" customFormat="1" ht="48" customHeight="1">
      <c r="A216" s="127"/>
      <c r="B216" s="125"/>
      <c r="C216" s="126"/>
      <c r="D216" s="142"/>
      <c r="E216" s="6" t="s">
        <v>385</v>
      </c>
      <c r="F216" s="100" t="s">
        <v>1155</v>
      </c>
      <c r="G216" s="100" t="s">
        <v>386</v>
      </c>
      <c r="H216" s="139"/>
      <c r="I216" s="124"/>
      <c r="J216" s="139"/>
      <c r="K216" s="139"/>
      <c r="L216" s="139"/>
      <c r="M216" s="139"/>
      <c r="N216" s="137"/>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c r="FP216" s="21"/>
      <c r="FQ216" s="21"/>
      <c r="FR216" s="21"/>
      <c r="FS216" s="21"/>
      <c r="FT216" s="21"/>
      <c r="FU216" s="21"/>
      <c r="FV216" s="21"/>
      <c r="FW216" s="21"/>
      <c r="FX216" s="21"/>
      <c r="FY216" s="21"/>
      <c r="FZ216" s="21"/>
      <c r="GA216" s="21"/>
      <c r="GB216" s="21"/>
      <c r="GC216" s="21"/>
      <c r="GD216" s="21"/>
      <c r="GE216" s="21"/>
      <c r="GF216" s="21"/>
      <c r="GG216" s="21"/>
      <c r="GH216" s="21"/>
      <c r="GI216" s="21"/>
      <c r="GJ216" s="21"/>
      <c r="GK216" s="21"/>
      <c r="GL216" s="21"/>
      <c r="GM216" s="21"/>
      <c r="GN216" s="21"/>
      <c r="GO216" s="21"/>
      <c r="GP216" s="21"/>
      <c r="GQ216" s="21"/>
      <c r="GR216" s="21"/>
      <c r="GS216" s="21"/>
      <c r="GT216" s="21"/>
      <c r="GU216" s="21"/>
      <c r="GV216" s="21"/>
      <c r="GW216" s="21"/>
      <c r="GX216" s="21"/>
      <c r="GY216" s="21"/>
      <c r="GZ216" s="21"/>
      <c r="HA216" s="21"/>
      <c r="HB216" s="21"/>
      <c r="HC216" s="21"/>
      <c r="HD216" s="21"/>
      <c r="HE216" s="21"/>
      <c r="HF216" s="21"/>
      <c r="HG216" s="21"/>
      <c r="HH216" s="21"/>
      <c r="HI216" s="21"/>
      <c r="HJ216" s="21"/>
      <c r="HK216" s="21"/>
      <c r="HL216" s="21"/>
      <c r="HM216" s="21"/>
      <c r="HN216" s="21"/>
      <c r="HO216" s="21"/>
      <c r="HP216" s="21"/>
      <c r="HQ216" s="21"/>
      <c r="HR216" s="21"/>
      <c r="HS216" s="21"/>
      <c r="HT216" s="21"/>
      <c r="HU216" s="21"/>
      <c r="HV216" s="21"/>
      <c r="HW216" s="21"/>
      <c r="HX216" s="21"/>
      <c r="HY216" s="21"/>
      <c r="HZ216" s="21"/>
      <c r="IA216" s="21"/>
      <c r="IB216" s="21"/>
      <c r="IC216" s="21"/>
      <c r="ID216" s="21"/>
      <c r="IE216" s="21"/>
      <c r="IF216" s="21"/>
      <c r="IG216" s="21"/>
      <c r="IH216" s="21"/>
      <c r="II216" s="21"/>
      <c r="IJ216" s="21"/>
      <c r="IK216" s="21"/>
      <c r="IL216" s="21"/>
      <c r="IM216" s="21"/>
      <c r="IN216" s="21"/>
      <c r="IO216" s="21"/>
      <c r="IP216" s="21"/>
      <c r="IQ216" s="21"/>
      <c r="IR216" s="21"/>
      <c r="IS216" s="21"/>
      <c r="IT216" s="21"/>
      <c r="IU216" s="21"/>
      <c r="IV216" s="21"/>
    </row>
    <row r="217" spans="1:256" s="29" customFormat="1" ht="45">
      <c r="A217" s="127" t="s">
        <v>775</v>
      </c>
      <c r="B217" s="125" t="s">
        <v>1343</v>
      </c>
      <c r="C217" s="126" t="s">
        <v>905</v>
      </c>
      <c r="D217" s="126" t="s">
        <v>42</v>
      </c>
      <c r="E217" s="6" t="s">
        <v>1299</v>
      </c>
      <c r="F217" s="100" t="s">
        <v>1305</v>
      </c>
      <c r="G217" s="100" t="s">
        <v>1306</v>
      </c>
      <c r="H217" s="136">
        <f aca="true" t="shared" si="12" ref="H217:M217">SUM(H223:H230)</f>
        <v>46167.40000000001</v>
      </c>
      <c r="I217" s="143">
        <f t="shared" si="12"/>
        <v>46167.40000000001</v>
      </c>
      <c r="J217" s="136">
        <f t="shared" si="12"/>
        <v>38189.8</v>
      </c>
      <c r="K217" s="136">
        <f t="shared" si="12"/>
        <v>43515.200000000004</v>
      </c>
      <c r="L217" s="136">
        <f t="shared" si="12"/>
        <v>49351.70000000001</v>
      </c>
      <c r="M217" s="136">
        <f t="shared" si="12"/>
        <v>39552.6</v>
      </c>
      <c r="N217" s="137"/>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c r="FP217" s="21"/>
      <c r="FQ217" s="21"/>
      <c r="FR217" s="21"/>
      <c r="FS217" s="21"/>
      <c r="FT217" s="21"/>
      <c r="FU217" s="21"/>
      <c r="FV217" s="21"/>
      <c r="FW217" s="21"/>
      <c r="FX217" s="21"/>
      <c r="FY217" s="21"/>
      <c r="FZ217" s="21"/>
      <c r="GA217" s="21"/>
      <c r="GB217" s="21"/>
      <c r="GC217" s="21"/>
      <c r="GD217" s="21"/>
      <c r="GE217" s="21"/>
      <c r="GF217" s="21"/>
      <c r="GG217" s="21"/>
      <c r="GH217" s="21"/>
      <c r="GI217" s="21"/>
      <c r="GJ217" s="21"/>
      <c r="GK217" s="21"/>
      <c r="GL217" s="21"/>
      <c r="GM217" s="21"/>
      <c r="GN217" s="21"/>
      <c r="GO217" s="21"/>
      <c r="GP217" s="21"/>
      <c r="GQ217" s="21"/>
      <c r="GR217" s="21"/>
      <c r="GS217" s="21"/>
      <c r="GT217" s="21"/>
      <c r="GU217" s="21"/>
      <c r="GV217" s="21"/>
      <c r="GW217" s="21"/>
      <c r="GX217" s="21"/>
      <c r="GY217" s="21"/>
      <c r="GZ217" s="21"/>
      <c r="HA217" s="21"/>
      <c r="HB217" s="21"/>
      <c r="HC217" s="21"/>
      <c r="HD217" s="21"/>
      <c r="HE217" s="21"/>
      <c r="HF217" s="21"/>
      <c r="HG217" s="21"/>
      <c r="HH217" s="21"/>
      <c r="HI217" s="21"/>
      <c r="HJ217" s="21"/>
      <c r="HK217" s="21"/>
      <c r="HL217" s="21"/>
      <c r="HM217" s="21"/>
      <c r="HN217" s="21"/>
      <c r="HO217" s="21"/>
      <c r="HP217" s="21"/>
      <c r="HQ217" s="21"/>
      <c r="HR217" s="21"/>
      <c r="HS217" s="21"/>
      <c r="HT217" s="21"/>
      <c r="HU217" s="21"/>
      <c r="HV217" s="21"/>
      <c r="HW217" s="21"/>
      <c r="HX217" s="21"/>
      <c r="HY217" s="21"/>
      <c r="HZ217" s="21"/>
      <c r="IA217" s="21"/>
      <c r="IB217" s="21"/>
      <c r="IC217" s="21"/>
      <c r="ID217" s="21"/>
      <c r="IE217" s="21"/>
      <c r="IF217" s="21"/>
      <c r="IG217" s="21"/>
      <c r="IH217" s="21"/>
      <c r="II217" s="21"/>
      <c r="IJ217" s="21"/>
      <c r="IK217" s="21"/>
      <c r="IL217" s="21"/>
      <c r="IM217" s="21"/>
      <c r="IN217" s="21"/>
      <c r="IO217" s="21"/>
      <c r="IP217" s="21"/>
      <c r="IQ217" s="21"/>
      <c r="IR217" s="21"/>
      <c r="IS217" s="21"/>
      <c r="IT217" s="21"/>
      <c r="IU217" s="21"/>
      <c r="IV217" s="21"/>
    </row>
    <row r="218" spans="1:14" ht="30">
      <c r="A218" s="127"/>
      <c r="B218" s="125"/>
      <c r="C218" s="126"/>
      <c r="D218" s="126"/>
      <c r="E218" s="6" t="s">
        <v>1296</v>
      </c>
      <c r="F218" s="100" t="s">
        <v>1104</v>
      </c>
      <c r="G218" s="100" t="s">
        <v>1302</v>
      </c>
      <c r="H218" s="136"/>
      <c r="I218" s="143"/>
      <c r="J218" s="136"/>
      <c r="K218" s="136"/>
      <c r="L218" s="136"/>
      <c r="M218" s="136"/>
      <c r="N218" s="137"/>
    </row>
    <row r="219" spans="1:14" ht="30">
      <c r="A219" s="127"/>
      <c r="B219" s="125"/>
      <c r="C219" s="126"/>
      <c r="D219" s="126"/>
      <c r="E219" s="6" t="s">
        <v>1297</v>
      </c>
      <c r="F219" s="100" t="s">
        <v>1301</v>
      </c>
      <c r="G219" s="100" t="s">
        <v>1303</v>
      </c>
      <c r="H219" s="136"/>
      <c r="I219" s="143"/>
      <c r="J219" s="136"/>
      <c r="K219" s="136"/>
      <c r="L219" s="136"/>
      <c r="M219" s="136"/>
      <c r="N219" s="137"/>
    </row>
    <row r="220" spans="1:14" ht="48" customHeight="1">
      <c r="A220" s="127"/>
      <c r="B220" s="125"/>
      <c r="C220" s="126"/>
      <c r="D220" s="126"/>
      <c r="E220" s="6" t="s">
        <v>1298</v>
      </c>
      <c r="F220" s="100" t="s">
        <v>1301</v>
      </c>
      <c r="G220" s="100" t="s">
        <v>1304</v>
      </c>
      <c r="H220" s="136"/>
      <c r="I220" s="143"/>
      <c r="J220" s="136"/>
      <c r="K220" s="136"/>
      <c r="L220" s="136"/>
      <c r="M220" s="136"/>
      <c r="N220" s="137"/>
    </row>
    <row r="221" spans="1:14" ht="52.5" customHeight="1">
      <c r="A221" s="127"/>
      <c r="B221" s="125"/>
      <c r="C221" s="126"/>
      <c r="D221" s="126"/>
      <c r="E221" s="6" t="s">
        <v>1300</v>
      </c>
      <c r="F221" s="100" t="s">
        <v>1155</v>
      </c>
      <c r="G221" s="100" t="s">
        <v>1409</v>
      </c>
      <c r="H221" s="136"/>
      <c r="I221" s="143"/>
      <c r="J221" s="136"/>
      <c r="K221" s="136"/>
      <c r="L221" s="136"/>
      <c r="M221" s="136"/>
      <c r="N221" s="137"/>
    </row>
    <row r="222" spans="1:256" ht="15">
      <c r="A222" s="127"/>
      <c r="B222" s="125"/>
      <c r="C222" s="126"/>
      <c r="D222" s="126"/>
      <c r="E222" s="6" t="s">
        <v>1097</v>
      </c>
      <c r="F222" s="100"/>
      <c r="G222" s="100"/>
      <c r="H222" s="95"/>
      <c r="I222" s="98"/>
      <c r="J222" s="95"/>
      <c r="K222" s="95"/>
      <c r="L222" s="95"/>
      <c r="M222" s="95"/>
      <c r="N222" s="96"/>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c r="CP222" s="25"/>
      <c r="CQ222" s="25"/>
      <c r="CR222" s="25"/>
      <c r="CS222" s="25"/>
      <c r="CT222" s="25"/>
      <c r="CU222" s="25"/>
      <c r="CV222" s="25"/>
      <c r="CW222" s="25"/>
      <c r="CX222" s="25"/>
      <c r="CY222" s="25"/>
      <c r="CZ222" s="25"/>
      <c r="DA222" s="25"/>
      <c r="DB222" s="25"/>
      <c r="DC222" s="25"/>
      <c r="DD222" s="25"/>
      <c r="DE222" s="25"/>
      <c r="DF222" s="25"/>
      <c r="DG222" s="25"/>
      <c r="DH222" s="25"/>
      <c r="DI222" s="25"/>
      <c r="DJ222" s="25"/>
      <c r="DK222" s="25"/>
      <c r="DL222" s="25"/>
      <c r="DM222" s="25"/>
      <c r="DN222" s="25"/>
      <c r="DO222" s="25"/>
      <c r="DP222" s="25"/>
      <c r="DQ222" s="25"/>
      <c r="DR222" s="25"/>
      <c r="DS222" s="25"/>
      <c r="DT222" s="25"/>
      <c r="DU222" s="25"/>
      <c r="DV222" s="25"/>
      <c r="DW222" s="25"/>
      <c r="DX222" s="25"/>
      <c r="DY222" s="25"/>
      <c r="DZ222" s="25"/>
      <c r="EA222" s="25"/>
      <c r="EB222" s="25"/>
      <c r="EC222" s="25"/>
      <c r="ED222" s="25"/>
      <c r="EE222" s="25"/>
      <c r="EF222" s="25"/>
      <c r="EG222" s="25"/>
      <c r="EH222" s="25"/>
      <c r="EI222" s="25"/>
      <c r="EJ222" s="25"/>
      <c r="EK222" s="25"/>
      <c r="EL222" s="25"/>
      <c r="EM222" s="25"/>
      <c r="EN222" s="25"/>
      <c r="EO222" s="25"/>
      <c r="EP222" s="25"/>
      <c r="EQ222" s="25"/>
      <c r="ER222" s="25"/>
      <c r="ES222" s="25"/>
      <c r="ET222" s="25"/>
      <c r="EU222" s="25"/>
      <c r="EV222" s="25"/>
      <c r="EW222" s="25"/>
      <c r="EX222" s="25"/>
      <c r="EY222" s="25"/>
      <c r="EZ222" s="25"/>
      <c r="FA222" s="25"/>
      <c r="FB222" s="25"/>
      <c r="FC222" s="25"/>
      <c r="FD222" s="25"/>
      <c r="FE222" s="25"/>
      <c r="FF222" s="25"/>
      <c r="FG222" s="25"/>
      <c r="FH222" s="25"/>
      <c r="FI222" s="25"/>
      <c r="FJ222" s="25"/>
      <c r="FK222" s="25"/>
      <c r="FL222" s="25"/>
      <c r="FM222" s="25"/>
      <c r="FN222" s="25"/>
      <c r="FO222" s="25"/>
      <c r="FP222" s="25"/>
      <c r="FQ222" s="25"/>
      <c r="FR222" s="25"/>
      <c r="FS222" s="25"/>
      <c r="FT222" s="25"/>
      <c r="FU222" s="25"/>
      <c r="FV222" s="25"/>
      <c r="FW222" s="25"/>
      <c r="FX222" s="25"/>
      <c r="FY222" s="25"/>
      <c r="FZ222" s="25"/>
      <c r="GA222" s="25"/>
      <c r="GB222" s="25"/>
      <c r="GC222" s="25"/>
      <c r="GD222" s="25"/>
      <c r="GE222" s="25"/>
      <c r="GF222" s="25"/>
      <c r="GG222" s="25"/>
      <c r="GH222" s="25"/>
      <c r="GI222" s="25"/>
      <c r="GJ222" s="25"/>
      <c r="GK222" s="25"/>
      <c r="GL222" s="25"/>
      <c r="GM222" s="25"/>
      <c r="GN222" s="25"/>
      <c r="GO222" s="25"/>
      <c r="GP222" s="25"/>
      <c r="GQ222" s="25"/>
      <c r="GR222" s="25"/>
      <c r="GS222" s="25"/>
      <c r="GT222" s="25"/>
      <c r="GU222" s="25"/>
      <c r="GV222" s="25"/>
      <c r="GW222" s="25"/>
      <c r="GX222" s="25"/>
      <c r="GY222" s="25"/>
      <c r="GZ222" s="25"/>
      <c r="HA222" s="25"/>
      <c r="HB222" s="25"/>
      <c r="HC222" s="25"/>
      <c r="HD222" s="25"/>
      <c r="HE222" s="25"/>
      <c r="HF222" s="25"/>
      <c r="HG222" s="25"/>
      <c r="HH222" s="25"/>
      <c r="HI222" s="25"/>
      <c r="HJ222" s="25"/>
      <c r="HK222" s="25"/>
      <c r="HL222" s="25"/>
      <c r="HM222" s="25"/>
      <c r="HN222" s="25"/>
      <c r="HO222" s="25"/>
      <c r="HP222" s="25"/>
      <c r="HQ222" s="25"/>
      <c r="HR222" s="25"/>
      <c r="HS222" s="25"/>
      <c r="HT222" s="25"/>
      <c r="HU222" s="25"/>
      <c r="HV222" s="25"/>
      <c r="HW222" s="25"/>
      <c r="HX222" s="25"/>
      <c r="HY222" s="25"/>
      <c r="HZ222" s="25"/>
      <c r="IA222" s="25"/>
      <c r="IB222" s="25"/>
      <c r="IC222" s="25"/>
      <c r="ID222" s="25"/>
      <c r="IE222" s="25"/>
      <c r="IF222" s="25"/>
      <c r="IG222" s="25"/>
      <c r="IH222" s="25"/>
      <c r="II222" s="25"/>
      <c r="IJ222" s="25"/>
      <c r="IK222" s="25"/>
      <c r="IL222" s="25"/>
      <c r="IM222" s="25"/>
      <c r="IN222" s="25"/>
      <c r="IO222" s="25"/>
      <c r="IP222" s="25"/>
      <c r="IQ222" s="25"/>
      <c r="IR222" s="25"/>
      <c r="IS222" s="25"/>
      <c r="IT222" s="25"/>
      <c r="IU222" s="25"/>
      <c r="IV222" s="25"/>
    </row>
    <row r="223" spans="1:256" ht="81.75" customHeight="1">
      <c r="A223" s="127"/>
      <c r="B223" s="125"/>
      <c r="C223" s="100" t="s">
        <v>1180</v>
      </c>
      <c r="D223" s="101" t="s">
        <v>879</v>
      </c>
      <c r="E223" s="6" t="s">
        <v>23</v>
      </c>
      <c r="F223" s="100" t="s">
        <v>1155</v>
      </c>
      <c r="G223" s="100" t="s">
        <v>1183</v>
      </c>
      <c r="H223" s="95">
        <f>42825.8</f>
        <v>42825.8</v>
      </c>
      <c r="I223" s="98">
        <v>42825.8</v>
      </c>
      <c r="J223" s="95">
        <v>36880.2</v>
      </c>
      <c r="K223" s="95">
        <v>37620.8</v>
      </c>
      <c r="L223" s="95">
        <v>37813.3</v>
      </c>
      <c r="M223" s="95">
        <v>38167.5</v>
      </c>
      <c r="N223" s="96" t="s">
        <v>1210</v>
      </c>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c r="CP223" s="25"/>
      <c r="CQ223" s="25"/>
      <c r="CR223" s="25"/>
      <c r="CS223" s="25"/>
      <c r="CT223" s="25"/>
      <c r="CU223" s="25"/>
      <c r="CV223" s="25"/>
      <c r="CW223" s="25"/>
      <c r="CX223" s="25"/>
      <c r="CY223" s="25"/>
      <c r="CZ223" s="25"/>
      <c r="DA223" s="25"/>
      <c r="DB223" s="25"/>
      <c r="DC223" s="25"/>
      <c r="DD223" s="25"/>
      <c r="DE223" s="25"/>
      <c r="DF223" s="25"/>
      <c r="DG223" s="25"/>
      <c r="DH223" s="25"/>
      <c r="DI223" s="25"/>
      <c r="DJ223" s="25"/>
      <c r="DK223" s="25"/>
      <c r="DL223" s="25"/>
      <c r="DM223" s="25"/>
      <c r="DN223" s="25"/>
      <c r="DO223" s="25"/>
      <c r="DP223" s="25"/>
      <c r="DQ223" s="25"/>
      <c r="DR223" s="25"/>
      <c r="DS223" s="25"/>
      <c r="DT223" s="25"/>
      <c r="DU223" s="25"/>
      <c r="DV223" s="25"/>
      <c r="DW223" s="25"/>
      <c r="DX223" s="25"/>
      <c r="DY223" s="25"/>
      <c r="DZ223" s="25"/>
      <c r="EA223" s="25"/>
      <c r="EB223" s="25"/>
      <c r="EC223" s="25"/>
      <c r="ED223" s="25"/>
      <c r="EE223" s="25"/>
      <c r="EF223" s="25"/>
      <c r="EG223" s="25"/>
      <c r="EH223" s="25"/>
      <c r="EI223" s="25"/>
      <c r="EJ223" s="25"/>
      <c r="EK223" s="25"/>
      <c r="EL223" s="25"/>
      <c r="EM223" s="25"/>
      <c r="EN223" s="25"/>
      <c r="EO223" s="25"/>
      <c r="EP223" s="25"/>
      <c r="EQ223" s="25"/>
      <c r="ER223" s="25"/>
      <c r="ES223" s="25"/>
      <c r="ET223" s="25"/>
      <c r="EU223" s="25"/>
      <c r="EV223" s="25"/>
      <c r="EW223" s="25"/>
      <c r="EX223" s="25"/>
      <c r="EY223" s="25"/>
      <c r="EZ223" s="25"/>
      <c r="FA223" s="25"/>
      <c r="FB223" s="25"/>
      <c r="FC223" s="25"/>
      <c r="FD223" s="25"/>
      <c r="FE223" s="25"/>
      <c r="FF223" s="25"/>
      <c r="FG223" s="25"/>
      <c r="FH223" s="25"/>
      <c r="FI223" s="25"/>
      <c r="FJ223" s="25"/>
      <c r="FK223" s="25"/>
      <c r="FL223" s="25"/>
      <c r="FM223" s="25"/>
      <c r="FN223" s="25"/>
      <c r="FO223" s="25"/>
      <c r="FP223" s="25"/>
      <c r="FQ223" s="25"/>
      <c r="FR223" s="25"/>
      <c r="FS223" s="25"/>
      <c r="FT223" s="25"/>
      <c r="FU223" s="25"/>
      <c r="FV223" s="25"/>
      <c r="FW223" s="25"/>
      <c r="FX223" s="25"/>
      <c r="FY223" s="25"/>
      <c r="FZ223" s="25"/>
      <c r="GA223" s="25"/>
      <c r="GB223" s="25"/>
      <c r="GC223" s="25"/>
      <c r="GD223" s="25"/>
      <c r="GE223" s="25"/>
      <c r="GF223" s="25"/>
      <c r="GG223" s="25"/>
      <c r="GH223" s="25"/>
      <c r="GI223" s="25"/>
      <c r="GJ223" s="25"/>
      <c r="GK223" s="25"/>
      <c r="GL223" s="25"/>
      <c r="GM223" s="25"/>
      <c r="GN223" s="25"/>
      <c r="GO223" s="25"/>
      <c r="GP223" s="25"/>
      <c r="GQ223" s="25"/>
      <c r="GR223" s="25"/>
      <c r="GS223" s="25"/>
      <c r="GT223" s="25"/>
      <c r="GU223" s="25"/>
      <c r="GV223" s="25"/>
      <c r="GW223" s="25"/>
      <c r="GX223" s="25"/>
      <c r="GY223" s="25"/>
      <c r="GZ223" s="25"/>
      <c r="HA223" s="25"/>
      <c r="HB223" s="25"/>
      <c r="HC223" s="25"/>
      <c r="HD223" s="25"/>
      <c r="HE223" s="25"/>
      <c r="HF223" s="25"/>
      <c r="HG223" s="25"/>
      <c r="HH223" s="25"/>
      <c r="HI223" s="25"/>
      <c r="HJ223" s="25"/>
      <c r="HK223" s="25"/>
      <c r="HL223" s="25"/>
      <c r="HM223" s="25"/>
      <c r="HN223" s="25"/>
      <c r="HO223" s="25"/>
      <c r="HP223" s="25"/>
      <c r="HQ223" s="25"/>
      <c r="HR223" s="25"/>
      <c r="HS223" s="25"/>
      <c r="HT223" s="25"/>
      <c r="HU223" s="25"/>
      <c r="HV223" s="25"/>
      <c r="HW223" s="25"/>
      <c r="HX223" s="25"/>
      <c r="HY223" s="25"/>
      <c r="HZ223" s="25"/>
      <c r="IA223" s="25"/>
      <c r="IB223" s="25"/>
      <c r="IC223" s="25"/>
      <c r="ID223" s="25"/>
      <c r="IE223" s="25"/>
      <c r="IF223" s="25"/>
      <c r="IG223" s="25"/>
      <c r="IH223" s="25"/>
      <c r="II223" s="25"/>
      <c r="IJ223" s="25"/>
      <c r="IK223" s="25"/>
      <c r="IL223" s="25"/>
      <c r="IM223" s="25"/>
      <c r="IN223" s="25"/>
      <c r="IO223" s="25"/>
      <c r="IP223" s="25"/>
      <c r="IQ223" s="25"/>
      <c r="IR223" s="25"/>
      <c r="IS223" s="25"/>
      <c r="IT223" s="25"/>
      <c r="IU223" s="25"/>
      <c r="IV223" s="25"/>
    </row>
    <row r="224" spans="1:256" ht="70.5" customHeight="1">
      <c r="A224" s="127"/>
      <c r="B224" s="125"/>
      <c r="C224" s="100" t="s">
        <v>1181</v>
      </c>
      <c r="D224" s="101" t="s">
        <v>879</v>
      </c>
      <c r="E224" s="6" t="s">
        <v>172</v>
      </c>
      <c r="F224" s="100" t="s">
        <v>1155</v>
      </c>
      <c r="G224" s="100" t="s">
        <v>173</v>
      </c>
      <c r="H224" s="95"/>
      <c r="I224" s="98"/>
      <c r="J224" s="95">
        <v>766.3</v>
      </c>
      <c r="K224" s="95">
        <v>771</v>
      </c>
      <c r="L224" s="95">
        <v>771</v>
      </c>
      <c r="M224" s="95">
        <v>771</v>
      </c>
      <c r="N224" s="96" t="s">
        <v>174</v>
      </c>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c r="CP224" s="25"/>
      <c r="CQ224" s="25"/>
      <c r="CR224" s="25"/>
      <c r="CS224" s="25"/>
      <c r="CT224" s="25"/>
      <c r="CU224" s="25"/>
      <c r="CV224" s="25"/>
      <c r="CW224" s="25"/>
      <c r="CX224" s="25"/>
      <c r="CY224" s="25"/>
      <c r="CZ224" s="25"/>
      <c r="DA224" s="25"/>
      <c r="DB224" s="25"/>
      <c r="DC224" s="25"/>
      <c r="DD224" s="25"/>
      <c r="DE224" s="25"/>
      <c r="DF224" s="25"/>
      <c r="DG224" s="25"/>
      <c r="DH224" s="25"/>
      <c r="DI224" s="25"/>
      <c r="DJ224" s="25"/>
      <c r="DK224" s="25"/>
      <c r="DL224" s="25"/>
      <c r="DM224" s="25"/>
      <c r="DN224" s="25"/>
      <c r="DO224" s="25"/>
      <c r="DP224" s="25"/>
      <c r="DQ224" s="25"/>
      <c r="DR224" s="25"/>
      <c r="DS224" s="25"/>
      <c r="DT224" s="25"/>
      <c r="DU224" s="25"/>
      <c r="DV224" s="25"/>
      <c r="DW224" s="25"/>
      <c r="DX224" s="25"/>
      <c r="DY224" s="25"/>
      <c r="DZ224" s="25"/>
      <c r="EA224" s="25"/>
      <c r="EB224" s="25"/>
      <c r="EC224" s="25"/>
      <c r="ED224" s="25"/>
      <c r="EE224" s="25"/>
      <c r="EF224" s="25"/>
      <c r="EG224" s="25"/>
      <c r="EH224" s="25"/>
      <c r="EI224" s="25"/>
      <c r="EJ224" s="25"/>
      <c r="EK224" s="25"/>
      <c r="EL224" s="25"/>
      <c r="EM224" s="25"/>
      <c r="EN224" s="25"/>
      <c r="EO224" s="25"/>
      <c r="EP224" s="25"/>
      <c r="EQ224" s="25"/>
      <c r="ER224" s="25"/>
      <c r="ES224" s="25"/>
      <c r="ET224" s="25"/>
      <c r="EU224" s="25"/>
      <c r="EV224" s="25"/>
      <c r="EW224" s="25"/>
      <c r="EX224" s="25"/>
      <c r="EY224" s="25"/>
      <c r="EZ224" s="25"/>
      <c r="FA224" s="25"/>
      <c r="FB224" s="25"/>
      <c r="FC224" s="25"/>
      <c r="FD224" s="25"/>
      <c r="FE224" s="25"/>
      <c r="FF224" s="25"/>
      <c r="FG224" s="25"/>
      <c r="FH224" s="25"/>
      <c r="FI224" s="25"/>
      <c r="FJ224" s="25"/>
      <c r="FK224" s="25"/>
      <c r="FL224" s="25"/>
      <c r="FM224" s="25"/>
      <c r="FN224" s="25"/>
      <c r="FO224" s="25"/>
      <c r="FP224" s="25"/>
      <c r="FQ224" s="25"/>
      <c r="FR224" s="25"/>
      <c r="FS224" s="25"/>
      <c r="FT224" s="25"/>
      <c r="FU224" s="25"/>
      <c r="FV224" s="25"/>
      <c r="FW224" s="25"/>
      <c r="FX224" s="25"/>
      <c r="FY224" s="25"/>
      <c r="FZ224" s="25"/>
      <c r="GA224" s="25"/>
      <c r="GB224" s="25"/>
      <c r="GC224" s="25"/>
      <c r="GD224" s="25"/>
      <c r="GE224" s="25"/>
      <c r="GF224" s="25"/>
      <c r="GG224" s="25"/>
      <c r="GH224" s="25"/>
      <c r="GI224" s="25"/>
      <c r="GJ224" s="25"/>
      <c r="GK224" s="25"/>
      <c r="GL224" s="25"/>
      <c r="GM224" s="25"/>
      <c r="GN224" s="25"/>
      <c r="GO224" s="25"/>
      <c r="GP224" s="25"/>
      <c r="GQ224" s="25"/>
      <c r="GR224" s="25"/>
      <c r="GS224" s="25"/>
      <c r="GT224" s="25"/>
      <c r="GU224" s="25"/>
      <c r="GV224" s="25"/>
      <c r="GW224" s="25"/>
      <c r="GX224" s="25"/>
      <c r="GY224" s="25"/>
      <c r="GZ224" s="25"/>
      <c r="HA224" s="25"/>
      <c r="HB224" s="25"/>
      <c r="HC224" s="25"/>
      <c r="HD224" s="25"/>
      <c r="HE224" s="25"/>
      <c r="HF224" s="25"/>
      <c r="HG224" s="25"/>
      <c r="HH224" s="25"/>
      <c r="HI224" s="25"/>
      <c r="HJ224" s="25"/>
      <c r="HK224" s="25"/>
      <c r="HL224" s="25"/>
      <c r="HM224" s="25"/>
      <c r="HN224" s="25"/>
      <c r="HO224" s="25"/>
      <c r="HP224" s="25"/>
      <c r="HQ224" s="25"/>
      <c r="HR224" s="25"/>
      <c r="HS224" s="25"/>
      <c r="HT224" s="25"/>
      <c r="HU224" s="25"/>
      <c r="HV224" s="25"/>
      <c r="HW224" s="25"/>
      <c r="HX224" s="25"/>
      <c r="HY224" s="25"/>
      <c r="HZ224" s="25"/>
      <c r="IA224" s="25"/>
      <c r="IB224" s="25"/>
      <c r="IC224" s="25"/>
      <c r="ID224" s="25"/>
      <c r="IE224" s="25"/>
      <c r="IF224" s="25"/>
      <c r="IG224" s="25"/>
      <c r="IH224" s="25"/>
      <c r="II224" s="25"/>
      <c r="IJ224" s="25"/>
      <c r="IK224" s="25"/>
      <c r="IL224" s="25"/>
      <c r="IM224" s="25"/>
      <c r="IN224" s="25"/>
      <c r="IO224" s="25"/>
      <c r="IP224" s="25"/>
      <c r="IQ224" s="25"/>
      <c r="IR224" s="25"/>
      <c r="IS224" s="25"/>
      <c r="IT224" s="25"/>
      <c r="IU224" s="25"/>
      <c r="IV224" s="25"/>
    </row>
    <row r="225" spans="1:256" ht="60">
      <c r="A225" s="127"/>
      <c r="B225" s="125"/>
      <c r="C225" s="100" t="s">
        <v>1182</v>
      </c>
      <c r="D225" s="101" t="s">
        <v>879</v>
      </c>
      <c r="E225" s="113" t="s">
        <v>1212</v>
      </c>
      <c r="F225" s="106" t="s">
        <v>1155</v>
      </c>
      <c r="G225" s="106" t="s">
        <v>1234</v>
      </c>
      <c r="H225" s="95">
        <v>2839</v>
      </c>
      <c r="I225" s="98">
        <v>2839</v>
      </c>
      <c r="J225" s="95"/>
      <c r="K225" s="95">
        <v>657.8</v>
      </c>
      <c r="L225" s="95">
        <v>514.9</v>
      </c>
      <c r="M225" s="95">
        <v>514.9</v>
      </c>
      <c r="N225" s="96" t="s">
        <v>1211</v>
      </c>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c r="CP225" s="25"/>
      <c r="CQ225" s="25"/>
      <c r="CR225" s="25"/>
      <c r="CS225" s="25"/>
      <c r="CT225" s="25"/>
      <c r="CU225" s="25"/>
      <c r="CV225" s="25"/>
      <c r="CW225" s="25"/>
      <c r="CX225" s="25"/>
      <c r="CY225" s="25"/>
      <c r="CZ225" s="25"/>
      <c r="DA225" s="25"/>
      <c r="DB225" s="25"/>
      <c r="DC225" s="25"/>
      <c r="DD225" s="25"/>
      <c r="DE225" s="25"/>
      <c r="DF225" s="25"/>
      <c r="DG225" s="25"/>
      <c r="DH225" s="25"/>
      <c r="DI225" s="25"/>
      <c r="DJ225" s="25"/>
      <c r="DK225" s="25"/>
      <c r="DL225" s="25"/>
      <c r="DM225" s="25"/>
      <c r="DN225" s="25"/>
      <c r="DO225" s="25"/>
      <c r="DP225" s="25"/>
      <c r="DQ225" s="25"/>
      <c r="DR225" s="25"/>
      <c r="DS225" s="25"/>
      <c r="DT225" s="25"/>
      <c r="DU225" s="25"/>
      <c r="DV225" s="25"/>
      <c r="DW225" s="25"/>
      <c r="DX225" s="25"/>
      <c r="DY225" s="25"/>
      <c r="DZ225" s="25"/>
      <c r="EA225" s="25"/>
      <c r="EB225" s="25"/>
      <c r="EC225" s="25"/>
      <c r="ED225" s="25"/>
      <c r="EE225" s="25"/>
      <c r="EF225" s="25"/>
      <c r="EG225" s="25"/>
      <c r="EH225" s="25"/>
      <c r="EI225" s="25"/>
      <c r="EJ225" s="25"/>
      <c r="EK225" s="25"/>
      <c r="EL225" s="25"/>
      <c r="EM225" s="25"/>
      <c r="EN225" s="25"/>
      <c r="EO225" s="25"/>
      <c r="EP225" s="25"/>
      <c r="EQ225" s="25"/>
      <c r="ER225" s="25"/>
      <c r="ES225" s="25"/>
      <c r="ET225" s="25"/>
      <c r="EU225" s="25"/>
      <c r="EV225" s="25"/>
      <c r="EW225" s="25"/>
      <c r="EX225" s="25"/>
      <c r="EY225" s="25"/>
      <c r="EZ225" s="25"/>
      <c r="FA225" s="25"/>
      <c r="FB225" s="25"/>
      <c r="FC225" s="25"/>
      <c r="FD225" s="25"/>
      <c r="FE225" s="25"/>
      <c r="FF225" s="25"/>
      <c r="FG225" s="25"/>
      <c r="FH225" s="25"/>
      <c r="FI225" s="25"/>
      <c r="FJ225" s="25"/>
      <c r="FK225" s="25"/>
      <c r="FL225" s="25"/>
      <c r="FM225" s="25"/>
      <c r="FN225" s="25"/>
      <c r="FO225" s="25"/>
      <c r="FP225" s="25"/>
      <c r="FQ225" s="25"/>
      <c r="FR225" s="25"/>
      <c r="FS225" s="25"/>
      <c r="FT225" s="25"/>
      <c r="FU225" s="25"/>
      <c r="FV225" s="25"/>
      <c r="FW225" s="25"/>
      <c r="FX225" s="25"/>
      <c r="FY225" s="25"/>
      <c r="FZ225" s="25"/>
      <c r="GA225" s="25"/>
      <c r="GB225" s="25"/>
      <c r="GC225" s="25"/>
      <c r="GD225" s="25"/>
      <c r="GE225" s="25"/>
      <c r="GF225" s="25"/>
      <c r="GG225" s="25"/>
      <c r="GH225" s="25"/>
      <c r="GI225" s="25"/>
      <c r="GJ225" s="25"/>
      <c r="GK225" s="25"/>
      <c r="GL225" s="25"/>
      <c r="GM225" s="25"/>
      <c r="GN225" s="25"/>
      <c r="GO225" s="25"/>
      <c r="GP225" s="25"/>
      <c r="GQ225" s="25"/>
      <c r="GR225" s="25"/>
      <c r="GS225" s="25"/>
      <c r="GT225" s="25"/>
      <c r="GU225" s="25"/>
      <c r="GV225" s="25"/>
      <c r="GW225" s="25"/>
      <c r="GX225" s="25"/>
      <c r="GY225" s="25"/>
      <c r="GZ225" s="25"/>
      <c r="HA225" s="25"/>
      <c r="HB225" s="25"/>
      <c r="HC225" s="25"/>
      <c r="HD225" s="25"/>
      <c r="HE225" s="25"/>
      <c r="HF225" s="25"/>
      <c r="HG225" s="25"/>
      <c r="HH225" s="25"/>
      <c r="HI225" s="25"/>
      <c r="HJ225" s="25"/>
      <c r="HK225" s="25"/>
      <c r="HL225" s="25"/>
      <c r="HM225" s="25"/>
      <c r="HN225" s="25"/>
      <c r="HO225" s="25"/>
      <c r="HP225" s="25"/>
      <c r="HQ225" s="25"/>
      <c r="HR225" s="25"/>
      <c r="HS225" s="25"/>
      <c r="HT225" s="25"/>
      <c r="HU225" s="25"/>
      <c r="HV225" s="25"/>
      <c r="HW225" s="25"/>
      <c r="HX225" s="25"/>
      <c r="HY225" s="25"/>
      <c r="HZ225" s="25"/>
      <c r="IA225" s="25"/>
      <c r="IB225" s="25"/>
      <c r="IC225" s="25"/>
      <c r="ID225" s="25"/>
      <c r="IE225" s="25"/>
      <c r="IF225" s="25"/>
      <c r="IG225" s="25"/>
      <c r="IH225" s="25"/>
      <c r="II225" s="25"/>
      <c r="IJ225" s="25"/>
      <c r="IK225" s="25"/>
      <c r="IL225" s="25"/>
      <c r="IM225" s="25"/>
      <c r="IN225" s="25"/>
      <c r="IO225" s="25"/>
      <c r="IP225" s="25"/>
      <c r="IQ225" s="25"/>
      <c r="IR225" s="25"/>
      <c r="IS225" s="25"/>
      <c r="IT225" s="25"/>
      <c r="IU225" s="25"/>
      <c r="IV225" s="25"/>
    </row>
    <row r="226" spans="1:256" ht="45">
      <c r="A226" s="127"/>
      <c r="B226" s="125"/>
      <c r="C226" s="100" t="s">
        <v>607</v>
      </c>
      <c r="D226" s="101" t="s">
        <v>873</v>
      </c>
      <c r="E226" s="15" t="s">
        <v>1149</v>
      </c>
      <c r="F226" s="16" t="s">
        <v>1155</v>
      </c>
      <c r="G226" s="17" t="s">
        <v>1150</v>
      </c>
      <c r="H226" s="95">
        <v>472.8</v>
      </c>
      <c r="I226" s="98">
        <v>472.8</v>
      </c>
      <c r="J226" s="95">
        <v>23</v>
      </c>
      <c r="K226" s="95">
        <v>15.1</v>
      </c>
      <c r="L226" s="95"/>
      <c r="M226" s="95"/>
      <c r="N226" s="96" t="s">
        <v>517</v>
      </c>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c r="CW226" s="25"/>
      <c r="CX226" s="25"/>
      <c r="CY226" s="25"/>
      <c r="CZ226" s="25"/>
      <c r="DA226" s="25"/>
      <c r="DB226" s="25"/>
      <c r="DC226" s="25"/>
      <c r="DD226" s="25"/>
      <c r="DE226" s="25"/>
      <c r="DF226" s="25"/>
      <c r="DG226" s="25"/>
      <c r="DH226" s="25"/>
      <c r="DI226" s="25"/>
      <c r="DJ226" s="25"/>
      <c r="DK226" s="25"/>
      <c r="DL226" s="25"/>
      <c r="DM226" s="25"/>
      <c r="DN226" s="25"/>
      <c r="DO226" s="25"/>
      <c r="DP226" s="25"/>
      <c r="DQ226" s="25"/>
      <c r="DR226" s="25"/>
      <c r="DS226" s="25"/>
      <c r="DT226" s="25"/>
      <c r="DU226" s="25"/>
      <c r="DV226" s="25"/>
      <c r="DW226" s="25"/>
      <c r="DX226" s="25"/>
      <c r="DY226" s="25"/>
      <c r="DZ226" s="25"/>
      <c r="EA226" s="25"/>
      <c r="EB226" s="25"/>
      <c r="EC226" s="25"/>
      <c r="ED226" s="25"/>
      <c r="EE226" s="25"/>
      <c r="EF226" s="25"/>
      <c r="EG226" s="25"/>
      <c r="EH226" s="25"/>
      <c r="EI226" s="25"/>
      <c r="EJ226" s="25"/>
      <c r="EK226" s="25"/>
      <c r="EL226" s="25"/>
      <c r="EM226" s="25"/>
      <c r="EN226" s="25"/>
      <c r="EO226" s="25"/>
      <c r="EP226" s="25"/>
      <c r="EQ226" s="25"/>
      <c r="ER226" s="25"/>
      <c r="ES226" s="25"/>
      <c r="ET226" s="25"/>
      <c r="EU226" s="25"/>
      <c r="EV226" s="25"/>
      <c r="EW226" s="25"/>
      <c r="EX226" s="25"/>
      <c r="EY226" s="25"/>
      <c r="EZ226" s="25"/>
      <c r="FA226" s="25"/>
      <c r="FB226" s="25"/>
      <c r="FC226" s="25"/>
      <c r="FD226" s="25"/>
      <c r="FE226" s="25"/>
      <c r="FF226" s="25"/>
      <c r="FG226" s="25"/>
      <c r="FH226" s="25"/>
      <c r="FI226" s="25"/>
      <c r="FJ226" s="25"/>
      <c r="FK226" s="25"/>
      <c r="FL226" s="25"/>
      <c r="FM226" s="25"/>
      <c r="FN226" s="25"/>
      <c r="FO226" s="25"/>
      <c r="FP226" s="25"/>
      <c r="FQ226" s="25"/>
      <c r="FR226" s="25"/>
      <c r="FS226" s="25"/>
      <c r="FT226" s="25"/>
      <c r="FU226" s="25"/>
      <c r="FV226" s="25"/>
      <c r="FW226" s="25"/>
      <c r="FX226" s="25"/>
      <c r="FY226" s="25"/>
      <c r="FZ226" s="25"/>
      <c r="GA226" s="25"/>
      <c r="GB226" s="25"/>
      <c r="GC226" s="25"/>
      <c r="GD226" s="25"/>
      <c r="GE226" s="25"/>
      <c r="GF226" s="25"/>
      <c r="GG226" s="25"/>
      <c r="GH226" s="25"/>
      <c r="GI226" s="25"/>
      <c r="GJ226" s="25"/>
      <c r="GK226" s="25"/>
      <c r="GL226" s="25"/>
      <c r="GM226" s="25"/>
      <c r="GN226" s="25"/>
      <c r="GO226" s="25"/>
      <c r="GP226" s="25"/>
      <c r="GQ226" s="25"/>
      <c r="GR226" s="25"/>
      <c r="GS226" s="25"/>
      <c r="GT226" s="25"/>
      <c r="GU226" s="25"/>
      <c r="GV226" s="25"/>
      <c r="GW226" s="25"/>
      <c r="GX226" s="25"/>
      <c r="GY226" s="25"/>
      <c r="GZ226" s="25"/>
      <c r="HA226" s="25"/>
      <c r="HB226" s="25"/>
      <c r="HC226" s="25"/>
      <c r="HD226" s="25"/>
      <c r="HE226" s="25"/>
      <c r="HF226" s="25"/>
      <c r="HG226" s="25"/>
      <c r="HH226" s="25"/>
      <c r="HI226" s="25"/>
      <c r="HJ226" s="25"/>
      <c r="HK226" s="25"/>
      <c r="HL226" s="25"/>
      <c r="HM226" s="25"/>
      <c r="HN226" s="25"/>
      <c r="HO226" s="25"/>
      <c r="HP226" s="25"/>
      <c r="HQ226" s="25"/>
      <c r="HR226" s="25"/>
      <c r="HS226" s="25"/>
      <c r="HT226" s="25"/>
      <c r="HU226" s="25"/>
      <c r="HV226" s="25"/>
      <c r="HW226" s="25"/>
      <c r="HX226" s="25"/>
      <c r="HY226" s="25"/>
      <c r="HZ226" s="25"/>
      <c r="IA226" s="25"/>
      <c r="IB226" s="25"/>
      <c r="IC226" s="25"/>
      <c r="ID226" s="25"/>
      <c r="IE226" s="25"/>
      <c r="IF226" s="25"/>
      <c r="IG226" s="25"/>
      <c r="IH226" s="25"/>
      <c r="II226" s="25"/>
      <c r="IJ226" s="25"/>
      <c r="IK226" s="25"/>
      <c r="IL226" s="25"/>
      <c r="IM226" s="25"/>
      <c r="IN226" s="25"/>
      <c r="IO226" s="25"/>
      <c r="IP226" s="25"/>
      <c r="IQ226" s="25"/>
      <c r="IR226" s="25"/>
      <c r="IS226" s="25"/>
      <c r="IT226" s="25"/>
      <c r="IU226" s="25"/>
      <c r="IV226" s="25"/>
    </row>
    <row r="227" spans="1:256" ht="60" customHeight="1">
      <c r="A227" s="127"/>
      <c r="B227" s="125"/>
      <c r="C227" s="100" t="s">
        <v>1516</v>
      </c>
      <c r="D227" s="101" t="s">
        <v>1061</v>
      </c>
      <c r="E227" s="2" t="s">
        <v>745</v>
      </c>
      <c r="F227" s="106" t="s">
        <v>1067</v>
      </c>
      <c r="G227" s="4" t="s">
        <v>1068</v>
      </c>
      <c r="H227" s="95">
        <v>29.8</v>
      </c>
      <c r="I227" s="98">
        <v>29.8</v>
      </c>
      <c r="J227" s="95">
        <v>20.3</v>
      </c>
      <c r="K227" s="95">
        <v>23</v>
      </c>
      <c r="L227" s="95">
        <v>23</v>
      </c>
      <c r="M227" s="95">
        <v>24</v>
      </c>
      <c r="N227" s="96" t="s">
        <v>522</v>
      </c>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c r="CI227" s="25"/>
      <c r="CJ227" s="25"/>
      <c r="CK227" s="25"/>
      <c r="CL227" s="25"/>
      <c r="CM227" s="25"/>
      <c r="CN227" s="25"/>
      <c r="CO227" s="25"/>
      <c r="CP227" s="25"/>
      <c r="CQ227" s="25"/>
      <c r="CR227" s="25"/>
      <c r="CS227" s="25"/>
      <c r="CT227" s="25"/>
      <c r="CU227" s="25"/>
      <c r="CV227" s="25"/>
      <c r="CW227" s="25"/>
      <c r="CX227" s="25"/>
      <c r="CY227" s="25"/>
      <c r="CZ227" s="25"/>
      <c r="DA227" s="25"/>
      <c r="DB227" s="25"/>
      <c r="DC227" s="25"/>
      <c r="DD227" s="25"/>
      <c r="DE227" s="25"/>
      <c r="DF227" s="25"/>
      <c r="DG227" s="25"/>
      <c r="DH227" s="25"/>
      <c r="DI227" s="25"/>
      <c r="DJ227" s="25"/>
      <c r="DK227" s="25"/>
      <c r="DL227" s="25"/>
      <c r="DM227" s="25"/>
      <c r="DN227" s="25"/>
      <c r="DO227" s="25"/>
      <c r="DP227" s="25"/>
      <c r="DQ227" s="25"/>
      <c r="DR227" s="25"/>
      <c r="DS227" s="25"/>
      <c r="DT227" s="25"/>
      <c r="DU227" s="25"/>
      <c r="DV227" s="25"/>
      <c r="DW227" s="25"/>
      <c r="DX227" s="25"/>
      <c r="DY227" s="25"/>
      <c r="DZ227" s="25"/>
      <c r="EA227" s="25"/>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5"/>
      <c r="FD227" s="25"/>
      <c r="FE227" s="25"/>
      <c r="FF227" s="25"/>
      <c r="FG227" s="25"/>
      <c r="FH227" s="25"/>
      <c r="FI227" s="25"/>
      <c r="FJ227" s="25"/>
      <c r="FK227" s="25"/>
      <c r="FL227" s="25"/>
      <c r="FM227" s="25"/>
      <c r="FN227" s="25"/>
      <c r="FO227" s="25"/>
      <c r="FP227" s="25"/>
      <c r="FQ227" s="25"/>
      <c r="FR227" s="25"/>
      <c r="FS227" s="25"/>
      <c r="FT227" s="25"/>
      <c r="FU227" s="25"/>
      <c r="FV227" s="25"/>
      <c r="FW227" s="25"/>
      <c r="FX227" s="25"/>
      <c r="FY227" s="25"/>
      <c r="FZ227" s="25"/>
      <c r="GA227" s="25"/>
      <c r="GB227" s="25"/>
      <c r="GC227" s="25"/>
      <c r="GD227" s="25"/>
      <c r="GE227" s="25"/>
      <c r="GF227" s="25"/>
      <c r="GG227" s="25"/>
      <c r="GH227" s="25"/>
      <c r="GI227" s="25"/>
      <c r="GJ227" s="25"/>
      <c r="GK227" s="25"/>
      <c r="GL227" s="25"/>
      <c r="GM227" s="25"/>
      <c r="GN227" s="25"/>
      <c r="GO227" s="25"/>
      <c r="GP227" s="25"/>
      <c r="GQ227" s="25"/>
      <c r="GR227" s="25"/>
      <c r="GS227" s="25"/>
      <c r="GT227" s="25"/>
      <c r="GU227" s="25"/>
      <c r="GV227" s="25"/>
      <c r="GW227" s="25"/>
      <c r="GX227" s="25"/>
      <c r="GY227" s="25"/>
      <c r="GZ227" s="25"/>
      <c r="HA227" s="25"/>
      <c r="HB227" s="25"/>
      <c r="HC227" s="25"/>
      <c r="HD227" s="25"/>
      <c r="HE227" s="25"/>
      <c r="HF227" s="25"/>
      <c r="HG227" s="25"/>
      <c r="HH227" s="25"/>
      <c r="HI227" s="25"/>
      <c r="HJ227" s="25"/>
      <c r="HK227" s="25"/>
      <c r="HL227" s="25"/>
      <c r="HM227" s="25"/>
      <c r="HN227" s="25"/>
      <c r="HO227" s="25"/>
      <c r="HP227" s="25"/>
      <c r="HQ227" s="25"/>
      <c r="HR227" s="25"/>
      <c r="HS227" s="25"/>
      <c r="HT227" s="25"/>
      <c r="HU227" s="25"/>
      <c r="HV227" s="25"/>
      <c r="HW227" s="25"/>
      <c r="HX227" s="25"/>
      <c r="HY227" s="25"/>
      <c r="HZ227" s="25"/>
      <c r="IA227" s="25"/>
      <c r="IB227" s="25"/>
      <c r="IC227" s="25"/>
      <c r="ID227" s="25"/>
      <c r="IE227" s="25"/>
      <c r="IF227" s="25"/>
      <c r="IG227" s="25"/>
      <c r="IH227" s="25"/>
      <c r="II227" s="25"/>
      <c r="IJ227" s="25"/>
      <c r="IK227" s="25"/>
      <c r="IL227" s="25"/>
      <c r="IM227" s="25"/>
      <c r="IN227" s="25"/>
      <c r="IO227" s="25"/>
      <c r="IP227" s="25"/>
      <c r="IQ227" s="25"/>
      <c r="IR227" s="25"/>
      <c r="IS227" s="25"/>
      <c r="IT227" s="25"/>
      <c r="IU227" s="25"/>
      <c r="IV227" s="25"/>
    </row>
    <row r="228" spans="1:256" ht="94.5" customHeight="1">
      <c r="A228" s="127"/>
      <c r="B228" s="125"/>
      <c r="C228" s="100" t="s">
        <v>507</v>
      </c>
      <c r="D228" s="101" t="s">
        <v>1061</v>
      </c>
      <c r="E228" s="113" t="s">
        <v>1233</v>
      </c>
      <c r="F228" s="3" t="s">
        <v>1155</v>
      </c>
      <c r="G228" s="106" t="s">
        <v>1234</v>
      </c>
      <c r="H228" s="111"/>
      <c r="I228" s="111"/>
      <c r="J228" s="111"/>
      <c r="K228" s="111"/>
      <c r="L228" s="111">
        <v>73.8</v>
      </c>
      <c r="M228" s="111">
        <v>75.2</v>
      </c>
      <c r="N228" s="96" t="s">
        <v>1235</v>
      </c>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c r="DK228" s="25"/>
      <c r="DL228" s="25"/>
      <c r="DM228" s="25"/>
      <c r="DN228" s="25"/>
      <c r="DO228" s="25"/>
      <c r="DP228" s="25"/>
      <c r="DQ228" s="25"/>
      <c r="DR228" s="25"/>
      <c r="DS228" s="25"/>
      <c r="DT228" s="25"/>
      <c r="DU228" s="25"/>
      <c r="DV228" s="25"/>
      <c r="DW228" s="25"/>
      <c r="DX228" s="25"/>
      <c r="DY228" s="25"/>
      <c r="DZ228" s="25"/>
      <c r="EA228" s="25"/>
      <c r="EB228" s="25"/>
      <c r="EC228" s="25"/>
      <c r="ED228" s="25"/>
      <c r="EE228" s="25"/>
      <c r="EF228" s="25"/>
      <c r="EG228" s="25"/>
      <c r="EH228" s="25"/>
      <c r="EI228" s="25"/>
      <c r="EJ228" s="25"/>
      <c r="EK228" s="25"/>
      <c r="EL228" s="25"/>
      <c r="EM228" s="25"/>
      <c r="EN228" s="25"/>
      <c r="EO228" s="25"/>
      <c r="EP228" s="25"/>
      <c r="EQ228" s="25"/>
      <c r="ER228" s="25"/>
      <c r="ES228" s="25"/>
      <c r="ET228" s="25"/>
      <c r="EU228" s="25"/>
      <c r="EV228" s="25"/>
      <c r="EW228" s="25"/>
      <c r="EX228" s="25"/>
      <c r="EY228" s="25"/>
      <c r="EZ228" s="25"/>
      <c r="FA228" s="25"/>
      <c r="FB228" s="25"/>
      <c r="FC228" s="25"/>
      <c r="FD228" s="25"/>
      <c r="FE228" s="25"/>
      <c r="FF228" s="25"/>
      <c r="FG228" s="25"/>
      <c r="FH228" s="25"/>
      <c r="FI228" s="25"/>
      <c r="FJ228" s="25"/>
      <c r="FK228" s="25"/>
      <c r="FL228" s="25"/>
      <c r="FM228" s="25"/>
      <c r="FN228" s="25"/>
      <c r="FO228" s="25"/>
      <c r="FP228" s="25"/>
      <c r="FQ228" s="25"/>
      <c r="FR228" s="25"/>
      <c r="FS228" s="25"/>
      <c r="FT228" s="25"/>
      <c r="FU228" s="25"/>
      <c r="FV228" s="25"/>
      <c r="FW228" s="25"/>
      <c r="FX228" s="25"/>
      <c r="FY228" s="25"/>
      <c r="FZ228" s="25"/>
      <c r="GA228" s="25"/>
      <c r="GB228" s="25"/>
      <c r="GC228" s="25"/>
      <c r="GD228" s="25"/>
      <c r="GE228" s="25"/>
      <c r="GF228" s="25"/>
      <c r="GG228" s="25"/>
      <c r="GH228" s="25"/>
      <c r="GI228" s="25"/>
      <c r="GJ228" s="25"/>
      <c r="GK228" s="25"/>
      <c r="GL228" s="25"/>
      <c r="GM228" s="25"/>
      <c r="GN228" s="25"/>
      <c r="GO228" s="25"/>
      <c r="GP228" s="25"/>
      <c r="GQ228" s="25"/>
      <c r="GR228" s="25"/>
      <c r="GS228" s="25"/>
      <c r="GT228" s="25"/>
      <c r="GU228" s="25"/>
      <c r="GV228" s="25"/>
      <c r="GW228" s="25"/>
      <c r="GX228" s="25"/>
      <c r="GY228" s="25"/>
      <c r="GZ228" s="25"/>
      <c r="HA228" s="25"/>
      <c r="HB228" s="25"/>
      <c r="HC228" s="25"/>
      <c r="HD228" s="25"/>
      <c r="HE228" s="25"/>
      <c r="HF228" s="25"/>
      <c r="HG228" s="25"/>
      <c r="HH228" s="25"/>
      <c r="HI228" s="25"/>
      <c r="HJ228" s="25"/>
      <c r="HK228" s="25"/>
      <c r="HL228" s="25"/>
      <c r="HM228" s="25"/>
      <c r="HN228" s="25"/>
      <c r="HO228" s="25"/>
      <c r="HP228" s="25"/>
      <c r="HQ228" s="25"/>
      <c r="HR228" s="25"/>
      <c r="HS228" s="25"/>
      <c r="HT228" s="25"/>
      <c r="HU228" s="25"/>
      <c r="HV228" s="25"/>
      <c r="HW228" s="25"/>
      <c r="HX228" s="25"/>
      <c r="HY228" s="25"/>
      <c r="HZ228" s="25"/>
      <c r="IA228" s="25"/>
      <c r="IB228" s="25"/>
      <c r="IC228" s="25"/>
      <c r="ID228" s="25"/>
      <c r="IE228" s="25"/>
      <c r="IF228" s="25"/>
      <c r="IG228" s="25"/>
      <c r="IH228" s="25"/>
      <c r="II228" s="25"/>
      <c r="IJ228" s="25"/>
      <c r="IK228" s="25"/>
      <c r="IL228" s="25"/>
      <c r="IM228" s="25"/>
      <c r="IN228" s="25"/>
      <c r="IO228" s="25"/>
      <c r="IP228" s="25"/>
      <c r="IQ228" s="25"/>
      <c r="IR228" s="25"/>
      <c r="IS228" s="25"/>
      <c r="IT228" s="25"/>
      <c r="IU228" s="25"/>
      <c r="IV228" s="25"/>
    </row>
    <row r="229" spans="1:256" ht="52.5" customHeight="1">
      <c r="A229" s="127"/>
      <c r="B229" s="125"/>
      <c r="C229" s="100" t="s">
        <v>508</v>
      </c>
      <c r="D229" s="101" t="s">
        <v>1061</v>
      </c>
      <c r="E229" s="113" t="s">
        <v>1466</v>
      </c>
      <c r="F229" s="3" t="s">
        <v>1155</v>
      </c>
      <c r="G229" s="106" t="s">
        <v>1237</v>
      </c>
      <c r="H229" s="95"/>
      <c r="I229" s="98"/>
      <c r="J229" s="95">
        <v>500</v>
      </c>
      <c r="K229" s="95">
        <v>4427.5</v>
      </c>
      <c r="L229" s="95">
        <v>6008.8</v>
      </c>
      <c r="M229" s="95"/>
      <c r="N229" s="96" t="s">
        <v>1467</v>
      </c>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c r="CQ229" s="25"/>
      <c r="CR229" s="25"/>
      <c r="CS229" s="25"/>
      <c r="CT229" s="25"/>
      <c r="CU229" s="25"/>
      <c r="CV229" s="25"/>
      <c r="CW229" s="25"/>
      <c r="CX229" s="25"/>
      <c r="CY229" s="25"/>
      <c r="CZ229" s="25"/>
      <c r="DA229" s="25"/>
      <c r="DB229" s="25"/>
      <c r="DC229" s="25"/>
      <c r="DD229" s="25"/>
      <c r="DE229" s="25"/>
      <c r="DF229" s="25"/>
      <c r="DG229" s="25"/>
      <c r="DH229" s="25"/>
      <c r="DI229" s="25"/>
      <c r="DJ229" s="25"/>
      <c r="DK229" s="25"/>
      <c r="DL229" s="25"/>
      <c r="DM229" s="25"/>
      <c r="DN229" s="25"/>
      <c r="DO229" s="25"/>
      <c r="DP229" s="25"/>
      <c r="DQ229" s="25"/>
      <c r="DR229" s="25"/>
      <c r="DS229" s="25"/>
      <c r="DT229" s="25"/>
      <c r="DU229" s="25"/>
      <c r="DV229" s="25"/>
      <c r="DW229" s="25"/>
      <c r="DX229" s="25"/>
      <c r="DY229" s="25"/>
      <c r="DZ229" s="25"/>
      <c r="EA229" s="25"/>
      <c r="EB229" s="25"/>
      <c r="EC229" s="25"/>
      <c r="ED229" s="25"/>
      <c r="EE229" s="25"/>
      <c r="EF229" s="25"/>
      <c r="EG229" s="25"/>
      <c r="EH229" s="25"/>
      <c r="EI229" s="25"/>
      <c r="EJ229" s="25"/>
      <c r="EK229" s="25"/>
      <c r="EL229" s="25"/>
      <c r="EM229" s="25"/>
      <c r="EN229" s="25"/>
      <c r="EO229" s="25"/>
      <c r="EP229" s="25"/>
      <c r="EQ229" s="25"/>
      <c r="ER229" s="25"/>
      <c r="ES229" s="25"/>
      <c r="ET229" s="25"/>
      <c r="EU229" s="25"/>
      <c r="EV229" s="25"/>
      <c r="EW229" s="25"/>
      <c r="EX229" s="25"/>
      <c r="EY229" s="25"/>
      <c r="EZ229" s="25"/>
      <c r="FA229" s="25"/>
      <c r="FB229" s="25"/>
      <c r="FC229" s="25"/>
      <c r="FD229" s="25"/>
      <c r="FE229" s="25"/>
      <c r="FF229" s="25"/>
      <c r="FG229" s="25"/>
      <c r="FH229" s="25"/>
      <c r="FI229" s="25"/>
      <c r="FJ229" s="25"/>
      <c r="FK229" s="25"/>
      <c r="FL229" s="25"/>
      <c r="FM229" s="25"/>
      <c r="FN229" s="25"/>
      <c r="FO229" s="25"/>
      <c r="FP229" s="25"/>
      <c r="FQ229" s="25"/>
      <c r="FR229" s="25"/>
      <c r="FS229" s="25"/>
      <c r="FT229" s="25"/>
      <c r="FU229" s="25"/>
      <c r="FV229" s="25"/>
      <c r="FW229" s="25"/>
      <c r="FX229" s="25"/>
      <c r="FY229" s="25"/>
      <c r="FZ229" s="25"/>
      <c r="GA229" s="25"/>
      <c r="GB229" s="25"/>
      <c r="GC229" s="25"/>
      <c r="GD229" s="25"/>
      <c r="GE229" s="25"/>
      <c r="GF229" s="25"/>
      <c r="GG229" s="25"/>
      <c r="GH229" s="25"/>
      <c r="GI229" s="25"/>
      <c r="GJ229" s="25"/>
      <c r="GK229" s="25"/>
      <c r="GL229" s="25"/>
      <c r="GM229" s="25"/>
      <c r="GN229" s="25"/>
      <c r="GO229" s="25"/>
      <c r="GP229" s="25"/>
      <c r="GQ229" s="25"/>
      <c r="GR229" s="25"/>
      <c r="GS229" s="25"/>
      <c r="GT229" s="25"/>
      <c r="GU229" s="25"/>
      <c r="GV229" s="25"/>
      <c r="GW229" s="25"/>
      <c r="GX229" s="25"/>
      <c r="GY229" s="25"/>
      <c r="GZ229" s="25"/>
      <c r="HA229" s="25"/>
      <c r="HB229" s="25"/>
      <c r="HC229" s="25"/>
      <c r="HD229" s="25"/>
      <c r="HE229" s="25"/>
      <c r="HF229" s="25"/>
      <c r="HG229" s="25"/>
      <c r="HH229" s="25"/>
      <c r="HI229" s="25"/>
      <c r="HJ229" s="25"/>
      <c r="HK229" s="25"/>
      <c r="HL229" s="25"/>
      <c r="HM229" s="25"/>
      <c r="HN229" s="25"/>
      <c r="HO229" s="25"/>
      <c r="HP229" s="25"/>
      <c r="HQ229" s="25"/>
      <c r="HR229" s="25"/>
      <c r="HS229" s="25"/>
      <c r="HT229" s="25"/>
      <c r="HU229" s="25"/>
      <c r="HV229" s="25"/>
      <c r="HW229" s="25"/>
      <c r="HX229" s="25"/>
      <c r="HY229" s="25"/>
      <c r="HZ229" s="25"/>
      <c r="IA229" s="25"/>
      <c r="IB229" s="25"/>
      <c r="IC229" s="25"/>
      <c r="ID229" s="25"/>
      <c r="IE229" s="25"/>
      <c r="IF229" s="25"/>
      <c r="IG229" s="25"/>
      <c r="IH229" s="25"/>
      <c r="II229" s="25"/>
      <c r="IJ229" s="25"/>
      <c r="IK229" s="25"/>
      <c r="IL229" s="25"/>
      <c r="IM229" s="25"/>
      <c r="IN229" s="25"/>
      <c r="IO229" s="25"/>
      <c r="IP229" s="25"/>
      <c r="IQ229" s="25"/>
      <c r="IR229" s="25"/>
      <c r="IS229" s="25"/>
      <c r="IT229" s="25"/>
      <c r="IU229" s="25"/>
      <c r="IV229" s="25"/>
    </row>
    <row r="230" spans="1:256" ht="52.5" customHeight="1">
      <c r="A230" s="127"/>
      <c r="B230" s="125"/>
      <c r="C230" s="100" t="s">
        <v>22</v>
      </c>
      <c r="D230" s="101" t="s">
        <v>1061</v>
      </c>
      <c r="E230" s="113" t="s">
        <v>1464</v>
      </c>
      <c r="F230" s="3" t="s">
        <v>1155</v>
      </c>
      <c r="G230" s="106" t="s">
        <v>1237</v>
      </c>
      <c r="H230" s="95"/>
      <c r="I230" s="98"/>
      <c r="J230" s="95"/>
      <c r="K230" s="95"/>
      <c r="L230" s="95">
        <v>4146.9</v>
      </c>
      <c r="M230" s="95"/>
      <c r="N230" s="96" t="s">
        <v>1465</v>
      </c>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c r="CW230" s="25"/>
      <c r="CX230" s="25"/>
      <c r="CY230" s="25"/>
      <c r="CZ230" s="25"/>
      <c r="DA230" s="25"/>
      <c r="DB230" s="25"/>
      <c r="DC230" s="25"/>
      <c r="DD230" s="25"/>
      <c r="DE230" s="25"/>
      <c r="DF230" s="25"/>
      <c r="DG230" s="25"/>
      <c r="DH230" s="25"/>
      <c r="DI230" s="25"/>
      <c r="DJ230" s="25"/>
      <c r="DK230" s="25"/>
      <c r="DL230" s="25"/>
      <c r="DM230" s="25"/>
      <c r="DN230" s="25"/>
      <c r="DO230" s="25"/>
      <c r="DP230" s="25"/>
      <c r="DQ230" s="25"/>
      <c r="DR230" s="25"/>
      <c r="DS230" s="25"/>
      <c r="DT230" s="25"/>
      <c r="DU230" s="25"/>
      <c r="DV230" s="25"/>
      <c r="DW230" s="25"/>
      <c r="DX230" s="25"/>
      <c r="DY230" s="25"/>
      <c r="DZ230" s="25"/>
      <c r="EA230" s="25"/>
      <c r="EB230" s="25"/>
      <c r="EC230" s="25"/>
      <c r="ED230" s="25"/>
      <c r="EE230" s="25"/>
      <c r="EF230" s="25"/>
      <c r="EG230" s="25"/>
      <c r="EH230" s="25"/>
      <c r="EI230" s="25"/>
      <c r="EJ230" s="25"/>
      <c r="EK230" s="25"/>
      <c r="EL230" s="25"/>
      <c r="EM230" s="25"/>
      <c r="EN230" s="25"/>
      <c r="EO230" s="25"/>
      <c r="EP230" s="25"/>
      <c r="EQ230" s="25"/>
      <c r="ER230" s="25"/>
      <c r="ES230" s="25"/>
      <c r="ET230" s="25"/>
      <c r="EU230" s="25"/>
      <c r="EV230" s="25"/>
      <c r="EW230" s="25"/>
      <c r="EX230" s="25"/>
      <c r="EY230" s="25"/>
      <c r="EZ230" s="25"/>
      <c r="FA230" s="25"/>
      <c r="FB230" s="25"/>
      <c r="FC230" s="25"/>
      <c r="FD230" s="25"/>
      <c r="FE230" s="25"/>
      <c r="FF230" s="25"/>
      <c r="FG230" s="25"/>
      <c r="FH230" s="25"/>
      <c r="FI230" s="25"/>
      <c r="FJ230" s="25"/>
      <c r="FK230" s="25"/>
      <c r="FL230" s="25"/>
      <c r="FM230" s="25"/>
      <c r="FN230" s="25"/>
      <c r="FO230" s="25"/>
      <c r="FP230" s="25"/>
      <c r="FQ230" s="25"/>
      <c r="FR230" s="25"/>
      <c r="FS230" s="25"/>
      <c r="FT230" s="25"/>
      <c r="FU230" s="25"/>
      <c r="FV230" s="25"/>
      <c r="FW230" s="25"/>
      <c r="FX230" s="25"/>
      <c r="FY230" s="25"/>
      <c r="FZ230" s="25"/>
      <c r="GA230" s="25"/>
      <c r="GB230" s="25"/>
      <c r="GC230" s="25"/>
      <c r="GD230" s="25"/>
      <c r="GE230" s="25"/>
      <c r="GF230" s="25"/>
      <c r="GG230" s="25"/>
      <c r="GH230" s="25"/>
      <c r="GI230" s="25"/>
      <c r="GJ230" s="25"/>
      <c r="GK230" s="25"/>
      <c r="GL230" s="25"/>
      <c r="GM230" s="25"/>
      <c r="GN230" s="25"/>
      <c r="GO230" s="25"/>
      <c r="GP230" s="25"/>
      <c r="GQ230" s="25"/>
      <c r="GR230" s="25"/>
      <c r="GS230" s="25"/>
      <c r="GT230" s="25"/>
      <c r="GU230" s="25"/>
      <c r="GV230" s="25"/>
      <c r="GW230" s="25"/>
      <c r="GX230" s="25"/>
      <c r="GY230" s="25"/>
      <c r="GZ230" s="25"/>
      <c r="HA230" s="25"/>
      <c r="HB230" s="25"/>
      <c r="HC230" s="25"/>
      <c r="HD230" s="25"/>
      <c r="HE230" s="25"/>
      <c r="HF230" s="25"/>
      <c r="HG230" s="25"/>
      <c r="HH230" s="25"/>
      <c r="HI230" s="25"/>
      <c r="HJ230" s="25"/>
      <c r="HK230" s="25"/>
      <c r="HL230" s="25"/>
      <c r="HM230" s="25"/>
      <c r="HN230" s="25"/>
      <c r="HO230" s="25"/>
      <c r="HP230" s="25"/>
      <c r="HQ230" s="25"/>
      <c r="HR230" s="25"/>
      <c r="HS230" s="25"/>
      <c r="HT230" s="25"/>
      <c r="HU230" s="25"/>
      <c r="HV230" s="25"/>
      <c r="HW230" s="25"/>
      <c r="HX230" s="25"/>
      <c r="HY230" s="25"/>
      <c r="HZ230" s="25"/>
      <c r="IA230" s="25"/>
      <c r="IB230" s="25"/>
      <c r="IC230" s="25"/>
      <c r="ID230" s="25"/>
      <c r="IE230" s="25"/>
      <c r="IF230" s="25"/>
      <c r="IG230" s="25"/>
      <c r="IH230" s="25"/>
      <c r="II230" s="25"/>
      <c r="IJ230" s="25"/>
      <c r="IK230" s="25"/>
      <c r="IL230" s="25"/>
      <c r="IM230" s="25"/>
      <c r="IN230" s="25"/>
      <c r="IO230" s="25"/>
      <c r="IP230" s="25"/>
      <c r="IQ230" s="25"/>
      <c r="IR230" s="25"/>
      <c r="IS230" s="25"/>
      <c r="IT230" s="25"/>
      <c r="IU230" s="25"/>
      <c r="IV230" s="25"/>
    </row>
    <row r="231" spans="1:256" ht="49.5" customHeight="1">
      <c r="A231" s="127" t="s">
        <v>776</v>
      </c>
      <c r="B231" s="125" t="s">
        <v>769</v>
      </c>
      <c r="C231" s="126" t="s">
        <v>906</v>
      </c>
      <c r="D231" s="126" t="s">
        <v>43</v>
      </c>
      <c r="E231" s="6" t="s">
        <v>181</v>
      </c>
      <c r="F231" s="100" t="s">
        <v>97</v>
      </c>
      <c r="G231" s="100" t="s">
        <v>176</v>
      </c>
      <c r="H231" s="136">
        <f aca="true" t="shared" si="13" ref="H231:M231">SUM(H235:H240)</f>
        <v>138798.5</v>
      </c>
      <c r="I231" s="143">
        <f t="shared" si="13"/>
        <v>138543.30000000002</v>
      </c>
      <c r="J231" s="136">
        <f t="shared" si="13"/>
        <v>135517.8</v>
      </c>
      <c r="K231" s="136">
        <f t="shared" si="13"/>
        <v>136395.1</v>
      </c>
      <c r="L231" s="136">
        <f t="shared" si="13"/>
        <v>138627.59999999998</v>
      </c>
      <c r="M231" s="136">
        <f t="shared" si="13"/>
        <v>132282.2</v>
      </c>
      <c r="N231" s="137"/>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c r="CG231" s="25"/>
      <c r="CH231" s="25"/>
      <c r="CI231" s="25"/>
      <c r="CJ231" s="25"/>
      <c r="CK231" s="25"/>
      <c r="CL231" s="25"/>
      <c r="CM231" s="25"/>
      <c r="CN231" s="25"/>
      <c r="CO231" s="25"/>
      <c r="CP231" s="25"/>
      <c r="CQ231" s="25"/>
      <c r="CR231" s="25"/>
      <c r="CS231" s="25"/>
      <c r="CT231" s="25"/>
      <c r="CU231" s="25"/>
      <c r="CV231" s="25"/>
      <c r="CW231" s="25"/>
      <c r="CX231" s="25"/>
      <c r="CY231" s="25"/>
      <c r="CZ231" s="25"/>
      <c r="DA231" s="25"/>
      <c r="DB231" s="25"/>
      <c r="DC231" s="25"/>
      <c r="DD231" s="25"/>
      <c r="DE231" s="25"/>
      <c r="DF231" s="25"/>
      <c r="DG231" s="25"/>
      <c r="DH231" s="25"/>
      <c r="DI231" s="25"/>
      <c r="DJ231" s="25"/>
      <c r="DK231" s="25"/>
      <c r="DL231" s="25"/>
      <c r="DM231" s="25"/>
      <c r="DN231" s="25"/>
      <c r="DO231" s="25"/>
      <c r="DP231" s="25"/>
      <c r="DQ231" s="25"/>
      <c r="DR231" s="25"/>
      <c r="DS231" s="25"/>
      <c r="DT231" s="25"/>
      <c r="DU231" s="25"/>
      <c r="DV231" s="25"/>
      <c r="DW231" s="25"/>
      <c r="DX231" s="25"/>
      <c r="DY231" s="25"/>
      <c r="DZ231" s="25"/>
      <c r="EA231" s="25"/>
      <c r="EB231" s="25"/>
      <c r="EC231" s="25"/>
      <c r="ED231" s="25"/>
      <c r="EE231" s="25"/>
      <c r="EF231" s="25"/>
      <c r="EG231" s="25"/>
      <c r="EH231" s="25"/>
      <c r="EI231" s="25"/>
      <c r="EJ231" s="25"/>
      <c r="EK231" s="25"/>
      <c r="EL231" s="25"/>
      <c r="EM231" s="25"/>
      <c r="EN231" s="25"/>
      <c r="EO231" s="25"/>
      <c r="EP231" s="25"/>
      <c r="EQ231" s="25"/>
      <c r="ER231" s="25"/>
      <c r="ES231" s="25"/>
      <c r="ET231" s="25"/>
      <c r="EU231" s="25"/>
      <c r="EV231" s="25"/>
      <c r="EW231" s="25"/>
      <c r="EX231" s="25"/>
      <c r="EY231" s="25"/>
      <c r="EZ231" s="25"/>
      <c r="FA231" s="25"/>
      <c r="FB231" s="25"/>
      <c r="FC231" s="25"/>
      <c r="FD231" s="25"/>
      <c r="FE231" s="25"/>
      <c r="FF231" s="25"/>
      <c r="FG231" s="25"/>
      <c r="FH231" s="25"/>
      <c r="FI231" s="25"/>
      <c r="FJ231" s="25"/>
      <c r="FK231" s="25"/>
      <c r="FL231" s="25"/>
      <c r="FM231" s="25"/>
      <c r="FN231" s="25"/>
      <c r="FO231" s="25"/>
      <c r="FP231" s="25"/>
      <c r="FQ231" s="25"/>
      <c r="FR231" s="25"/>
      <c r="FS231" s="25"/>
      <c r="FT231" s="25"/>
      <c r="FU231" s="25"/>
      <c r="FV231" s="25"/>
      <c r="FW231" s="25"/>
      <c r="FX231" s="25"/>
      <c r="FY231" s="25"/>
      <c r="FZ231" s="25"/>
      <c r="GA231" s="25"/>
      <c r="GB231" s="25"/>
      <c r="GC231" s="25"/>
      <c r="GD231" s="25"/>
      <c r="GE231" s="25"/>
      <c r="GF231" s="25"/>
      <c r="GG231" s="25"/>
      <c r="GH231" s="25"/>
      <c r="GI231" s="25"/>
      <c r="GJ231" s="25"/>
      <c r="GK231" s="25"/>
      <c r="GL231" s="25"/>
      <c r="GM231" s="25"/>
      <c r="GN231" s="25"/>
      <c r="GO231" s="25"/>
      <c r="GP231" s="25"/>
      <c r="GQ231" s="25"/>
      <c r="GR231" s="25"/>
      <c r="GS231" s="25"/>
      <c r="GT231" s="25"/>
      <c r="GU231" s="25"/>
      <c r="GV231" s="25"/>
      <c r="GW231" s="25"/>
      <c r="GX231" s="25"/>
      <c r="GY231" s="25"/>
      <c r="GZ231" s="25"/>
      <c r="HA231" s="25"/>
      <c r="HB231" s="25"/>
      <c r="HC231" s="25"/>
      <c r="HD231" s="25"/>
      <c r="HE231" s="25"/>
      <c r="HF231" s="25"/>
      <c r="HG231" s="25"/>
      <c r="HH231" s="25"/>
      <c r="HI231" s="25"/>
      <c r="HJ231" s="25"/>
      <c r="HK231" s="25"/>
      <c r="HL231" s="25"/>
      <c r="HM231" s="25"/>
      <c r="HN231" s="25"/>
      <c r="HO231" s="25"/>
      <c r="HP231" s="25"/>
      <c r="HQ231" s="25"/>
      <c r="HR231" s="25"/>
      <c r="HS231" s="25"/>
      <c r="HT231" s="25"/>
      <c r="HU231" s="25"/>
      <c r="HV231" s="25"/>
      <c r="HW231" s="25"/>
      <c r="HX231" s="25"/>
      <c r="HY231" s="25"/>
      <c r="HZ231" s="25"/>
      <c r="IA231" s="25"/>
      <c r="IB231" s="25"/>
      <c r="IC231" s="25"/>
      <c r="ID231" s="25"/>
      <c r="IE231" s="25"/>
      <c r="IF231" s="25"/>
      <c r="IG231" s="25"/>
      <c r="IH231" s="25"/>
      <c r="II231" s="25"/>
      <c r="IJ231" s="25"/>
      <c r="IK231" s="25"/>
      <c r="IL231" s="25"/>
      <c r="IM231" s="25"/>
      <c r="IN231" s="25"/>
      <c r="IO231" s="25"/>
      <c r="IP231" s="25"/>
      <c r="IQ231" s="25"/>
      <c r="IR231" s="25"/>
      <c r="IS231" s="25"/>
      <c r="IT231" s="25"/>
      <c r="IU231" s="25"/>
      <c r="IV231" s="25"/>
    </row>
    <row r="232" spans="1:256" ht="51" customHeight="1">
      <c r="A232" s="127"/>
      <c r="B232" s="125"/>
      <c r="C232" s="126"/>
      <c r="D232" s="126"/>
      <c r="E232" s="6" t="s">
        <v>182</v>
      </c>
      <c r="F232" s="100" t="s">
        <v>179</v>
      </c>
      <c r="G232" s="100" t="s">
        <v>177</v>
      </c>
      <c r="H232" s="136"/>
      <c r="I232" s="143"/>
      <c r="J232" s="136"/>
      <c r="K232" s="136"/>
      <c r="L232" s="136"/>
      <c r="M232" s="136"/>
      <c r="N232" s="137"/>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O232" s="25"/>
      <c r="CP232" s="25"/>
      <c r="CQ232" s="25"/>
      <c r="CR232" s="25"/>
      <c r="CS232" s="25"/>
      <c r="CT232" s="25"/>
      <c r="CU232" s="25"/>
      <c r="CV232" s="25"/>
      <c r="CW232" s="25"/>
      <c r="CX232" s="25"/>
      <c r="CY232" s="25"/>
      <c r="CZ232" s="25"/>
      <c r="DA232" s="25"/>
      <c r="DB232" s="25"/>
      <c r="DC232" s="25"/>
      <c r="DD232" s="25"/>
      <c r="DE232" s="25"/>
      <c r="DF232" s="25"/>
      <c r="DG232" s="25"/>
      <c r="DH232" s="25"/>
      <c r="DI232" s="25"/>
      <c r="DJ232" s="25"/>
      <c r="DK232" s="25"/>
      <c r="DL232" s="25"/>
      <c r="DM232" s="25"/>
      <c r="DN232" s="25"/>
      <c r="DO232" s="25"/>
      <c r="DP232" s="25"/>
      <c r="DQ232" s="25"/>
      <c r="DR232" s="25"/>
      <c r="DS232" s="25"/>
      <c r="DT232" s="25"/>
      <c r="DU232" s="25"/>
      <c r="DV232" s="25"/>
      <c r="DW232" s="25"/>
      <c r="DX232" s="25"/>
      <c r="DY232" s="25"/>
      <c r="DZ232" s="25"/>
      <c r="EA232" s="25"/>
      <c r="EB232" s="25"/>
      <c r="EC232" s="25"/>
      <c r="ED232" s="25"/>
      <c r="EE232" s="25"/>
      <c r="EF232" s="25"/>
      <c r="EG232" s="25"/>
      <c r="EH232" s="25"/>
      <c r="EI232" s="25"/>
      <c r="EJ232" s="25"/>
      <c r="EK232" s="25"/>
      <c r="EL232" s="25"/>
      <c r="EM232" s="25"/>
      <c r="EN232" s="25"/>
      <c r="EO232" s="25"/>
      <c r="EP232" s="25"/>
      <c r="EQ232" s="25"/>
      <c r="ER232" s="25"/>
      <c r="ES232" s="25"/>
      <c r="ET232" s="25"/>
      <c r="EU232" s="25"/>
      <c r="EV232" s="25"/>
      <c r="EW232" s="25"/>
      <c r="EX232" s="25"/>
      <c r="EY232" s="25"/>
      <c r="EZ232" s="25"/>
      <c r="FA232" s="25"/>
      <c r="FB232" s="25"/>
      <c r="FC232" s="25"/>
      <c r="FD232" s="25"/>
      <c r="FE232" s="25"/>
      <c r="FF232" s="25"/>
      <c r="FG232" s="25"/>
      <c r="FH232" s="25"/>
      <c r="FI232" s="25"/>
      <c r="FJ232" s="25"/>
      <c r="FK232" s="25"/>
      <c r="FL232" s="25"/>
      <c r="FM232" s="25"/>
      <c r="FN232" s="25"/>
      <c r="FO232" s="25"/>
      <c r="FP232" s="25"/>
      <c r="FQ232" s="25"/>
      <c r="FR232" s="25"/>
      <c r="FS232" s="25"/>
      <c r="FT232" s="25"/>
      <c r="FU232" s="25"/>
      <c r="FV232" s="25"/>
      <c r="FW232" s="25"/>
      <c r="FX232" s="25"/>
      <c r="FY232" s="25"/>
      <c r="FZ232" s="25"/>
      <c r="GA232" s="25"/>
      <c r="GB232" s="25"/>
      <c r="GC232" s="25"/>
      <c r="GD232" s="25"/>
      <c r="GE232" s="25"/>
      <c r="GF232" s="25"/>
      <c r="GG232" s="25"/>
      <c r="GH232" s="25"/>
      <c r="GI232" s="25"/>
      <c r="GJ232" s="25"/>
      <c r="GK232" s="25"/>
      <c r="GL232" s="25"/>
      <c r="GM232" s="25"/>
      <c r="GN232" s="25"/>
      <c r="GO232" s="25"/>
      <c r="GP232" s="25"/>
      <c r="GQ232" s="25"/>
      <c r="GR232" s="25"/>
      <c r="GS232" s="25"/>
      <c r="GT232" s="25"/>
      <c r="GU232" s="25"/>
      <c r="GV232" s="25"/>
      <c r="GW232" s="25"/>
      <c r="GX232" s="25"/>
      <c r="GY232" s="25"/>
      <c r="GZ232" s="25"/>
      <c r="HA232" s="25"/>
      <c r="HB232" s="25"/>
      <c r="HC232" s="25"/>
      <c r="HD232" s="25"/>
      <c r="HE232" s="25"/>
      <c r="HF232" s="25"/>
      <c r="HG232" s="25"/>
      <c r="HH232" s="25"/>
      <c r="HI232" s="25"/>
      <c r="HJ232" s="25"/>
      <c r="HK232" s="25"/>
      <c r="HL232" s="25"/>
      <c r="HM232" s="25"/>
      <c r="HN232" s="25"/>
      <c r="HO232" s="25"/>
      <c r="HP232" s="25"/>
      <c r="HQ232" s="25"/>
      <c r="HR232" s="25"/>
      <c r="HS232" s="25"/>
      <c r="HT232" s="25"/>
      <c r="HU232" s="25"/>
      <c r="HV232" s="25"/>
      <c r="HW232" s="25"/>
      <c r="HX232" s="25"/>
      <c r="HY232" s="25"/>
      <c r="HZ232" s="25"/>
      <c r="IA232" s="25"/>
      <c r="IB232" s="25"/>
      <c r="IC232" s="25"/>
      <c r="ID232" s="25"/>
      <c r="IE232" s="25"/>
      <c r="IF232" s="25"/>
      <c r="IG232" s="25"/>
      <c r="IH232" s="25"/>
      <c r="II232" s="25"/>
      <c r="IJ232" s="25"/>
      <c r="IK232" s="25"/>
      <c r="IL232" s="25"/>
      <c r="IM232" s="25"/>
      <c r="IN232" s="25"/>
      <c r="IO232" s="25"/>
      <c r="IP232" s="25"/>
      <c r="IQ232" s="25"/>
      <c r="IR232" s="25"/>
      <c r="IS232" s="25"/>
      <c r="IT232" s="25"/>
      <c r="IU232" s="25"/>
      <c r="IV232" s="25"/>
    </row>
    <row r="233" spans="1:256" ht="48" customHeight="1">
      <c r="A233" s="127"/>
      <c r="B233" s="125"/>
      <c r="C233" s="126"/>
      <c r="D233" s="126"/>
      <c r="E233" s="6" t="s">
        <v>180</v>
      </c>
      <c r="F233" s="100" t="s">
        <v>178</v>
      </c>
      <c r="G233" s="100" t="s">
        <v>175</v>
      </c>
      <c r="H233" s="136"/>
      <c r="I233" s="143"/>
      <c r="J233" s="136"/>
      <c r="K233" s="136"/>
      <c r="L233" s="136"/>
      <c r="M233" s="136"/>
      <c r="N233" s="137"/>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c r="CQ233" s="25"/>
      <c r="CR233" s="25"/>
      <c r="CS233" s="25"/>
      <c r="CT233" s="25"/>
      <c r="CU233" s="25"/>
      <c r="CV233" s="25"/>
      <c r="CW233" s="25"/>
      <c r="CX233" s="25"/>
      <c r="CY233" s="25"/>
      <c r="CZ233" s="25"/>
      <c r="DA233" s="25"/>
      <c r="DB233" s="25"/>
      <c r="DC233" s="25"/>
      <c r="DD233" s="25"/>
      <c r="DE233" s="25"/>
      <c r="DF233" s="25"/>
      <c r="DG233" s="25"/>
      <c r="DH233" s="25"/>
      <c r="DI233" s="25"/>
      <c r="DJ233" s="25"/>
      <c r="DK233" s="25"/>
      <c r="DL233" s="25"/>
      <c r="DM233" s="25"/>
      <c r="DN233" s="25"/>
      <c r="DO233" s="25"/>
      <c r="DP233" s="25"/>
      <c r="DQ233" s="25"/>
      <c r="DR233" s="25"/>
      <c r="DS233" s="25"/>
      <c r="DT233" s="25"/>
      <c r="DU233" s="25"/>
      <c r="DV233" s="25"/>
      <c r="DW233" s="25"/>
      <c r="DX233" s="25"/>
      <c r="DY233" s="25"/>
      <c r="DZ233" s="25"/>
      <c r="EA233" s="25"/>
      <c r="EB233" s="25"/>
      <c r="EC233" s="25"/>
      <c r="ED233" s="25"/>
      <c r="EE233" s="25"/>
      <c r="EF233" s="25"/>
      <c r="EG233" s="25"/>
      <c r="EH233" s="25"/>
      <c r="EI233" s="25"/>
      <c r="EJ233" s="25"/>
      <c r="EK233" s="25"/>
      <c r="EL233" s="25"/>
      <c r="EM233" s="25"/>
      <c r="EN233" s="25"/>
      <c r="EO233" s="25"/>
      <c r="EP233" s="25"/>
      <c r="EQ233" s="25"/>
      <c r="ER233" s="25"/>
      <c r="ES233" s="25"/>
      <c r="ET233" s="25"/>
      <c r="EU233" s="25"/>
      <c r="EV233" s="25"/>
      <c r="EW233" s="25"/>
      <c r="EX233" s="25"/>
      <c r="EY233" s="25"/>
      <c r="EZ233" s="25"/>
      <c r="FA233" s="25"/>
      <c r="FB233" s="25"/>
      <c r="FC233" s="25"/>
      <c r="FD233" s="25"/>
      <c r="FE233" s="25"/>
      <c r="FF233" s="25"/>
      <c r="FG233" s="25"/>
      <c r="FH233" s="25"/>
      <c r="FI233" s="25"/>
      <c r="FJ233" s="25"/>
      <c r="FK233" s="25"/>
      <c r="FL233" s="25"/>
      <c r="FM233" s="25"/>
      <c r="FN233" s="25"/>
      <c r="FO233" s="25"/>
      <c r="FP233" s="25"/>
      <c r="FQ233" s="25"/>
      <c r="FR233" s="25"/>
      <c r="FS233" s="25"/>
      <c r="FT233" s="25"/>
      <c r="FU233" s="25"/>
      <c r="FV233" s="25"/>
      <c r="FW233" s="25"/>
      <c r="FX233" s="25"/>
      <c r="FY233" s="25"/>
      <c r="FZ233" s="25"/>
      <c r="GA233" s="25"/>
      <c r="GB233" s="25"/>
      <c r="GC233" s="25"/>
      <c r="GD233" s="25"/>
      <c r="GE233" s="25"/>
      <c r="GF233" s="25"/>
      <c r="GG233" s="25"/>
      <c r="GH233" s="25"/>
      <c r="GI233" s="25"/>
      <c r="GJ233" s="25"/>
      <c r="GK233" s="25"/>
      <c r="GL233" s="25"/>
      <c r="GM233" s="25"/>
      <c r="GN233" s="25"/>
      <c r="GO233" s="25"/>
      <c r="GP233" s="25"/>
      <c r="GQ233" s="25"/>
      <c r="GR233" s="25"/>
      <c r="GS233" s="25"/>
      <c r="GT233" s="25"/>
      <c r="GU233" s="25"/>
      <c r="GV233" s="25"/>
      <c r="GW233" s="25"/>
      <c r="GX233" s="25"/>
      <c r="GY233" s="25"/>
      <c r="GZ233" s="25"/>
      <c r="HA233" s="25"/>
      <c r="HB233" s="25"/>
      <c r="HC233" s="25"/>
      <c r="HD233" s="25"/>
      <c r="HE233" s="25"/>
      <c r="HF233" s="25"/>
      <c r="HG233" s="25"/>
      <c r="HH233" s="25"/>
      <c r="HI233" s="25"/>
      <c r="HJ233" s="25"/>
      <c r="HK233" s="25"/>
      <c r="HL233" s="25"/>
      <c r="HM233" s="25"/>
      <c r="HN233" s="25"/>
      <c r="HO233" s="25"/>
      <c r="HP233" s="25"/>
      <c r="HQ233" s="25"/>
      <c r="HR233" s="25"/>
      <c r="HS233" s="25"/>
      <c r="HT233" s="25"/>
      <c r="HU233" s="25"/>
      <c r="HV233" s="25"/>
      <c r="HW233" s="25"/>
      <c r="HX233" s="25"/>
      <c r="HY233" s="25"/>
      <c r="HZ233" s="25"/>
      <c r="IA233" s="25"/>
      <c r="IB233" s="25"/>
      <c r="IC233" s="25"/>
      <c r="ID233" s="25"/>
      <c r="IE233" s="25"/>
      <c r="IF233" s="25"/>
      <c r="IG233" s="25"/>
      <c r="IH233" s="25"/>
      <c r="II233" s="25"/>
      <c r="IJ233" s="25"/>
      <c r="IK233" s="25"/>
      <c r="IL233" s="25"/>
      <c r="IM233" s="25"/>
      <c r="IN233" s="25"/>
      <c r="IO233" s="25"/>
      <c r="IP233" s="25"/>
      <c r="IQ233" s="25"/>
      <c r="IR233" s="25"/>
      <c r="IS233" s="25"/>
      <c r="IT233" s="25"/>
      <c r="IU233" s="25"/>
      <c r="IV233" s="25"/>
    </row>
    <row r="234" spans="1:256" ht="15">
      <c r="A234" s="127"/>
      <c r="B234" s="125"/>
      <c r="C234" s="126"/>
      <c r="D234" s="126"/>
      <c r="E234" s="6" t="s">
        <v>1097</v>
      </c>
      <c r="F234" s="100"/>
      <c r="G234" s="100"/>
      <c r="H234" s="95"/>
      <c r="I234" s="98"/>
      <c r="J234" s="95"/>
      <c r="K234" s="95"/>
      <c r="L234" s="95"/>
      <c r="M234" s="95"/>
      <c r="N234" s="96"/>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c r="CC234" s="25"/>
      <c r="CD234" s="25"/>
      <c r="CE234" s="25"/>
      <c r="CF234" s="25"/>
      <c r="CG234" s="25"/>
      <c r="CH234" s="25"/>
      <c r="CI234" s="25"/>
      <c r="CJ234" s="25"/>
      <c r="CK234" s="25"/>
      <c r="CL234" s="25"/>
      <c r="CM234" s="25"/>
      <c r="CN234" s="25"/>
      <c r="CO234" s="25"/>
      <c r="CP234" s="25"/>
      <c r="CQ234" s="25"/>
      <c r="CR234" s="25"/>
      <c r="CS234" s="25"/>
      <c r="CT234" s="25"/>
      <c r="CU234" s="25"/>
      <c r="CV234" s="25"/>
      <c r="CW234" s="25"/>
      <c r="CX234" s="25"/>
      <c r="CY234" s="25"/>
      <c r="CZ234" s="25"/>
      <c r="DA234" s="25"/>
      <c r="DB234" s="25"/>
      <c r="DC234" s="25"/>
      <c r="DD234" s="25"/>
      <c r="DE234" s="25"/>
      <c r="DF234" s="25"/>
      <c r="DG234" s="25"/>
      <c r="DH234" s="25"/>
      <c r="DI234" s="25"/>
      <c r="DJ234" s="25"/>
      <c r="DK234" s="25"/>
      <c r="DL234" s="25"/>
      <c r="DM234" s="25"/>
      <c r="DN234" s="25"/>
      <c r="DO234" s="25"/>
      <c r="DP234" s="25"/>
      <c r="DQ234" s="25"/>
      <c r="DR234" s="25"/>
      <c r="DS234" s="25"/>
      <c r="DT234" s="25"/>
      <c r="DU234" s="25"/>
      <c r="DV234" s="25"/>
      <c r="DW234" s="25"/>
      <c r="DX234" s="25"/>
      <c r="DY234" s="25"/>
      <c r="DZ234" s="25"/>
      <c r="EA234" s="25"/>
      <c r="EB234" s="25"/>
      <c r="EC234" s="25"/>
      <c r="ED234" s="25"/>
      <c r="EE234" s="25"/>
      <c r="EF234" s="25"/>
      <c r="EG234" s="25"/>
      <c r="EH234" s="25"/>
      <c r="EI234" s="25"/>
      <c r="EJ234" s="25"/>
      <c r="EK234" s="25"/>
      <c r="EL234" s="25"/>
      <c r="EM234" s="25"/>
      <c r="EN234" s="25"/>
      <c r="EO234" s="25"/>
      <c r="EP234" s="25"/>
      <c r="EQ234" s="25"/>
      <c r="ER234" s="25"/>
      <c r="ES234" s="25"/>
      <c r="ET234" s="25"/>
      <c r="EU234" s="25"/>
      <c r="EV234" s="25"/>
      <c r="EW234" s="25"/>
      <c r="EX234" s="25"/>
      <c r="EY234" s="25"/>
      <c r="EZ234" s="25"/>
      <c r="FA234" s="25"/>
      <c r="FB234" s="25"/>
      <c r="FC234" s="25"/>
      <c r="FD234" s="25"/>
      <c r="FE234" s="25"/>
      <c r="FF234" s="25"/>
      <c r="FG234" s="25"/>
      <c r="FH234" s="25"/>
      <c r="FI234" s="25"/>
      <c r="FJ234" s="25"/>
      <c r="FK234" s="25"/>
      <c r="FL234" s="25"/>
      <c r="FM234" s="25"/>
      <c r="FN234" s="25"/>
      <c r="FO234" s="25"/>
      <c r="FP234" s="25"/>
      <c r="FQ234" s="25"/>
      <c r="FR234" s="25"/>
      <c r="FS234" s="25"/>
      <c r="FT234" s="25"/>
      <c r="FU234" s="25"/>
      <c r="FV234" s="25"/>
      <c r="FW234" s="25"/>
      <c r="FX234" s="25"/>
      <c r="FY234" s="25"/>
      <c r="FZ234" s="25"/>
      <c r="GA234" s="25"/>
      <c r="GB234" s="25"/>
      <c r="GC234" s="25"/>
      <c r="GD234" s="25"/>
      <c r="GE234" s="25"/>
      <c r="GF234" s="25"/>
      <c r="GG234" s="25"/>
      <c r="GH234" s="25"/>
      <c r="GI234" s="25"/>
      <c r="GJ234" s="25"/>
      <c r="GK234" s="25"/>
      <c r="GL234" s="25"/>
      <c r="GM234" s="25"/>
      <c r="GN234" s="25"/>
      <c r="GO234" s="25"/>
      <c r="GP234" s="25"/>
      <c r="GQ234" s="25"/>
      <c r="GR234" s="25"/>
      <c r="GS234" s="25"/>
      <c r="GT234" s="25"/>
      <c r="GU234" s="25"/>
      <c r="GV234" s="25"/>
      <c r="GW234" s="25"/>
      <c r="GX234" s="25"/>
      <c r="GY234" s="25"/>
      <c r="GZ234" s="25"/>
      <c r="HA234" s="25"/>
      <c r="HB234" s="25"/>
      <c r="HC234" s="25"/>
      <c r="HD234" s="25"/>
      <c r="HE234" s="25"/>
      <c r="HF234" s="25"/>
      <c r="HG234" s="25"/>
      <c r="HH234" s="25"/>
      <c r="HI234" s="25"/>
      <c r="HJ234" s="25"/>
      <c r="HK234" s="25"/>
      <c r="HL234" s="25"/>
      <c r="HM234" s="25"/>
      <c r="HN234" s="25"/>
      <c r="HO234" s="25"/>
      <c r="HP234" s="25"/>
      <c r="HQ234" s="25"/>
      <c r="HR234" s="25"/>
      <c r="HS234" s="25"/>
      <c r="HT234" s="25"/>
      <c r="HU234" s="25"/>
      <c r="HV234" s="25"/>
      <c r="HW234" s="25"/>
      <c r="HX234" s="25"/>
      <c r="HY234" s="25"/>
      <c r="HZ234" s="25"/>
      <c r="IA234" s="25"/>
      <c r="IB234" s="25"/>
      <c r="IC234" s="25"/>
      <c r="ID234" s="25"/>
      <c r="IE234" s="25"/>
      <c r="IF234" s="25"/>
      <c r="IG234" s="25"/>
      <c r="IH234" s="25"/>
      <c r="II234" s="25"/>
      <c r="IJ234" s="25"/>
      <c r="IK234" s="25"/>
      <c r="IL234" s="25"/>
      <c r="IM234" s="25"/>
      <c r="IN234" s="25"/>
      <c r="IO234" s="25"/>
      <c r="IP234" s="25"/>
      <c r="IQ234" s="25"/>
      <c r="IR234" s="25"/>
      <c r="IS234" s="25"/>
      <c r="IT234" s="25"/>
      <c r="IU234" s="25"/>
      <c r="IV234" s="25"/>
    </row>
    <row r="235" spans="1:256" ht="60">
      <c r="A235" s="127"/>
      <c r="B235" s="125"/>
      <c r="C235" s="100" t="s">
        <v>1536</v>
      </c>
      <c r="D235" s="101" t="s">
        <v>879</v>
      </c>
      <c r="E235" s="6" t="s">
        <v>1542</v>
      </c>
      <c r="F235" s="100" t="s">
        <v>1547</v>
      </c>
      <c r="G235" s="100" t="s">
        <v>1548</v>
      </c>
      <c r="H235" s="95">
        <v>136028.1</v>
      </c>
      <c r="I235" s="98">
        <v>135919.2</v>
      </c>
      <c r="J235" s="95">
        <v>129072</v>
      </c>
      <c r="K235" s="95">
        <v>130626.8</v>
      </c>
      <c r="L235" s="95">
        <v>130987.4</v>
      </c>
      <c r="M235" s="95">
        <v>131786.1</v>
      </c>
      <c r="N235" s="96" t="s">
        <v>1213</v>
      </c>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c r="CC235" s="25"/>
      <c r="CD235" s="25"/>
      <c r="CE235" s="25"/>
      <c r="CF235" s="25"/>
      <c r="CG235" s="25"/>
      <c r="CH235" s="25"/>
      <c r="CI235" s="25"/>
      <c r="CJ235" s="25"/>
      <c r="CK235" s="25"/>
      <c r="CL235" s="25"/>
      <c r="CM235" s="25"/>
      <c r="CN235" s="25"/>
      <c r="CO235" s="25"/>
      <c r="CP235" s="25"/>
      <c r="CQ235" s="25"/>
      <c r="CR235" s="25"/>
      <c r="CS235" s="25"/>
      <c r="CT235" s="25"/>
      <c r="CU235" s="25"/>
      <c r="CV235" s="25"/>
      <c r="CW235" s="25"/>
      <c r="CX235" s="25"/>
      <c r="CY235" s="25"/>
      <c r="CZ235" s="25"/>
      <c r="DA235" s="25"/>
      <c r="DB235" s="25"/>
      <c r="DC235" s="25"/>
      <c r="DD235" s="25"/>
      <c r="DE235" s="25"/>
      <c r="DF235" s="25"/>
      <c r="DG235" s="25"/>
      <c r="DH235" s="25"/>
      <c r="DI235" s="25"/>
      <c r="DJ235" s="25"/>
      <c r="DK235" s="25"/>
      <c r="DL235" s="25"/>
      <c r="DM235" s="25"/>
      <c r="DN235" s="25"/>
      <c r="DO235" s="25"/>
      <c r="DP235" s="25"/>
      <c r="DQ235" s="25"/>
      <c r="DR235" s="25"/>
      <c r="DS235" s="25"/>
      <c r="DT235" s="25"/>
      <c r="DU235" s="25"/>
      <c r="DV235" s="25"/>
      <c r="DW235" s="25"/>
      <c r="DX235" s="25"/>
      <c r="DY235" s="25"/>
      <c r="DZ235" s="25"/>
      <c r="EA235" s="25"/>
      <c r="EB235" s="25"/>
      <c r="EC235" s="25"/>
      <c r="ED235" s="25"/>
      <c r="EE235" s="25"/>
      <c r="EF235" s="25"/>
      <c r="EG235" s="25"/>
      <c r="EH235" s="25"/>
      <c r="EI235" s="25"/>
      <c r="EJ235" s="25"/>
      <c r="EK235" s="25"/>
      <c r="EL235" s="25"/>
      <c r="EM235" s="25"/>
      <c r="EN235" s="25"/>
      <c r="EO235" s="25"/>
      <c r="EP235" s="25"/>
      <c r="EQ235" s="25"/>
      <c r="ER235" s="25"/>
      <c r="ES235" s="25"/>
      <c r="ET235" s="25"/>
      <c r="EU235" s="25"/>
      <c r="EV235" s="25"/>
      <c r="EW235" s="25"/>
      <c r="EX235" s="25"/>
      <c r="EY235" s="25"/>
      <c r="EZ235" s="25"/>
      <c r="FA235" s="25"/>
      <c r="FB235" s="25"/>
      <c r="FC235" s="25"/>
      <c r="FD235" s="25"/>
      <c r="FE235" s="25"/>
      <c r="FF235" s="25"/>
      <c r="FG235" s="25"/>
      <c r="FH235" s="25"/>
      <c r="FI235" s="25"/>
      <c r="FJ235" s="25"/>
      <c r="FK235" s="25"/>
      <c r="FL235" s="25"/>
      <c r="FM235" s="25"/>
      <c r="FN235" s="25"/>
      <c r="FO235" s="25"/>
      <c r="FP235" s="25"/>
      <c r="FQ235" s="25"/>
      <c r="FR235" s="25"/>
      <c r="FS235" s="25"/>
      <c r="FT235" s="25"/>
      <c r="FU235" s="25"/>
      <c r="FV235" s="25"/>
      <c r="FW235" s="25"/>
      <c r="FX235" s="25"/>
      <c r="FY235" s="25"/>
      <c r="FZ235" s="25"/>
      <c r="GA235" s="25"/>
      <c r="GB235" s="25"/>
      <c r="GC235" s="25"/>
      <c r="GD235" s="25"/>
      <c r="GE235" s="25"/>
      <c r="GF235" s="25"/>
      <c r="GG235" s="25"/>
      <c r="GH235" s="25"/>
      <c r="GI235" s="25"/>
      <c r="GJ235" s="25"/>
      <c r="GK235" s="25"/>
      <c r="GL235" s="25"/>
      <c r="GM235" s="25"/>
      <c r="GN235" s="25"/>
      <c r="GO235" s="25"/>
      <c r="GP235" s="25"/>
      <c r="GQ235" s="25"/>
      <c r="GR235" s="25"/>
      <c r="GS235" s="25"/>
      <c r="GT235" s="25"/>
      <c r="GU235" s="25"/>
      <c r="GV235" s="25"/>
      <c r="GW235" s="25"/>
      <c r="GX235" s="25"/>
      <c r="GY235" s="25"/>
      <c r="GZ235" s="25"/>
      <c r="HA235" s="25"/>
      <c r="HB235" s="25"/>
      <c r="HC235" s="25"/>
      <c r="HD235" s="25"/>
      <c r="HE235" s="25"/>
      <c r="HF235" s="25"/>
      <c r="HG235" s="25"/>
      <c r="HH235" s="25"/>
      <c r="HI235" s="25"/>
      <c r="HJ235" s="25"/>
      <c r="HK235" s="25"/>
      <c r="HL235" s="25"/>
      <c r="HM235" s="25"/>
      <c r="HN235" s="25"/>
      <c r="HO235" s="25"/>
      <c r="HP235" s="25"/>
      <c r="HQ235" s="25"/>
      <c r="HR235" s="25"/>
      <c r="HS235" s="25"/>
      <c r="HT235" s="25"/>
      <c r="HU235" s="25"/>
      <c r="HV235" s="25"/>
      <c r="HW235" s="25"/>
      <c r="HX235" s="25"/>
      <c r="HY235" s="25"/>
      <c r="HZ235" s="25"/>
      <c r="IA235" s="25"/>
      <c r="IB235" s="25"/>
      <c r="IC235" s="25"/>
      <c r="ID235" s="25"/>
      <c r="IE235" s="25"/>
      <c r="IF235" s="25"/>
      <c r="IG235" s="25"/>
      <c r="IH235" s="25"/>
      <c r="II235" s="25"/>
      <c r="IJ235" s="25"/>
      <c r="IK235" s="25"/>
      <c r="IL235" s="25"/>
      <c r="IM235" s="25"/>
      <c r="IN235" s="25"/>
      <c r="IO235" s="25"/>
      <c r="IP235" s="25"/>
      <c r="IQ235" s="25"/>
      <c r="IR235" s="25"/>
      <c r="IS235" s="25"/>
      <c r="IT235" s="25"/>
      <c r="IU235" s="25"/>
      <c r="IV235" s="25"/>
    </row>
    <row r="236" spans="1:256" ht="30">
      <c r="A236" s="127"/>
      <c r="B236" s="125"/>
      <c r="C236" s="100" t="s">
        <v>1537</v>
      </c>
      <c r="D236" s="101" t="s">
        <v>1061</v>
      </c>
      <c r="E236" s="2" t="s">
        <v>745</v>
      </c>
      <c r="F236" s="106" t="s">
        <v>1067</v>
      </c>
      <c r="G236" s="4" t="s">
        <v>1068</v>
      </c>
      <c r="H236" s="95">
        <v>630</v>
      </c>
      <c r="I236" s="98">
        <v>630</v>
      </c>
      <c r="J236" s="95">
        <v>686</v>
      </c>
      <c r="K236" s="95">
        <v>276</v>
      </c>
      <c r="L236" s="95">
        <v>227</v>
      </c>
      <c r="M236" s="95">
        <v>277</v>
      </c>
      <c r="N236" s="96" t="s">
        <v>522</v>
      </c>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c r="CC236" s="25"/>
      <c r="CD236" s="25"/>
      <c r="CE236" s="25"/>
      <c r="CF236" s="25"/>
      <c r="CG236" s="25"/>
      <c r="CH236" s="25"/>
      <c r="CI236" s="25"/>
      <c r="CJ236" s="25"/>
      <c r="CK236" s="25"/>
      <c r="CL236" s="25"/>
      <c r="CM236" s="25"/>
      <c r="CN236" s="25"/>
      <c r="CO236" s="25"/>
      <c r="CP236" s="25"/>
      <c r="CQ236" s="25"/>
      <c r="CR236" s="25"/>
      <c r="CS236" s="25"/>
      <c r="CT236" s="25"/>
      <c r="CU236" s="25"/>
      <c r="CV236" s="25"/>
      <c r="CW236" s="25"/>
      <c r="CX236" s="25"/>
      <c r="CY236" s="25"/>
      <c r="CZ236" s="25"/>
      <c r="DA236" s="25"/>
      <c r="DB236" s="25"/>
      <c r="DC236" s="25"/>
      <c r="DD236" s="25"/>
      <c r="DE236" s="25"/>
      <c r="DF236" s="25"/>
      <c r="DG236" s="25"/>
      <c r="DH236" s="25"/>
      <c r="DI236" s="25"/>
      <c r="DJ236" s="25"/>
      <c r="DK236" s="25"/>
      <c r="DL236" s="25"/>
      <c r="DM236" s="25"/>
      <c r="DN236" s="25"/>
      <c r="DO236" s="25"/>
      <c r="DP236" s="25"/>
      <c r="DQ236" s="25"/>
      <c r="DR236" s="25"/>
      <c r="DS236" s="25"/>
      <c r="DT236" s="25"/>
      <c r="DU236" s="25"/>
      <c r="DV236" s="25"/>
      <c r="DW236" s="25"/>
      <c r="DX236" s="25"/>
      <c r="DY236" s="25"/>
      <c r="DZ236" s="25"/>
      <c r="EA236" s="25"/>
      <c r="EB236" s="25"/>
      <c r="EC236" s="25"/>
      <c r="ED236" s="25"/>
      <c r="EE236" s="25"/>
      <c r="EF236" s="25"/>
      <c r="EG236" s="25"/>
      <c r="EH236" s="25"/>
      <c r="EI236" s="25"/>
      <c r="EJ236" s="25"/>
      <c r="EK236" s="25"/>
      <c r="EL236" s="25"/>
      <c r="EM236" s="25"/>
      <c r="EN236" s="25"/>
      <c r="EO236" s="25"/>
      <c r="EP236" s="25"/>
      <c r="EQ236" s="25"/>
      <c r="ER236" s="25"/>
      <c r="ES236" s="25"/>
      <c r="ET236" s="25"/>
      <c r="EU236" s="25"/>
      <c r="EV236" s="25"/>
      <c r="EW236" s="25"/>
      <c r="EX236" s="25"/>
      <c r="EY236" s="25"/>
      <c r="EZ236" s="25"/>
      <c r="FA236" s="25"/>
      <c r="FB236" s="25"/>
      <c r="FC236" s="25"/>
      <c r="FD236" s="25"/>
      <c r="FE236" s="25"/>
      <c r="FF236" s="25"/>
      <c r="FG236" s="25"/>
      <c r="FH236" s="25"/>
      <c r="FI236" s="25"/>
      <c r="FJ236" s="25"/>
      <c r="FK236" s="25"/>
      <c r="FL236" s="25"/>
      <c r="FM236" s="25"/>
      <c r="FN236" s="25"/>
      <c r="FO236" s="25"/>
      <c r="FP236" s="25"/>
      <c r="FQ236" s="25"/>
      <c r="FR236" s="25"/>
      <c r="FS236" s="25"/>
      <c r="FT236" s="25"/>
      <c r="FU236" s="25"/>
      <c r="FV236" s="25"/>
      <c r="FW236" s="25"/>
      <c r="FX236" s="25"/>
      <c r="FY236" s="25"/>
      <c r="FZ236" s="25"/>
      <c r="GA236" s="25"/>
      <c r="GB236" s="25"/>
      <c r="GC236" s="25"/>
      <c r="GD236" s="25"/>
      <c r="GE236" s="25"/>
      <c r="GF236" s="25"/>
      <c r="GG236" s="25"/>
      <c r="GH236" s="25"/>
      <c r="GI236" s="25"/>
      <c r="GJ236" s="25"/>
      <c r="GK236" s="25"/>
      <c r="GL236" s="25"/>
      <c r="GM236" s="25"/>
      <c r="GN236" s="25"/>
      <c r="GO236" s="25"/>
      <c r="GP236" s="25"/>
      <c r="GQ236" s="25"/>
      <c r="GR236" s="25"/>
      <c r="GS236" s="25"/>
      <c r="GT236" s="25"/>
      <c r="GU236" s="25"/>
      <c r="GV236" s="25"/>
      <c r="GW236" s="25"/>
      <c r="GX236" s="25"/>
      <c r="GY236" s="25"/>
      <c r="GZ236" s="25"/>
      <c r="HA236" s="25"/>
      <c r="HB236" s="25"/>
      <c r="HC236" s="25"/>
      <c r="HD236" s="25"/>
      <c r="HE236" s="25"/>
      <c r="HF236" s="25"/>
      <c r="HG236" s="25"/>
      <c r="HH236" s="25"/>
      <c r="HI236" s="25"/>
      <c r="HJ236" s="25"/>
      <c r="HK236" s="25"/>
      <c r="HL236" s="25"/>
      <c r="HM236" s="25"/>
      <c r="HN236" s="25"/>
      <c r="HO236" s="25"/>
      <c r="HP236" s="25"/>
      <c r="HQ236" s="25"/>
      <c r="HR236" s="25"/>
      <c r="HS236" s="25"/>
      <c r="HT236" s="25"/>
      <c r="HU236" s="25"/>
      <c r="HV236" s="25"/>
      <c r="HW236" s="25"/>
      <c r="HX236" s="25"/>
      <c r="HY236" s="25"/>
      <c r="HZ236" s="25"/>
      <c r="IA236" s="25"/>
      <c r="IB236" s="25"/>
      <c r="IC236" s="25"/>
      <c r="ID236" s="25"/>
      <c r="IE236" s="25"/>
      <c r="IF236" s="25"/>
      <c r="IG236" s="25"/>
      <c r="IH236" s="25"/>
      <c r="II236" s="25"/>
      <c r="IJ236" s="25"/>
      <c r="IK236" s="25"/>
      <c r="IL236" s="25"/>
      <c r="IM236" s="25"/>
      <c r="IN236" s="25"/>
      <c r="IO236" s="25"/>
      <c r="IP236" s="25"/>
      <c r="IQ236" s="25"/>
      <c r="IR236" s="25"/>
      <c r="IS236" s="25"/>
      <c r="IT236" s="25"/>
      <c r="IU236" s="25"/>
      <c r="IV236" s="25"/>
    </row>
    <row r="237" spans="1:256" ht="45">
      <c r="A237" s="127"/>
      <c r="B237" s="125"/>
      <c r="C237" s="100" t="s">
        <v>1538</v>
      </c>
      <c r="D237" s="101" t="s">
        <v>1061</v>
      </c>
      <c r="E237" s="15" t="s">
        <v>1149</v>
      </c>
      <c r="F237" s="16" t="s">
        <v>1155</v>
      </c>
      <c r="G237" s="17" t="s">
        <v>1150</v>
      </c>
      <c r="H237" s="95">
        <v>140.4</v>
      </c>
      <c r="I237" s="98">
        <v>140.4</v>
      </c>
      <c r="J237" s="95"/>
      <c r="K237" s="95">
        <v>80</v>
      </c>
      <c r="L237" s="95">
        <v>102.4</v>
      </c>
      <c r="M237" s="95"/>
      <c r="N237" s="96" t="s">
        <v>517</v>
      </c>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c r="CC237" s="25"/>
      <c r="CD237" s="25"/>
      <c r="CE237" s="25"/>
      <c r="CF237" s="25"/>
      <c r="CG237" s="25"/>
      <c r="CH237" s="25"/>
      <c r="CI237" s="25"/>
      <c r="CJ237" s="25"/>
      <c r="CK237" s="25"/>
      <c r="CL237" s="25"/>
      <c r="CM237" s="25"/>
      <c r="CN237" s="25"/>
      <c r="CO237" s="25"/>
      <c r="CP237" s="25"/>
      <c r="CQ237" s="25"/>
      <c r="CR237" s="25"/>
      <c r="CS237" s="25"/>
      <c r="CT237" s="25"/>
      <c r="CU237" s="25"/>
      <c r="CV237" s="25"/>
      <c r="CW237" s="25"/>
      <c r="CX237" s="25"/>
      <c r="CY237" s="25"/>
      <c r="CZ237" s="25"/>
      <c r="DA237" s="25"/>
      <c r="DB237" s="25"/>
      <c r="DC237" s="25"/>
      <c r="DD237" s="25"/>
      <c r="DE237" s="25"/>
      <c r="DF237" s="25"/>
      <c r="DG237" s="25"/>
      <c r="DH237" s="25"/>
      <c r="DI237" s="25"/>
      <c r="DJ237" s="25"/>
      <c r="DK237" s="25"/>
      <c r="DL237" s="25"/>
      <c r="DM237" s="25"/>
      <c r="DN237" s="25"/>
      <c r="DO237" s="25"/>
      <c r="DP237" s="25"/>
      <c r="DQ237" s="25"/>
      <c r="DR237" s="25"/>
      <c r="DS237" s="25"/>
      <c r="DT237" s="25"/>
      <c r="DU237" s="25"/>
      <c r="DV237" s="25"/>
      <c r="DW237" s="25"/>
      <c r="DX237" s="25"/>
      <c r="DY237" s="25"/>
      <c r="DZ237" s="25"/>
      <c r="EA237" s="25"/>
      <c r="EB237" s="25"/>
      <c r="EC237" s="25"/>
      <c r="ED237" s="25"/>
      <c r="EE237" s="25"/>
      <c r="EF237" s="25"/>
      <c r="EG237" s="25"/>
      <c r="EH237" s="25"/>
      <c r="EI237" s="25"/>
      <c r="EJ237" s="25"/>
      <c r="EK237" s="25"/>
      <c r="EL237" s="25"/>
      <c r="EM237" s="25"/>
      <c r="EN237" s="25"/>
      <c r="EO237" s="25"/>
      <c r="EP237" s="25"/>
      <c r="EQ237" s="25"/>
      <c r="ER237" s="25"/>
      <c r="ES237" s="25"/>
      <c r="ET237" s="25"/>
      <c r="EU237" s="25"/>
      <c r="EV237" s="25"/>
      <c r="EW237" s="25"/>
      <c r="EX237" s="25"/>
      <c r="EY237" s="25"/>
      <c r="EZ237" s="25"/>
      <c r="FA237" s="25"/>
      <c r="FB237" s="25"/>
      <c r="FC237" s="25"/>
      <c r="FD237" s="25"/>
      <c r="FE237" s="25"/>
      <c r="FF237" s="25"/>
      <c r="FG237" s="25"/>
      <c r="FH237" s="25"/>
      <c r="FI237" s="25"/>
      <c r="FJ237" s="25"/>
      <c r="FK237" s="25"/>
      <c r="FL237" s="25"/>
      <c r="FM237" s="25"/>
      <c r="FN237" s="25"/>
      <c r="FO237" s="25"/>
      <c r="FP237" s="25"/>
      <c r="FQ237" s="25"/>
      <c r="FR237" s="25"/>
      <c r="FS237" s="25"/>
      <c r="FT237" s="25"/>
      <c r="FU237" s="25"/>
      <c r="FV237" s="25"/>
      <c r="FW237" s="25"/>
      <c r="FX237" s="25"/>
      <c r="FY237" s="25"/>
      <c r="FZ237" s="25"/>
      <c r="GA237" s="25"/>
      <c r="GB237" s="25"/>
      <c r="GC237" s="25"/>
      <c r="GD237" s="25"/>
      <c r="GE237" s="25"/>
      <c r="GF237" s="25"/>
      <c r="GG237" s="25"/>
      <c r="GH237" s="25"/>
      <c r="GI237" s="25"/>
      <c r="GJ237" s="25"/>
      <c r="GK237" s="25"/>
      <c r="GL237" s="25"/>
      <c r="GM237" s="25"/>
      <c r="GN237" s="25"/>
      <c r="GO237" s="25"/>
      <c r="GP237" s="25"/>
      <c r="GQ237" s="25"/>
      <c r="GR237" s="25"/>
      <c r="GS237" s="25"/>
      <c r="GT237" s="25"/>
      <c r="GU237" s="25"/>
      <c r="GV237" s="25"/>
      <c r="GW237" s="25"/>
      <c r="GX237" s="25"/>
      <c r="GY237" s="25"/>
      <c r="GZ237" s="25"/>
      <c r="HA237" s="25"/>
      <c r="HB237" s="25"/>
      <c r="HC237" s="25"/>
      <c r="HD237" s="25"/>
      <c r="HE237" s="25"/>
      <c r="HF237" s="25"/>
      <c r="HG237" s="25"/>
      <c r="HH237" s="25"/>
      <c r="HI237" s="25"/>
      <c r="HJ237" s="25"/>
      <c r="HK237" s="25"/>
      <c r="HL237" s="25"/>
      <c r="HM237" s="25"/>
      <c r="HN237" s="25"/>
      <c r="HO237" s="25"/>
      <c r="HP237" s="25"/>
      <c r="HQ237" s="25"/>
      <c r="HR237" s="25"/>
      <c r="HS237" s="25"/>
      <c r="HT237" s="25"/>
      <c r="HU237" s="25"/>
      <c r="HV237" s="25"/>
      <c r="HW237" s="25"/>
      <c r="HX237" s="25"/>
      <c r="HY237" s="25"/>
      <c r="HZ237" s="25"/>
      <c r="IA237" s="25"/>
      <c r="IB237" s="25"/>
      <c r="IC237" s="25"/>
      <c r="ID237" s="25"/>
      <c r="IE237" s="25"/>
      <c r="IF237" s="25"/>
      <c r="IG237" s="25"/>
      <c r="IH237" s="25"/>
      <c r="II237" s="25"/>
      <c r="IJ237" s="25"/>
      <c r="IK237" s="25"/>
      <c r="IL237" s="25"/>
      <c r="IM237" s="25"/>
      <c r="IN237" s="25"/>
      <c r="IO237" s="25"/>
      <c r="IP237" s="25"/>
      <c r="IQ237" s="25"/>
      <c r="IR237" s="25"/>
      <c r="IS237" s="25"/>
      <c r="IT237" s="25"/>
      <c r="IU237" s="25"/>
      <c r="IV237" s="25"/>
    </row>
    <row r="238" spans="1:14" ht="45">
      <c r="A238" s="127"/>
      <c r="B238" s="125"/>
      <c r="C238" s="100" t="s">
        <v>1539</v>
      </c>
      <c r="D238" s="101" t="s">
        <v>1061</v>
      </c>
      <c r="E238" s="113" t="s">
        <v>1466</v>
      </c>
      <c r="F238" s="3" t="s">
        <v>1155</v>
      </c>
      <c r="G238" s="106" t="s">
        <v>1237</v>
      </c>
      <c r="H238" s="95"/>
      <c r="I238" s="98"/>
      <c r="J238" s="95">
        <v>5759.8</v>
      </c>
      <c r="K238" s="95">
        <v>5412.3</v>
      </c>
      <c r="L238" s="95">
        <v>6985</v>
      </c>
      <c r="M238" s="95"/>
      <c r="N238" s="96" t="s">
        <v>1467</v>
      </c>
    </row>
    <row r="239" spans="1:14" ht="90">
      <c r="A239" s="127"/>
      <c r="B239" s="125"/>
      <c r="C239" s="100" t="s">
        <v>1540</v>
      </c>
      <c r="D239" s="101" t="s">
        <v>1061</v>
      </c>
      <c r="E239" s="113" t="s">
        <v>1233</v>
      </c>
      <c r="F239" s="3" t="s">
        <v>1155</v>
      </c>
      <c r="G239" s="106" t="s">
        <v>1234</v>
      </c>
      <c r="H239" s="111"/>
      <c r="I239" s="111"/>
      <c r="J239" s="111"/>
      <c r="K239" s="111"/>
      <c r="L239" s="111">
        <v>325.8</v>
      </c>
      <c r="M239" s="111">
        <v>219.1</v>
      </c>
      <c r="N239" s="96" t="s">
        <v>1235</v>
      </c>
    </row>
    <row r="240" spans="1:256" s="28" customFormat="1" ht="81" customHeight="1">
      <c r="A240" s="127"/>
      <c r="B240" s="125"/>
      <c r="C240" s="100" t="s">
        <v>1468</v>
      </c>
      <c r="D240" s="101" t="s">
        <v>878</v>
      </c>
      <c r="E240" s="1" t="s">
        <v>956</v>
      </c>
      <c r="F240" s="3" t="s">
        <v>1155</v>
      </c>
      <c r="G240" s="106" t="s">
        <v>472</v>
      </c>
      <c r="H240" s="95">
        <v>2000</v>
      </c>
      <c r="I240" s="98">
        <v>1853.7</v>
      </c>
      <c r="J240" s="95"/>
      <c r="K240" s="95"/>
      <c r="L240" s="95"/>
      <c r="M240" s="95"/>
      <c r="N240" s="96" t="s">
        <v>939</v>
      </c>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c r="FP240" s="21"/>
      <c r="FQ240" s="21"/>
      <c r="FR240" s="21"/>
      <c r="FS240" s="21"/>
      <c r="FT240" s="21"/>
      <c r="FU240" s="21"/>
      <c r="FV240" s="21"/>
      <c r="FW240" s="21"/>
      <c r="FX240" s="21"/>
      <c r="FY240" s="21"/>
      <c r="FZ240" s="21"/>
      <c r="GA240" s="21"/>
      <c r="GB240" s="21"/>
      <c r="GC240" s="21"/>
      <c r="GD240" s="21"/>
      <c r="GE240" s="21"/>
      <c r="GF240" s="21"/>
      <c r="GG240" s="21"/>
      <c r="GH240" s="21"/>
      <c r="GI240" s="21"/>
      <c r="GJ240" s="21"/>
      <c r="GK240" s="21"/>
      <c r="GL240" s="21"/>
      <c r="GM240" s="21"/>
      <c r="GN240" s="21"/>
      <c r="GO240" s="21"/>
      <c r="GP240" s="21"/>
      <c r="GQ240" s="21"/>
      <c r="GR240" s="21"/>
      <c r="GS240" s="21"/>
      <c r="GT240" s="21"/>
      <c r="GU240" s="21"/>
      <c r="GV240" s="21"/>
      <c r="GW240" s="21"/>
      <c r="GX240" s="21"/>
      <c r="GY240" s="21"/>
      <c r="GZ240" s="21"/>
      <c r="HA240" s="21"/>
      <c r="HB240" s="21"/>
      <c r="HC240" s="21"/>
      <c r="HD240" s="21"/>
      <c r="HE240" s="21"/>
      <c r="HF240" s="21"/>
      <c r="HG240" s="21"/>
      <c r="HH240" s="21"/>
      <c r="HI240" s="21"/>
      <c r="HJ240" s="21"/>
      <c r="HK240" s="21"/>
      <c r="HL240" s="21"/>
      <c r="HM240" s="21"/>
      <c r="HN240" s="21"/>
      <c r="HO240" s="21"/>
      <c r="HP240" s="21"/>
      <c r="HQ240" s="21"/>
      <c r="HR240" s="21"/>
      <c r="HS240" s="21"/>
      <c r="HT240" s="21"/>
      <c r="HU240" s="21"/>
      <c r="HV240" s="21"/>
      <c r="HW240" s="21"/>
      <c r="HX240" s="21"/>
      <c r="HY240" s="21"/>
      <c r="HZ240" s="21"/>
      <c r="IA240" s="21"/>
      <c r="IB240" s="21"/>
      <c r="IC240" s="21"/>
      <c r="ID240" s="21"/>
      <c r="IE240" s="21"/>
      <c r="IF240" s="21"/>
      <c r="IG240" s="21"/>
      <c r="IH240" s="21"/>
      <c r="II240" s="21"/>
      <c r="IJ240" s="21"/>
      <c r="IK240" s="21"/>
      <c r="IL240" s="21"/>
      <c r="IM240" s="21"/>
      <c r="IN240" s="21"/>
      <c r="IO240" s="21"/>
      <c r="IP240" s="21"/>
      <c r="IQ240" s="21"/>
      <c r="IR240" s="21"/>
      <c r="IS240" s="21"/>
      <c r="IT240" s="21"/>
      <c r="IU240" s="21"/>
      <c r="IV240" s="21"/>
    </row>
    <row r="241" spans="1:256" s="29" customFormat="1" ht="45">
      <c r="A241" s="127" t="s">
        <v>777</v>
      </c>
      <c r="B241" s="125" t="s">
        <v>1345</v>
      </c>
      <c r="C241" s="126" t="s">
        <v>907</v>
      </c>
      <c r="D241" s="142" t="s">
        <v>879</v>
      </c>
      <c r="E241" s="6" t="s">
        <v>554</v>
      </c>
      <c r="F241" s="100" t="s">
        <v>556</v>
      </c>
      <c r="G241" s="100" t="s">
        <v>558</v>
      </c>
      <c r="H241" s="139">
        <v>100</v>
      </c>
      <c r="I241" s="124">
        <v>100</v>
      </c>
      <c r="J241" s="139"/>
      <c r="K241" s="139"/>
      <c r="L241" s="139"/>
      <c r="M241" s="139"/>
      <c r="N241" s="137" t="s">
        <v>1541</v>
      </c>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c r="FP241" s="21"/>
      <c r="FQ241" s="21"/>
      <c r="FR241" s="21"/>
      <c r="FS241" s="21"/>
      <c r="FT241" s="21"/>
      <c r="FU241" s="21"/>
      <c r="FV241" s="21"/>
      <c r="FW241" s="21"/>
      <c r="FX241" s="21"/>
      <c r="FY241" s="21"/>
      <c r="FZ241" s="21"/>
      <c r="GA241" s="21"/>
      <c r="GB241" s="21"/>
      <c r="GC241" s="21"/>
      <c r="GD241" s="21"/>
      <c r="GE241" s="21"/>
      <c r="GF241" s="21"/>
      <c r="GG241" s="21"/>
      <c r="GH241" s="21"/>
      <c r="GI241" s="21"/>
      <c r="GJ241" s="21"/>
      <c r="GK241" s="21"/>
      <c r="GL241" s="21"/>
      <c r="GM241" s="21"/>
      <c r="GN241" s="21"/>
      <c r="GO241" s="21"/>
      <c r="GP241" s="21"/>
      <c r="GQ241" s="21"/>
      <c r="GR241" s="21"/>
      <c r="GS241" s="21"/>
      <c r="GT241" s="21"/>
      <c r="GU241" s="21"/>
      <c r="GV241" s="21"/>
      <c r="GW241" s="21"/>
      <c r="GX241" s="21"/>
      <c r="GY241" s="21"/>
      <c r="GZ241" s="21"/>
      <c r="HA241" s="21"/>
      <c r="HB241" s="21"/>
      <c r="HC241" s="21"/>
      <c r="HD241" s="21"/>
      <c r="HE241" s="21"/>
      <c r="HF241" s="21"/>
      <c r="HG241" s="21"/>
      <c r="HH241" s="21"/>
      <c r="HI241" s="21"/>
      <c r="HJ241" s="21"/>
      <c r="HK241" s="21"/>
      <c r="HL241" s="21"/>
      <c r="HM241" s="21"/>
      <c r="HN241" s="21"/>
      <c r="HO241" s="21"/>
      <c r="HP241" s="21"/>
      <c r="HQ241" s="21"/>
      <c r="HR241" s="21"/>
      <c r="HS241" s="21"/>
      <c r="HT241" s="21"/>
      <c r="HU241" s="21"/>
      <c r="HV241" s="21"/>
      <c r="HW241" s="21"/>
      <c r="HX241" s="21"/>
      <c r="HY241" s="21"/>
      <c r="HZ241" s="21"/>
      <c r="IA241" s="21"/>
      <c r="IB241" s="21"/>
      <c r="IC241" s="21"/>
      <c r="ID241" s="21"/>
      <c r="IE241" s="21"/>
      <c r="IF241" s="21"/>
      <c r="IG241" s="21"/>
      <c r="IH241" s="21"/>
      <c r="II241" s="21"/>
      <c r="IJ241" s="21"/>
      <c r="IK241" s="21"/>
      <c r="IL241" s="21"/>
      <c r="IM241" s="21"/>
      <c r="IN241" s="21"/>
      <c r="IO241" s="21"/>
      <c r="IP241" s="21"/>
      <c r="IQ241" s="21"/>
      <c r="IR241" s="21"/>
      <c r="IS241" s="21"/>
      <c r="IT241" s="21"/>
      <c r="IU241" s="21"/>
      <c r="IV241" s="21"/>
    </row>
    <row r="242" spans="1:256" s="28" customFormat="1" ht="67.5" customHeight="1">
      <c r="A242" s="127"/>
      <c r="B242" s="125"/>
      <c r="C242" s="126"/>
      <c r="D242" s="142"/>
      <c r="E242" s="6" t="s">
        <v>555</v>
      </c>
      <c r="F242" s="100" t="s">
        <v>1240</v>
      </c>
      <c r="G242" s="100" t="s">
        <v>557</v>
      </c>
      <c r="H242" s="139"/>
      <c r="I242" s="124"/>
      <c r="J242" s="139"/>
      <c r="K242" s="139"/>
      <c r="L242" s="139"/>
      <c r="M242" s="139"/>
      <c r="N242" s="137"/>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c r="FP242" s="21"/>
      <c r="FQ242" s="21"/>
      <c r="FR242" s="21"/>
      <c r="FS242" s="21"/>
      <c r="FT242" s="21"/>
      <c r="FU242" s="21"/>
      <c r="FV242" s="21"/>
      <c r="FW242" s="21"/>
      <c r="FX242" s="21"/>
      <c r="FY242" s="21"/>
      <c r="FZ242" s="21"/>
      <c r="GA242" s="21"/>
      <c r="GB242" s="21"/>
      <c r="GC242" s="21"/>
      <c r="GD242" s="21"/>
      <c r="GE242" s="21"/>
      <c r="GF242" s="21"/>
      <c r="GG242" s="21"/>
      <c r="GH242" s="21"/>
      <c r="GI242" s="21"/>
      <c r="GJ242" s="21"/>
      <c r="GK242" s="21"/>
      <c r="GL242" s="21"/>
      <c r="GM242" s="21"/>
      <c r="GN242" s="21"/>
      <c r="GO242" s="21"/>
      <c r="GP242" s="21"/>
      <c r="GQ242" s="21"/>
      <c r="GR242" s="21"/>
      <c r="GS242" s="21"/>
      <c r="GT242" s="21"/>
      <c r="GU242" s="21"/>
      <c r="GV242" s="21"/>
      <c r="GW242" s="21"/>
      <c r="GX242" s="21"/>
      <c r="GY242" s="21"/>
      <c r="GZ242" s="21"/>
      <c r="HA242" s="21"/>
      <c r="HB242" s="21"/>
      <c r="HC242" s="21"/>
      <c r="HD242" s="21"/>
      <c r="HE242" s="21"/>
      <c r="HF242" s="21"/>
      <c r="HG242" s="21"/>
      <c r="HH242" s="21"/>
      <c r="HI242" s="21"/>
      <c r="HJ242" s="21"/>
      <c r="HK242" s="21"/>
      <c r="HL242" s="21"/>
      <c r="HM242" s="21"/>
      <c r="HN242" s="21"/>
      <c r="HO242" s="21"/>
      <c r="HP242" s="21"/>
      <c r="HQ242" s="21"/>
      <c r="HR242" s="21"/>
      <c r="HS242" s="21"/>
      <c r="HT242" s="21"/>
      <c r="HU242" s="21"/>
      <c r="HV242" s="21"/>
      <c r="HW242" s="21"/>
      <c r="HX242" s="21"/>
      <c r="HY242" s="21"/>
      <c r="HZ242" s="21"/>
      <c r="IA242" s="21"/>
      <c r="IB242" s="21"/>
      <c r="IC242" s="21"/>
      <c r="ID242" s="21"/>
      <c r="IE242" s="21"/>
      <c r="IF242" s="21"/>
      <c r="IG242" s="21"/>
      <c r="IH242" s="21"/>
      <c r="II242" s="21"/>
      <c r="IJ242" s="21"/>
      <c r="IK242" s="21"/>
      <c r="IL242" s="21"/>
      <c r="IM242" s="21"/>
      <c r="IN242" s="21"/>
      <c r="IO242" s="21"/>
      <c r="IP242" s="21"/>
      <c r="IQ242" s="21"/>
      <c r="IR242" s="21"/>
      <c r="IS242" s="21"/>
      <c r="IT242" s="21"/>
      <c r="IU242" s="21"/>
      <c r="IV242" s="21"/>
    </row>
    <row r="243" spans="1:256" s="29" customFormat="1" ht="45">
      <c r="A243" s="127" t="s">
        <v>778</v>
      </c>
      <c r="B243" s="125" t="s">
        <v>1348</v>
      </c>
      <c r="C243" s="126" t="s">
        <v>908</v>
      </c>
      <c r="D243" s="126" t="s">
        <v>44</v>
      </c>
      <c r="E243" s="6" t="s">
        <v>1102</v>
      </c>
      <c r="F243" s="100" t="s">
        <v>1103</v>
      </c>
      <c r="G243" s="100" t="s">
        <v>1105</v>
      </c>
      <c r="H243" s="136">
        <f aca="true" t="shared" si="14" ref="H243:M243">SUM(H248:H252)</f>
        <v>41512.9</v>
      </c>
      <c r="I243" s="143">
        <f t="shared" si="14"/>
        <v>40617.3</v>
      </c>
      <c r="J243" s="136">
        <f t="shared" si="14"/>
        <v>49968.7</v>
      </c>
      <c r="K243" s="136">
        <f t="shared" si="14"/>
        <v>40178</v>
      </c>
      <c r="L243" s="136">
        <f t="shared" si="14"/>
        <v>39446.6</v>
      </c>
      <c r="M243" s="136">
        <f t="shared" si="14"/>
        <v>39626.1</v>
      </c>
      <c r="N243" s="137"/>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c r="FP243" s="21"/>
      <c r="FQ243" s="21"/>
      <c r="FR243" s="21"/>
      <c r="FS243" s="21"/>
      <c r="FT243" s="21"/>
      <c r="FU243" s="21"/>
      <c r="FV243" s="21"/>
      <c r="FW243" s="21"/>
      <c r="FX243" s="21"/>
      <c r="FY243" s="21"/>
      <c r="FZ243" s="21"/>
      <c r="GA243" s="21"/>
      <c r="GB243" s="21"/>
      <c r="GC243" s="21"/>
      <c r="GD243" s="21"/>
      <c r="GE243" s="21"/>
      <c r="GF243" s="21"/>
      <c r="GG243" s="21"/>
      <c r="GH243" s="21"/>
      <c r="GI243" s="21"/>
      <c r="GJ243" s="21"/>
      <c r="GK243" s="21"/>
      <c r="GL243" s="21"/>
      <c r="GM243" s="21"/>
      <c r="GN243" s="21"/>
      <c r="GO243" s="21"/>
      <c r="GP243" s="21"/>
      <c r="GQ243" s="21"/>
      <c r="GR243" s="21"/>
      <c r="GS243" s="21"/>
      <c r="GT243" s="21"/>
      <c r="GU243" s="21"/>
      <c r="GV243" s="21"/>
      <c r="GW243" s="21"/>
      <c r="GX243" s="21"/>
      <c r="GY243" s="21"/>
      <c r="GZ243" s="21"/>
      <c r="HA243" s="21"/>
      <c r="HB243" s="21"/>
      <c r="HC243" s="21"/>
      <c r="HD243" s="21"/>
      <c r="HE243" s="21"/>
      <c r="HF243" s="21"/>
      <c r="HG243" s="21"/>
      <c r="HH243" s="21"/>
      <c r="HI243" s="21"/>
      <c r="HJ243" s="21"/>
      <c r="HK243" s="21"/>
      <c r="HL243" s="21"/>
      <c r="HM243" s="21"/>
      <c r="HN243" s="21"/>
      <c r="HO243" s="21"/>
      <c r="HP243" s="21"/>
      <c r="HQ243" s="21"/>
      <c r="HR243" s="21"/>
      <c r="HS243" s="21"/>
      <c r="HT243" s="21"/>
      <c r="HU243" s="21"/>
      <c r="HV243" s="21"/>
      <c r="HW243" s="21"/>
      <c r="HX243" s="21"/>
      <c r="HY243" s="21"/>
      <c r="HZ243" s="21"/>
      <c r="IA243" s="21"/>
      <c r="IB243" s="21"/>
      <c r="IC243" s="21"/>
      <c r="ID243" s="21"/>
      <c r="IE243" s="21"/>
      <c r="IF243" s="21"/>
      <c r="IG243" s="21"/>
      <c r="IH243" s="21"/>
      <c r="II243" s="21"/>
      <c r="IJ243" s="21"/>
      <c r="IK243" s="21"/>
      <c r="IL243" s="21"/>
      <c r="IM243" s="21"/>
      <c r="IN243" s="21"/>
      <c r="IO243" s="21"/>
      <c r="IP243" s="21"/>
      <c r="IQ243" s="21"/>
      <c r="IR243" s="21"/>
      <c r="IS243" s="21"/>
      <c r="IT243" s="21"/>
      <c r="IU243" s="21"/>
      <c r="IV243" s="21"/>
    </row>
    <row r="244" spans="1:14" ht="30">
      <c r="A244" s="127"/>
      <c r="B244" s="125"/>
      <c r="C244" s="126"/>
      <c r="D244" s="126"/>
      <c r="E244" s="6" t="s">
        <v>24</v>
      </c>
      <c r="F244" s="100" t="s">
        <v>1104</v>
      </c>
      <c r="G244" s="100" t="s">
        <v>1106</v>
      </c>
      <c r="H244" s="136"/>
      <c r="I244" s="143"/>
      <c r="J244" s="136"/>
      <c r="K244" s="136"/>
      <c r="L244" s="136"/>
      <c r="M244" s="136"/>
      <c r="N244" s="137"/>
    </row>
    <row r="245" spans="1:14" ht="48" customHeight="1">
      <c r="A245" s="127"/>
      <c r="B245" s="125"/>
      <c r="C245" s="126"/>
      <c r="D245" s="126"/>
      <c r="E245" s="6" t="s">
        <v>1107</v>
      </c>
      <c r="F245" s="100" t="s">
        <v>1108</v>
      </c>
      <c r="G245" s="100" t="s">
        <v>1109</v>
      </c>
      <c r="H245" s="136"/>
      <c r="I245" s="143"/>
      <c r="J245" s="136"/>
      <c r="K245" s="136"/>
      <c r="L245" s="136"/>
      <c r="M245" s="136"/>
      <c r="N245" s="137"/>
    </row>
    <row r="246" spans="1:14" ht="45">
      <c r="A246" s="127"/>
      <c r="B246" s="125"/>
      <c r="C246" s="126"/>
      <c r="D246" s="126"/>
      <c r="E246" s="6" t="s">
        <v>180</v>
      </c>
      <c r="F246" s="100" t="s">
        <v>1155</v>
      </c>
      <c r="G246" s="100" t="s">
        <v>1409</v>
      </c>
      <c r="H246" s="136"/>
      <c r="I246" s="143"/>
      <c r="J246" s="136"/>
      <c r="K246" s="136"/>
      <c r="L246" s="136"/>
      <c r="M246" s="136"/>
      <c r="N246" s="137"/>
    </row>
    <row r="247" spans="1:14" ht="15">
      <c r="A247" s="127"/>
      <c r="B247" s="125"/>
      <c r="C247" s="126"/>
      <c r="D247" s="126"/>
      <c r="E247" s="6" t="s">
        <v>1097</v>
      </c>
      <c r="F247" s="100"/>
      <c r="G247" s="100"/>
      <c r="H247" s="95"/>
      <c r="I247" s="98"/>
      <c r="J247" s="95"/>
      <c r="K247" s="95"/>
      <c r="L247" s="95"/>
      <c r="M247" s="95"/>
      <c r="N247" s="96"/>
    </row>
    <row r="248" spans="1:14" ht="78.75" customHeight="1">
      <c r="A248" s="127"/>
      <c r="B248" s="125"/>
      <c r="C248" s="100" t="s">
        <v>1469</v>
      </c>
      <c r="D248" s="101" t="s">
        <v>183</v>
      </c>
      <c r="E248" s="6" t="s">
        <v>1471</v>
      </c>
      <c r="F248" s="100" t="s">
        <v>1449</v>
      </c>
      <c r="G248" s="100" t="s">
        <v>1472</v>
      </c>
      <c r="H248" s="95">
        <v>38266.9</v>
      </c>
      <c r="I248" s="98">
        <v>38142.4</v>
      </c>
      <c r="J248" s="95">
        <f>38608.6-100</f>
        <v>38508.6</v>
      </c>
      <c r="K248" s="95">
        <v>39292.1</v>
      </c>
      <c r="L248" s="95">
        <v>39357.5</v>
      </c>
      <c r="M248" s="95">
        <v>39532.5</v>
      </c>
      <c r="N248" s="96" t="s">
        <v>1214</v>
      </c>
    </row>
    <row r="249" spans="1:14" ht="88.5" customHeight="1">
      <c r="A249" s="127"/>
      <c r="B249" s="125"/>
      <c r="C249" s="100" t="s">
        <v>1470</v>
      </c>
      <c r="D249" s="101" t="s">
        <v>184</v>
      </c>
      <c r="E249" s="1" t="s">
        <v>483</v>
      </c>
      <c r="F249" s="3" t="s">
        <v>1155</v>
      </c>
      <c r="G249" s="106" t="s">
        <v>484</v>
      </c>
      <c r="H249" s="98">
        <v>3194</v>
      </c>
      <c r="I249" s="98">
        <v>2422.9</v>
      </c>
      <c r="J249" s="98">
        <v>9957</v>
      </c>
      <c r="K249" s="98"/>
      <c r="L249" s="98"/>
      <c r="M249" s="98"/>
      <c r="N249" s="96" t="s">
        <v>939</v>
      </c>
    </row>
    <row r="250" spans="1:14" ht="49.5" customHeight="1">
      <c r="A250" s="127"/>
      <c r="B250" s="125"/>
      <c r="C250" s="100" t="s">
        <v>1426</v>
      </c>
      <c r="D250" s="101" t="s">
        <v>1061</v>
      </c>
      <c r="E250" s="2" t="s">
        <v>727</v>
      </c>
      <c r="F250" s="106" t="s">
        <v>1067</v>
      </c>
      <c r="G250" s="4" t="s">
        <v>1068</v>
      </c>
      <c r="H250" s="95">
        <v>52</v>
      </c>
      <c r="I250" s="98">
        <v>52</v>
      </c>
      <c r="J250" s="95"/>
      <c r="K250" s="95">
        <v>15</v>
      </c>
      <c r="L250" s="95">
        <v>20</v>
      </c>
      <c r="M250" s="95">
        <v>20</v>
      </c>
      <c r="N250" s="96" t="s">
        <v>522</v>
      </c>
    </row>
    <row r="251" spans="1:14" ht="97.5" customHeight="1">
      <c r="A251" s="127"/>
      <c r="B251" s="125"/>
      <c r="C251" s="100" t="s">
        <v>509</v>
      </c>
      <c r="D251" s="101" t="s">
        <v>1061</v>
      </c>
      <c r="E251" s="113" t="s">
        <v>1233</v>
      </c>
      <c r="F251" s="3" t="s">
        <v>1155</v>
      </c>
      <c r="G251" s="106" t="s">
        <v>1234</v>
      </c>
      <c r="H251" s="111"/>
      <c r="I251" s="111"/>
      <c r="J251" s="111"/>
      <c r="K251" s="111"/>
      <c r="L251" s="111">
        <v>69.1</v>
      </c>
      <c r="M251" s="111">
        <v>73.6</v>
      </c>
      <c r="N251" s="96" t="s">
        <v>1235</v>
      </c>
    </row>
    <row r="252" spans="1:14" ht="45">
      <c r="A252" s="127"/>
      <c r="B252" s="125"/>
      <c r="C252" s="100" t="s">
        <v>510</v>
      </c>
      <c r="D252" s="101" t="s">
        <v>1061</v>
      </c>
      <c r="E252" s="113" t="s">
        <v>1466</v>
      </c>
      <c r="F252" s="3" t="s">
        <v>1155</v>
      </c>
      <c r="G252" s="106" t="s">
        <v>1237</v>
      </c>
      <c r="H252" s="95"/>
      <c r="I252" s="98"/>
      <c r="J252" s="95">
        <v>1503.1</v>
      </c>
      <c r="K252" s="95">
        <v>870.9</v>
      </c>
      <c r="L252" s="95"/>
      <c r="M252" s="95"/>
      <c r="N252" s="96" t="s">
        <v>1467</v>
      </c>
    </row>
    <row r="253" spans="1:19" ht="45">
      <c r="A253" s="127" t="s">
        <v>779</v>
      </c>
      <c r="B253" s="125" t="s">
        <v>770</v>
      </c>
      <c r="C253" s="126" t="s">
        <v>909</v>
      </c>
      <c r="D253" s="126" t="s">
        <v>45</v>
      </c>
      <c r="E253" s="6" t="s">
        <v>539</v>
      </c>
      <c r="F253" s="100" t="s">
        <v>540</v>
      </c>
      <c r="G253" s="18" t="s">
        <v>852</v>
      </c>
      <c r="H253" s="136">
        <f aca="true" t="shared" si="15" ref="H253:M253">SUM(H257:H267)</f>
        <v>541835.7</v>
      </c>
      <c r="I253" s="143">
        <f t="shared" si="15"/>
        <v>533861.6</v>
      </c>
      <c r="J253" s="136">
        <f t="shared" si="15"/>
        <v>216277.6</v>
      </c>
      <c r="K253" s="136">
        <f t="shared" si="15"/>
        <v>206215.6</v>
      </c>
      <c r="L253" s="136">
        <f t="shared" si="15"/>
        <v>212939.30000000002</v>
      </c>
      <c r="M253" s="136">
        <f t="shared" si="15"/>
        <v>200707.8</v>
      </c>
      <c r="N253" s="137"/>
      <c r="O253" s="60"/>
      <c r="P253" s="60"/>
      <c r="Q253" s="60"/>
      <c r="R253" s="60"/>
      <c r="S253" s="60"/>
    </row>
    <row r="254" spans="1:20" ht="82.5" customHeight="1">
      <c r="A254" s="127"/>
      <c r="B254" s="125"/>
      <c r="C254" s="126"/>
      <c r="D254" s="126"/>
      <c r="E254" s="6" t="s">
        <v>50</v>
      </c>
      <c r="F254" s="100" t="s">
        <v>1301</v>
      </c>
      <c r="G254" s="18" t="s">
        <v>1269</v>
      </c>
      <c r="H254" s="136"/>
      <c r="I254" s="143"/>
      <c r="J254" s="136"/>
      <c r="K254" s="136"/>
      <c r="L254" s="136"/>
      <c r="M254" s="136"/>
      <c r="N254" s="137"/>
      <c r="O254" s="61"/>
      <c r="P254" s="61"/>
      <c r="Q254" s="61"/>
      <c r="R254" s="61"/>
      <c r="S254" s="61"/>
      <c r="T254" s="61"/>
    </row>
    <row r="255" spans="1:14" ht="93" customHeight="1">
      <c r="A255" s="127"/>
      <c r="B255" s="125"/>
      <c r="C255" s="126"/>
      <c r="D255" s="126"/>
      <c r="E255" s="6" t="s">
        <v>1405</v>
      </c>
      <c r="F255" s="100" t="s">
        <v>1449</v>
      </c>
      <c r="G255" s="100" t="s">
        <v>1406</v>
      </c>
      <c r="H255" s="136"/>
      <c r="I255" s="143"/>
      <c r="J255" s="136"/>
      <c r="K255" s="136"/>
      <c r="L255" s="136"/>
      <c r="M255" s="136"/>
      <c r="N255" s="137"/>
    </row>
    <row r="256" spans="1:14" ht="15">
      <c r="A256" s="127"/>
      <c r="B256" s="125"/>
      <c r="C256" s="126"/>
      <c r="D256" s="126"/>
      <c r="E256" s="6" t="s">
        <v>1097</v>
      </c>
      <c r="F256" s="100"/>
      <c r="G256" s="100"/>
      <c r="H256" s="95"/>
      <c r="I256" s="98"/>
      <c r="J256" s="95"/>
      <c r="K256" s="95"/>
      <c r="L256" s="95"/>
      <c r="M256" s="95"/>
      <c r="N256" s="96"/>
    </row>
    <row r="257" spans="1:14" ht="46.5" customHeight="1">
      <c r="A257" s="127"/>
      <c r="B257" s="125"/>
      <c r="C257" s="126" t="s">
        <v>1498</v>
      </c>
      <c r="D257" s="142" t="s">
        <v>1094</v>
      </c>
      <c r="E257" s="6" t="s">
        <v>1544</v>
      </c>
      <c r="F257" s="100" t="s">
        <v>1545</v>
      </c>
      <c r="G257" s="100" t="s">
        <v>1546</v>
      </c>
      <c r="H257" s="136">
        <f>175649.7+880</f>
        <v>176529.7</v>
      </c>
      <c r="I257" s="143">
        <f>168231.3+879.7</f>
        <v>169111</v>
      </c>
      <c r="J257" s="136">
        <v>202509.5</v>
      </c>
      <c r="K257" s="136">
        <v>196381.6</v>
      </c>
      <c r="L257" s="136">
        <v>197374.2</v>
      </c>
      <c r="M257" s="136">
        <v>199582.8</v>
      </c>
      <c r="N257" s="137" t="s">
        <v>398</v>
      </c>
    </row>
    <row r="258" spans="1:14" ht="48" customHeight="1">
      <c r="A258" s="127"/>
      <c r="B258" s="125"/>
      <c r="C258" s="126"/>
      <c r="D258" s="142"/>
      <c r="E258" s="6" t="s">
        <v>725</v>
      </c>
      <c r="F258" s="16" t="s">
        <v>1155</v>
      </c>
      <c r="G258" s="41" t="s">
        <v>726</v>
      </c>
      <c r="H258" s="136"/>
      <c r="I258" s="143"/>
      <c r="J258" s="136"/>
      <c r="K258" s="136"/>
      <c r="L258" s="136"/>
      <c r="M258" s="136"/>
      <c r="N258" s="137"/>
    </row>
    <row r="259" spans="1:14" ht="40.5" customHeight="1">
      <c r="A259" s="127"/>
      <c r="B259" s="125"/>
      <c r="C259" s="126" t="s">
        <v>1499</v>
      </c>
      <c r="D259" s="142" t="s">
        <v>504</v>
      </c>
      <c r="E259" s="15" t="s">
        <v>728</v>
      </c>
      <c r="F259" s="16" t="s">
        <v>1155</v>
      </c>
      <c r="G259" s="17" t="s">
        <v>1321</v>
      </c>
      <c r="H259" s="136">
        <v>350000</v>
      </c>
      <c r="I259" s="143">
        <v>350000</v>
      </c>
      <c r="J259" s="136">
        <v>2900</v>
      </c>
      <c r="K259" s="136"/>
      <c r="L259" s="136"/>
      <c r="M259" s="136"/>
      <c r="N259" s="137" t="s">
        <v>604</v>
      </c>
    </row>
    <row r="260" spans="1:14" ht="37.5" customHeight="1">
      <c r="A260" s="127"/>
      <c r="B260" s="125"/>
      <c r="C260" s="126"/>
      <c r="D260" s="142"/>
      <c r="E260" s="113" t="s">
        <v>1118</v>
      </c>
      <c r="F260" s="3" t="s">
        <v>1155</v>
      </c>
      <c r="G260" s="106" t="s">
        <v>1237</v>
      </c>
      <c r="H260" s="136"/>
      <c r="I260" s="143"/>
      <c r="J260" s="136"/>
      <c r="K260" s="136"/>
      <c r="L260" s="136"/>
      <c r="M260" s="136"/>
      <c r="N260" s="137"/>
    </row>
    <row r="261" spans="1:14" ht="42" customHeight="1">
      <c r="A261" s="127"/>
      <c r="B261" s="125"/>
      <c r="C261" s="126"/>
      <c r="D261" s="142"/>
      <c r="E261" s="113" t="s">
        <v>544</v>
      </c>
      <c r="F261" s="106" t="s">
        <v>1155</v>
      </c>
      <c r="G261" s="106" t="s">
        <v>1114</v>
      </c>
      <c r="H261" s="136"/>
      <c r="I261" s="143"/>
      <c r="J261" s="136"/>
      <c r="K261" s="136"/>
      <c r="L261" s="136"/>
      <c r="M261" s="136"/>
      <c r="N261" s="137"/>
    </row>
    <row r="262" spans="1:14" ht="48" customHeight="1">
      <c r="A262" s="127"/>
      <c r="B262" s="125"/>
      <c r="C262" s="100" t="s">
        <v>1500</v>
      </c>
      <c r="D262" s="101" t="s">
        <v>874</v>
      </c>
      <c r="E262" s="15" t="s">
        <v>1149</v>
      </c>
      <c r="F262" s="16" t="s">
        <v>1155</v>
      </c>
      <c r="G262" s="17" t="s">
        <v>1150</v>
      </c>
      <c r="H262" s="95">
        <v>992</v>
      </c>
      <c r="I262" s="98">
        <v>992</v>
      </c>
      <c r="J262" s="95">
        <v>387</v>
      </c>
      <c r="K262" s="95">
        <v>310.5</v>
      </c>
      <c r="L262" s="95">
        <v>249.2</v>
      </c>
      <c r="M262" s="95"/>
      <c r="N262" s="96" t="s">
        <v>517</v>
      </c>
    </row>
    <row r="263" spans="1:256" s="30" customFormat="1" ht="34.5" customHeight="1">
      <c r="A263" s="127"/>
      <c r="B263" s="125"/>
      <c r="C263" s="100" t="s">
        <v>1501</v>
      </c>
      <c r="D263" s="101" t="s">
        <v>1391</v>
      </c>
      <c r="E263" s="2" t="s">
        <v>727</v>
      </c>
      <c r="F263" s="106" t="s">
        <v>1067</v>
      </c>
      <c r="G263" s="4" t="s">
        <v>1068</v>
      </c>
      <c r="H263" s="95">
        <v>1195.3</v>
      </c>
      <c r="I263" s="98">
        <v>1125.4</v>
      </c>
      <c r="J263" s="95">
        <f>368.5+169+106</f>
        <v>643.5</v>
      </c>
      <c r="K263" s="95">
        <v>705</v>
      </c>
      <c r="L263" s="95">
        <v>705</v>
      </c>
      <c r="M263" s="95">
        <v>705</v>
      </c>
      <c r="N263" s="96" t="s">
        <v>521</v>
      </c>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c r="FP263" s="21"/>
      <c r="FQ263" s="21"/>
      <c r="FR263" s="21"/>
      <c r="FS263" s="21"/>
      <c r="FT263" s="21"/>
      <c r="FU263" s="21"/>
      <c r="FV263" s="21"/>
      <c r="FW263" s="21"/>
      <c r="FX263" s="21"/>
      <c r="FY263" s="21"/>
      <c r="FZ263" s="21"/>
      <c r="GA263" s="21"/>
      <c r="GB263" s="21"/>
      <c r="GC263" s="21"/>
      <c r="GD263" s="21"/>
      <c r="GE263" s="21"/>
      <c r="GF263" s="21"/>
      <c r="GG263" s="21"/>
      <c r="GH263" s="21"/>
      <c r="GI263" s="21"/>
      <c r="GJ263" s="21"/>
      <c r="GK263" s="21"/>
      <c r="GL263" s="21"/>
      <c r="GM263" s="21"/>
      <c r="GN263" s="21"/>
      <c r="GO263" s="21"/>
      <c r="GP263" s="21"/>
      <c r="GQ263" s="21"/>
      <c r="GR263" s="21"/>
      <c r="GS263" s="21"/>
      <c r="GT263" s="21"/>
      <c r="GU263" s="21"/>
      <c r="GV263" s="21"/>
      <c r="GW263" s="21"/>
      <c r="GX263" s="21"/>
      <c r="GY263" s="21"/>
      <c r="GZ263" s="21"/>
      <c r="HA263" s="21"/>
      <c r="HB263" s="21"/>
      <c r="HC263" s="21"/>
      <c r="HD263" s="21"/>
      <c r="HE263" s="21"/>
      <c r="HF263" s="21"/>
      <c r="HG263" s="21"/>
      <c r="HH263" s="21"/>
      <c r="HI263" s="21"/>
      <c r="HJ263" s="21"/>
      <c r="HK263" s="21"/>
      <c r="HL263" s="21"/>
      <c r="HM263" s="21"/>
      <c r="HN263" s="21"/>
      <c r="HO263" s="21"/>
      <c r="HP263" s="21"/>
      <c r="HQ263" s="21"/>
      <c r="HR263" s="21"/>
      <c r="HS263" s="21"/>
      <c r="HT263" s="21"/>
      <c r="HU263" s="21"/>
      <c r="HV263" s="21"/>
      <c r="HW263" s="21"/>
      <c r="HX263" s="21"/>
      <c r="HY263" s="21"/>
      <c r="HZ263" s="21"/>
      <c r="IA263" s="21"/>
      <c r="IB263" s="21"/>
      <c r="IC263" s="21"/>
      <c r="ID263" s="21"/>
      <c r="IE263" s="21"/>
      <c r="IF263" s="21"/>
      <c r="IG263" s="21"/>
      <c r="IH263" s="21"/>
      <c r="II263" s="21"/>
      <c r="IJ263" s="21"/>
      <c r="IK263" s="21"/>
      <c r="IL263" s="21"/>
      <c r="IM263" s="21"/>
      <c r="IN263" s="21"/>
      <c r="IO263" s="21"/>
      <c r="IP263" s="21"/>
      <c r="IQ263" s="21"/>
      <c r="IR263" s="21"/>
      <c r="IS263" s="21"/>
      <c r="IT263" s="21"/>
      <c r="IU263" s="21"/>
      <c r="IV263" s="21"/>
    </row>
    <row r="264" spans="1:256" s="26" customFormat="1" ht="55.5" customHeight="1">
      <c r="A264" s="127"/>
      <c r="B264" s="125"/>
      <c r="C264" s="126" t="s">
        <v>1502</v>
      </c>
      <c r="D264" s="142" t="s">
        <v>1391</v>
      </c>
      <c r="E264" s="15" t="s">
        <v>1117</v>
      </c>
      <c r="F264" s="16" t="s">
        <v>1155</v>
      </c>
      <c r="G264" s="17" t="s">
        <v>1321</v>
      </c>
      <c r="H264" s="136">
        <v>10676.5</v>
      </c>
      <c r="I264" s="143">
        <v>10191</v>
      </c>
      <c r="J264" s="136">
        <v>9837.6</v>
      </c>
      <c r="K264" s="136">
        <v>8818.5</v>
      </c>
      <c r="L264" s="136">
        <v>14190.9</v>
      </c>
      <c r="M264" s="136"/>
      <c r="N264" s="137" t="s">
        <v>1116</v>
      </c>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c r="FP264" s="21"/>
      <c r="FQ264" s="21"/>
      <c r="FR264" s="21"/>
      <c r="FS264" s="21"/>
      <c r="FT264" s="21"/>
      <c r="FU264" s="21"/>
      <c r="FV264" s="21"/>
      <c r="FW264" s="21"/>
      <c r="FX264" s="21"/>
      <c r="FY264" s="21"/>
      <c r="FZ264" s="21"/>
      <c r="GA264" s="21"/>
      <c r="GB264" s="21"/>
      <c r="GC264" s="21"/>
      <c r="GD264" s="21"/>
      <c r="GE264" s="21"/>
      <c r="GF264" s="21"/>
      <c r="GG264" s="21"/>
      <c r="GH264" s="21"/>
      <c r="GI264" s="21"/>
      <c r="GJ264" s="21"/>
      <c r="GK264" s="21"/>
      <c r="GL264" s="21"/>
      <c r="GM264" s="21"/>
      <c r="GN264" s="21"/>
      <c r="GO264" s="21"/>
      <c r="GP264" s="21"/>
      <c r="GQ264" s="21"/>
      <c r="GR264" s="21"/>
      <c r="GS264" s="21"/>
      <c r="GT264" s="21"/>
      <c r="GU264" s="21"/>
      <c r="GV264" s="21"/>
      <c r="GW264" s="21"/>
      <c r="GX264" s="21"/>
      <c r="GY264" s="21"/>
      <c r="GZ264" s="21"/>
      <c r="HA264" s="21"/>
      <c r="HB264" s="21"/>
      <c r="HC264" s="21"/>
      <c r="HD264" s="21"/>
      <c r="HE264" s="21"/>
      <c r="HF264" s="21"/>
      <c r="HG264" s="21"/>
      <c r="HH264" s="21"/>
      <c r="HI264" s="21"/>
      <c r="HJ264" s="21"/>
      <c r="HK264" s="21"/>
      <c r="HL264" s="21"/>
      <c r="HM264" s="21"/>
      <c r="HN264" s="21"/>
      <c r="HO264" s="21"/>
      <c r="HP264" s="21"/>
      <c r="HQ264" s="21"/>
      <c r="HR264" s="21"/>
      <c r="HS264" s="21"/>
      <c r="HT264" s="21"/>
      <c r="HU264" s="21"/>
      <c r="HV264" s="21"/>
      <c r="HW264" s="21"/>
      <c r="HX264" s="21"/>
      <c r="HY264" s="21"/>
      <c r="HZ264" s="21"/>
      <c r="IA264" s="21"/>
      <c r="IB264" s="21"/>
      <c r="IC264" s="21"/>
      <c r="ID264" s="21"/>
      <c r="IE264" s="21"/>
      <c r="IF264" s="21"/>
      <c r="IG264" s="21"/>
      <c r="IH264" s="21"/>
      <c r="II264" s="21"/>
      <c r="IJ264" s="21"/>
      <c r="IK264" s="21"/>
      <c r="IL264" s="21"/>
      <c r="IM264" s="21"/>
      <c r="IN264" s="21"/>
      <c r="IO264" s="21"/>
      <c r="IP264" s="21"/>
      <c r="IQ264" s="21"/>
      <c r="IR264" s="21"/>
      <c r="IS264" s="21"/>
      <c r="IT264" s="21"/>
      <c r="IU264" s="21"/>
      <c r="IV264" s="21"/>
    </row>
    <row r="265" spans="1:14" ht="30">
      <c r="A265" s="127"/>
      <c r="B265" s="125"/>
      <c r="C265" s="126"/>
      <c r="D265" s="142"/>
      <c r="E265" s="113" t="s">
        <v>1118</v>
      </c>
      <c r="F265" s="3" t="s">
        <v>1155</v>
      </c>
      <c r="G265" s="106" t="s">
        <v>1237</v>
      </c>
      <c r="H265" s="136"/>
      <c r="I265" s="143"/>
      <c r="J265" s="136"/>
      <c r="K265" s="136"/>
      <c r="L265" s="136"/>
      <c r="M265" s="136"/>
      <c r="N265" s="137"/>
    </row>
    <row r="266" spans="1:256" s="30" customFormat="1" ht="81" customHeight="1">
      <c r="A266" s="127"/>
      <c r="B266" s="125"/>
      <c r="C266" s="100" t="s">
        <v>1392</v>
      </c>
      <c r="D266" s="101" t="s">
        <v>1064</v>
      </c>
      <c r="E266" s="1" t="s">
        <v>956</v>
      </c>
      <c r="F266" s="3" t="s">
        <v>1155</v>
      </c>
      <c r="G266" s="106" t="s">
        <v>472</v>
      </c>
      <c r="H266" s="95">
        <v>2442.2</v>
      </c>
      <c r="I266" s="98">
        <v>2442.2</v>
      </c>
      <c r="J266" s="95"/>
      <c r="K266" s="95"/>
      <c r="L266" s="95"/>
      <c r="M266" s="95"/>
      <c r="N266" s="96" t="s">
        <v>940</v>
      </c>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c r="FP266" s="21"/>
      <c r="FQ266" s="21"/>
      <c r="FR266" s="21"/>
      <c r="FS266" s="21"/>
      <c r="FT266" s="21"/>
      <c r="FU266" s="21"/>
      <c r="FV266" s="21"/>
      <c r="FW266" s="21"/>
      <c r="FX266" s="21"/>
      <c r="FY266" s="21"/>
      <c r="FZ266" s="21"/>
      <c r="GA266" s="21"/>
      <c r="GB266" s="21"/>
      <c r="GC266" s="21"/>
      <c r="GD266" s="21"/>
      <c r="GE266" s="21"/>
      <c r="GF266" s="21"/>
      <c r="GG266" s="21"/>
      <c r="GH266" s="21"/>
      <c r="GI266" s="21"/>
      <c r="GJ266" s="21"/>
      <c r="GK266" s="21"/>
      <c r="GL266" s="21"/>
      <c r="GM266" s="21"/>
      <c r="GN266" s="21"/>
      <c r="GO266" s="21"/>
      <c r="GP266" s="21"/>
      <c r="GQ266" s="21"/>
      <c r="GR266" s="21"/>
      <c r="GS266" s="21"/>
      <c r="GT266" s="21"/>
      <c r="GU266" s="21"/>
      <c r="GV266" s="21"/>
      <c r="GW266" s="21"/>
      <c r="GX266" s="21"/>
      <c r="GY266" s="21"/>
      <c r="GZ266" s="21"/>
      <c r="HA266" s="21"/>
      <c r="HB266" s="21"/>
      <c r="HC266" s="21"/>
      <c r="HD266" s="21"/>
      <c r="HE266" s="21"/>
      <c r="HF266" s="21"/>
      <c r="HG266" s="21"/>
      <c r="HH266" s="21"/>
      <c r="HI266" s="21"/>
      <c r="HJ266" s="21"/>
      <c r="HK266" s="21"/>
      <c r="HL266" s="21"/>
      <c r="HM266" s="21"/>
      <c r="HN266" s="21"/>
      <c r="HO266" s="21"/>
      <c r="HP266" s="21"/>
      <c r="HQ266" s="21"/>
      <c r="HR266" s="21"/>
      <c r="HS266" s="21"/>
      <c r="HT266" s="21"/>
      <c r="HU266" s="21"/>
      <c r="HV266" s="21"/>
      <c r="HW266" s="21"/>
      <c r="HX266" s="21"/>
      <c r="HY266" s="21"/>
      <c r="HZ266" s="21"/>
      <c r="IA266" s="21"/>
      <c r="IB266" s="21"/>
      <c r="IC266" s="21"/>
      <c r="ID266" s="21"/>
      <c r="IE266" s="21"/>
      <c r="IF266" s="21"/>
      <c r="IG266" s="21"/>
      <c r="IH266" s="21"/>
      <c r="II266" s="21"/>
      <c r="IJ266" s="21"/>
      <c r="IK266" s="21"/>
      <c r="IL266" s="21"/>
      <c r="IM266" s="21"/>
      <c r="IN266" s="21"/>
      <c r="IO266" s="21"/>
      <c r="IP266" s="21"/>
      <c r="IQ266" s="21"/>
      <c r="IR266" s="21"/>
      <c r="IS266" s="21"/>
      <c r="IT266" s="21"/>
      <c r="IU266" s="21"/>
      <c r="IV266" s="21"/>
    </row>
    <row r="267" spans="1:256" s="26" customFormat="1" ht="94.5" customHeight="1">
      <c r="A267" s="127"/>
      <c r="B267" s="125"/>
      <c r="C267" s="100" t="s">
        <v>1393</v>
      </c>
      <c r="D267" s="101" t="s">
        <v>1391</v>
      </c>
      <c r="E267" s="113" t="s">
        <v>1233</v>
      </c>
      <c r="F267" s="3" t="s">
        <v>1155</v>
      </c>
      <c r="G267" s="106" t="s">
        <v>1234</v>
      </c>
      <c r="H267" s="111"/>
      <c r="I267" s="111"/>
      <c r="J267" s="111"/>
      <c r="K267" s="111"/>
      <c r="L267" s="111">
        <v>420</v>
      </c>
      <c r="M267" s="111">
        <v>420</v>
      </c>
      <c r="N267" s="96" t="s">
        <v>1235</v>
      </c>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c r="FP267" s="21"/>
      <c r="FQ267" s="21"/>
      <c r="FR267" s="21"/>
      <c r="FS267" s="21"/>
      <c r="FT267" s="21"/>
      <c r="FU267" s="21"/>
      <c r="FV267" s="21"/>
      <c r="FW267" s="21"/>
      <c r="FX267" s="21"/>
      <c r="FY267" s="21"/>
      <c r="FZ267" s="21"/>
      <c r="GA267" s="21"/>
      <c r="GB267" s="21"/>
      <c r="GC267" s="21"/>
      <c r="GD267" s="21"/>
      <c r="GE267" s="21"/>
      <c r="GF267" s="21"/>
      <c r="GG267" s="21"/>
      <c r="GH267" s="21"/>
      <c r="GI267" s="21"/>
      <c r="GJ267" s="21"/>
      <c r="GK267" s="21"/>
      <c r="GL267" s="21"/>
      <c r="GM267" s="21"/>
      <c r="GN267" s="21"/>
      <c r="GO267" s="21"/>
      <c r="GP267" s="21"/>
      <c r="GQ267" s="21"/>
      <c r="GR267" s="21"/>
      <c r="GS267" s="21"/>
      <c r="GT267" s="21"/>
      <c r="GU267" s="21"/>
      <c r="GV267" s="21"/>
      <c r="GW267" s="21"/>
      <c r="GX267" s="21"/>
      <c r="GY267" s="21"/>
      <c r="GZ267" s="21"/>
      <c r="HA267" s="21"/>
      <c r="HB267" s="21"/>
      <c r="HC267" s="21"/>
      <c r="HD267" s="21"/>
      <c r="HE267" s="21"/>
      <c r="HF267" s="21"/>
      <c r="HG267" s="21"/>
      <c r="HH267" s="21"/>
      <c r="HI267" s="21"/>
      <c r="HJ267" s="21"/>
      <c r="HK267" s="21"/>
      <c r="HL267" s="21"/>
      <c r="HM267" s="21"/>
      <c r="HN267" s="21"/>
      <c r="HO267" s="21"/>
      <c r="HP267" s="21"/>
      <c r="HQ267" s="21"/>
      <c r="HR267" s="21"/>
      <c r="HS267" s="21"/>
      <c r="HT267" s="21"/>
      <c r="HU267" s="21"/>
      <c r="HV267" s="21"/>
      <c r="HW267" s="21"/>
      <c r="HX267" s="21"/>
      <c r="HY267" s="21"/>
      <c r="HZ267" s="21"/>
      <c r="IA267" s="21"/>
      <c r="IB267" s="21"/>
      <c r="IC267" s="21"/>
      <c r="ID267" s="21"/>
      <c r="IE267" s="21"/>
      <c r="IF267" s="21"/>
      <c r="IG267" s="21"/>
      <c r="IH267" s="21"/>
      <c r="II267" s="21"/>
      <c r="IJ267" s="21"/>
      <c r="IK267" s="21"/>
      <c r="IL267" s="21"/>
      <c r="IM267" s="21"/>
      <c r="IN267" s="21"/>
      <c r="IO267" s="21"/>
      <c r="IP267" s="21"/>
      <c r="IQ267" s="21"/>
      <c r="IR267" s="21"/>
      <c r="IS267" s="21"/>
      <c r="IT267" s="21"/>
      <c r="IU267" s="21"/>
      <c r="IV267" s="21"/>
    </row>
    <row r="268" spans="1:14" ht="97.5" customHeight="1">
      <c r="A268" s="127" t="s">
        <v>780</v>
      </c>
      <c r="B268" s="125" t="s">
        <v>770</v>
      </c>
      <c r="C268" s="126" t="s">
        <v>910</v>
      </c>
      <c r="D268" s="142" t="s">
        <v>185</v>
      </c>
      <c r="E268" s="6" t="s">
        <v>1169</v>
      </c>
      <c r="F268" s="100" t="s">
        <v>1170</v>
      </c>
      <c r="G268" s="100" t="s">
        <v>1171</v>
      </c>
      <c r="H268" s="136">
        <f aca="true" t="shared" si="16" ref="H268:M268">SUM(H271:H274)</f>
        <v>15433</v>
      </c>
      <c r="I268" s="143">
        <f t="shared" si="16"/>
        <v>14007.8</v>
      </c>
      <c r="J268" s="136">
        <f t="shared" si="16"/>
        <v>17753.5</v>
      </c>
      <c r="K268" s="136">
        <f t="shared" si="16"/>
        <v>8145.1</v>
      </c>
      <c r="L268" s="136">
        <f t="shared" si="16"/>
        <v>8185.7</v>
      </c>
      <c r="M268" s="136">
        <f t="shared" si="16"/>
        <v>8261</v>
      </c>
      <c r="N268" s="137"/>
    </row>
    <row r="269" spans="1:14" ht="51" customHeight="1">
      <c r="A269" s="127"/>
      <c r="B269" s="125"/>
      <c r="C269" s="126"/>
      <c r="D269" s="142"/>
      <c r="E269" s="6" t="s">
        <v>1407</v>
      </c>
      <c r="F269" s="100" t="s">
        <v>1408</v>
      </c>
      <c r="G269" s="100" t="s">
        <v>1409</v>
      </c>
      <c r="H269" s="136"/>
      <c r="I269" s="143"/>
      <c r="J269" s="136"/>
      <c r="K269" s="136"/>
      <c r="L269" s="136"/>
      <c r="M269" s="136"/>
      <c r="N269" s="137"/>
    </row>
    <row r="270" spans="1:14" ht="15">
      <c r="A270" s="127"/>
      <c r="B270" s="125"/>
      <c r="C270" s="126"/>
      <c r="D270" s="142"/>
      <c r="E270" s="6" t="s">
        <v>1097</v>
      </c>
      <c r="F270" s="100"/>
      <c r="G270" s="100"/>
      <c r="H270" s="95"/>
      <c r="I270" s="98"/>
      <c r="J270" s="95"/>
      <c r="K270" s="95"/>
      <c r="L270" s="95"/>
      <c r="M270" s="95"/>
      <c r="N270" s="96"/>
    </row>
    <row r="271" spans="1:14" ht="66" customHeight="1">
      <c r="A271" s="127"/>
      <c r="B271" s="125"/>
      <c r="C271" s="100" t="s">
        <v>975</v>
      </c>
      <c r="D271" s="101" t="s">
        <v>879</v>
      </c>
      <c r="E271" s="6" t="s">
        <v>1542</v>
      </c>
      <c r="F271" s="100" t="s">
        <v>1155</v>
      </c>
      <c r="G271" s="100" t="s">
        <v>1543</v>
      </c>
      <c r="H271" s="95">
        <v>1501</v>
      </c>
      <c r="I271" s="98">
        <v>1501</v>
      </c>
      <c r="J271" s="95">
        <v>7997.6</v>
      </c>
      <c r="K271" s="95">
        <v>1646.1</v>
      </c>
      <c r="L271" s="95">
        <v>1669.7</v>
      </c>
      <c r="M271" s="95">
        <v>1711.3</v>
      </c>
      <c r="N271" s="96" t="s">
        <v>1215</v>
      </c>
    </row>
    <row r="272" spans="1:14" ht="60">
      <c r="A272" s="127"/>
      <c r="B272" s="125"/>
      <c r="C272" s="100" t="s">
        <v>976</v>
      </c>
      <c r="D272" s="101" t="s">
        <v>879</v>
      </c>
      <c r="E272" s="113" t="s">
        <v>542</v>
      </c>
      <c r="F272" s="106" t="s">
        <v>1155</v>
      </c>
      <c r="G272" s="106" t="s">
        <v>543</v>
      </c>
      <c r="H272" s="95">
        <v>8432</v>
      </c>
      <c r="I272" s="98">
        <v>8352.4</v>
      </c>
      <c r="J272" s="95">
        <v>9755.9</v>
      </c>
      <c r="K272" s="95">
        <v>6499</v>
      </c>
      <c r="L272" s="95">
        <v>6499</v>
      </c>
      <c r="M272" s="95">
        <v>6499</v>
      </c>
      <c r="N272" s="96" t="s">
        <v>1282</v>
      </c>
    </row>
    <row r="273" spans="1:14" ht="93" customHeight="1">
      <c r="A273" s="127"/>
      <c r="B273" s="125"/>
      <c r="C273" s="100" t="s">
        <v>413</v>
      </c>
      <c r="D273" s="101" t="s">
        <v>1061</v>
      </c>
      <c r="E273" s="113" t="s">
        <v>1233</v>
      </c>
      <c r="F273" s="3" t="s">
        <v>1155</v>
      </c>
      <c r="G273" s="106" t="s">
        <v>1234</v>
      </c>
      <c r="H273" s="111"/>
      <c r="I273" s="111"/>
      <c r="J273" s="111"/>
      <c r="K273" s="111"/>
      <c r="L273" s="111">
        <v>17</v>
      </c>
      <c r="M273" s="111">
        <v>50.7</v>
      </c>
      <c r="N273" s="96" t="s">
        <v>1235</v>
      </c>
    </row>
    <row r="274" spans="1:14" ht="82.5" customHeight="1">
      <c r="A274" s="127"/>
      <c r="B274" s="125"/>
      <c r="C274" s="100" t="s">
        <v>1430</v>
      </c>
      <c r="D274" s="101" t="s">
        <v>878</v>
      </c>
      <c r="E274" s="1" t="s">
        <v>956</v>
      </c>
      <c r="F274" s="3" t="s">
        <v>1155</v>
      </c>
      <c r="G274" s="106" t="s">
        <v>472</v>
      </c>
      <c r="H274" s="95">
        <v>5500</v>
      </c>
      <c r="I274" s="98">
        <v>4154.4</v>
      </c>
      <c r="J274" s="95"/>
      <c r="K274" s="95"/>
      <c r="L274" s="95"/>
      <c r="M274" s="95"/>
      <c r="N274" s="96" t="s">
        <v>941</v>
      </c>
    </row>
    <row r="275" spans="1:14" ht="112.5" customHeight="1">
      <c r="A275" s="127" t="s">
        <v>781</v>
      </c>
      <c r="B275" s="125" t="s">
        <v>1027</v>
      </c>
      <c r="C275" s="126" t="s">
        <v>911</v>
      </c>
      <c r="D275" s="142" t="s">
        <v>926</v>
      </c>
      <c r="E275" s="6" t="s">
        <v>1146</v>
      </c>
      <c r="F275" s="100" t="s">
        <v>1147</v>
      </c>
      <c r="G275" s="100" t="s">
        <v>1148</v>
      </c>
      <c r="H275" s="94">
        <f aca="true" t="shared" si="17" ref="H275:M275">SUM(H277:H279)</f>
        <v>10858.900000000001</v>
      </c>
      <c r="I275" s="99">
        <f t="shared" si="17"/>
        <v>10824.8</v>
      </c>
      <c r="J275" s="94">
        <f t="shared" si="17"/>
        <v>11314.2</v>
      </c>
      <c r="K275" s="94">
        <f t="shared" si="17"/>
        <v>12648.3</v>
      </c>
      <c r="L275" s="94">
        <f t="shared" si="17"/>
        <v>11839.5</v>
      </c>
      <c r="M275" s="94">
        <f t="shared" si="17"/>
        <v>11984.7</v>
      </c>
      <c r="N275" s="96"/>
    </row>
    <row r="276" spans="1:14" ht="15">
      <c r="A276" s="127"/>
      <c r="B276" s="125"/>
      <c r="C276" s="126"/>
      <c r="D276" s="142"/>
      <c r="E276" s="6" t="s">
        <v>1097</v>
      </c>
      <c r="F276" s="100"/>
      <c r="G276" s="100"/>
      <c r="H276" s="94"/>
      <c r="I276" s="99"/>
      <c r="J276" s="94"/>
      <c r="K276" s="94"/>
      <c r="L276" s="94"/>
      <c r="M276" s="94"/>
      <c r="N276" s="96"/>
    </row>
    <row r="277" spans="1:14" ht="51" customHeight="1">
      <c r="A277" s="127"/>
      <c r="B277" s="125"/>
      <c r="C277" s="126" t="s">
        <v>977</v>
      </c>
      <c r="D277" s="142" t="s">
        <v>926</v>
      </c>
      <c r="E277" s="2" t="s">
        <v>584</v>
      </c>
      <c r="F277" s="106" t="s">
        <v>586</v>
      </c>
      <c r="G277" s="4" t="s">
        <v>585</v>
      </c>
      <c r="H277" s="139">
        <f>8363.6</f>
        <v>8363.6</v>
      </c>
      <c r="I277" s="124">
        <v>8329.6</v>
      </c>
      <c r="J277" s="139">
        <v>11314.2</v>
      </c>
      <c r="K277" s="139">
        <v>12648.3</v>
      </c>
      <c r="L277" s="139">
        <v>11839.5</v>
      </c>
      <c r="M277" s="139">
        <v>11984.7</v>
      </c>
      <c r="N277" s="137" t="s">
        <v>1216</v>
      </c>
    </row>
    <row r="278" spans="1:256" s="30" customFormat="1" ht="52.5" customHeight="1">
      <c r="A278" s="127"/>
      <c r="B278" s="125"/>
      <c r="C278" s="126"/>
      <c r="D278" s="142"/>
      <c r="E278" s="2" t="s">
        <v>981</v>
      </c>
      <c r="F278" s="106" t="s">
        <v>1155</v>
      </c>
      <c r="G278" s="4" t="s">
        <v>982</v>
      </c>
      <c r="H278" s="139"/>
      <c r="I278" s="124"/>
      <c r="J278" s="139"/>
      <c r="K278" s="139"/>
      <c r="L278" s="139"/>
      <c r="M278" s="139"/>
      <c r="N278" s="137"/>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c r="FP278" s="21"/>
      <c r="FQ278" s="21"/>
      <c r="FR278" s="21"/>
      <c r="FS278" s="21"/>
      <c r="FT278" s="21"/>
      <c r="FU278" s="21"/>
      <c r="FV278" s="21"/>
      <c r="FW278" s="21"/>
      <c r="FX278" s="21"/>
      <c r="FY278" s="21"/>
      <c r="FZ278" s="21"/>
      <c r="GA278" s="21"/>
      <c r="GB278" s="21"/>
      <c r="GC278" s="21"/>
      <c r="GD278" s="21"/>
      <c r="GE278" s="21"/>
      <c r="GF278" s="21"/>
      <c r="GG278" s="21"/>
      <c r="GH278" s="21"/>
      <c r="GI278" s="21"/>
      <c r="GJ278" s="21"/>
      <c r="GK278" s="21"/>
      <c r="GL278" s="21"/>
      <c r="GM278" s="21"/>
      <c r="GN278" s="21"/>
      <c r="GO278" s="21"/>
      <c r="GP278" s="21"/>
      <c r="GQ278" s="21"/>
      <c r="GR278" s="21"/>
      <c r="GS278" s="21"/>
      <c r="GT278" s="21"/>
      <c r="GU278" s="21"/>
      <c r="GV278" s="21"/>
      <c r="GW278" s="21"/>
      <c r="GX278" s="21"/>
      <c r="GY278" s="21"/>
      <c r="GZ278" s="21"/>
      <c r="HA278" s="21"/>
      <c r="HB278" s="21"/>
      <c r="HC278" s="21"/>
      <c r="HD278" s="21"/>
      <c r="HE278" s="21"/>
      <c r="HF278" s="21"/>
      <c r="HG278" s="21"/>
      <c r="HH278" s="21"/>
      <c r="HI278" s="21"/>
      <c r="HJ278" s="21"/>
      <c r="HK278" s="21"/>
      <c r="HL278" s="21"/>
      <c r="HM278" s="21"/>
      <c r="HN278" s="21"/>
      <c r="HO278" s="21"/>
      <c r="HP278" s="21"/>
      <c r="HQ278" s="21"/>
      <c r="HR278" s="21"/>
      <c r="HS278" s="21"/>
      <c r="HT278" s="21"/>
      <c r="HU278" s="21"/>
      <c r="HV278" s="21"/>
      <c r="HW278" s="21"/>
      <c r="HX278" s="21"/>
      <c r="HY278" s="21"/>
      <c r="HZ278" s="21"/>
      <c r="IA278" s="21"/>
      <c r="IB278" s="21"/>
      <c r="IC278" s="21"/>
      <c r="ID278" s="21"/>
      <c r="IE278" s="21"/>
      <c r="IF278" s="21"/>
      <c r="IG278" s="21"/>
      <c r="IH278" s="21"/>
      <c r="II278" s="21"/>
      <c r="IJ278" s="21"/>
      <c r="IK278" s="21"/>
      <c r="IL278" s="21"/>
      <c r="IM278" s="21"/>
      <c r="IN278" s="21"/>
      <c r="IO278" s="21"/>
      <c r="IP278" s="21"/>
      <c r="IQ278" s="21"/>
      <c r="IR278" s="21"/>
      <c r="IS278" s="21"/>
      <c r="IT278" s="21"/>
      <c r="IU278" s="21"/>
      <c r="IV278" s="21"/>
    </row>
    <row r="279" spans="1:256" s="26" customFormat="1" ht="78" customHeight="1">
      <c r="A279" s="127"/>
      <c r="B279" s="125"/>
      <c r="C279" s="100" t="s">
        <v>978</v>
      </c>
      <c r="D279" s="101" t="s">
        <v>926</v>
      </c>
      <c r="E279" s="1" t="s">
        <v>956</v>
      </c>
      <c r="F279" s="3" t="s">
        <v>1155</v>
      </c>
      <c r="G279" s="106" t="s">
        <v>472</v>
      </c>
      <c r="H279" s="99">
        <v>2495.3</v>
      </c>
      <c r="I279" s="99">
        <v>2495.2</v>
      </c>
      <c r="J279" s="99"/>
      <c r="K279" s="99"/>
      <c r="L279" s="99"/>
      <c r="M279" s="99"/>
      <c r="N279" s="96" t="s">
        <v>942</v>
      </c>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c r="FP279" s="21"/>
      <c r="FQ279" s="21"/>
      <c r="FR279" s="21"/>
      <c r="FS279" s="21"/>
      <c r="FT279" s="21"/>
      <c r="FU279" s="21"/>
      <c r="FV279" s="21"/>
      <c r="FW279" s="21"/>
      <c r="FX279" s="21"/>
      <c r="FY279" s="21"/>
      <c r="FZ279" s="21"/>
      <c r="GA279" s="21"/>
      <c r="GB279" s="21"/>
      <c r="GC279" s="21"/>
      <c r="GD279" s="21"/>
      <c r="GE279" s="21"/>
      <c r="GF279" s="21"/>
      <c r="GG279" s="21"/>
      <c r="GH279" s="21"/>
      <c r="GI279" s="21"/>
      <c r="GJ279" s="21"/>
      <c r="GK279" s="21"/>
      <c r="GL279" s="21"/>
      <c r="GM279" s="21"/>
      <c r="GN279" s="21"/>
      <c r="GO279" s="21"/>
      <c r="GP279" s="21"/>
      <c r="GQ279" s="21"/>
      <c r="GR279" s="21"/>
      <c r="GS279" s="21"/>
      <c r="GT279" s="21"/>
      <c r="GU279" s="21"/>
      <c r="GV279" s="21"/>
      <c r="GW279" s="21"/>
      <c r="GX279" s="21"/>
      <c r="GY279" s="21"/>
      <c r="GZ279" s="21"/>
      <c r="HA279" s="21"/>
      <c r="HB279" s="21"/>
      <c r="HC279" s="21"/>
      <c r="HD279" s="21"/>
      <c r="HE279" s="21"/>
      <c r="HF279" s="21"/>
      <c r="HG279" s="21"/>
      <c r="HH279" s="21"/>
      <c r="HI279" s="21"/>
      <c r="HJ279" s="21"/>
      <c r="HK279" s="21"/>
      <c r="HL279" s="21"/>
      <c r="HM279" s="21"/>
      <c r="HN279" s="21"/>
      <c r="HO279" s="21"/>
      <c r="HP279" s="21"/>
      <c r="HQ279" s="21"/>
      <c r="HR279" s="21"/>
      <c r="HS279" s="21"/>
      <c r="HT279" s="21"/>
      <c r="HU279" s="21"/>
      <c r="HV279" s="21"/>
      <c r="HW279" s="21"/>
      <c r="HX279" s="21"/>
      <c r="HY279" s="21"/>
      <c r="HZ279" s="21"/>
      <c r="IA279" s="21"/>
      <c r="IB279" s="21"/>
      <c r="IC279" s="21"/>
      <c r="ID279" s="21"/>
      <c r="IE279" s="21"/>
      <c r="IF279" s="21"/>
      <c r="IG279" s="21"/>
      <c r="IH279" s="21"/>
      <c r="II279" s="21"/>
      <c r="IJ279" s="21"/>
      <c r="IK279" s="21"/>
      <c r="IL279" s="21"/>
      <c r="IM279" s="21"/>
      <c r="IN279" s="21"/>
      <c r="IO279" s="21"/>
      <c r="IP279" s="21"/>
      <c r="IQ279" s="21"/>
      <c r="IR279" s="21"/>
      <c r="IS279" s="21"/>
      <c r="IT279" s="21"/>
      <c r="IU279" s="21"/>
      <c r="IV279" s="21"/>
    </row>
    <row r="280" spans="1:14" ht="49.5" customHeight="1">
      <c r="A280" s="127" t="s">
        <v>782</v>
      </c>
      <c r="B280" s="125" t="s">
        <v>1569</v>
      </c>
      <c r="C280" s="152" t="s">
        <v>912</v>
      </c>
      <c r="D280" s="128" t="s">
        <v>1244</v>
      </c>
      <c r="E280" s="6" t="s">
        <v>25</v>
      </c>
      <c r="F280" s="100" t="s">
        <v>26</v>
      </c>
      <c r="G280" s="100" t="s">
        <v>28</v>
      </c>
      <c r="H280" s="133">
        <f aca="true" t="shared" si="18" ref="H280:M280">SUM(H282:H284)</f>
        <v>17352.5</v>
      </c>
      <c r="I280" s="135">
        <f t="shared" si="18"/>
        <v>16963.1</v>
      </c>
      <c r="J280" s="133">
        <f t="shared" si="18"/>
        <v>6129.3</v>
      </c>
      <c r="K280" s="133">
        <f t="shared" si="18"/>
        <v>2829.3</v>
      </c>
      <c r="L280" s="133">
        <f t="shared" si="18"/>
        <v>2829.3</v>
      </c>
      <c r="M280" s="133">
        <f t="shared" si="18"/>
        <v>2829.3</v>
      </c>
      <c r="N280" s="209"/>
    </row>
    <row r="281" spans="1:14" ht="30">
      <c r="A281" s="127"/>
      <c r="B281" s="125"/>
      <c r="C281" s="153"/>
      <c r="D281" s="129"/>
      <c r="E281" s="6" t="s">
        <v>27</v>
      </c>
      <c r="F281" s="100" t="s">
        <v>1155</v>
      </c>
      <c r="G281" s="100" t="s">
        <v>480</v>
      </c>
      <c r="H281" s="134"/>
      <c r="I281" s="123"/>
      <c r="J281" s="134"/>
      <c r="K281" s="134"/>
      <c r="L281" s="134"/>
      <c r="M281" s="134"/>
      <c r="N281" s="210"/>
    </row>
    <row r="282" spans="1:14" ht="45">
      <c r="A282" s="127"/>
      <c r="B282" s="125"/>
      <c r="C282" s="100" t="s">
        <v>1243</v>
      </c>
      <c r="D282" s="101" t="s">
        <v>1244</v>
      </c>
      <c r="E282" s="6" t="s">
        <v>29</v>
      </c>
      <c r="F282" s="100" t="s">
        <v>1509</v>
      </c>
      <c r="G282" s="100" t="s">
        <v>1494</v>
      </c>
      <c r="H282" s="95">
        <v>2692.5</v>
      </c>
      <c r="I282" s="98">
        <v>2464.8</v>
      </c>
      <c r="J282" s="95"/>
      <c r="K282" s="95"/>
      <c r="L282" s="95"/>
      <c r="M282" s="95">
        <f>2774+55.3</f>
        <v>2829.3</v>
      </c>
      <c r="N282" s="96" t="s">
        <v>943</v>
      </c>
    </row>
    <row r="283" spans="1:14" ht="79.5" customHeight="1">
      <c r="A283" s="127"/>
      <c r="B283" s="125"/>
      <c r="C283" s="100" t="s">
        <v>1510</v>
      </c>
      <c r="D283" s="101" t="s">
        <v>960</v>
      </c>
      <c r="E283" s="1" t="s">
        <v>956</v>
      </c>
      <c r="F283" s="3" t="s">
        <v>1155</v>
      </c>
      <c r="G283" s="106" t="s">
        <v>472</v>
      </c>
      <c r="H283" s="99">
        <v>14660</v>
      </c>
      <c r="I283" s="99">
        <v>14498.3</v>
      </c>
      <c r="J283" s="99"/>
      <c r="K283" s="99"/>
      <c r="L283" s="99"/>
      <c r="M283" s="99"/>
      <c r="N283" s="96" t="s">
        <v>1428</v>
      </c>
    </row>
    <row r="284" spans="1:14" ht="60">
      <c r="A284" s="127"/>
      <c r="B284" s="125"/>
      <c r="C284" s="108" t="s">
        <v>1427</v>
      </c>
      <c r="D284" s="101" t="s">
        <v>878</v>
      </c>
      <c r="E284" s="113" t="s">
        <v>143</v>
      </c>
      <c r="F284" s="3" t="s">
        <v>1155</v>
      </c>
      <c r="G284" s="106" t="s">
        <v>1237</v>
      </c>
      <c r="H284" s="111"/>
      <c r="I284" s="111"/>
      <c r="J284" s="111">
        <v>6129.3</v>
      </c>
      <c r="K284" s="111">
        <v>2829.3</v>
      </c>
      <c r="L284" s="111">
        <v>2829.3</v>
      </c>
      <c r="M284" s="111"/>
      <c r="N284" s="96" t="s">
        <v>1242</v>
      </c>
    </row>
    <row r="285" spans="1:14" ht="45">
      <c r="A285" s="176" t="s">
        <v>783</v>
      </c>
      <c r="B285" s="183" t="s">
        <v>1370</v>
      </c>
      <c r="C285" s="126" t="s">
        <v>913</v>
      </c>
      <c r="D285" s="142" t="s">
        <v>46</v>
      </c>
      <c r="E285" s="6" t="s">
        <v>1402</v>
      </c>
      <c r="F285" s="100" t="s">
        <v>983</v>
      </c>
      <c r="G285" s="100" t="s">
        <v>1403</v>
      </c>
      <c r="H285" s="95">
        <f aca="true" t="shared" si="19" ref="H285:M285">SUM(H287:H289)</f>
        <v>4791</v>
      </c>
      <c r="I285" s="95">
        <f t="shared" si="19"/>
        <v>989.8000000000001</v>
      </c>
      <c r="J285" s="95">
        <f t="shared" si="19"/>
        <v>4702.7</v>
      </c>
      <c r="K285" s="95">
        <f t="shared" si="19"/>
        <v>200</v>
      </c>
      <c r="L285" s="95">
        <f t="shared" si="19"/>
        <v>200</v>
      </c>
      <c r="M285" s="95">
        <f t="shared" si="19"/>
        <v>200</v>
      </c>
      <c r="N285" s="96"/>
    </row>
    <row r="286" spans="1:14" ht="15">
      <c r="A286" s="177"/>
      <c r="B286" s="184"/>
      <c r="C286" s="126"/>
      <c r="D286" s="142"/>
      <c r="E286" s="6" t="s">
        <v>1097</v>
      </c>
      <c r="F286" s="100"/>
      <c r="G286" s="100"/>
      <c r="H286" s="95"/>
      <c r="I286" s="98"/>
      <c r="J286" s="95"/>
      <c r="K286" s="95"/>
      <c r="L286" s="95"/>
      <c r="M286" s="95"/>
      <c r="N286" s="96"/>
    </row>
    <row r="287" spans="1:14" ht="67.5" customHeight="1">
      <c r="A287" s="177"/>
      <c r="B287" s="184"/>
      <c r="C287" s="100" t="s">
        <v>896</v>
      </c>
      <c r="D287" s="101" t="s">
        <v>960</v>
      </c>
      <c r="E287" s="6" t="s">
        <v>898</v>
      </c>
      <c r="F287" s="100" t="s">
        <v>1158</v>
      </c>
      <c r="G287" s="100" t="s">
        <v>899</v>
      </c>
      <c r="H287" s="95">
        <v>1591</v>
      </c>
      <c r="I287" s="98"/>
      <c r="J287" s="95"/>
      <c r="K287" s="95"/>
      <c r="L287" s="95"/>
      <c r="M287" s="95"/>
      <c r="N287" s="96" t="s">
        <v>525</v>
      </c>
    </row>
    <row r="288" spans="1:14" ht="78" customHeight="1">
      <c r="A288" s="177"/>
      <c r="B288" s="184"/>
      <c r="C288" s="100" t="s">
        <v>897</v>
      </c>
      <c r="D288" s="101" t="s">
        <v>960</v>
      </c>
      <c r="E288" s="1" t="s">
        <v>483</v>
      </c>
      <c r="F288" s="3" t="s">
        <v>1155</v>
      </c>
      <c r="G288" s="106" t="s">
        <v>484</v>
      </c>
      <c r="H288" s="95">
        <v>3000</v>
      </c>
      <c r="I288" s="98">
        <v>968.2</v>
      </c>
      <c r="J288" s="95">
        <v>4502.7</v>
      </c>
      <c r="K288" s="95"/>
      <c r="L288" s="95"/>
      <c r="M288" s="95"/>
      <c r="N288" s="96" t="s">
        <v>945</v>
      </c>
    </row>
    <row r="289" spans="1:256" s="84" customFormat="1" ht="30">
      <c r="A289" s="178"/>
      <c r="B289" s="185"/>
      <c r="C289" s="100" t="s">
        <v>456</v>
      </c>
      <c r="D289" s="7">
        <v>605</v>
      </c>
      <c r="E289" s="6" t="s">
        <v>457</v>
      </c>
      <c r="F289" s="106" t="s">
        <v>1155</v>
      </c>
      <c r="G289" s="100" t="s">
        <v>1525</v>
      </c>
      <c r="H289" s="95">
        <v>200</v>
      </c>
      <c r="I289" s="98">
        <v>21.6</v>
      </c>
      <c r="J289" s="95">
        <v>200</v>
      </c>
      <c r="K289" s="95">
        <v>200</v>
      </c>
      <c r="L289" s="95">
        <v>200</v>
      </c>
      <c r="M289" s="95">
        <v>200</v>
      </c>
      <c r="N289" s="96" t="s">
        <v>518</v>
      </c>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M289" s="83"/>
      <c r="BN289" s="83"/>
      <c r="BO289" s="83"/>
      <c r="BP289" s="83"/>
      <c r="BQ289" s="83"/>
      <c r="BR289" s="83"/>
      <c r="BS289" s="83"/>
      <c r="BT289" s="83"/>
      <c r="BU289" s="83"/>
      <c r="BV289" s="83"/>
      <c r="BW289" s="83"/>
      <c r="BX289" s="83"/>
      <c r="BY289" s="83"/>
      <c r="BZ289" s="83"/>
      <c r="CA289" s="83"/>
      <c r="CB289" s="83"/>
      <c r="CC289" s="83"/>
      <c r="CD289" s="83"/>
      <c r="CE289" s="83"/>
      <c r="CF289" s="83"/>
      <c r="CG289" s="83"/>
      <c r="CH289" s="83"/>
      <c r="CI289" s="83"/>
      <c r="CJ289" s="83"/>
      <c r="CK289" s="83"/>
      <c r="CL289" s="83"/>
      <c r="CM289" s="83"/>
      <c r="CN289" s="83"/>
      <c r="CO289" s="83"/>
      <c r="CP289" s="83"/>
      <c r="CQ289" s="83"/>
      <c r="CR289" s="83"/>
      <c r="CS289" s="83"/>
      <c r="CT289" s="83"/>
      <c r="CU289" s="83"/>
      <c r="CV289" s="83"/>
      <c r="CW289" s="83"/>
      <c r="CX289" s="83"/>
      <c r="CY289" s="83"/>
      <c r="CZ289" s="83"/>
      <c r="DA289" s="83"/>
      <c r="DB289" s="83"/>
      <c r="DC289" s="83"/>
      <c r="DD289" s="83"/>
      <c r="DE289" s="83"/>
      <c r="DF289" s="83"/>
      <c r="DG289" s="83"/>
      <c r="DH289" s="83"/>
      <c r="DI289" s="83"/>
      <c r="DJ289" s="83"/>
      <c r="DK289" s="83"/>
      <c r="DL289" s="83"/>
      <c r="DM289" s="83"/>
      <c r="DN289" s="83"/>
      <c r="DO289" s="83"/>
      <c r="DP289" s="83"/>
      <c r="DQ289" s="83"/>
      <c r="DR289" s="83"/>
      <c r="DS289" s="83"/>
      <c r="DT289" s="83"/>
      <c r="DU289" s="83"/>
      <c r="DV289" s="83"/>
      <c r="DW289" s="83"/>
      <c r="DX289" s="83"/>
      <c r="DY289" s="83"/>
      <c r="DZ289" s="83"/>
      <c r="EA289" s="83"/>
      <c r="EB289" s="83"/>
      <c r="EC289" s="83"/>
      <c r="ED289" s="83"/>
      <c r="EE289" s="83"/>
      <c r="EF289" s="83"/>
      <c r="EG289" s="83"/>
      <c r="EH289" s="83"/>
      <c r="EI289" s="83"/>
      <c r="EJ289" s="83"/>
      <c r="EK289" s="83"/>
      <c r="EL289" s="83"/>
      <c r="EM289" s="83"/>
      <c r="EN289" s="83"/>
      <c r="EO289" s="83"/>
      <c r="EP289" s="83"/>
      <c r="EQ289" s="83"/>
      <c r="ER289" s="83"/>
      <c r="ES289" s="83"/>
      <c r="ET289" s="83"/>
      <c r="EU289" s="83"/>
      <c r="EV289" s="83"/>
      <c r="EW289" s="83"/>
      <c r="EX289" s="83"/>
      <c r="EY289" s="83"/>
      <c r="EZ289" s="83"/>
      <c r="FA289" s="83"/>
      <c r="FB289" s="83"/>
      <c r="FC289" s="83"/>
      <c r="FD289" s="83"/>
      <c r="FE289" s="83"/>
      <c r="FF289" s="83"/>
      <c r="FG289" s="83"/>
      <c r="FH289" s="83"/>
      <c r="FI289" s="83"/>
      <c r="FJ289" s="83"/>
      <c r="FK289" s="83"/>
      <c r="FL289" s="83"/>
      <c r="FM289" s="83"/>
      <c r="FN289" s="83"/>
      <c r="FO289" s="83"/>
      <c r="FP289" s="83"/>
      <c r="FQ289" s="83"/>
      <c r="FR289" s="83"/>
      <c r="FS289" s="83"/>
      <c r="FT289" s="83"/>
      <c r="FU289" s="83"/>
      <c r="FV289" s="83"/>
      <c r="FW289" s="83"/>
      <c r="FX289" s="83"/>
      <c r="FY289" s="83"/>
      <c r="FZ289" s="83"/>
      <c r="GA289" s="83"/>
      <c r="GB289" s="83"/>
      <c r="GC289" s="83"/>
      <c r="GD289" s="83"/>
      <c r="GE289" s="83"/>
      <c r="GF289" s="83"/>
      <c r="GG289" s="83"/>
      <c r="GH289" s="83"/>
      <c r="GI289" s="83"/>
      <c r="GJ289" s="83"/>
      <c r="GK289" s="83"/>
      <c r="GL289" s="83"/>
      <c r="GM289" s="83"/>
      <c r="GN289" s="83"/>
      <c r="GO289" s="83"/>
      <c r="GP289" s="83"/>
      <c r="GQ289" s="83"/>
      <c r="GR289" s="83"/>
      <c r="GS289" s="83"/>
      <c r="GT289" s="83"/>
      <c r="GU289" s="83"/>
      <c r="GV289" s="83"/>
      <c r="GW289" s="83"/>
      <c r="GX289" s="83"/>
      <c r="GY289" s="83"/>
      <c r="GZ289" s="83"/>
      <c r="HA289" s="83"/>
      <c r="HB289" s="83"/>
      <c r="HC289" s="83"/>
      <c r="HD289" s="83"/>
      <c r="HE289" s="83"/>
      <c r="HF289" s="83"/>
      <c r="HG289" s="83"/>
      <c r="HH289" s="83"/>
      <c r="HI289" s="83"/>
      <c r="HJ289" s="83"/>
      <c r="HK289" s="83"/>
      <c r="HL289" s="83"/>
      <c r="HM289" s="83"/>
      <c r="HN289" s="83"/>
      <c r="HO289" s="83"/>
      <c r="HP289" s="83"/>
      <c r="HQ289" s="83"/>
      <c r="HR289" s="83"/>
      <c r="HS289" s="83"/>
      <c r="HT289" s="83"/>
      <c r="HU289" s="83"/>
      <c r="HV289" s="83"/>
      <c r="HW289" s="83"/>
      <c r="HX289" s="83"/>
      <c r="HY289" s="83"/>
      <c r="HZ289" s="83"/>
      <c r="IA289" s="83"/>
      <c r="IB289" s="83"/>
      <c r="IC289" s="83"/>
      <c r="ID289" s="83"/>
      <c r="IE289" s="83"/>
      <c r="IF289" s="83"/>
      <c r="IG289" s="83"/>
      <c r="IH289" s="83"/>
      <c r="II289" s="83"/>
      <c r="IJ289" s="83"/>
      <c r="IK289" s="83"/>
      <c r="IL289" s="83"/>
      <c r="IM289" s="83"/>
      <c r="IN289" s="83"/>
      <c r="IO289" s="83"/>
      <c r="IP289" s="83"/>
      <c r="IQ289" s="83"/>
      <c r="IR289" s="83"/>
      <c r="IS289" s="83"/>
      <c r="IT289" s="83"/>
      <c r="IU289" s="83"/>
      <c r="IV289" s="83"/>
    </row>
    <row r="290" spans="1:14" ht="43.5" customHeight="1">
      <c r="A290" s="176" t="s">
        <v>784</v>
      </c>
      <c r="B290" s="183" t="s">
        <v>618</v>
      </c>
      <c r="C290" s="126" t="s">
        <v>914</v>
      </c>
      <c r="D290" s="142" t="s">
        <v>47</v>
      </c>
      <c r="E290" s="6" t="s">
        <v>1515</v>
      </c>
      <c r="F290" s="100" t="s">
        <v>1511</v>
      </c>
      <c r="G290" s="14" t="s">
        <v>1228</v>
      </c>
      <c r="H290" s="95">
        <f aca="true" t="shared" si="20" ref="H290:M290">SUM(H292:H298)</f>
        <v>557209</v>
      </c>
      <c r="I290" s="95">
        <f t="shared" si="20"/>
        <v>526075.6</v>
      </c>
      <c r="J290" s="95">
        <f t="shared" si="20"/>
        <v>132677.7</v>
      </c>
      <c r="K290" s="95">
        <f t="shared" si="20"/>
        <v>133087.69999999998</v>
      </c>
      <c r="L290" s="95">
        <f t="shared" si="20"/>
        <v>132771.4</v>
      </c>
      <c r="M290" s="95">
        <f t="shared" si="20"/>
        <v>138719.5</v>
      </c>
      <c r="N290" s="96"/>
    </row>
    <row r="291" spans="1:14" ht="19.5" customHeight="1">
      <c r="A291" s="177"/>
      <c r="B291" s="184"/>
      <c r="C291" s="126"/>
      <c r="D291" s="142"/>
      <c r="E291" s="6" t="s">
        <v>1097</v>
      </c>
      <c r="F291" s="100"/>
      <c r="G291" s="100"/>
      <c r="H291" s="95"/>
      <c r="I291" s="98"/>
      <c r="J291" s="95"/>
      <c r="K291" s="95"/>
      <c r="L291" s="95"/>
      <c r="M291" s="95"/>
      <c r="N291" s="96"/>
    </row>
    <row r="292" spans="1:14" ht="36" customHeight="1">
      <c r="A292" s="177"/>
      <c r="B292" s="184"/>
      <c r="C292" s="152" t="s">
        <v>1513</v>
      </c>
      <c r="D292" s="128" t="s">
        <v>878</v>
      </c>
      <c r="E292" s="6" t="s">
        <v>29</v>
      </c>
      <c r="F292" s="100" t="s">
        <v>1512</v>
      </c>
      <c r="G292" s="100" t="s">
        <v>1494</v>
      </c>
      <c r="H292" s="133">
        <v>518978.5</v>
      </c>
      <c r="I292" s="135">
        <v>490872.8</v>
      </c>
      <c r="J292" s="133">
        <f>95080.8+18815.1+1830+16105.6+700</f>
        <v>132531.5</v>
      </c>
      <c r="K292" s="133">
        <f>97790.1+5300+2383.2+11000+15689.5+279.4+500</f>
        <v>132942.19999999998</v>
      </c>
      <c r="L292" s="133">
        <f>102784.3+1583.2+11000+16689.5+79.4+500</f>
        <v>132636.4</v>
      </c>
      <c r="M292" s="133">
        <v>138584.5</v>
      </c>
      <c r="N292" s="198" t="s">
        <v>9</v>
      </c>
    </row>
    <row r="293" spans="1:14" ht="78" customHeight="1">
      <c r="A293" s="177"/>
      <c r="B293" s="184"/>
      <c r="C293" s="157"/>
      <c r="D293" s="167"/>
      <c r="E293" s="1" t="s">
        <v>483</v>
      </c>
      <c r="F293" s="3" t="s">
        <v>1155</v>
      </c>
      <c r="G293" s="106" t="s">
        <v>484</v>
      </c>
      <c r="H293" s="172"/>
      <c r="I293" s="186"/>
      <c r="J293" s="172"/>
      <c r="K293" s="172"/>
      <c r="L293" s="172"/>
      <c r="M293" s="172"/>
      <c r="N293" s="199"/>
    </row>
    <row r="294" spans="1:14" ht="57" customHeight="1">
      <c r="A294" s="177"/>
      <c r="B294" s="184"/>
      <c r="C294" s="153"/>
      <c r="D294" s="129"/>
      <c r="E294" s="113" t="s">
        <v>1241</v>
      </c>
      <c r="F294" s="3" t="s">
        <v>1155</v>
      </c>
      <c r="G294" s="106" t="s">
        <v>1237</v>
      </c>
      <c r="H294" s="134"/>
      <c r="I294" s="123"/>
      <c r="J294" s="134"/>
      <c r="K294" s="134"/>
      <c r="L294" s="134"/>
      <c r="M294" s="134"/>
      <c r="N294" s="200"/>
    </row>
    <row r="295" spans="1:14" ht="72" customHeight="1">
      <c r="A295" s="177"/>
      <c r="B295" s="184"/>
      <c r="C295" s="100" t="s">
        <v>1514</v>
      </c>
      <c r="D295" s="101" t="s">
        <v>926</v>
      </c>
      <c r="E295" s="5" t="s">
        <v>1473</v>
      </c>
      <c r="F295" s="106" t="s">
        <v>957</v>
      </c>
      <c r="G295" s="106" t="s">
        <v>958</v>
      </c>
      <c r="H295" s="111">
        <v>45</v>
      </c>
      <c r="I295" s="111">
        <v>45</v>
      </c>
      <c r="J295" s="111">
        <v>135</v>
      </c>
      <c r="K295" s="111">
        <v>135</v>
      </c>
      <c r="L295" s="111">
        <v>135</v>
      </c>
      <c r="M295" s="111">
        <v>135</v>
      </c>
      <c r="N295" s="96" t="s">
        <v>841</v>
      </c>
    </row>
    <row r="296" spans="1:14" ht="60">
      <c r="A296" s="177"/>
      <c r="B296" s="184"/>
      <c r="C296" s="108" t="s">
        <v>605</v>
      </c>
      <c r="D296" s="101" t="s">
        <v>878</v>
      </c>
      <c r="E296" s="113" t="s">
        <v>1187</v>
      </c>
      <c r="F296" s="106" t="s">
        <v>1155</v>
      </c>
      <c r="G296" s="24" t="s">
        <v>767</v>
      </c>
      <c r="H296" s="111">
        <v>50</v>
      </c>
      <c r="I296" s="111">
        <v>50</v>
      </c>
      <c r="J296" s="111"/>
      <c r="K296" s="111"/>
      <c r="L296" s="111"/>
      <c r="M296" s="111"/>
      <c r="N296" s="113" t="s">
        <v>460</v>
      </c>
    </row>
    <row r="297" spans="1:14" ht="45">
      <c r="A297" s="177"/>
      <c r="B297" s="184"/>
      <c r="C297" s="108" t="s">
        <v>724</v>
      </c>
      <c r="D297" s="101" t="s">
        <v>878</v>
      </c>
      <c r="E297" s="113" t="s">
        <v>146</v>
      </c>
      <c r="F297" s="106" t="s">
        <v>1155</v>
      </c>
      <c r="G297" s="24" t="s">
        <v>972</v>
      </c>
      <c r="H297" s="111">
        <v>44.8</v>
      </c>
      <c r="I297" s="111">
        <v>38.2</v>
      </c>
      <c r="J297" s="111">
        <v>11.2</v>
      </c>
      <c r="K297" s="111">
        <v>10.5</v>
      </c>
      <c r="L297" s="111"/>
      <c r="M297" s="111"/>
      <c r="N297" s="113" t="s">
        <v>145</v>
      </c>
    </row>
    <row r="298" spans="1:14" ht="79.5" customHeight="1">
      <c r="A298" s="178"/>
      <c r="B298" s="185"/>
      <c r="C298" s="108" t="s">
        <v>144</v>
      </c>
      <c r="D298" s="101" t="s">
        <v>878</v>
      </c>
      <c r="E298" s="1" t="s">
        <v>483</v>
      </c>
      <c r="F298" s="3" t="s">
        <v>1155</v>
      </c>
      <c r="G298" s="106" t="s">
        <v>484</v>
      </c>
      <c r="H298" s="95">
        <v>38090.7</v>
      </c>
      <c r="I298" s="98">
        <v>35069.6</v>
      </c>
      <c r="J298" s="95"/>
      <c r="K298" s="95"/>
      <c r="L298" s="95"/>
      <c r="M298" s="95"/>
      <c r="N298" s="96" t="s">
        <v>949</v>
      </c>
    </row>
    <row r="299" spans="1:14" ht="45">
      <c r="A299" s="127" t="s">
        <v>785</v>
      </c>
      <c r="B299" s="125" t="s">
        <v>680</v>
      </c>
      <c r="C299" s="126" t="s">
        <v>915</v>
      </c>
      <c r="D299" s="142" t="s">
        <v>1053</v>
      </c>
      <c r="E299" s="6" t="s">
        <v>328</v>
      </c>
      <c r="F299" s="100" t="s">
        <v>329</v>
      </c>
      <c r="G299" s="100" t="s">
        <v>695</v>
      </c>
      <c r="H299" s="94">
        <f>SUM(H302:H306)</f>
        <v>10208.4</v>
      </c>
      <c r="I299" s="99">
        <f>SUM(I302:I306)</f>
        <v>5770.6</v>
      </c>
      <c r="J299" s="94">
        <f>SUM(J302:J306)</f>
        <v>7823.2</v>
      </c>
      <c r="K299" s="94">
        <f>SUM(K302:K306)</f>
        <v>19400</v>
      </c>
      <c r="L299" s="94"/>
      <c r="M299" s="94"/>
      <c r="N299" s="96"/>
    </row>
    <row r="300" spans="1:14" ht="30">
      <c r="A300" s="127"/>
      <c r="B300" s="125"/>
      <c r="C300" s="126"/>
      <c r="D300" s="142"/>
      <c r="E300" s="96" t="s">
        <v>30</v>
      </c>
      <c r="F300" s="107" t="s">
        <v>1155</v>
      </c>
      <c r="G300" s="107" t="s">
        <v>330</v>
      </c>
      <c r="H300" s="107"/>
      <c r="I300" s="107"/>
      <c r="J300" s="107"/>
      <c r="K300" s="107"/>
      <c r="L300" s="107"/>
      <c r="M300" s="107"/>
      <c r="N300" s="96"/>
    </row>
    <row r="301" spans="1:14" ht="15">
      <c r="A301" s="127"/>
      <c r="B301" s="125"/>
      <c r="C301" s="126"/>
      <c r="D301" s="142"/>
      <c r="E301" s="6" t="s">
        <v>1097</v>
      </c>
      <c r="F301" s="100"/>
      <c r="G301" s="100"/>
      <c r="H301" s="94"/>
      <c r="I301" s="99"/>
      <c r="J301" s="94"/>
      <c r="K301" s="94"/>
      <c r="L301" s="94"/>
      <c r="M301" s="94"/>
      <c r="N301" s="96"/>
    </row>
    <row r="302" spans="1:14" ht="66" customHeight="1">
      <c r="A302" s="127"/>
      <c r="B302" s="125"/>
      <c r="C302" s="126" t="s">
        <v>1415</v>
      </c>
      <c r="D302" s="142" t="s">
        <v>1053</v>
      </c>
      <c r="E302" s="37" t="s">
        <v>703</v>
      </c>
      <c r="F302" s="3" t="s">
        <v>1155</v>
      </c>
      <c r="G302" s="41" t="s">
        <v>708</v>
      </c>
      <c r="H302" s="139">
        <v>10098</v>
      </c>
      <c r="I302" s="124">
        <v>5663</v>
      </c>
      <c r="J302" s="139">
        <v>7823.2</v>
      </c>
      <c r="K302" s="139">
        <v>19400</v>
      </c>
      <c r="L302" s="139"/>
      <c r="M302" s="139"/>
      <c r="N302" s="137" t="s">
        <v>946</v>
      </c>
    </row>
    <row r="303" spans="1:14" ht="63" customHeight="1">
      <c r="A303" s="127"/>
      <c r="B303" s="125"/>
      <c r="C303" s="126"/>
      <c r="D303" s="142"/>
      <c r="E303" s="37" t="s">
        <v>704</v>
      </c>
      <c r="F303" s="3" t="s">
        <v>1155</v>
      </c>
      <c r="G303" s="41" t="s">
        <v>709</v>
      </c>
      <c r="H303" s="139"/>
      <c r="I303" s="124"/>
      <c r="J303" s="139"/>
      <c r="K303" s="139"/>
      <c r="L303" s="139"/>
      <c r="M303" s="139"/>
      <c r="N303" s="137"/>
    </row>
    <row r="304" spans="1:14" ht="67.5" customHeight="1">
      <c r="A304" s="127"/>
      <c r="B304" s="125"/>
      <c r="C304" s="126"/>
      <c r="D304" s="142"/>
      <c r="E304" s="37" t="s">
        <v>705</v>
      </c>
      <c r="F304" s="3" t="s">
        <v>1155</v>
      </c>
      <c r="G304" s="41" t="s">
        <v>710</v>
      </c>
      <c r="H304" s="139"/>
      <c r="I304" s="124"/>
      <c r="J304" s="139"/>
      <c r="K304" s="139"/>
      <c r="L304" s="139"/>
      <c r="M304" s="139"/>
      <c r="N304" s="137"/>
    </row>
    <row r="305" spans="1:14" ht="48" customHeight="1">
      <c r="A305" s="127"/>
      <c r="B305" s="125"/>
      <c r="C305" s="126"/>
      <c r="D305" s="142"/>
      <c r="E305" s="37" t="s">
        <v>706</v>
      </c>
      <c r="F305" s="3" t="s">
        <v>1155</v>
      </c>
      <c r="G305" s="41" t="s">
        <v>707</v>
      </c>
      <c r="H305" s="139"/>
      <c r="I305" s="124"/>
      <c r="J305" s="139"/>
      <c r="K305" s="139"/>
      <c r="L305" s="139"/>
      <c r="M305" s="139"/>
      <c r="N305" s="137"/>
    </row>
    <row r="306" spans="1:14" ht="96" customHeight="1">
      <c r="A306" s="127"/>
      <c r="B306" s="125"/>
      <c r="C306" s="100" t="s">
        <v>1414</v>
      </c>
      <c r="D306" s="101" t="s">
        <v>1053</v>
      </c>
      <c r="E306" s="5" t="s">
        <v>1416</v>
      </c>
      <c r="F306" s="106" t="s">
        <v>1449</v>
      </c>
      <c r="G306" s="4" t="s">
        <v>1417</v>
      </c>
      <c r="H306" s="94">
        <v>110.4</v>
      </c>
      <c r="I306" s="99">
        <v>107.6</v>
      </c>
      <c r="J306" s="94"/>
      <c r="K306" s="94"/>
      <c r="L306" s="94"/>
      <c r="M306" s="94"/>
      <c r="N306" s="96" t="s">
        <v>947</v>
      </c>
    </row>
    <row r="307" spans="1:14" ht="45">
      <c r="A307" s="127" t="s">
        <v>786</v>
      </c>
      <c r="B307" s="125" t="s">
        <v>1347</v>
      </c>
      <c r="C307" s="126" t="s">
        <v>916</v>
      </c>
      <c r="D307" s="142" t="s">
        <v>953</v>
      </c>
      <c r="E307" s="6" t="s">
        <v>804</v>
      </c>
      <c r="F307" s="100" t="s">
        <v>808</v>
      </c>
      <c r="G307" s="100" t="s">
        <v>809</v>
      </c>
      <c r="H307" s="136">
        <v>2642.8</v>
      </c>
      <c r="I307" s="143">
        <v>1234.8</v>
      </c>
      <c r="J307" s="136">
        <v>975.2</v>
      </c>
      <c r="K307" s="136">
        <v>228.2</v>
      </c>
      <c r="L307" s="136">
        <v>228.2</v>
      </c>
      <c r="M307" s="136">
        <v>228.2</v>
      </c>
      <c r="N307" s="137" t="s">
        <v>948</v>
      </c>
    </row>
    <row r="308" spans="1:14" ht="42" customHeight="1">
      <c r="A308" s="127"/>
      <c r="B308" s="125"/>
      <c r="C308" s="126"/>
      <c r="D308" s="142"/>
      <c r="E308" s="6" t="s">
        <v>811</v>
      </c>
      <c r="F308" s="100" t="s">
        <v>806</v>
      </c>
      <c r="G308" s="100" t="s">
        <v>810</v>
      </c>
      <c r="H308" s="136"/>
      <c r="I308" s="143"/>
      <c r="J308" s="136"/>
      <c r="K308" s="136"/>
      <c r="L308" s="136"/>
      <c r="M308" s="136"/>
      <c r="N308" s="137"/>
    </row>
    <row r="309" spans="1:14" ht="48" customHeight="1">
      <c r="A309" s="127"/>
      <c r="B309" s="125"/>
      <c r="C309" s="126"/>
      <c r="D309" s="142"/>
      <c r="E309" s="6" t="s">
        <v>805</v>
      </c>
      <c r="F309" s="100" t="s">
        <v>1268</v>
      </c>
      <c r="G309" s="100" t="s">
        <v>807</v>
      </c>
      <c r="H309" s="136"/>
      <c r="I309" s="143"/>
      <c r="J309" s="136"/>
      <c r="K309" s="136"/>
      <c r="L309" s="136"/>
      <c r="M309" s="136"/>
      <c r="N309" s="137"/>
    </row>
    <row r="310" spans="1:14" ht="33" customHeight="1">
      <c r="A310" s="127"/>
      <c r="B310" s="125"/>
      <c r="C310" s="126"/>
      <c r="D310" s="142"/>
      <c r="E310" s="6" t="s">
        <v>716</v>
      </c>
      <c r="F310" s="100" t="s">
        <v>1268</v>
      </c>
      <c r="G310" s="100" t="s">
        <v>717</v>
      </c>
      <c r="H310" s="136"/>
      <c r="I310" s="143"/>
      <c r="J310" s="136"/>
      <c r="K310" s="136"/>
      <c r="L310" s="136"/>
      <c r="M310" s="136"/>
      <c r="N310" s="137"/>
    </row>
    <row r="311" spans="1:14" ht="48" customHeight="1">
      <c r="A311" s="127"/>
      <c r="B311" s="125"/>
      <c r="C311" s="126"/>
      <c r="D311" s="142"/>
      <c r="E311" s="6" t="s">
        <v>718</v>
      </c>
      <c r="F311" s="100" t="s">
        <v>1155</v>
      </c>
      <c r="G311" s="100" t="s">
        <v>712</v>
      </c>
      <c r="H311" s="136"/>
      <c r="I311" s="143"/>
      <c r="J311" s="136"/>
      <c r="K311" s="136"/>
      <c r="L311" s="136"/>
      <c r="M311" s="136"/>
      <c r="N311" s="137"/>
    </row>
    <row r="312" spans="1:14" ht="64.5" customHeight="1">
      <c r="A312" s="103" t="s">
        <v>787</v>
      </c>
      <c r="B312" s="97" t="s">
        <v>619</v>
      </c>
      <c r="C312" s="100" t="s">
        <v>917</v>
      </c>
      <c r="D312" s="101"/>
      <c r="E312" s="6" t="s">
        <v>1384</v>
      </c>
      <c r="F312" s="100" t="s">
        <v>61</v>
      </c>
      <c r="G312" s="100" t="s">
        <v>1403</v>
      </c>
      <c r="H312" s="95"/>
      <c r="I312" s="98"/>
      <c r="J312" s="95"/>
      <c r="K312" s="95"/>
      <c r="L312" s="95"/>
      <c r="M312" s="95"/>
      <c r="N312" s="96"/>
    </row>
    <row r="313" spans="1:14" ht="53.25" customHeight="1">
      <c r="A313" s="127" t="s">
        <v>788</v>
      </c>
      <c r="B313" s="125" t="s">
        <v>1401</v>
      </c>
      <c r="C313" s="126" t="s">
        <v>918</v>
      </c>
      <c r="D313" s="142" t="s">
        <v>882</v>
      </c>
      <c r="E313" s="6" t="s">
        <v>559</v>
      </c>
      <c r="F313" s="100" t="s">
        <v>560</v>
      </c>
      <c r="G313" s="14" t="s">
        <v>31</v>
      </c>
      <c r="H313" s="136">
        <v>278.4</v>
      </c>
      <c r="I313" s="143">
        <v>277.9</v>
      </c>
      <c r="J313" s="136">
        <v>144</v>
      </c>
      <c r="K313" s="136">
        <v>282</v>
      </c>
      <c r="L313" s="136">
        <v>284</v>
      </c>
      <c r="M313" s="136">
        <v>311.7</v>
      </c>
      <c r="N313" s="137" t="s">
        <v>516</v>
      </c>
    </row>
    <row r="314" spans="1:14" ht="81" customHeight="1">
      <c r="A314" s="127"/>
      <c r="B314" s="125"/>
      <c r="C314" s="126"/>
      <c r="D314" s="142"/>
      <c r="E314" s="6" t="s">
        <v>727</v>
      </c>
      <c r="F314" s="100" t="s">
        <v>1155</v>
      </c>
      <c r="G314" s="14" t="s">
        <v>1525</v>
      </c>
      <c r="H314" s="136"/>
      <c r="I314" s="143"/>
      <c r="J314" s="136"/>
      <c r="K314" s="136"/>
      <c r="L314" s="136"/>
      <c r="M314" s="136"/>
      <c r="N314" s="137"/>
    </row>
    <row r="315" spans="1:256" s="28" customFormat="1" ht="58.5" customHeight="1">
      <c r="A315" s="103" t="s">
        <v>789</v>
      </c>
      <c r="B315" s="8" t="s">
        <v>1344</v>
      </c>
      <c r="C315" s="100" t="s">
        <v>919</v>
      </c>
      <c r="D315" s="101"/>
      <c r="E315" s="6" t="s">
        <v>1384</v>
      </c>
      <c r="F315" s="100" t="s">
        <v>1385</v>
      </c>
      <c r="G315" s="100" t="s">
        <v>1403</v>
      </c>
      <c r="H315" s="94"/>
      <c r="I315" s="99"/>
      <c r="J315" s="94"/>
      <c r="K315" s="94"/>
      <c r="L315" s="94"/>
      <c r="M315" s="94"/>
      <c r="N315" s="96"/>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c r="FP315" s="21"/>
      <c r="FQ315" s="21"/>
      <c r="FR315" s="21"/>
      <c r="FS315" s="21"/>
      <c r="FT315" s="21"/>
      <c r="FU315" s="21"/>
      <c r="FV315" s="21"/>
      <c r="FW315" s="21"/>
      <c r="FX315" s="21"/>
      <c r="FY315" s="21"/>
      <c r="FZ315" s="21"/>
      <c r="GA315" s="21"/>
      <c r="GB315" s="21"/>
      <c r="GC315" s="21"/>
      <c r="GD315" s="21"/>
      <c r="GE315" s="21"/>
      <c r="GF315" s="21"/>
      <c r="GG315" s="21"/>
      <c r="GH315" s="21"/>
      <c r="GI315" s="21"/>
      <c r="GJ315" s="21"/>
      <c r="GK315" s="21"/>
      <c r="GL315" s="21"/>
      <c r="GM315" s="21"/>
      <c r="GN315" s="21"/>
      <c r="GO315" s="21"/>
      <c r="GP315" s="21"/>
      <c r="GQ315" s="21"/>
      <c r="GR315" s="21"/>
      <c r="GS315" s="21"/>
      <c r="GT315" s="21"/>
      <c r="GU315" s="21"/>
      <c r="GV315" s="21"/>
      <c r="GW315" s="21"/>
      <c r="GX315" s="21"/>
      <c r="GY315" s="21"/>
      <c r="GZ315" s="21"/>
      <c r="HA315" s="21"/>
      <c r="HB315" s="21"/>
      <c r="HC315" s="21"/>
      <c r="HD315" s="21"/>
      <c r="HE315" s="21"/>
      <c r="HF315" s="21"/>
      <c r="HG315" s="21"/>
      <c r="HH315" s="21"/>
      <c r="HI315" s="21"/>
      <c r="HJ315" s="21"/>
      <c r="HK315" s="21"/>
      <c r="HL315" s="21"/>
      <c r="HM315" s="21"/>
      <c r="HN315" s="21"/>
      <c r="HO315" s="21"/>
      <c r="HP315" s="21"/>
      <c r="HQ315" s="21"/>
      <c r="HR315" s="21"/>
      <c r="HS315" s="21"/>
      <c r="HT315" s="21"/>
      <c r="HU315" s="21"/>
      <c r="HV315" s="21"/>
      <c r="HW315" s="21"/>
      <c r="HX315" s="21"/>
      <c r="HY315" s="21"/>
      <c r="HZ315" s="21"/>
      <c r="IA315" s="21"/>
      <c r="IB315" s="21"/>
      <c r="IC315" s="21"/>
      <c r="ID315" s="21"/>
      <c r="IE315" s="21"/>
      <c r="IF315" s="21"/>
      <c r="IG315" s="21"/>
      <c r="IH315" s="21"/>
      <c r="II315" s="21"/>
      <c r="IJ315" s="21"/>
      <c r="IK315" s="21"/>
      <c r="IL315" s="21"/>
      <c r="IM315" s="21"/>
      <c r="IN315" s="21"/>
      <c r="IO315" s="21"/>
      <c r="IP315" s="21"/>
      <c r="IQ315" s="21"/>
      <c r="IR315" s="21"/>
      <c r="IS315" s="21"/>
      <c r="IT315" s="21"/>
      <c r="IU315" s="21"/>
      <c r="IV315" s="21"/>
    </row>
    <row r="316" spans="1:256" s="38" customFormat="1" ht="101.25" customHeight="1">
      <c r="A316" s="103" t="s">
        <v>790</v>
      </c>
      <c r="B316" s="8" t="s">
        <v>1325</v>
      </c>
      <c r="C316" s="100" t="s">
        <v>920</v>
      </c>
      <c r="D316" s="101"/>
      <c r="E316" s="6" t="s">
        <v>1402</v>
      </c>
      <c r="F316" s="100" t="s">
        <v>997</v>
      </c>
      <c r="G316" s="100" t="s">
        <v>1403</v>
      </c>
      <c r="H316" s="94"/>
      <c r="I316" s="99"/>
      <c r="J316" s="94"/>
      <c r="K316" s="94"/>
      <c r="L316" s="94"/>
      <c r="M316" s="94"/>
      <c r="N316" s="96"/>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c r="FP316" s="21"/>
      <c r="FQ316" s="21"/>
      <c r="FR316" s="21"/>
      <c r="FS316" s="21"/>
      <c r="FT316" s="21"/>
      <c r="FU316" s="21"/>
      <c r="FV316" s="21"/>
      <c r="FW316" s="21"/>
      <c r="FX316" s="21"/>
      <c r="FY316" s="21"/>
      <c r="FZ316" s="21"/>
      <c r="GA316" s="21"/>
      <c r="GB316" s="21"/>
      <c r="GC316" s="21"/>
      <c r="GD316" s="21"/>
      <c r="GE316" s="21"/>
      <c r="GF316" s="21"/>
      <c r="GG316" s="21"/>
      <c r="GH316" s="21"/>
      <c r="GI316" s="21"/>
      <c r="GJ316" s="21"/>
      <c r="GK316" s="21"/>
      <c r="GL316" s="21"/>
      <c r="GM316" s="21"/>
      <c r="GN316" s="21"/>
      <c r="GO316" s="21"/>
      <c r="GP316" s="21"/>
      <c r="GQ316" s="21"/>
      <c r="GR316" s="21"/>
      <c r="GS316" s="21"/>
      <c r="GT316" s="21"/>
      <c r="GU316" s="21"/>
      <c r="GV316" s="21"/>
      <c r="GW316" s="21"/>
      <c r="GX316" s="21"/>
      <c r="GY316" s="21"/>
      <c r="GZ316" s="21"/>
      <c r="HA316" s="21"/>
      <c r="HB316" s="21"/>
      <c r="HC316" s="21"/>
      <c r="HD316" s="21"/>
      <c r="HE316" s="21"/>
      <c r="HF316" s="21"/>
      <c r="HG316" s="21"/>
      <c r="HH316" s="21"/>
      <c r="HI316" s="21"/>
      <c r="HJ316" s="21"/>
      <c r="HK316" s="21"/>
      <c r="HL316" s="21"/>
      <c r="HM316" s="21"/>
      <c r="HN316" s="21"/>
      <c r="HO316" s="21"/>
      <c r="HP316" s="21"/>
      <c r="HQ316" s="21"/>
      <c r="HR316" s="21"/>
      <c r="HS316" s="21"/>
      <c r="HT316" s="21"/>
      <c r="HU316" s="21"/>
      <c r="HV316" s="21"/>
      <c r="HW316" s="21"/>
      <c r="HX316" s="21"/>
      <c r="HY316" s="21"/>
      <c r="HZ316" s="21"/>
      <c r="IA316" s="21"/>
      <c r="IB316" s="21"/>
      <c r="IC316" s="21"/>
      <c r="ID316" s="21"/>
      <c r="IE316" s="21"/>
      <c r="IF316" s="21"/>
      <c r="IG316" s="21"/>
      <c r="IH316" s="21"/>
      <c r="II316" s="21"/>
      <c r="IJ316" s="21"/>
      <c r="IK316" s="21"/>
      <c r="IL316" s="21"/>
      <c r="IM316" s="21"/>
      <c r="IN316" s="21"/>
      <c r="IO316" s="21"/>
      <c r="IP316" s="21"/>
      <c r="IQ316" s="21"/>
      <c r="IR316" s="21"/>
      <c r="IS316" s="21"/>
      <c r="IT316" s="21"/>
      <c r="IU316" s="21"/>
      <c r="IV316" s="21"/>
    </row>
    <row r="317" spans="1:256" s="29" customFormat="1" ht="61.5" customHeight="1">
      <c r="A317" s="103" t="s">
        <v>791</v>
      </c>
      <c r="B317" s="8" t="s">
        <v>1000</v>
      </c>
      <c r="C317" s="100" t="s">
        <v>921</v>
      </c>
      <c r="D317" s="101"/>
      <c r="E317" s="6" t="s">
        <v>1402</v>
      </c>
      <c r="F317" s="100" t="s">
        <v>998</v>
      </c>
      <c r="G317" s="100" t="s">
        <v>1403</v>
      </c>
      <c r="H317" s="94"/>
      <c r="I317" s="99"/>
      <c r="J317" s="94"/>
      <c r="K317" s="94"/>
      <c r="L317" s="94"/>
      <c r="M317" s="94"/>
      <c r="N317" s="96"/>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c r="FP317" s="21"/>
      <c r="FQ317" s="21"/>
      <c r="FR317" s="21"/>
      <c r="FS317" s="21"/>
      <c r="FT317" s="21"/>
      <c r="FU317" s="21"/>
      <c r="FV317" s="21"/>
      <c r="FW317" s="21"/>
      <c r="FX317" s="21"/>
      <c r="FY317" s="21"/>
      <c r="FZ317" s="21"/>
      <c r="GA317" s="21"/>
      <c r="GB317" s="21"/>
      <c r="GC317" s="21"/>
      <c r="GD317" s="21"/>
      <c r="GE317" s="21"/>
      <c r="GF317" s="21"/>
      <c r="GG317" s="21"/>
      <c r="GH317" s="21"/>
      <c r="GI317" s="21"/>
      <c r="GJ317" s="21"/>
      <c r="GK317" s="21"/>
      <c r="GL317" s="21"/>
      <c r="GM317" s="21"/>
      <c r="GN317" s="21"/>
      <c r="GO317" s="21"/>
      <c r="GP317" s="21"/>
      <c r="GQ317" s="21"/>
      <c r="GR317" s="21"/>
      <c r="GS317" s="21"/>
      <c r="GT317" s="21"/>
      <c r="GU317" s="21"/>
      <c r="GV317" s="21"/>
      <c r="GW317" s="21"/>
      <c r="GX317" s="21"/>
      <c r="GY317" s="21"/>
      <c r="GZ317" s="21"/>
      <c r="HA317" s="21"/>
      <c r="HB317" s="21"/>
      <c r="HC317" s="21"/>
      <c r="HD317" s="21"/>
      <c r="HE317" s="21"/>
      <c r="HF317" s="21"/>
      <c r="HG317" s="21"/>
      <c r="HH317" s="21"/>
      <c r="HI317" s="21"/>
      <c r="HJ317" s="21"/>
      <c r="HK317" s="21"/>
      <c r="HL317" s="21"/>
      <c r="HM317" s="21"/>
      <c r="HN317" s="21"/>
      <c r="HO317" s="21"/>
      <c r="HP317" s="21"/>
      <c r="HQ317" s="21"/>
      <c r="HR317" s="21"/>
      <c r="HS317" s="21"/>
      <c r="HT317" s="21"/>
      <c r="HU317" s="21"/>
      <c r="HV317" s="21"/>
      <c r="HW317" s="21"/>
      <c r="HX317" s="21"/>
      <c r="HY317" s="21"/>
      <c r="HZ317" s="21"/>
      <c r="IA317" s="21"/>
      <c r="IB317" s="21"/>
      <c r="IC317" s="21"/>
      <c r="ID317" s="21"/>
      <c r="IE317" s="21"/>
      <c r="IF317" s="21"/>
      <c r="IG317" s="21"/>
      <c r="IH317" s="21"/>
      <c r="II317" s="21"/>
      <c r="IJ317" s="21"/>
      <c r="IK317" s="21"/>
      <c r="IL317" s="21"/>
      <c r="IM317" s="21"/>
      <c r="IN317" s="21"/>
      <c r="IO317" s="21"/>
      <c r="IP317" s="21"/>
      <c r="IQ317" s="21"/>
      <c r="IR317" s="21"/>
      <c r="IS317" s="21"/>
      <c r="IT317" s="21"/>
      <c r="IU317" s="21"/>
      <c r="IV317" s="21"/>
    </row>
    <row r="318" spans="1:14" ht="48" customHeight="1">
      <c r="A318" s="103" t="s">
        <v>792</v>
      </c>
      <c r="B318" s="8" t="s">
        <v>1001</v>
      </c>
      <c r="C318" s="100" t="s">
        <v>922</v>
      </c>
      <c r="D318" s="101"/>
      <c r="E318" s="6" t="s">
        <v>1402</v>
      </c>
      <c r="F318" s="100" t="s">
        <v>999</v>
      </c>
      <c r="G318" s="100" t="s">
        <v>1403</v>
      </c>
      <c r="H318" s="94"/>
      <c r="I318" s="99"/>
      <c r="J318" s="94"/>
      <c r="K318" s="94"/>
      <c r="L318" s="94"/>
      <c r="M318" s="94"/>
      <c r="N318" s="96"/>
    </row>
    <row r="319" spans="1:14" ht="45">
      <c r="A319" s="127" t="s">
        <v>793</v>
      </c>
      <c r="B319" s="125" t="s">
        <v>1326</v>
      </c>
      <c r="C319" s="152" t="s">
        <v>1002</v>
      </c>
      <c r="D319" s="128" t="s">
        <v>414</v>
      </c>
      <c r="E319" s="6" t="s">
        <v>984</v>
      </c>
      <c r="F319" s="100" t="s">
        <v>985</v>
      </c>
      <c r="G319" s="100" t="s">
        <v>986</v>
      </c>
      <c r="H319" s="94">
        <f aca="true" t="shared" si="21" ref="H319:M319">SUM(H321:H328)</f>
        <v>94982.90000000001</v>
      </c>
      <c r="I319" s="99">
        <f t="shared" si="21"/>
        <v>75668.7</v>
      </c>
      <c r="J319" s="94">
        <f t="shared" si="21"/>
        <v>33865</v>
      </c>
      <c r="K319" s="94">
        <f t="shared" si="21"/>
        <v>15527.5</v>
      </c>
      <c r="L319" s="94">
        <f t="shared" si="21"/>
        <v>15527.5</v>
      </c>
      <c r="M319" s="94">
        <f t="shared" si="21"/>
        <v>15527.5</v>
      </c>
      <c r="N319" s="96"/>
    </row>
    <row r="320" spans="1:14" ht="15">
      <c r="A320" s="127"/>
      <c r="B320" s="125"/>
      <c r="C320" s="153"/>
      <c r="D320" s="129"/>
      <c r="E320" s="6" t="s">
        <v>1097</v>
      </c>
      <c r="F320" s="100"/>
      <c r="G320" s="100"/>
      <c r="H320" s="94"/>
      <c r="I320" s="99"/>
      <c r="J320" s="94"/>
      <c r="K320" s="94"/>
      <c r="L320" s="94"/>
      <c r="M320" s="94"/>
      <c r="N320" s="96"/>
    </row>
    <row r="321" spans="1:14" ht="70.5" customHeight="1">
      <c r="A321" s="127"/>
      <c r="B321" s="125"/>
      <c r="C321" s="152" t="s">
        <v>1099</v>
      </c>
      <c r="D321" s="128" t="s">
        <v>1053</v>
      </c>
      <c r="E321" s="6" t="s">
        <v>0</v>
      </c>
      <c r="F321" s="100" t="s">
        <v>1155</v>
      </c>
      <c r="G321" s="100" t="s">
        <v>847</v>
      </c>
      <c r="H321" s="139">
        <v>3252.1</v>
      </c>
      <c r="I321" s="124">
        <v>3252.1</v>
      </c>
      <c r="J321" s="139">
        <v>3152.5</v>
      </c>
      <c r="K321" s="139">
        <v>3152.5</v>
      </c>
      <c r="L321" s="139">
        <v>3152.5</v>
      </c>
      <c r="M321" s="139">
        <v>3152.5</v>
      </c>
      <c r="N321" s="137" t="s">
        <v>14</v>
      </c>
    </row>
    <row r="322" spans="1:14" ht="57" customHeight="1">
      <c r="A322" s="127"/>
      <c r="B322" s="125"/>
      <c r="C322" s="153"/>
      <c r="D322" s="129"/>
      <c r="E322" s="6" t="s">
        <v>241</v>
      </c>
      <c r="F322" s="100" t="s">
        <v>1155</v>
      </c>
      <c r="G322" s="100" t="s">
        <v>1</v>
      </c>
      <c r="H322" s="139"/>
      <c r="I322" s="124"/>
      <c r="J322" s="139"/>
      <c r="K322" s="139"/>
      <c r="L322" s="139"/>
      <c r="M322" s="139"/>
      <c r="N322" s="137"/>
    </row>
    <row r="323" spans="1:14" ht="75">
      <c r="A323" s="127"/>
      <c r="B323" s="125"/>
      <c r="C323" s="100" t="s">
        <v>1100</v>
      </c>
      <c r="D323" s="101" t="s">
        <v>1053</v>
      </c>
      <c r="E323" s="6" t="s">
        <v>1165</v>
      </c>
      <c r="F323" s="100" t="s">
        <v>1155</v>
      </c>
      <c r="G323" s="100" t="s">
        <v>847</v>
      </c>
      <c r="H323" s="94">
        <v>8932</v>
      </c>
      <c r="I323" s="99">
        <v>8045.3</v>
      </c>
      <c r="J323" s="94"/>
      <c r="K323" s="94"/>
      <c r="L323" s="94"/>
      <c r="M323" s="94"/>
      <c r="N323" s="96" t="s">
        <v>1166</v>
      </c>
    </row>
    <row r="324" spans="1:14" ht="75">
      <c r="A324" s="127"/>
      <c r="B324" s="125"/>
      <c r="C324" s="100" t="s">
        <v>1101</v>
      </c>
      <c r="D324" s="101" t="s">
        <v>1053</v>
      </c>
      <c r="E324" s="6" t="s">
        <v>239</v>
      </c>
      <c r="F324" s="100" t="s">
        <v>1155</v>
      </c>
      <c r="G324" s="100" t="s">
        <v>1114</v>
      </c>
      <c r="H324" s="94">
        <v>68900</v>
      </c>
      <c r="I324" s="99">
        <v>50562.5</v>
      </c>
      <c r="J324" s="94">
        <v>18337.5</v>
      </c>
      <c r="K324" s="94"/>
      <c r="L324" s="94"/>
      <c r="M324" s="94"/>
      <c r="N324" s="96" t="s">
        <v>240</v>
      </c>
    </row>
    <row r="325" spans="1:14" ht="51.75" customHeight="1">
      <c r="A325" s="127"/>
      <c r="B325" s="125"/>
      <c r="C325" s="126" t="s">
        <v>8</v>
      </c>
      <c r="D325" s="142" t="s">
        <v>1053</v>
      </c>
      <c r="E325" s="6" t="s">
        <v>15</v>
      </c>
      <c r="F325" s="100" t="s">
        <v>1155</v>
      </c>
      <c r="G325" s="100" t="s">
        <v>848</v>
      </c>
      <c r="H325" s="139">
        <v>13198.8</v>
      </c>
      <c r="I325" s="124">
        <v>13198.8</v>
      </c>
      <c r="J325" s="139">
        <v>12375</v>
      </c>
      <c r="K325" s="139">
        <v>12375</v>
      </c>
      <c r="L325" s="139">
        <v>12375</v>
      </c>
      <c r="M325" s="139">
        <v>12375</v>
      </c>
      <c r="N325" s="137" t="s">
        <v>1090</v>
      </c>
    </row>
    <row r="326" spans="1:14" ht="64.5" customHeight="1">
      <c r="A326" s="127"/>
      <c r="B326" s="125"/>
      <c r="C326" s="126"/>
      <c r="D326" s="142"/>
      <c r="E326" s="6" t="s">
        <v>1396</v>
      </c>
      <c r="F326" s="100" t="s">
        <v>1155</v>
      </c>
      <c r="G326" s="100" t="s">
        <v>1397</v>
      </c>
      <c r="H326" s="139"/>
      <c r="I326" s="124"/>
      <c r="J326" s="139"/>
      <c r="K326" s="139"/>
      <c r="L326" s="139"/>
      <c r="M326" s="139"/>
      <c r="N326" s="137"/>
    </row>
    <row r="327" spans="1:14" ht="33" customHeight="1">
      <c r="A327" s="127"/>
      <c r="B327" s="125"/>
      <c r="C327" s="126" t="s">
        <v>242</v>
      </c>
      <c r="D327" s="142" t="s">
        <v>926</v>
      </c>
      <c r="E327" s="6" t="s">
        <v>1517</v>
      </c>
      <c r="F327" s="100" t="s">
        <v>1155</v>
      </c>
      <c r="G327" s="100" t="s">
        <v>1518</v>
      </c>
      <c r="H327" s="139">
        <v>700</v>
      </c>
      <c r="I327" s="124">
        <v>610</v>
      </c>
      <c r="J327" s="139"/>
      <c r="K327" s="139"/>
      <c r="L327" s="139"/>
      <c r="M327" s="139"/>
      <c r="N327" s="137" t="s">
        <v>1098</v>
      </c>
    </row>
    <row r="328" spans="1:14" ht="45">
      <c r="A328" s="127"/>
      <c r="B328" s="125"/>
      <c r="C328" s="126"/>
      <c r="D328" s="142"/>
      <c r="E328" s="6" t="s">
        <v>1394</v>
      </c>
      <c r="F328" s="100" t="s">
        <v>1155</v>
      </c>
      <c r="G328" s="100" t="s">
        <v>1395</v>
      </c>
      <c r="H328" s="139"/>
      <c r="I328" s="124"/>
      <c r="J328" s="139"/>
      <c r="K328" s="139"/>
      <c r="L328" s="139"/>
      <c r="M328" s="139"/>
      <c r="N328" s="137"/>
    </row>
    <row r="329" spans="1:14" ht="45">
      <c r="A329" s="127" t="s">
        <v>794</v>
      </c>
      <c r="B329" s="125" t="s">
        <v>768</v>
      </c>
      <c r="C329" s="152" t="s">
        <v>1003</v>
      </c>
      <c r="D329" s="128" t="s">
        <v>48</v>
      </c>
      <c r="E329" s="6" t="s">
        <v>888</v>
      </c>
      <c r="F329" s="100" t="s">
        <v>887</v>
      </c>
      <c r="G329" s="100" t="s">
        <v>1403</v>
      </c>
      <c r="H329" s="95">
        <f aca="true" t="shared" si="22" ref="H329:M329">SUM(H331:H337)</f>
        <v>7770.599999999999</v>
      </c>
      <c r="I329" s="95">
        <f t="shared" si="22"/>
        <v>7677.3</v>
      </c>
      <c r="J329" s="95">
        <f t="shared" si="22"/>
        <v>7528.400000000001</v>
      </c>
      <c r="K329" s="95">
        <f t="shared" si="22"/>
        <v>7547</v>
      </c>
      <c r="L329" s="95">
        <f t="shared" si="22"/>
        <v>7390.999999999999</v>
      </c>
      <c r="M329" s="95">
        <f t="shared" si="22"/>
        <v>7501.7</v>
      </c>
      <c r="N329" s="96"/>
    </row>
    <row r="330" spans="1:14" ht="15">
      <c r="A330" s="127"/>
      <c r="B330" s="125"/>
      <c r="C330" s="153"/>
      <c r="D330" s="129"/>
      <c r="E330" s="6" t="s">
        <v>1097</v>
      </c>
      <c r="F330" s="100"/>
      <c r="G330" s="100"/>
      <c r="H330" s="95"/>
      <c r="I330" s="98"/>
      <c r="J330" s="95"/>
      <c r="K330" s="95"/>
      <c r="L330" s="95"/>
      <c r="M330" s="95"/>
      <c r="N330" s="96"/>
    </row>
    <row r="331" spans="1:14" ht="34.5" customHeight="1">
      <c r="A331" s="127"/>
      <c r="B331" s="125"/>
      <c r="C331" s="126" t="s">
        <v>1519</v>
      </c>
      <c r="D331" s="142" t="s">
        <v>1174</v>
      </c>
      <c r="E331" s="6" t="s">
        <v>1522</v>
      </c>
      <c r="F331" s="100" t="s">
        <v>1155</v>
      </c>
      <c r="G331" s="100" t="s">
        <v>1523</v>
      </c>
      <c r="H331" s="136">
        <v>5382.3</v>
      </c>
      <c r="I331" s="143">
        <v>5313.7</v>
      </c>
      <c r="J331" s="136">
        <f>6278.1-278</f>
        <v>6000.1</v>
      </c>
      <c r="K331" s="136">
        <f>5537-278.6</f>
        <v>5258.4</v>
      </c>
      <c r="L331" s="136">
        <f>5474.7-279.1</f>
        <v>5195.599999999999</v>
      </c>
      <c r="M331" s="136">
        <f>5511.4-279.9</f>
        <v>5231.5</v>
      </c>
      <c r="N331" s="137" t="s">
        <v>461</v>
      </c>
    </row>
    <row r="332" spans="1:14" ht="52.5" customHeight="1">
      <c r="A332" s="127"/>
      <c r="B332" s="125"/>
      <c r="C332" s="126"/>
      <c r="D332" s="142"/>
      <c r="E332" s="6" t="s">
        <v>587</v>
      </c>
      <c r="F332" s="100" t="s">
        <v>1158</v>
      </c>
      <c r="G332" s="100" t="s">
        <v>886</v>
      </c>
      <c r="H332" s="136"/>
      <c r="I332" s="143"/>
      <c r="J332" s="136"/>
      <c r="K332" s="136"/>
      <c r="L332" s="136"/>
      <c r="M332" s="136"/>
      <c r="N332" s="137"/>
    </row>
    <row r="333" spans="1:14" ht="48" customHeight="1">
      <c r="A333" s="127"/>
      <c r="B333" s="125"/>
      <c r="C333" s="126"/>
      <c r="D333" s="142"/>
      <c r="E333" s="6" t="s">
        <v>849</v>
      </c>
      <c r="F333" s="100" t="s">
        <v>1155</v>
      </c>
      <c r="G333" s="100" t="s">
        <v>850</v>
      </c>
      <c r="H333" s="136"/>
      <c r="I333" s="143"/>
      <c r="J333" s="136"/>
      <c r="K333" s="136"/>
      <c r="L333" s="136"/>
      <c r="M333" s="136"/>
      <c r="N333" s="137"/>
    </row>
    <row r="334" spans="1:14" ht="55.5" customHeight="1">
      <c r="A334" s="127"/>
      <c r="B334" s="125"/>
      <c r="C334" s="100" t="s">
        <v>1520</v>
      </c>
      <c r="D334" s="101" t="s">
        <v>1174</v>
      </c>
      <c r="E334" s="2" t="s">
        <v>551</v>
      </c>
      <c r="F334" s="106" t="s">
        <v>1155</v>
      </c>
      <c r="G334" s="106" t="s">
        <v>552</v>
      </c>
      <c r="H334" s="95">
        <v>1124.1</v>
      </c>
      <c r="I334" s="98">
        <v>1104</v>
      </c>
      <c r="J334" s="95">
        <v>844.8</v>
      </c>
      <c r="K334" s="95">
        <v>1466.1</v>
      </c>
      <c r="L334" s="95">
        <v>1468.1</v>
      </c>
      <c r="M334" s="95">
        <v>1471.8</v>
      </c>
      <c r="N334" s="96" t="s">
        <v>1089</v>
      </c>
    </row>
    <row r="335" spans="1:14" ht="75">
      <c r="A335" s="127"/>
      <c r="B335" s="125"/>
      <c r="C335" s="100" t="s">
        <v>1521</v>
      </c>
      <c r="D335" s="101" t="s">
        <v>1060</v>
      </c>
      <c r="E335" s="2" t="s">
        <v>1168</v>
      </c>
      <c r="F335" s="106" t="s">
        <v>1155</v>
      </c>
      <c r="G335" s="106" t="s">
        <v>1150</v>
      </c>
      <c r="H335" s="95">
        <v>184</v>
      </c>
      <c r="I335" s="98">
        <v>181.8</v>
      </c>
      <c r="J335" s="95">
        <v>192.5</v>
      </c>
      <c r="K335" s="95">
        <v>192.5</v>
      </c>
      <c r="L335" s="95"/>
      <c r="M335" s="95"/>
      <c r="N335" s="96" t="s">
        <v>1011</v>
      </c>
    </row>
    <row r="336" spans="1:14" ht="92.25" customHeight="1">
      <c r="A336" s="127"/>
      <c r="B336" s="125"/>
      <c r="C336" s="100" t="s">
        <v>1167</v>
      </c>
      <c r="D336" s="101" t="s">
        <v>1174</v>
      </c>
      <c r="E336" s="113" t="s">
        <v>1233</v>
      </c>
      <c r="F336" s="3" t="s">
        <v>1155</v>
      </c>
      <c r="G336" s="106" t="s">
        <v>1234</v>
      </c>
      <c r="H336" s="111"/>
      <c r="I336" s="111"/>
      <c r="J336" s="111"/>
      <c r="K336" s="111"/>
      <c r="L336" s="111">
        <v>12.3</v>
      </c>
      <c r="M336" s="111">
        <v>83.4</v>
      </c>
      <c r="N336" s="96" t="s">
        <v>1235</v>
      </c>
    </row>
    <row r="337" spans="1:256" s="28" customFormat="1" ht="36.75" customHeight="1">
      <c r="A337" s="127"/>
      <c r="B337" s="125"/>
      <c r="C337" s="100" t="s">
        <v>871</v>
      </c>
      <c r="D337" s="101" t="s">
        <v>1174</v>
      </c>
      <c r="E337" s="2" t="s">
        <v>745</v>
      </c>
      <c r="F337" s="106" t="s">
        <v>1155</v>
      </c>
      <c r="G337" s="106" t="s">
        <v>1525</v>
      </c>
      <c r="H337" s="95">
        <v>1080.2</v>
      </c>
      <c r="I337" s="98">
        <v>1077.8</v>
      </c>
      <c r="J337" s="95">
        <v>491</v>
      </c>
      <c r="K337" s="95">
        <v>630</v>
      </c>
      <c r="L337" s="95">
        <v>715</v>
      </c>
      <c r="M337" s="95">
        <v>715</v>
      </c>
      <c r="N337" s="96" t="s">
        <v>1088</v>
      </c>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c r="FP337" s="21"/>
      <c r="FQ337" s="21"/>
      <c r="FR337" s="21"/>
      <c r="FS337" s="21"/>
      <c r="FT337" s="21"/>
      <c r="FU337" s="21"/>
      <c r="FV337" s="21"/>
      <c r="FW337" s="21"/>
      <c r="FX337" s="21"/>
      <c r="FY337" s="21"/>
      <c r="FZ337" s="21"/>
      <c r="GA337" s="21"/>
      <c r="GB337" s="21"/>
      <c r="GC337" s="21"/>
      <c r="GD337" s="21"/>
      <c r="GE337" s="21"/>
      <c r="GF337" s="21"/>
      <c r="GG337" s="21"/>
      <c r="GH337" s="21"/>
      <c r="GI337" s="21"/>
      <c r="GJ337" s="21"/>
      <c r="GK337" s="21"/>
      <c r="GL337" s="21"/>
      <c r="GM337" s="21"/>
      <c r="GN337" s="21"/>
      <c r="GO337" s="21"/>
      <c r="GP337" s="21"/>
      <c r="GQ337" s="21"/>
      <c r="GR337" s="21"/>
      <c r="GS337" s="21"/>
      <c r="GT337" s="21"/>
      <c r="GU337" s="21"/>
      <c r="GV337" s="21"/>
      <c r="GW337" s="21"/>
      <c r="GX337" s="21"/>
      <c r="GY337" s="21"/>
      <c r="GZ337" s="21"/>
      <c r="HA337" s="21"/>
      <c r="HB337" s="21"/>
      <c r="HC337" s="21"/>
      <c r="HD337" s="21"/>
      <c r="HE337" s="21"/>
      <c r="HF337" s="21"/>
      <c r="HG337" s="21"/>
      <c r="HH337" s="21"/>
      <c r="HI337" s="21"/>
      <c r="HJ337" s="21"/>
      <c r="HK337" s="21"/>
      <c r="HL337" s="21"/>
      <c r="HM337" s="21"/>
      <c r="HN337" s="21"/>
      <c r="HO337" s="21"/>
      <c r="HP337" s="21"/>
      <c r="HQ337" s="21"/>
      <c r="HR337" s="21"/>
      <c r="HS337" s="21"/>
      <c r="HT337" s="21"/>
      <c r="HU337" s="21"/>
      <c r="HV337" s="21"/>
      <c r="HW337" s="21"/>
      <c r="HX337" s="21"/>
      <c r="HY337" s="21"/>
      <c r="HZ337" s="21"/>
      <c r="IA337" s="21"/>
      <c r="IB337" s="21"/>
      <c r="IC337" s="21"/>
      <c r="ID337" s="21"/>
      <c r="IE337" s="21"/>
      <c r="IF337" s="21"/>
      <c r="IG337" s="21"/>
      <c r="IH337" s="21"/>
      <c r="II337" s="21"/>
      <c r="IJ337" s="21"/>
      <c r="IK337" s="21"/>
      <c r="IL337" s="21"/>
      <c r="IM337" s="21"/>
      <c r="IN337" s="21"/>
      <c r="IO337" s="21"/>
      <c r="IP337" s="21"/>
      <c r="IQ337" s="21"/>
      <c r="IR337" s="21"/>
      <c r="IS337" s="21"/>
      <c r="IT337" s="21"/>
      <c r="IU337" s="21"/>
      <c r="IV337" s="21"/>
    </row>
    <row r="338" spans="1:14" ht="158.25" customHeight="1">
      <c r="A338" s="103" t="s">
        <v>795</v>
      </c>
      <c r="B338" s="8" t="s">
        <v>1327</v>
      </c>
      <c r="C338" s="100" t="s">
        <v>1004</v>
      </c>
      <c r="D338" s="100"/>
      <c r="E338" s="6" t="s">
        <v>1402</v>
      </c>
      <c r="F338" s="100" t="s">
        <v>923</v>
      </c>
      <c r="G338" s="100" t="s">
        <v>1403</v>
      </c>
      <c r="H338" s="94"/>
      <c r="I338" s="99"/>
      <c r="J338" s="94"/>
      <c r="K338" s="94"/>
      <c r="L338" s="94"/>
      <c r="M338" s="94"/>
      <c r="N338" s="96"/>
    </row>
    <row r="339" spans="1:256" s="28" customFormat="1" ht="45">
      <c r="A339" s="127" t="s">
        <v>796</v>
      </c>
      <c r="B339" s="125" t="s">
        <v>1006</v>
      </c>
      <c r="C339" s="152" t="s">
        <v>1005</v>
      </c>
      <c r="D339" s="128" t="s">
        <v>926</v>
      </c>
      <c r="E339" s="6" t="s">
        <v>1402</v>
      </c>
      <c r="F339" s="100" t="s">
        <v>924</v>
      </c>
      <c r="G339" s="100" t="s">
        <v>1403</v>
      </c>
      <c r="H339" s="147"/>
      <c r="I339" s="145"/>
      <c r="J339" s="147">
        <v>105</v>
      </c>
      <c r="K339" s="147">
        <v>20</v>
      </c>
      <c r="L339" s="147"/>
      <c r="M339" s="147"/>
      <c r="N339" s="215" t="s">
        <v>399</v>
      </c>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c r="FP339" s="21"/>
      <c r="FQ339" s="21"/>
      <c r="FR339" s="21"/>
      <c r="FS339" s="21"/>
      <c r="FT339" s="21"/>
      <c r="FU339" s="21"/>
      <c r="FV339" s="21"/>
      <c r="FW339" s="21"/>
      <c r="FX339" s="21"/>
      <c r="FY339" s="21"/>
      <c r="FZ339" s="21"/>
      <c r="GA339" s="21"/>
      <c r="GB339" s="21"/>
      <c r="GC339" s="21"/>
      <c r="GD339" s="21"/>
      <c r="GE339" s="21"/>
      <c r="GF339" s="21"/>
      <c r="GG339" s="21"/>
      <c r="GH339" s="21"/>
      <c r="GI339" s="21"/>
      <c r="GJ339" s="21"/>
      <c r="GK339" s="21"/>
      <c r="GL339" s="21"/>
      <c r="GM339" s="21"/>
      <c r="GN339" s="21"/>
      <c r="GO339" s="21"/>
      <c r="GP339" s="21"/>
      <c r="GQ339" s="21"/>
      <c r="GR339" s="21"/>
      <c r="GS339" s="21"/>
      <c r="GT339" s="21"/>
      <c r="GU339" s="21"/>
      <c r="GV339" s="21"/>
      <c r="GW339" s="21"/>
      <c r="GX339" s="21"/>
      <c r="GY339" s="21"/>
      <c r="GZ339" s="21"/>
      <c r="HA339" s="21"/>
      <c r="HB339" s="21"/>
      <c r="HC339" s="21"/>
      <c r="HD339" s="21"/>
      <c r="HE339" s="21"/>
      <c r="HF339" s="21"/>
      <c r="HG339" s="21"/>
      <c r="HH339" s="21"/>
      <c r="HI339" s="21"/>
      <c r="HJ339" s="21"/>
      <c r="HK339" s="21"/>
      <c r="HL339" s="21"/>
      <c r="HM339" s="21"/>
      <c r="HN339" s="21"/>
      <c r="HO339" s="21"/>
      <c r="HP339" s="21"/>
      <c r="HQ339" s="21"/>
      <c r="HR339" s="21"/>
      <c r="HS339" s="21"/>
      <c r="HT339" s="21"/>
      <c r="HU339" s="21"/>
      <c r="HV339" s="21"/>
      <c r="HW339" s="21"/>
      <c r="HX339" s="21"/>
      <c r="HY339" s="21"/>
      <c r="HZ339" s="21"/>
      <c r="IA339" s="21"/>
      <c r="IB339" s="21"/>
      <c r="IC339" s="21"/>
      <c r="ID339" s="21"/>
      <c r="IE339" s="21"/>
      <c r="IF339" s="21"/>
      <c r="IG339" s="21"/>
      <c r="IH339" s="21"/>
      <c r="II339" s="21"/>
      <c r="IJ339" s="21"/>
      <c r="IK339" s="21"/>
      <c r="IL339" s="21"/>
      <c r="IM339" s="21"/>
      <c r="IN339" s="21"/>
      <c r="IO339" s="21"/>
      <c r="IP339" s="21"/>
      <c r="IQ339" s="21"/>
      <c r="IR339" s="21"/>
      <c r="IS339" s="21"/>
      <c r="IT339" s="21"/>
      <c r="IU339" s="21"/>
      <c r="IV339" s="21"/>
    </row>
    <row r="340" spans="1:256" s="28" customFormat="1" ht="30">
      <c r="A340" s="127"/>
      <c r="B340" s="125"/>
      <c r="C340" s="153"/>
      <c r="D340" s="129"/>
      <c r="E340" s="6" t="s">
        <v>243</v>
      </c>
      <c r="F340" s="100" t="s">
        <v>1449</v>
      </c>
      <c r="G340" s="100" t="s">
        <v>547</v>
      </c>
      <c r="H340" s="148"/>
      <c r="I340" s="146"/>
      <c r="J340" s="148"/>
      <c r="K340" s="148"/>
      <c r="L340" s="148"/>
      <c r="M340" s="148"/>
      <c r="N340" s="216"/>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c r="FP340" s="21"/>
      <c r="FQ340" s="21"/>
      <c r="FR340" s="21"/>
      <c r="FS340" s="21"/>
      <c r="FT340" s="21"/>
      <c r="FU340" s="21"/>
      <c r="FV340" s="21"/>
      <c r="FW340" s="21"/>
      <c r="FX340" s="21"/>
      <c r="FY340" s="21"/>
      <c r="FZ340" s="21"/>
      <c r="GA340" s="21"/>
      <c r="GB340" s="21"/>
      <c r="GC340" s="21"/>
      <c r="GD340" s="21"/>
      <c r="GE340" s="21"/>
      <c r="GF340" s="21"/>
      <c r="GG340" s="21"/>
      <c r="GH340" s="21"/>
      <c r="GI340" s="21"/>
      <c r="GJ340" s="21"/>
      <c r="GK340" s="21"/>
      <c r="GL340" s="21"/>
      <c r="GM340" s="21"/>
      <c r="GN340" s="21"/>
      <c r="GO340" s="21"/>
      <c r="GP340" s="21"/>
      <c r="GQ340" s="21"/>
      <c r="GR340" s="21"/>
      <c r="GS340" s="21"/>
      <c r="GT340" s="21"/>
      <c r="GU340" s="21"/>
      <c r="GV340" s="21"/>
      <c r="GW340" s="21"/>
      <c r="GX340" s="21"/>
      <c r="GY340" s="21"/>
      <c r="GZ340" s="21"/>
      <c r="HA340" s="21"/>
      <c r="HB340" s="21"/>
      <c r="HC340" s="21"/>
      <c r="HD340" s="21"/>
      <c r="HE340" s="21"/>
      <c r="HF340" s="21"/>
      <c r="HG340" s="21"/>
      <c r="HH340" s="21"/>
      <c r="HI340" s="21"/>
      <c r="HJ340" s="21"/>
      <c r="HK340" s="21"/>
      <c r="HL340" s="21"/>
      <c r="HM340" s="21"/>
      <c r="HN340" s="21"/>
      <c r="HO340" s="21"/>
      <c r="HP340" s="21"/>
      <c r="HQ340" s="21"/>
      <c r="HR340" s="21"/>
      <c r="HS340" s="21"/>
      <c r="HT340" s="21"/>
      <c r="HU340" s="21"/>
      <c r="HV340" s="21"/>
      <c r="HW340" s="21"/>
      <c r="HX340" s="21"/>
      <c r="HY340" s="21"/>
      <c r="HZ340" s="21"/>
      <c r="IA340" s="21"/>
      <c r="IB340" s="21"/>
      <c r="IC340" s="21"/>
      <c r="ID340" s="21"/>
      <c r="IE340" s="21"/>
      <c r="IF340" s="21"/>
      <c r="IG340" s="21"/>
      <c r="IH340" s="21"/>
      <c r="II340" s="21"/>
      <c r="IJ340" s="21"/>
      <c r="IK340" s="21"/>
      <c r="IL340" s="21"/>
      <c r="IM340" s="21"/>
      <c r="IN340" s="21"/>
      <c r="IO340" s="21"/>
      <c r="IP340" s="21"/>
      <c r="IQ340" s="21"/>
      <c r="IR340" s="21"/>
      <c r="IS340" s="21"/>
      <c r="IT340" s="21"/>
      <c r="IU340" s="21"/>
      <c r="IV340" s="21"/>
    </row>
    <row r="341" spans="1:256" s="28" customFormat="1" ht="45">
      <c r="A341" s="103" t="s">
        <v>797</v>
      </c>
      <c r="B341" s="8" t="s">
        <v>1336</v>
      </c>
      <c r="C341" s="100" t="s">
        <v>1332</v>
      </c>
      <c r="D341" s="100"/>
      <c r="E341" s="6" t="s">
        <v>1402</v>
      </c>
      <c r="F341" s="100" t="s">
        <v>1337</v>
      </c>
      <c r="G341" s="100" t="s">
        <v>1403</v>
      </c>
      <c r="H341" s="94"/>
      <c r="I341" s="99"/>
      <c r="J341" s="94"/>
      <c r="K341" s="94"/>
      <c r="L341" s="94"/>
      <c r="M341" s="94"/>
      <c r="N341" s="96"/>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c r="FP341" s="21"/>
      <c r="FQ341" s="21"/>
      <c r="FR341" s="21"/>
      <c r="FS341" s="21"/>
      <c r="FT341" s="21"/>
      <c r="FU341" s="21"/>
      <c r="FV341" s="21"/>
      <c r="FW341" s="21"/>
      <c r="FX341" s="21"/>
      <c r="FY341" s="21"/>
      <c r="FZ341" s="21"/>
      <c r="GA341" s="21"/>
      <c r="GB341" s="21"/>
      <c r="GC341" s="21"/>
      <c r="GD341" s="21"/>
      <c r="GE341" s="21"/>
      <c r="GF341" s="21"/>
      <c r="GG341" s="21"/>
      <c r="GH341" s="21"/>
      <c r="GI341" s="21"/>
      <c r="GJ341" s="21"/>
      <c r="GK341" s="21"/>
      <c r="GL341" s="21"/>
      <c r="GM341" s="21"/>
      <c r="GN341" s="21"/>
      <c r="GO341" s="21"/>
      <c r="GP341" s="21"/>
      <c r="GQ341" s="21"/>
      <c r="GR341" s="21"/>
      <c r="GS341" s="21"/>
      <c r="GT341" s="21"/>
      <c r="GU341" s="21"/>
      <c r="GV341" s="21"/>
      <c r="GW341" s="21"/>
      <c r="GX341" s="21"/>
      <c r="GY341" s="21"/>
      <c r="GZ341" s="21"/>
      <c r="HA341" s="21"/>
      <c r="HB341" s="21"/>
      <c r="HC341" s="21"/>
      <c r="HD341" s="21"/>
      <c r="HE341" s="21"/>
      <c r="HF341" s="21"/>
      <c r="HG341" s="21"/>
      <c r="HH341" s="21"/>
      <c r="HI341" s="21"/>
      <c r="HJ341" s="21"/>
      <c r="HK341" s="21"/>
      <c r="HL341" s="21"/>
      <c r="HM341" s="21"/>
      <c r="HN341" s="21"/>
      <c r="HO341" s="21"/>
      <c r="HP341" s="21"/>
      <c r="HQ341" s="21"/>
      <c r="HR341" s="21"/>
      <c r="HS341" s="21"/>
      <c r="HT341" s="21"/>
      <c r="HU341" s="21"/>
      <c r="HV341" s="21"/>
      <c r="HW341" s="21"/>
      <c r="HX341" s="21"/>
      <c r="HY341" s="21"/>
      <c r="HZ341" s="21"/>
      <c r="IA341" s="21"/>
      <c r="IB341" s="21"/>
      <c r="IC341" s="21"/>
      <c r="ID341" s="21"/>
      <c r="IE341" s="21"/>
      <c r="IF341" s="21"/>
      <c r="IG341" s="21"/>
      <c r="IH341" s="21"/>
      <c r="II341" s="21"/>
      <c r="IJ341" s="21"/>
      <c r="IK341" s="21"/>
      <c r="IL341" s="21"/>
      <c r="IM341" s="21"/>
      <c r="IN341" s="21"/>
      <c r="IO341" s="21"/>
      <c r="IP341" s="21"/>
      <c r="IQ341" s="21"/>
      <c r="IR341" s="21"/>
      <c r="IS341" s="21"/>
      <c r="IT341" s="21"/>
      <c r="IU341" s="21"/>
      <c r="IV341" s="21"/>
    </row>
    <row r="342" spans="1:256" s="28" customFormat="1" ht="45">
      <c r="A342" s="103" t="s">
        <v>798</v>
      </c>
      <c r="B342" s="8" t="s">
        <v>400</v>
      </c>
      <c r="C342" s="100" t="s">
        <v>1333</v>
      </c>
      <c r="D342" s="100"/>
      <c r="E342" s="6" t="s">
        <v>1402</v>
      </c>
      <c r="F342" s="100" t="s">
        <v>1338</v>
      </c>
      <c r="G342" s="100" t="s">
        <v>1403</v>
      </c>
      <c r="H342" s="94"/>
      <c r="I342" s="99"/>
      <c r="J342" s="94"/>
      <c r="K342" s="94"/>
      <c r="L342" s="94"/>
      <c r="M342" s="94"/>
      <c r="N342" s="96"/>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c r="FP342" s="21"/>
      <c r="FQ342" s="21"/>
      <c r="FR342" s="21"/>
      <c r="FS342" s="21"/>
      <c r="FT342" s="21"/>
      <c r="FU342" s="21"/>
      <c r="FV342" s="21"/>
      <c r="FW342" s="21"/>
      <c r="FX342" s="21"/>
      <c r="FY342" s="21"/>
      <c r="FZ342" s="21"/>
      <c r="GA342" s="21"/>
      <c r="GB342" s="21"/>
      <c r="GC342" s="21"/>
      <c r="GD342" s="21"/>
      <c r="GE342" s="21"/>
      <c r="GF342" s="21"/>
      <c r="GG342" s="21"/>
      <c r="GH342" s="21"/>
      <c r="GI342" s="21"/>
      <c r="GJ342" s="21"/>
      <c r="GK342" s="21"/>
      <c r="GL342" s="21"/>
      <c r="GM342" s="21"/>
      <c r="GN342" s="21"/>
      <c r="GO342" s="21"/>
      <c r="GP342" s="21"/>
      <c r="GQ342" s="21"/>
      <c r="GR342" s="21"/>
      <c r="GS342" s="21"/>
      <c r="GT342" s="21"/>
      <c r="GU342" s="21"/>
      <c r="GV342" s="21"/>
      <c r="GW342" s="21"/>
      <c r="GX342" s="21"/>
      <c r="GY342" s="21"/>
      <c r="GZ342" s="21"/>
      <c r="HA342" s="21"/>
      <c r="HB342" s="21"/>
      <c r="HC342" s="21"/>
      <c r="HD342" s="21"/>
      <c r="HE342" s="21"/>
      <c r="HF342" s="21"/>
      <c r="HG342" s="21"/>
      <c r="HH342" s="21"/>
      <c r="HI342" s="21"/>
      <c r="HJ342" s="21"/>
      <c r="HK342" s="21"/>
      <c r="HL342" s="21"/>
      <c r="HM342" s="21"/>
      <c r="HN342" s="21"/>
      <c r="HO342" s="21"/>
      <c r="HP342" s="21"/>
      <c r="HQ342" s="21"/>
      <c r="HR342" s="21"/>
      <c r="HS342" s="21"/>
      <c r="HT342" s="21"/>
      <c r="HU342" s="21"/>
      <c r="HV342" s="21"/>
      <c r="HW342" s="21"/>
      <c r="HX342" s="21"/>
      <c r="HY342" s="21"/>
      <c r="HZ342" s="21"/>
      <c r="IA342" s="21"/>
      <c r="IB342" s="21"/>
      <c r="IC342" s="21"/>
      <c r="ID342" s="21"/>
      <c r="IE342" s="21"/>
      <c r="IF342" s="21"/>
      <c r="IG342" s="21"/>
      <c r="IH342" s="21"/>
      <c r="II342" s="21"/>
      <c r="IJ342" s="21"/>
      <c r="IK342" s="21"/>
      <c r="IL342" s="21"/>
      <c r="IM342" s="21"/>
      <c r="IN342" s="21"/>
      <c r="IO342" s="21"/>
      <c r="IP342" s="21"/>
      <c r="IQ342" s="21"/>
      <c r="IR342" s="21"/>
      <c r="IS342" s="21"/>
      <c r="IT342" s="21"/>
      <c r="IU342" s="21"/>
      <c r="IV342" s="21"/>
    </row>
    <row r="343" spans="1:256" s="28" customFormat="1" ht="36.75" customHeight="1">
      <c r="A343" s="103" t="s">
        <v>799</v>
      </c>
      <c r="B343" s="8" t="s">
        <v>1339</v>
      </c>
      <c r="C343" s="100" t="s">
        <v>1334</v>
      </c>
      <c r="D343" s="100"/>
      <c r="E343" s="6" t="s">
        <v>1402</v>
      </c>
      <c r="F343" s="100" t="s">
        <v>1340</v>
      </c>
      <c r="G343" s="100" t="s">
        <v>1403</v>
      </c>
      <c r="H343" s="94"/>
      <c r="I343" s="99"/>
      <c r="J343" s="94"/>
      <c r="K343" s="94"/>
      <c r="L343" s="94"/>
      <c r="M343" s="94"/>
      <c r="N343" s="96"/>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c r="FP343" s="21"/>
      <c r="FQ343" s="21"/>
      <c r="FR343" s="21"/>
      <c r="FS343" s="21"/>
      <c r="FT343" s="21"/>
      <c r="FU343" s="21"/>
      <c r="FV343" s="21"/>
      <c r="FW343" s="21"/>
      <c r="FX343" s="21"/>
      <c r="FY343" s="21"/>
      <c r="FZ343" s="21"/>
      <c r="GA343" s="21"/>
      <c r="GB343" s="21"/>
      <c r="GC343" s="21"/>
      <c r="GD343" s="21"/>
      <c r="GE343" s="21"/>
      <c r="GF343" s="21"/>
      <c r="GG343" s="21"/>
      <c r="GH343" s="21"/>
      <c r="GI343" s="21"/>
      <c r="GJ343" s="21"/>
      <c r="GK343" s="21"/>
      <c r="GL343" s="21"/>
      <c r="GM343" s="21"/>
      <c r="GN343" s="21"/>
      <c r="GO343" s="21"/>
      <c r="GP343" s="21"/>
      <c r="GQ343" s="21"/>
      <c r="GR343" s="21"/>
      <c r="GS343" s="21"/>
      <c r="GT343" s="21"/>
      <c r="GU343" s="21"/>
      <c r="GV343" s="21"/>
      <c r="GW343" s="21"/>
      <c r="GX343" s="21"/>
      <c r="GY343" s="21"/>
      <c r="GZ343" s="21"/>
      <c r="HA343" s="21"/>
      <c r="HB343" s="21"/>
      <c r="HC343" s="21"/>
      <c r="HD343" s="21"/>
      <c r="HE343" s="21"/>
      <c r="HF343" s="21"/>
      <c r="HG343" s="21"/>
      <c r="HH343" s="21"/>
      <c r="HI343" s="21"/>
      <c r="HJ343" s="21"/>
      <c r="HK343" s="21"/>
      <c r="HL343" s="21"/>
      <c r="HM343" s="21"/>
      <c r="HN343" s="21"/>
      <c r="HO343" s="21"/>
      <c r="HP343" s="21"/>
      <c r="HQ343" s="21"/>
      <c r="HR343" s="21"/>
      <c r="HS343" s="21"/>
      <c r="HT343" s="21"/>
      <c r="HU343" s="21"/>
      <c r="HV343" s="21"/>
      <c r="HW343" s="21"/>
      <c r="HX343" s="21"/>
      <c r="HY343" s="21"/>
      <c r="HZ343" s="21"/>
      <c r="IA343" s="21"/>
      <c r="IB343" s="21"/>
      <c r="IC343" s="21"/>
      <c r="ID343" s="21"/>
      <c r="IE343" s="21"/>
      <c r="IF343" s="21"/>
      <c r="IG343" s="21"/>
      <c r="IH343" s="21"/>
      <c r="II343" s="21"/>
      <c r="IJ343" s="21"/>
      <c r="IK343" s="21"/>
      <c r="IL343" s="21"/>
      <c r="IM343" s="21"/>
      <c r="IN343" s="21"/>
      <c r="IO343" s="21"/>
      <c r="IP343" s="21"/>
      <c r="IQ343" s="21"/>
      <c r="IR343" s="21"/>
      <c r="IS343" s="21"/>
      <c r="IT343" s="21"/>
      <c r="IU343" s="21"/>
      <c r="IV343" s="21"/>
    </row>
    <row r="344" spans="1:256" s="28" customFormat="1" ht="110.25" customHeight="1">
      <c r="A344" s="103" t="s">
        <v>1328</v>
      </c>
      <c r="B344" s="8" t="s">
        <v>1342</v>
      </c>
      <c r="C344" s="100" t="s">
        <v>1335</v>
      </c>
      <c r="D344" s="100"/>
      <c r="E344" s="6" t="s">
        <v>1402</v>
      </c>
      <c r="F344" s="100" t="s">
        <v>1341</v>
      </c>
      <c r="G344" s="100" t="s">
        <v>1403</v>
      </c>
      <c r="H344" s="94"/>
      <c r="I344" s="99"/>
      <c r="J344" s="94"/>
      <c r="K344" s="94"/>
      <c r="L344" s="94"/>
      <c r="M344" s="94"/>
      <c r="N344" s="96"/>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c r="BO344" s="21"/>
      <c r="BP344" s="21"/>
      <c r="BQ344" s="21"/>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c r="FP344" s="21"/>
      <c r="FQ344" s="21"/>
      <c r="FR344" s="21"/>
      <c r="FS344" s="21"/>
      <c r="FT344" s="21"/>
      <c r="FU344" s="21"/>
      <c r="FV344" s="21"/>
      <c r="FW344" s="21"/>
      <c r="FX344" s="21"/>
      <c r="FY344" s="21"/>
      <c r="FZ344" s="21"/>
      <c r="GA344" s="21"/>
      <c r="GB344" s="21"/>
      <c r="GC344" s="21"/>
      <c r="GD344" s="21"/>
      <c r="GE344" s="21"/>
      <c r="GF344" s="21"/>
      <c r="GG344" s="21"/>
      <c r="GH344" s="21"/>
      <c r="GI344" s="21"/>
      <c r="GJ344" s="21"/>
      <c r="GK344" s="21"/>
      <c r="GL344" s="21"/>
      <c r="GM344" s="21"/>
      <c r="GN344" s="21"/>
      <c r="GO344" s="21"/>
      <c r="GP344" s="21"/>
      <c r="GQ344" s="21"/>
      <c r="GR344" s="21"/>
      <c r="GS344" s="21"/>
      <c r="GT344" s="21"/>
      <c r="GU344" s="21"/>
      <c r="GV344" s="21"/>
      <c r="GW344" s="21"/>
      <c r="GX344" s="21"/>
      <c r="GY344" s="21"/>
      <c r="GZ344" s="21"/>
      <c r="HA344" s="21"/>
      <c r="HB344" s="21"/>
      <c r="HC344" s="21"/>
      <c r="HD344" s="21"/>
      <c r="HE344" s="21"/>
      <c r="HF344" s="21"/>
      <c r="HG344" s="21"/>
      <c r="HH344" s="21"/>
      <c r="HI344" s="21"/>
      <c r="HJ344" s="21"/>
      <c r="HK344" s="21"/>
      <c r="HL344" s="21"/>
      <c r="HM344" s="21"/>
      <c r="HN344" s="21"/>
      <c r="HO344" s="21"/>
      <c r="HP344" s="21"/>
      <c r="HQ344" s="21"/>
      <c r="HR344" s="21"/>
      <c r="HS344" s="21"/>
      <c r="HT344" s="21"/>
      <c r="HU344" s="21"/>
      <c r="HV344" s="21"/>
      <c r="HW344" s="21"/>
      <c r="HX344" s="21"/>
      <c r="HY344" s="21"/>
      <c r="HZ344" s="21"/>
      <c r="IA344" s="21"/>
      <c r="IB344" s="21"/>
      <c r="IC344" s="21"/>
      <c r="ID344" s="21"/>
      <c r="IE344" s="21"/>
      <c r="IF344" s="21"/>
      <c r="IG344" s="21"/>
      <c r="IH344" s="21"/>
      <c r="II344" s="21"/>
      <c r="IJ344" s="21"/>
      <c r="IK344" s="21"/>
      <c r="IL344" s="21"/>
      <c r="IM344" s="21"/>
      <c r="IN344" s="21"/>
      <c r="IO344" s="21"/>
      <c r="IP344" s="21"/>
      <c r="IQ344" s="21"/>
      <c r="IR344" s="21"/>
      <c r="IS344" s="21"/>
      <c r="IT344" s="21"/>
      <c r="IU344" s="21"/>
      <c r="IV344" s="21"/>
    </row>
    <row r="345" spans="1:256" s="28" customFormat="1" ht="45">
      <c r="A345" s="127" t="s">
        <v>1329</v>
      </c>
      <c r="B345" s="125" t="s">
        <v>620</v>
      </c>
      <c r="C345" s="126" t="s">
        <v>475</v>
      </c>
      <c r="D345" s="126" t="s">
        <v>863</v>
      </c>
      <c r="E345" s="6" t="s">
        <v>1402</v>
      </c>
      <c r="F345" s="100" t="s">
        <v>476</v>
      </c>
      <c r="G345" s="100" t="s">
        <v>1403</v>
      </c>
      <c r="H345" s="139">
        <v>243</v>
      </c>
      <c r="I345" s="124">
        <v>225.5</v>
      </c>
      <c r="J345" s="139">
        <v>182.6</v>
      </c>
      <c r="K345" s="139">
        <v>182.6</v>
      </c>
      <c r="L345" s="139"/>
      <c r="M345" s="139"/>
      <c r="N345" s="137" t="s">
        <v>2</v>
      </c>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c r="FP345" s="21"/>
      <c r="FQ345" s="21"/>
      <c r="FR345" s="21"/>
      <c r="FS345" s="21"/>
      <c r="FT345" s="21"/>
      <c r="FU345" s="21"/>
      <c r="FV345" s="21"/>
      <c r="FW345" s="21"/>
      <c r="FX345" s="21"/>
      <c r="FY345" s="21"/>
      <c r="FZ345" s="21"/>
      <c r="GA345" s="21"/>
      <c r="GB345" s="21"/>
      <c r="GC345" s="21"/>
      <c r="GD345" s="21"/>
      <c r="GE345" s="21"/>
      <c r="GF345" s="21"/>
      <c r="GG345" s="21"/>
      <c r="GH345" s="21"/>
      <c r="GI345" s="21"/>
      <c r="GJ345" s="21"/>
      <c r="GK345" s="21"/>
      <c r="GL345" s="21"/>
      <c r="GM345" s="21"/>
      <c r="GN345" s="21"/>
      <c r="GO345" s="21"/>
      <c r="GP345" s="21"/>
      <c r="GQ345" s="21"/>
      <c r="GR345" s="21"/>
      <c r="GS345" s="21"/>
      <c r="GT345" s="21"/>
      <c r="GU345" s="21"/>
      <c r="GV345" s="21"/>
      <c r="GW345" s="21"/>
      <c r="GX345" s="21"/>
      <c r="GY345" s="21"/>
      <c r="GZ345" s="21"/>
      <c r="HA345" s="21"/>
      <c r="HB345" s="21"/>
      <c r="HC345" s="21"/>
      <c r="HD345" s="21"/>
      <c r="HE345" s="21"/>
      <c r="HF345" s="21"/>
      <c r="HG345" s="21"/>
      <c r="HH345" s="21"/>
      <c r="HI345" s="21"/>
      <c r="HJ345" s="21"/>
      <c r="HK345" s="21"/>
      <c r="HL345" s="21"/>
      <c r="HM345" s="21"/>
      <c r="HN345" s="21"/>
      <c r="HO345" s="21"/>
      <c r="HP345" s="21"/>
      <c r="HQ345" s="21"/>
      <c r="HR345" s="21"/>
      <c r="HS345" s="21"/>
      <c r="HT345" s="21"/>
      <c r="HU345" s="21"/>
      <c r="HV345" s="21"/>
      <c r="HW345" s="21"/>
      <c r="HX345" s="21"/>
      <c r="HY345" s="21"/>
      <c r="HZ345" s="21"/>
      <c r="IA345" s="21"/>
      <c r="IB345" s="21"/>
      <c r="IC345" s="21"/>
      <c r="ID345" s="21"/>
      <c r="IE345" s="21"/>
      <c r="IF345" s="21"/>
      <c r="IG345" s="21"/>
      <c r="IH345" s="21"/>
      <c r="II345" s="21"/>
      <c r="IJ345" s="21"/>
      <c r="IK345" s="21"/>
      <c r="IL345" s="21"/>
      <c r="IM345" s="21"/>
      <c r="IN345" s="21"/>
      <c r="IO345" s="21"/>
      <c r="IP345" s="21"/>
      <c r="IQ345" s="21"/>
      <c r="IR345" s="21"/>
      <c r="IS345" s="21"/>
      <c r="IT345" s="21"/>
      <c r="IU345" s="21"/>
      <c r="IV345" s="21"/>
    </row>
    <row r="346" spans="1:14" ht="30">
      <c r="A346" s="127"/>
      <c r="B346" s="125"/>
      <c r="C346" s="126"/>
      <c r="D346" s="126"/>
      <c r="E346" s="6" t="s">
        <v>477</v>
      </c>
      <c r="F346" s="100" t="s">
        <v>1155</v>
      </c>
      <c r="G346" s="100" t="s">
        <v>478</v>
      </c>
      <c r="H346" s="139"/>
      <c r="I346" s="124"/>
      <c r="J346" s="139"/>
      <c r="K346" s="139"/>
      <c r="L346" s="139"/>
      <c r="M346" s="139"/>
      <c r="N346" s="137"/>
    </row>
    <row r="347" spans="1:14" ht="51" customHeight="1">
      <c r="A347" s="127"/>
      <c r="B347" s="125"/>
      <c r="C347" s="126"/>
      <c r="D347" s="126"/>
      <c r="E347" s="113" t="s">
        <v>214</v>
      </c>
      <c r="F347" s="106" t="s">
        <v>1155</v>
      </c>
      <c r="G347" s="106" t="s">
        <v>1162</v>
      </c>
      <c r="H347" s="139"/>
      <c r="I347" s="124"/>
      <c r="J347" s="139"/>
      <c r="K347" s="139"/>
      <c r="L347" s="139"/>
      <c r="M347" s="139"/>
      <c r="N347" s="137"/>
    </row>
    <row r="348" spans="1:256" s="28" customFormat="1" ht="75" customHeight="1">
      <c r="A348" s="103" t="s">
        <v>1330</v>
      </c>
      <c r="B348" s="11" t="s">
        <v>66</v>
      </c>
      <c r="C348" s="116" t="s">
        <v>69</v>
      </c>
      <c r="D348" s="100"/>
      <c r="E348" s="117" t="s">
        <v>1402</v>
      </c>
      <c r="F348" s="118" t="s">
        <v>62</v>
      </c>
      <c r="G348" s="117" t="s">
        <v>63</v>
      </c>
      <c r="H348" s="94"/>
      <c r="I348" s="99"/>
      <c r="J348" s="94"/>
      <c r="K348" s="94"/>
      <c r="L348" s="94"/>
      <c r="M348" s="94"/>
      <c r="N348" s="96"/>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c r="FP348" s="21"/>
      <c r="FQ348" s="21"/>
      <c r="FR348" s="21"/>
      <c r="FS348" s="21"/>
      <c r="FT348" s="21"/>
      <c r="FU348" s="21"/>
      <c r="FV348" s="21"/>
      <c r="FW348" s="21"/>
      <c r="FX348" s="21"/>
      <c r="FY348" s="21"/>
      <c r="FZ348" s="21"/>
      <c r="GA348" s="21"/>
      <c r="GB348" s="21"/>
      <c r="GC348" s="21"/>
      <c r="GD348" s="21"/>
      <c r="GE348" s="21"/>
      <c r="GF348" s="21"/>
      <c r="GG348" s="21"/>
      <c r="GH348" s="21"/>
      <c r="GI348" s="21"/>
      <c r="GJ348" s="21"/>
      <c r="GK348" s="21"/>
      <c r="GL348" s="21"/>
      <c r="GM348" s="21"/>
      <c r="GN348" s="21"/>
      <c r="GO348" s="21"/>
      <c r="GP348" s="21"/>
      <c r="GQ348" s="21"/>
      <c r="GR348" s="21"/>
      <c r="GS348" s="21"/>
      <c r="GT348" s="21"/>
      <c r="GU348" s="21"/>
      <c r="GV348" s="21"/>
      <c r="GW348" s="21"/>
      <c r="GX348" s="21"/>
      <c r="GY348" s="21"/>
      <c r="GZ348" s="21"/>
      <c r="HA348" s="21"/>
      <c r="HB348" s="21"/>
      <c r="HC348" s="21"/>
      <c r="HD348" s="21"/>
      <c r="HE348" s="21"/>
      <c r="HF348" s="21"/>
      <c r="HG348" s="21"/>
      <c r="HH348" s="21"/>
      <c r="HI348" s="21"/>
      <c r="HJ348" s="21"/>
      <c r="HK348" s="21"/>
      <c r="HL348" s="21"/>
      <c r="HM348" s="21"/>
      <c r="HN348" s="21"/>
      <c r="HO348" s="21"/>
      <c r="HP348" s="21"/>
      <c r="HQ348" s="21"/>
      <c r="HR348" s="21"/>
      <c r="HS348" s="21"/>
      <c r="HT348" s="21"/>
      <c r="HU348" s="21"/>
      <c r="HV348" s="21"/>
      <c r="HW348" s="21"/>
      <c r="HX348" s="21"/>
      <c r="HY348" s="21"/>
      <c r="HZ348" s="21"/>
      <c r="IA348" s="21"/>
      <c r="IB348" s="21"/>
      <c r="IC348" s="21"/>
      <c r="ID348" s="21"/>
      <c r="IE348" s="21"/>
      <c r="IF348" s="21"/>
      <c r="IG348" s="21"/>
      <c r="IH348" s="21"/>
      <c r="II348" s="21"/>
      <c r="IJ348" s="21"/>
      <c r="IK348" s="21"/>
      <c r="IL348" s="21"/>
      <c r="IM348" s="21"/>
      <c r="IN348" s="21"/>
      <c r="IO348" s="21"/>
      <c r="IP348" s="21"/>
      <c r="IQ348" s="21"/>
      <c r="IR348" s="21"/>
      <c r="IS348" s="21"/>
      <c r="IT348" s="21"/>
      <c r="IU348" s="21"/>
      <c r="IV348" s="21"/>
    </row>
    <row r="349" spans="1:256" s="28" customFormat="1" ht="98.25" customHeight="1">
      <c r="A349" s="103" t="s">
        <v>1331</v>
      </c>
      <c r="B349" s="11" t="s">
        <v>67</v>
      </c>
      <c r="C349" s="116" t="s">
        <v>70</v>
      </c>
      <c r="D349" s="100"/>
      <c r="E349" s="117" t="s">
        <v>1402</v>
      </c>
      <c r="F349" s="118" t="s">
        <v>64</v>
      </c>
      <c r="G349" s="117" t="s">
        <v>63</v>
      </c>
      <c r="H349" s="94"/>
      <c r="I349" s="99"/>
      <c r="J349" s="94"/>
      <c r="K349" s="94"/>
      <c r="L349" s="94"/>
      <c r="M349" s="94"/>
      <c r="N349" s="96"/>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c r="FP349" s="21"/>
      <c r="FQ349" s="21"/>
      <c r="FR349" s="21"/>
      <c r="FS349" s="21"/>
      <c r="FT349" s="21"/>
      <c r="FU349" s="21"/>
      <c r="FV349" s="21"/>
      <c r="FW349" s="21"/>
      <c r="FX349" s="21"/>
      <c r="FY349" s="21"/>
      <c r="FZ349" s="21"/>
      <c r="GA349" s="21"/>
      <c r="GB349" s="21"/>
      <c r="GC349" s="21"/>
      <c r="GD349" s="21"/>
      <c r="GE349" s="21"/>
      <c r="GF349" s="21"/>
      <c r="GG349" s="21"/>
      <c r="GH349" s="21"/>
      <c r="GI349" s="21"/>
      <c r="GJ349" s="21"/>
      <c r="GK349" s="21"/>
      <c r="GL349" s="21"/>
      <c r="GM349" s="21"/>
      <c r="GN349" s="21"/>
      <c r="GO349" s="21"/>
      <c r="GP349" s="21"/>
      <c r="GQ349" s="21"/>
      <c r="GR349" s="21"/>
      <c r="GS349" s="21"/>
      <c r="GT349" s="21"/>
      <c r="GU349" s="21"/>
      <c r="GV349" s="21"/>
      <c r="GW349" s="21"/>
      <c r="GX349" s="21"/>
      <c r="GY349" s="21"/>
      <c r="GZ349" s="21"/>
      <c r="HA349" s="21"/>
      <c r="HB349" s="21"/>
      <c r="HC349" s="21"/>
      <c r="HD349" s="21"/>
      <c r="HE349" s="21"/>
      <c r="HF349" s="21"/>
      <c r="HG349" s="21"/>
      <c r="HH349" s="21"/>
      <c r="HI349" s="21"/>
      <c r="HJ349" s="21"/>
      <c r="HK349" s="21"/>
      <c r="HL349" s="21"/>
      <c r="HM349" s="21"/>
      <c r="HN349" s="21"/>
      <c r="HO349" s="21"/>
      <c r="HP349" s="21"/>
      <c r="HQ349" s="21"/>
      <c r="HR349" s="21"/>
      <c r="HS349" s="21"/>
      <c r="HT349" s="21"/>
      <c r="HU349" s="21"/>
      <c r="HV349" s="21"/>
      <c r="HW349" s="21"/>
      <c r="HX349" s="21"/>
      <c r="HY349" s="21"/>
      <c r="HZ349" s="21"/>
      <c r="IA349" s="21"/>
      <c r="IB349" s="21"/>
      <c r="IC349" s="21"/>
      <c r="ID349" s="21"/>
      <c r="IE349" s="21"/>
      <c r="IF349" s="21"/>
      <c r="IG349" s="21"/>
      <c r="IH349" s="21"/>
      <c r="II349" s="21"/>
      <c r="IJ349" s="21"/>
      <c r="IK349" s="21"/>
      <c r="IL349" s="21"/>
      <c r="IM349" s="21"/>
      <c r="IN349" s="21"/>
      <c r="IO349" s="21"/>
      <c r="IP349" s="21"/>
      <c r="IQ349" s="21"/>
      <c r="IR349" s="21"/>
      <c r="IS349" s="21"/>
      <c r="IT349" s="21"/>
      <c r="IU349" s="21"/>
      <c r="IV349" s="21"/>
    </row>
    <row r="350" spans="1:256" s="28" customFormat="1" ht="41.25" customHeight="1">
      <c r="A350" s="103" t="s">
        <v>474</v>
      </c>
      <c r="B350" s="122" t="s">
        <v>68</v>
      </c>
      <c r="C350" s="116" t="s">
        <v>71</v>
      </c>
      <c r="D350" s="100"/>
      <c r="E350" s="117" t="s">
        <v>1402</v>
      </c>
      <c r="F350" s="119" t="s">
        <v>65</v>
      </c>
      <c r="G350" s="117" t="s">
        <v>63</v>
      </c>
      <c r="H350" s="94"/>
      <c r="I350" s="99"/>
      <c r="J350" s="94"/>
      <c r="K350" s="94"/>
      <c r="L350" s="94"/>
      <c r="M350" s="94"/>
      <c r="N350" s="96"/>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c r="BO350" s="21"/>
      <c r="BP350" s="21"/>
      <c r="BQ350" s="21"/>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c r="FP350" s="21"/>
      <c r="FQ350" s="21"/>
      <c r="FR350" s="21"/>
      <c r="FS350" s="21"/>
      <c r="FT350" s="21"/>
      <c r="FU350" s="21"/>
      <c r="FV350" s="21"/>
      <c r="FW350" s="21"/>
      <c r="FX350" s="21"/>
      <c r="FY350" s="21"/>
      <c r="FZ350" s="21"/>
      <c r="GA350" s="21"/>
      <c r="GB350" s="21"/>
      <c r="GC350" s="21"/>
      <c r="GD350" s="21"/>
      <c r="GE350" s="21"/>
      <c r="GF350" s="21"/>
      <c r="GG350" s="21"/>
      <c r="GH350" s="21"/>
      <c r="GI350" s="21"/>
      <c r="GJ350" s="21"/>
      <c r="GK350" s="21"/>
      <c r="GL350" s="21"/>
      <c r="GM350" s="21"/>
      <c r="GN350" s="21"/>
      <c r="GO350" s="21"/>
      <c r="GP350" s="21"/>
      <c r="GQ350" s="21"/>
      <c r="GR350" s="21"/>
      <c r="GS350" s="21"/>
      <c r="GT350" s="21"/>
      <c r="GU350" s="21"/>
      <c r="GV350" s="21"/>
      <c r="GW350" s="21"/>
      <c r="GX350" s="21"/>
      <c r="GY350" s="21"/>
      <c r="GZ350" s="21"/>
      <c r="HA350" s="21"/>
      <c r="HB350" s="21"/>
      <c r="HC350" s="21"/>
      <c r="HD350" s="21"/>
      <c r="HE350" s="21"/>
      <c r="HF350" s="21"/>
      <c r="HG350" s="21"/>
      <c r="HH350" s="21"/>
      <c r="HI350" s="21"/>
      <c r="HJ350" s="21"/>
      <c r="HK350" s="21"/>
      <c r="HL350" s="21"/>
      <c r="HM350" s="21"/>
      <c r="HN350" s="21"/>
      <c r="HO350" s="21"/>
      <c r="HP350" s="21"/>
      <c r="HQ350" s="21"/>
      <c r="HR350" s="21"/>
      <c r="HS350" s="21"/>
      <c r="HT350" s="21"/>
      <c r="HU350" s="21"/>
      <c r="HV350" s="21"/>
      <c r="HW350" s="21"/>
      <c r="HX350" s="21"/>
      <c r="HY350" s="21"/>
      <c r="HZ350" s="21"/>
      <c r="IA350" s="21"/>
      <c r="IB350" s="21"/>
      <c r="IC350" s="21"/>
      <c r="ID350" s="21"/>
      <c r="IE350" s="21"/>
      <c r="IF350" s="21"/>
      <c r="IG350" s="21"/>
      <c r="IH350" s="21"/>
      <c r="II350" s="21"/>
      <c r="IJ350" s="21"/>
      <c r="IK350" s="21"/>
      <c r="IL350" s="21"/>
      <c r="IM350" s="21"/>
      <c r="IN350" s="21"/>
      <c r="IO350" s="21"/>
      <c r="IP350" s="21"/>
      <c r="IQ350" s="21"/>
      <c r="IR350" s="21"/>
      <c r="IS350" s="21"/>
      <c r="IT350" s="21"/>
      <c r="IU350" s="21"/>
      <c r="IV350" s="21"/>
    </row>
    <row r="351" spans="1:14" ht="65.25" customHeight="1">
      <c r="A351" s="127" t="s">
        <v>685</v>
      </c>
      <c r="B351" s="149" t="s">
        <v>1028</v>
      </c>
      <c r="C351" s="150" t="s">
        <v>621</v>
      </c>
      <c r="D351" s="152" t="s">
        <v>687</v>
      </c>
      <c r="E351" s="6" t="s">
        <v>1402</v>
      </c>
      <c r="F351" s="118" t="s">
        <v>851</v>
      </c>
      <c r="G351" s="100" t="s">
        <v>1403</v>
      </c>
      <c r="H351" s="211">
        <v>1732.6999999999998</v>
      </c>
      <c r="I351" s="211">
        <v>1491.8</v>
      </c>
      <c r="J351" s="211">
        <v>1999.5</v>
      </c>
      <c r="K351" s="211">
        <v>949.7</v>
      </c>
      <c r="L351" s="211">
        <v>64</v>
      </c>
      <c r="M351" s="211">
        <v>64</v>
      </c>
      <c r="N351" s="213" t="s">
        <v>343</v>
      </c>
    </row>
    <row r="352" spans="1:14" ht="67.5" customHeight="1">
      <c r="A352" s="127"/>
      <c r="B352" s="149"/>
      <c r="C352" s="151"/>
      <c r="D352" s="153"/>
      <c r="E352" s="113" t="s">
        <v>1115</v>
      </c>
      <c r="F352" s="106" t="s">
        <v>1155</v>
      </c>
      <c r="G352" s="106" t="s">
        <v>688</v>
      </c>
      <c r="H352" s="212"/>
      <c r="I352" s="212"/>
      <c r="J352" s="212"/>
      <c r="K352" s="212"/>
      <c r="L352" s="212"/>
      <c r="M352" s="212"/>
      <c r="N352" s="214"/>
    </row>
    <row r="353" spans="1:14" ht="59.25" customHeight="1">
      <c r="A353" s="176" t="s">
        <v>686</v>
      </c>
      <c r="B353" s="217" t="s">
        <v>1309</v>
      </c>
      <c r="C353" s="150" t="s">
        <v>622</v>
      </c>
      <c r="D353" s="152" t="s">
        <v>729</v>
      </c>
      <c r="E353" s="6" t="s">
        <v>1402</v>
      </c>
      <c r="F353" s="118" t="s">
        <v>72</v>
      </c>
      <c r="G353" s="100" t="s">
        <v>1403</v>
      </c>
      <c r="H353" s="147">
        <v>35316.9</v>
      </c>
      <c r="I353" s="145">
        <v>35248.9</v>
      </c>
      <c r="J353" s="147">
        <v>10000.000000000002</v>
      </c>
      <c r="K353" s="147">
        <v>10000</v>
      </c>
      <c r="L353" s="147">
        <v>10000</v>
      </c>
      <c r="M353" s="147"/>
      <c r="N353" s="198" t="s">
        <v>402</v>
      </c>
    </row>
    <row r="354" spans="1:14" ht="85.5" customHeight="1">
      <c r="A354" s="177"/>
      <c r="B354" s="218"/>
      <c r="C354" s="206"/>
      <c r="D354" s="157"/>
      <c r="E354" s="5" t="s">
        <v>401</v>
      </c>
      <c r="F354" s="106" t="s">
        <v>730</v>
      </c>
      <c r="G354" s="106" t="s">
        <v>1237</v>
      </c>
      <c r="H354" s="197"/>
      <c r="I354" s="220"/>
      <c r="J354" s="197"/>
      <c r="K354" s="195"/>
      <c r="L354" s="195"/>
      <c r="M354" s="197"/>
      <c r="N354" s="199"/>
    </row>
    <row r="355" spans="1:14" ht="15">
      <c r="A355" s="177"/>
      <c r="B355" s="218"/>
      <c r="C355" s="206"/>
      <c r="D355" s="157"/>
      <c r="E355" s="140" t="s">
        <v>741</v>
      </c>
      <c r="F355" s="165" t="s">
        <v>1155</v>
      </c>
      <c r="G355" s="165" t="s">
        <v>731</v>
      </c>
      <c r="H355" s="197"/>
      <c r="I355" s="220"/>
      <c r="J355" s="197"/>
      <c r="K355" s="195"/>
      <c r="L355" s="195"/>
      <c r="M355" s="197"/>
      <c r="N355" s="199"/>
    </row>
    <row r="356" spans="1:14" ht="55.5" customHeight="1">
      <c r="A356" s="178"/>
      <c r="B356" s="219"/>
      <c r="C356" s="151"/>
      <c r="D356" s="153"/>
      <c r="E356" s="140"/>
      <c r="F356" s="165"/>
      <c r="G356" s="165"/>
      <c r="H356" s="148"/>
      <c r="I356" s="146"/>
      <c r="J356" s="148"/>
      <c r="K356" s="196"/>
      <c r="L356" s="196"/>
      <c r="M356" s="148"/>
      <c r="N356" s="200"/>
    </row>
    <row r="357" spans="1:256" s="29" customFormat="1" ht="36.75" customHeight="1">
      <c r="A357" s="103" t="s">
        <v>73</v>
      </c>
      <c r="B357" s="122" t="s">
        <v>84</v>
      </c>
      <c r="C357" s="116" t="s">
        <v>88</v>
      </c>
      <c r="D357" s="100"/>
      <c r="E357" s="117" t="s">
        <v>1402</v>
      </c>
      <c r="F357" s="119" t="s">
        <v>79</v>
      </c>
      <c r="G357" s="117" t="s">
        <v>63</v>
      </c>
      <c r="H357" s="94"/>
      <c r="I357" s="99"/>
      <c r="J357" s="94"/>
      <c r="K357" s="94"/>
      <c r="L357" s="94"/>
      <c r="M357" s="94"/>
      <c r="N357" s="96"/>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c r="FP357" s="21"/>
      <c r="FQ357" s="21"/>
      <c r="FR357" s="21"/>
      <c r="FS357" s="21"/>
      <c r="FT357" s="21"/>
      <c r="FU357" s="21"/>
      <c r="FV357" s="21"/>
      <c r="FW357" s="21"/>
      <c r="FX357" s="21"/>
      <c r="FY357" s="21"/>
      <c r="FZ357" s="21"/>
      <c r="GA357" s="21"/>
      <c r="GB357" s="21"/>
      <c r="GC357" s="21"/>
      <c r="GD357" s="21"/>
      <c r="GE357" s="21"/>
      <c r="GF357" s="21"/>
      <c r="GG357" s="21"/>
      <c r="GH357" s="21"/>
      <c r="GI357" s="21"/>
      <c r="GJ357" s="21"/>
      <c r="GK357" s="21"/>
      <c r="GL357" s="21"/>
      <c r="GM357" s="21"/>
      <c r="GN357" s="21"/>
      <c r="GO357" s="21"/>
      <c r="GP357" s="21"/>
      <c r="GQ357" s="21"/>
      <c r="GR357" s="21"/>
      <c r="GS357" s="21"/>
      <c r="GT357" s="21"/>
      <c r="GU357" s="21"/>
      <c r="GV357" s="21"/>
      <c r="GW357" s="21"/>
      <c r="GX357" s="21"/>
      <c r="GY357" s="21"/>
      <c r="GZ357" s="21"/>
      <c r="HA357" s="21"/>
      <c r="HB357" s="21"/>
      <c r="HC357" s="21"/>
      <c r="HD357" s="21"/>
      <c r="HE357" s="21"/>
      <c r="HF357" s="21"/>
      <c r="HG357" s="21"/>
      <c r="HH357" s="21"/>
      <c r="HI357" s="21"/>
      <c r="HJ357" s="21"/>
      <c r="HK357" s="21"/>
      <c r="HL357" s="21"/>
      <c r="HM357" s="21"/>
      <c r="HN357" s="21"/>
      <c r="HO357" s="21"/>
      <c r="HP357" s="21"/>
      <c r="HQ357" s="21"/>
      <c r="HR357" s="21"/>
      <c r="HS357" s="21"/>
      <c r="HT357" s="21"/>
      <c r="HU357" s="21"/>
      <c r="HV357" s="21"/>
      <c r="HW357" s="21"/>
      <c r="HX357" s="21"/>
      <c r="HY357" s="21"/>
      <c r="HZ357" s="21"/>
      <c r="IA357" s="21"/>
      <c r="IB357" s="21"/>
      <c r="IC357" s="21"/>
      <c r="ID357" s="21"/>
      <c r="IE357" s="21"/>
      <c r="IF357" s="21"/>
      <c r="IG357" s="21"/>
      <c r="IH357" s="21"/>
      <c r="II357" s="21"/>
      <c r="IJ357" s="21"/>
      <c r="IK357" s="21"/>
      <c r="IL357" s="21"/>
      <c r="IM357" s="21"/>
      <c r="IN357" s="21"/>
      <c r="IO357" s="21"/>
      <c r="IP357" s="21"/>
      <c r="IQ357" s="21"/>
      <c r="IR357" s="21"/>
      <c r="IS357" s="21"/>
      <c r="IT357" s="21"/>
      <c r="IU357" s="21"/>
      <c r="IV357" s="21"/>
    </row>
    <row r="358" spans="1:256" s="29" customFormat="1" ht="85.5" customHeight="1">
      <c r="A358" s="103" t="s">
        <v>74</v>
      </c>
      <c r="B358" s="122" t="s">
        <v>85</v>
      </c>
      <c r="C358" s="116" t="s">
        <v>89</v>
      </c>
      <c r="D358" s="100"/>
      <c r="E358" s="117" t="s">
        <v>1402</v>
      </c>
      <c r="F358" s="119" t="s">
        <v>80</v>
      </c>
      <c r="G358" s="117" t="s">
        <v>63</v>
      </c>
      <c r="H358" s="94"/>
      <c r="I358" s="99"/>
      <c r="J358" s="94"/>
      <c r="K358" s="94"/>
      <c r="L358" s="94"/>
      <c r="M358" s="94"/>
      <c r="N358" s="96"/>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c r="FP358" s="21"/>
      <c r="FQ358" s="21"/>
      <c r="FR358" s="21"/>
      <c r="FS358" s="21"/>
      <c r="FT358" s="21"/>
      <c r="FU358" s="21"/>
      <c r="FV358" s="21"/>
      <c r="FW358" s="21"/>
      <c r="FX358" s="21"/>
      <c r="FY358" s="21"/>
      <c r="FZ358" s="21"/>
      <c r="GA358" s="21"/>
      <c r="GB358" s="21"/>
      <c r="GC358" s="21"/>
      <c r="GD358" s="21"/>
      <c r="GE358" s="21"/>
      <c r="GF358" s="21"/>
      <c r="GG358" s="21"/>
      <c r="GH358" s="21"/>
      <c r="GI358" s="21"/>
      <c r="GJ358" s="21"/>
      <c r="GK358" s="21"/>
      <c r="GL358" s="21"/>
      <c r="GM358" s="21"/>
      <c r="GN358" s="21"/>
      <c r="GO358" s="21"/>
      <c r="GP358" s="21"/>
      <c r="GQ358" s="21"/>
      <c r="GR358" s="21"/>
      <c r="GS358" s="21"/>
      <c r="GT358" s="21"/>
      <c r="GU358" s="21"/>
      <c r="GV358" s="21"/>
      <c r="GW358" s="21"/>
      <c r="GX358" s="21"/>
      <c r="GY358" s="21"/>
      <c r="GZ358" s="21"/>
      <c r="HA358" s="21"/>
      <c r="HB358" s="21"/>
      <c r="HC358" s="21"/>
      <c r="HD358" s="21"/>
      <c r="HE358" s="21"/>
      <c r="HF358" s="21"/>
      <c r="HG358" s="21"/>
      <c r="HH358" s="21"/>
      <c r="HI358" s="21"/>
      <c r="HJ358" s="21"/>
      <c r="HK358" s="21"/>
      <c r="HL358" s="21"/>
      <c r="HM358" s="21"/>
      <c r="HN358" s="21"/>
      <c r="HO358" s="21"/>
      <c r="HP358" s="21"/>
      <c r="HQ358" s="21"/>
      <c r="HR358" s="21"/>
      <c r="HS358" s="21"/>
      <c r="HT358" s="21"/>
      <c r="HU358" s="21"/>
      <c r="HV358" s="21"/>
      <c r="HW358" s="21"/>
      <c r="HX358" s="21"/>
      <c r="HY358" s="21"/>
      <c r="HZ358" s="21"/>
      <c r="IA358" s="21"/>
      <c r="IB358" s="21"/>
      <c r="IC358" s="21"/>
      <c r="ID358" s="21"/>
      <c r="IE358" s="21"/>
      <c r="IF358" s="21"/>
      <c r="IG358" s="21"/>
      <c r="IH358" s="21"/>
      <c r="II358" s="21"/>
      <c r="IJ358" s="21"/>
      <c r="IK358" s="21"/>
      <c r="IL358" s="21"/>
      <c r="IM358" s="21"/>
      <c r="IN358" s="21"/>
      <c r="IO358" s="21"/>
      <c r="IP358" s="21"/>
      <c r="IQ358" s="21"/>
      <c r="IR358" s="21"/>
      <c r="IS358" s="21"/>
      <c r="IT358" s="21"/>
      <c r="IU358" s="21"/>
      <c r="IV358" s="21"/>
    </row>
    <row r="359" spans="1:256" s="29" customFormat="1" ht="46.5" customHeight="1">
      <c r="A359" s="103" t="s">
        <v>75</v>
      </c>
      <c r="B359" s="122" t="s">
        <v>98</v>
      </c>
      <c r="C359" s="116" t="s">
        <v>90</v>
      </c>
      <c r="D359" s="100"/>
      <c r="E359" s="117" t="s">
        <v>1402</v>
      </c>
      <c r="F359" s="119" t="s">
        <v>81</v>
      </c>
      <c r="G359" s="117" t="s">
        <v>63</v>
      </c>
      <c r="H359" s="94"/>
      <c r="I359" s="99"/>
      <c r="J359" s="94"/>
      <c r="K359" s="94"/>
      <c r="L359" s="94"/>
      <c r="M359" s="94"/>
      <c r="N359" s="96"/>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c r="FP359" s="21"/>
      <c r="FQ359" s="21"/>
      <c r="FR359" s="21"/>
      <c r="FS359" s="21"/>
      <c r="FT359" s="21"/>
      <c r="FU359" s="21"/>
      <c r="FV359" s="21"/>
      <c r="FW359" s="21"/>
      <c r="FX359" s="21"/>
      <c r="FY359" s="21"/>
      <c r="FZ359" s="21"/>
      <c r="GA359" s="21"/>
      <c r="GB359" s="21"/>
      <c r="GC359" s="21"/>
      <c r="GD359" s="21"/>
      <c r="GE359" s="21"/>
      <c r="GF359" s="21"/>
      <c r="GG359" s="21"/>
      <c r="GH359" s="21"/>
      <c r="GI359" s="21"/>
      <c r="GJ359" s="21"/>
      <c r="GK359" s="21"/>
      <c r="GL359" s="21"/>
      <c r="GM359" s="21"/>
      <c r="GN359" s="21"/>
      <c r="GO359" s="21"/>
      <c r="GP359" s="21"/>
      <c r="GQ359" s="21"/>
      <c r="GR359" s="21"/>
      <c r="GS359" s="21"/>
      <c r="GT359" s="21"/>
      <c r="GU359" s="21"/>
      <c r="GV359" s="21"/>
      <c r="GW359" s="21"/>
      <c r="GX359" s="21"/>
      <c r="GY359" s="21"/>
      <c r="GZ359" s="21"/>
      <c r="HA359" s="21"/>
      <c r="HB359" s="21"/>
      <c r="HC359" s="21"/>
      <c r="HD359" s="21"/>
      <c r="HE359" s="21"/>
      <c r="HF359" s="21"/>
      <c r="HG359" s="21"/>
      <c r="HH359" s="21"/>
      <c r="HI359" s="21"/>
      <c r="HJ359" s="21"/>
      <c r="HK359" s="21"/>
      <c r="HL359" s="21"/>
      <c r="HM359" s="21"/>
      <c r="HN359" s="21"/>
      <c r="HO359" s="21"/>
      <c r="HP359" s="21"/>
      <c r="HQ359" s="21"/>
      <c r="HR359" s="21"/>
      <c r="HS359" s="21"/>
      <c r="HT359" s="21"/>
      <c r="HU359" s="21"/>
      <c r="HV359" s="21"/>
      <c r="HW359" s="21"/>
      <c r="HX359" s="21"/>
      <c r="HY359" s="21"/>
      <c r="HZ359" s="21"/>
      <c r="IA359" s="21"/>
      <c r="IB359" s="21"/>
      <c r="IC359" s="21"/>
      <c r="ID359" s="21"/>
      <c r="IE359" s="21"/>
      <c r="IF359" s="21"/>
      <c r="IG359" s="21"/>
      <c r="IH359" s="21"/>
      <c r="II359" s="21"/>
      <c r="IJ359" s="21"/>
      <c r="IK359" s="21"/>
      <c r="IL359" s="21"/>
      <c r="IM359" s="21"/>
      <c r="IN359" s="21"/>
      <c r="IO359" s="21"/>
      <c r="IP359" s="21"/>
      <c r="IQ359" s="21"/>
      <c r="IR359" s="21"/>
      <c r="IS359" s="21"/>
      <c r="IT359" s="21"/>
      <c r="IU359" s="21"/>
      <c r="IV359" s="21"/>
    </row>
    <row r="360" spans="1:256" s="29" customFormat="1" ht="142.5" customHeight="1">
      <c r="A360" s="103" t="s">
        <v>76</v>
      </c>
      <c r="B360" s="122" t="s">
        <v>86</v>
      </c>
      <c r="C360" s="116" t="s">
        <v>91</v>
      </c>
      <c r="D360" s="100"/>
      <c r="E360" s="117" t="s">
        <v>1402</v>
      </c>
      <c r="F360" s="119" t="s">
        <v>82</v>
      </c>
      <c r="G360" s="117" t="s">
        <v>63</v>
      </c>
      <c r="H360" s="94"/>
      <c r="I360" s="99"/>
      <c r="J360" s="94"/>
      <c r="K360" s="94"/>
      <c r="L360" s="94"/>
      <c r="M360" s="94"/>
      <c r="N360" s="96"/>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c r="FP360" s="21"/>
      <c r="FQ360" s="21"/>
      <c r="FR360" s="21"/>
      <c r="FS360" s="21"/>
      <c r="FT360" s="21"/>
      <c r="FU360" s="21"/>
      <c r="FV360" s="21"/>
      <c r="FW360" s="21"/>
      <c r="FX360" s="21"/>
      <c r="FY360" s="21"/>
      <c r="FZ360" s="21"/>
      <c r="GA360" s="21"/>
      <c r="GB360" s="21"/>
      <c r="GC360" s="21"/>
      <c r="GD360" s="21"/>
      <c r="GE360" s="21"/>
      <c r="GF360" s="21"/>
      <c r="GG360" s="21"/>
      <c r="GH360" s="21"/>
      <c r="GI360" s="21"/>
      <c r="GJ360" s="21"/>
      <c r="GK360" s="21"/>
      <c r="GL360" s="21"/>
      <c r="GM360" s="21"/>
      <c r="GN360" s="21"/>
      <c r="GO360" s="21"/>
      <c r="GP360" s="21"/>
      <c r="GQ360" s="21"/>
      <c r="GR360" s="21"/>
      <c r="GS360" s="21"/>
      <c r="GT360" s="21"/>
      <c r="GU360" s="21"/>
      <c r="GV360" s="21"/>
      <c r="GW360" s="21"/>
      <c r="GX360" s="21"/>
      <c r="GY360" s="21"/>
      <c r="GZ360" s="21"/>
      <c r="HA360" s="21"/>
      <c r="HB360" s="21"/>
      <c r="HC360" s="21"/>
      <c r="HD360" s="21"/>
      <c r="HE360" s="21"/>
      <c r="HF360" s="21"/>
      <c r="HG360" s="21"/>
      <c r="HH360" s="21"/>
      <c r="HI360" s="21"/>
      <c r="HJ360" s="21"/>
      <c r="HK360" s="21"/>
      <c r="HL360" s="21"/>
      <c r="HM360" s="21"/>
      <c r="HN360" s="21"/>
      <c r="HO360" s="21"/>
      <c r="HP360" s="21"/>
      <c r="HQ360" s="21"/>
      <c r="HR360" s="21"/>
      <c r="HS360" s="21"/>
      <c r="HT360" s="21"/>
      <c r="HU360" s="21"/>
      <c r="HV360" s="21"/>
      <c r="HW360" s="21"/>
      <c r="HX360" s="21"/>
      <c r="HY360" s="21"/>
      <c r="HZ360" s="21"/>
      <c r="IA360" s="21"/>
      <c r="IB360" s="21"/>
      <c r="IC360" s="21"/>
      <c r="ID360" s="21"/>
      <c r="IE360" s="21"/>
      <c r="IF360" s="21"/>
      <c r="IG360" s="21"/>
      <c r="IH360" s="21"/>
      <c r="II360" s="21"/>
      <c r="IJ360" s="21"/>
      <c r="IK360" s="21"/>
      <c r="IL360" s="21"/>
      <c r="IM360" s="21"/>
      <c r="IN360" s="21"/>
      <c r="IO360" s="21"/>
      <c r="IP360" s="21"/>
      <c r="IQ360" s="21"/>
      <c r="IR360" s="21"/>
      <c r="IS360" s="21"/>
      <c r="IT360" s="21"/>
      <c r="IU360" s="21"/>
      <c r="IV360" s="21"/>
    </row>
    <row r="361" spans="1:256" s="29" customFormat="1" ht="46.5" customHeight="1">
      <c r="A361" s="103" t="s">
        <v>77</v>
      </c>
      <c r="B361" s="122" t="s">
        <v>87</v>
      </c>
      <c r="C361" s="116" t="s">
        <v>92</v>
      </c>
      <c r="D361" s="100"/>
      <c r="E361" s="117" t="s">
        <v>1402</v>
      </c>
      <c r="F361" s="119" t="s">
        <v>83</v>
      </c>
      <c r="G361" s="117" t="s">
        <v>63</v>
      </c>
      <c r="H361" s="94"/>
      <c r="I361" s="99"/>
      <c r="J361" s="94"/>
      <c r="K361" s="94"/>
      <c r="L361" s="94"/>
      <c r="M361" s="94"/>
      <c r="N361" s="96"/>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c r="FP361" s="21"/>
      <c r="FQ361" s="21"/>
      <c r="FR361" s="21"/>
      <c r="FS361" s="21"/>
      <c r="FT361" s="21"/>
      <c r="FU361" s="21"/>
      <c r="FV361" s="21"/>
      <c r="FW361" s="21"/>
      <c r="FX361" s="21"/>
      <c r="FY361" s="21"/>
      <c r="FZ361" s="21"/>
      <c r="GA361" s="21"/>
      <c r="GB361" s="21"/>
      <c r="GC361" s="21"/>
      <c r="GD361" s="21"/>
      <c r="GE361" s="21"/>
      <c r="GF361" s="21"/>
      <c r="GG361" s="21"/>
      <c r="GH361" s="21"/>
      <c r="GI361" s="21"/>
      <c r="GJ361" s="21"/>
      <c r="GK361" s="21"/>
      <c r="GL361" s="21"/>
      <c r="GM361" s="21"/>
      <c r="GN361" s="21"/>
      <c r="GO361" s="21"/>
      <c r="GP361" s="21"/>
      <c r="GQ361" s="21"/>
      <c r="GR361" s="21"/>
      <c r="GS361" s="21"/>
      <c r="GT361" s="21"/>
      <c r="GU361" s="21"/>
      <c r="GV361" s="21"/>
      <c r="GW361" s="21"/>
      <c r="GX361" s="21"/>
      <c r="GY361" s="21"/>
      <c r="GZ361" s="21"/>
      <c r="HA361" s="21"/>
      <c r="HB361" s="21"/>
      <c r="HC361" s="21"/>
      <c r="HD361" s="21"/>
      <c r="HE361" s="21"/>
      <c r="HF361" s="21"/>
      <c r="HG361" s="21"/>
      <c r="HH361" s="21"/>
      <c r="HI361" s="21"/>
      <c r="HJ361" s="21"/>
      <c r="HK361" s="21"/>
      <c r="HL361" s="21"/>
      <c r="HM361" s="21"/>
      <c r="HN361" s="21"/>
      <c r="HO361" s="21"/>
      <c r="HP361" s="21"/>
      <c r="HQ361" s="21"/>
      <c r="HR361" s="21"/>
      <c r="HS361" s="21"/>
      <c r="HT361" s="21"/>
      <c r="HU361" s="21"/>
      <c r="HV361" s="21"/>
      <c r="HW361" s="21"/>
      <c r="HX361" s="21"/>
      <c r="HY361" s="21"/>
      <c r="HZ361" s="21"/>
      <c r="IA361" s="21"/>
      <c r="IB361" s="21"/>
      <c r="IC361" s="21"/>
      <c r="ID361" s="21"/>
      <c r="IE361" s="21"/>
      <c r="IF361" s="21"/>
      <c r="IG361" s="21"/>
      <c r="IH361" s="21"/>
      <c r="II361" s="21"/>
      <c r="IJ361" s="21"/>
      <c r="IK361" s="21"/>
      <c r="IL361" s="21"/>
      <c r="IM361" s="21"/>
      <c r="IN361" s="21"/>
      <c r="IO361" s="21"/>
      <c r="IP361" s="21"/>
      <c r="IQ361" s="21"/>
      <c r="IR361" s="21"/>
      <c r="IS361" s="21"/>
      <c r="IT361" s="21"/>
      <c r="IU361" s="21"/>
      <c r="IV361" s="21"/>
    </row>
    <row r="362" spans="1:256" s="29" customFormat="1" ht="90" customHeight="1">
      <c r="A362" s="103" t="s">
        <v>78</v>
      </c>
      <c r="B362" s="8" t="s">
        <v>1007</v>
      </c>
      <c r="C362" s="104" t="s">
        <v>1008</v>
      </c>
      <c r="D362" s="100"/>
      <c r="E362" s="121" t="s">
        <v>1402</v>
      </c>
      <c r="F362" s="120"/>
      <c r="G362" s="121" t="s">
        <v>63</v>
      </c>
      <c r="H362" s="94"/>
      <c r="I362" s="99"/>
      <c r="J362" s="94"/>
      <c r="K362" s="94"/>
      <c r="L362" s="94"/>
      <c r="M362" s="94"/>
      <c r="N362" s="96"/>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c r="FP362" s="21"/>
      <c r="FQ362" s="21"/>
      <c r="FR362" s="21"/>
      <c r="FS362" s="21"/>
      <c r="FT362" s="21"/>
      <c r="FU362" s="21"/>
      <c r="FV362" s="21"/>
      <c r="FW362" s="21"/>
      <c r="FX362" s="21"/>
      <c r="FY362" s="21"/>
      <c r="FZ362" s="21"/>
      <c r="GA362" s="21"/>
      <c r="GB362" s="21"/>
      <c r="GC362" s="21"/>
      <c r="GD362" s="21"/>
      <c r="GE362" s="21"/>
      <c r="GF362" s="21"/>
      <c r="GG362" s="21"/>
      <c r="GH362" s="21"/>
      <c r="GI362" s="21"/>
      <c r="GJ362" s="21"/>
      <c r="GK362" s="21"/>
      <c r="GL362" s="21"/>
      <c r="GM362" s="21"/>
      <c r="GN362" s="21"/>
      <c r="GO362" s="21"/>
      <c r="GP362" s="21"/>
      <c r="GQ362" s="21"/>
      <c r="GR362" s="21"/>
      <c r="GS362" s="21"/>
      <c r="GT362" s="21"/>
      <c r="GU362" s="21"/>
      <c r="GV362" s="21"/>
      <c r="GW362" s="21"/>
      <c r="GX362" s="21"/>
      <c r="GY362" s="21"/>
      <c r="GZ362" s="21"/>
      <c r="HA362" s="21"/>
      <c r="HB362" s="21"/>
      <c r="HC362" s="21"/>
      <c r="HD362" s="21"/>
      <c r="HE362" s="21"/>
      <c r="HF362" s="21"/>
      <c r="HG362" s="21"/>
      <c r="HH362" s="21"/>
      <c r="HI362" s="21"/>
      <c r="HJ362" s="21"/>
      <c r="HK362" s="21"/>
      <c r="HL362" s="21"/>
      <c r="HM362" s="21"/>
      <c r="HN362" s="21"/>
      <c r="HO362" s="21"/>
      <c r="HP362" s="21"/>
      <c r="HQ362" s="21"/>
      <c r="HR362" s="21"/>
      <c r="HS362" s="21"/>
      <c r="HT362" s="21"/>
      <c r="HU362" s="21"/>
      <c r="HV362" s="21"/>
      <c r="HW362" s="21"/>
      <c r="HX362" s="21"/>
      <c r="HY362" s="21"/>
      <c r="HZ362" s="21"/>
      <c r="IA362" s="21"/>
      <c r="IB362" s="21"/>
      <c r="IC362" s="21"/>
      <c r="ID362" s="21"/>
      <c r="IE362" s="21"/>
      <c r="IF362" s="21"/>
      <c r="IG362" s="21"/>
      <c r="IH362" s="21"/>
      <c r="II362" s="21"/>
      <c r="IJ362" s="21"/>
      <c r="IK362" s="21"/>
      <c r="IL362" s="21"/>
      <c r="IM362" s="21"/>
      <c r="IN362" s="21"/>
      <c r="IO362" s="21"/>
      <c r="IP362" s="21"/>
      <c r="IQ362" s="21"/>
      <c r="IR362" s="21"/>
      <c r="IS362" s="21"/>
      <c r="IT362" s="21"/>
      <c r="IU362" s="21"/>
      <c r="IV362" s="21"/>
    </row>
    <row r="363" spans="1:14" ht="168.75" customHeight="1">
      <c r="A363" s="127">
        <v>3</v>
      </c>
      <c r="B363" s="125" t="s">
        <v>1346</v>
      </c>
      <c r="C363" s="193" t="s">
        <v>1009</v>
      </c>
      <c r="D363" s="193" t="s">
        <v>415</v>
      </c>
      <c r="E363" s="97" t="s">
        <v>589</v>
      </c>
      <c r="F363" s="120" t="s">
        <v>95</v>
      </c>
      <c r="G363" s="121" t="s">
        <v>63</v>
      </c>
      <c r="H363" s="31">
        <f aca="true" t="shared" si="23" ref="H363:M363">H365+H367+H368+H370+H371+H372+H373+H374+H375+H377+H378+H379+H380+H384+H385+H406+H407+H408+H409+H410+H411+H416+H417+H418+H419</f>
        <v>1929483.493</v>
      </c>
      <c r="I363" s="31">
        <f t="shared" si="23"/>
        <v>1922458.5564</v>
      </c>
      <c r="J363" s="31">
        <f t="shared" si="23"/>
        <v>2454494.6999999997</v>
      </c>
      <c r="K363" s="31">
        <f t="shared" si="23"/>
        <v>2143039.9000000004</v>
      </c>
      <c r="L363" s="31">
        <f t="shared" si="23"/>
        <v>1891456.4000000001</v>
      </c>
      <c r="M363" s="31">
        <f t="shared" si="23"/>
        <v>1899698.9000000001</v>
      </c>
      <c r="N363" s="76" t="s">
        <v>389</v>
      </c>
    </row>
    <row r="364" spans="1:17" ht="15">
      <c r="A364" s="127"/>
      <c r="B364" s="125"/>
      <c r="C364" s="193"/>
      <c r="D364" s="193"/>
      <c r="E364" s="97" t="s">
        <v>1097</v>
      </c>
      <c r="F364" s="104"/>
      <c r="G364" s="104"/>
      <c r="H364" s="31"/>
      <c r="I364" s="32"/>
      <c r="J364" s="31"/>
      <c r="K364" s="31"/>
      <c r="L364" s="31"/>
      <c r="M364" s="31"/>
      <c r="N364" s="76"/>
      <c r="O364" s="61"/>
      <c r="P364" s="61"/>
      <c r="Q364" s="61"/>
    </row>
    <row r="365" spans="1:14" ht="52.5" customHeight="1">
      <c r="A365" s="127"/>
      <c r="B365" s="125" t="s">
        <v>624</v>
      </c>
      <c r="C365" s="165" t="s">
        <v>623</v>
      </c>
      <c r="D365" s="174">
        <v>1003.1006</v>
      </c>
      <c r="E365" s="49" t="s">
        <v>244</v>
      </c>
      <c r="F365" s="3" t="s">
        <v>1155</v>
      </c>
      <c r="G365" s="3" t="s">
        <v>245</v>
      </c>
      <c r="H365" s="141">
        <f>175960.7+3456.3+1021.6</f>
        <v>180438.6</v>
      </c>
      <c r="I365" s="141">
        <f>173647.5+3202.2+957.7</f>
        <v>177807.40000000002</v>
      </c>
      <c r="J365" s="141">
        <f>198161.5+1080</f>
        <v>199241.5</v>
      </c>
      <c r="K365" s="141">
        <f>219790+1165.9</f>
        <v>220955.9</v>
      </c>
      <c r="L365" s="141">
        <f>232043.4+1241.2</f>
        <v>233284.6</v>
      </c>
      <c r="M365" s="141">
        <f>248102.6+1387.1</f>
        <v>249489.7</v>
      </c>
      <c r="N365" s="137" t="s">
        <v>249</v>
      </c>
    </row>
    <row r="366" spans="1:14" ht="67.5" customHeight="1">
      <c r="A366" s="127"/>
      <c r="B366" s="125"/>
      <c r="C366" s="165"/>
      <c r="D366" s="174"/>
      <c r="E366" s="115" t="s">
        <v>246</v>
      </c>
      <c r="F366" s="3" t="s">
        <v>248</v>
      </c>
      <c r="G366" s="3" t="s">
        <v>247</v>
      </c>
      <c r="H366" s="141"/>
      <c r="I366" s="141"/>
      <c r="J366" s="141"/>
      <c r="K366" s="141"/>
      <c r="L366" s="141"/>
      <c r="M366" s="141"/>
      <c r="N366" s="137"/>
    </row>
    <row r="367" spans="1:14" ht="45">
      <c r="A367" s="127"/>
      <c r="B367" s="8" t="s">
        <v>215</v>
      </c>
      <c r="C367" s="106" t="s">
        <v>625</v>
      </c>
      <c r="D367" s="101" t="s">
        <v>216</v>
      </c>
      <c r="E367" s="42" t="s">
        <v>403</v>
      </c>
      <c r="F367" s="107" t="s">
        <v>1155</v>
      </c>
      <c r="G367" s="107" t="s">
        <v>590</v>
      </c>
      <c r="H367" s="102">
        <v>39.7</v>
      </c>
      <c r="I367" s="102">
        <v>39.7</v>
      </c>
      <c r="J367" s="102">
        <v>254.2</v>
      </c>
      <c r="K367" s="102"/>
      <c r="L367" s="102"/>
      <c r="M367" s="102"/>
      <c r="N367" s="6" t="s">
        <v>217</v>
      </c>
    </row>
    <row r="368" spans="1:14" ht="100.5" customHeight="1">
      <c r="A368" s="127"/>
      <c r="B368" s="125" t="s">
        <v>627</v>
      </c>
      <c r="C368" s="165" t="s">
        <v>626</v>
      </c>
      <c r="D368" s="142" t="s">
        <v>1486</v>
      </c>
      <c r="E368" s="42" t="s">
        <v>109</v>
      </c>
      <c r="F368" s="107" t="s">
        <v>1155</v>
      </c>
      <c r="G368" s="62">
        <v>40544</v>
      </c>
      <c r="H368" s="136">
        <v>23383</v>
      </c>
      <c r="I368" s="141">
        <v>23382.4</v>
      </c>
      <c r="J368" s="141">
        <v>24908</v>
      </c>
      <c r="K368" s="141"/>
      <c r="L368" s="141"/>
      <c r="M368" s="141"/>
      <c r="N368" s="137" t="s">
        <v>344</v>
      </c>
    </row>
    <row r="369" spans="1:14" ht="75">
      <c r="A369" s="127"/>
      <c r="B369" s="125"/>
      <c r="C369" s="165"/>
      <c r="D369" s="142"/>
      <c r="E369" s="42" t="s">
        <v>110</v>
      </c>
      <c r="F369" s="107" t="s">
        <v>1155</v>
      </c>
      <c r="G369" s="62">
        <v>38718</v>
      </c>
      <c r="H369" s="136"/>
      <c r="I369" s="141"/>
      <c r="J369" s="141"/>
      <c r="K369" s="141"/>
      <c r="L369" s="141"/>
      <c r="M369" s="141"/>
      <c r="N369" s="137"/>
    </row>
    <row r="370" spans="1:14" ht="51" customHeight="1">
      <c r="A370" s="127"/>
      <c r="B370" s="8" t="s">
        <v>629</v>
      </c>
      <c r="C370" s="106" t="s">
        <v>628</v>
      </c>
      <c r="D370" s="101" t="s">
        <v>250</v>
      </c>
      <c r="E370" s="42" t="s">
        <v>246</v>
      </c>
      <c r="F370" s="107" t="s">
        <v>1155</v>
      </c>
      <c r="G370" s="4" t="s">
        <v>251</v>
      </c>
      <c r="H370" s="102">
        <f>28232.8+10636.2+570</f>
        <v>39439</v>
      </c>
      <c r="I370" s="102">
        <f>26594.5+10636.1+570</f>
        <v>37800.6</v>
      </c>
      <c r="J370" s="102">
        <f>26504+10843.5+56.4</f>
        <v>37403.9</v>
      </c>
      <c r="K370" s="102">
        <f>37284.7+10900.1</f>
        <v>48184.799999999996</v>
      </c>
      <c r="L370" s="102">
        <f>33484.1+10900.1</f>
        <v>44384.2</v>
      </c>
      <c r="M370" s="102">
        <f>33484.1+10900.1</f>
        <v>44384.2</v>
      </c>
      <c r="N370" s="6"/>
    </row>
    <row r="371" spans="1:14" ht="63" customHeight="1">
      <c r="A371" s="127"/>
      <c r="B371" s="8" t="s">
        <v>631</v>
      </c>
      <c r="C371" s="106" t="s">
        <v>630</v>
      </c>
      <c r="D371" s="101" t="s">
        <v>216</v>
      </c>
      <c r="E371" s="42" t="s">
        <v>218</v>
      </c>
      <c r="F371" s="107" t="s">
        <v>1155</v>
      </c>
      <c r="G371" s="107" t="s">
        <v>1152</v>
      </c>
      <c r="H371" s="102">
        <v>585.1</v>
      </c>
      <c r="I371" s="102">
        <v>581</v>
      </c>
      <c r="J371" s="102">
        <v>495.6</v>
      </c>
      <c r="K371" s="102">
        <v>495.7</v>
      </c>
      <c r="L371" s="102">
        <v>495.7</v>
      </c>
      <c r="M371" s="102">
        <v>495.7</v>
      </c>
      <c r="N371" s="6" t="s">
        <v>222</v>
      </c>
    </row>
    <row r="372" spans="1:14" ht="75.75" customHeight="1">
      <c r="A372" s="127"/>
      <c r="B372" s="8" t="s">
        <v>633</v>
      </c>
      <c r="C372" s="106" t="s">
        <v>632</v>
      </c>
      <c r="D372" s="101" t="s">
        <v>1051</v>
      </c>
      <c r="E372" s="42" t="s">
        <v>219</v>
      </c>
      <c r="F372" s="107" t="s">
        <v>1155</v>
      </c>
      <c r="G372" s="107" t="s">
        <v>220</v>
      </c>
      <c r="H372" s="102">
        <v>1133.8</v>
      </c>
      <c r="I372" s="102">
        <v>1133.8</v>
      </c>
      <c r="J372" s="102">
        <v>1026.6</v>
      </c>
      <c r="K372" s="102">
        <v>1026.6</v>
      </c>
      <c r="L372" s="102">
        <v>1026.6</v>
      </c>
      <c r="M372" s="102">
        <v>1026.6</v>
      </c>
      <c r="N372" s="6" t="s">
        <v>223</v>
      </c>
    </row>
    <row r="373" spans="1:14" ht="64.5" customHeight="1">
      <c r="A373" s="127"/>
      <c r="B373" s="8" t="s">
        <v>635</v>
      </c>
      <c r="C373" s="106" t="s">
        <v>634</v>
      </c>
      <c r="D373" s="101" t="s">
        <v>926</v>
      </c>
      <c r="E373" s="42" t="s">
        <v>221</v>
      </c>
      <c r="F373" s="107" t="s">
        <v>1155</v>
      </c>
      <c r="G373" s="107" t="s">
        <v>593</v>
      </c>
      <c r="H373" s="102">
        <v>838.2</v>
      </c>
      <c r="I373" s="102">
        <v>838.2</v>
      </c>
      <c r="J373" s="102">
        <v>783.1</v>
      </c>
      <c r="K373" s="102">
        <v>1160</v>
      </c>
      <c r="L373" s="102">
        <v>783</v>
      </c>
      <c r="M373" s="102">
        <v>783</v>
      </c>
      <c r="N373" s="6" t="s">
        <v>224</v>
      </c>
    </row>
    <row r="374" spans="1:14" ht="138.75" customHeight="1">
      <c r="A374" s="127"/>
      <c r="B374" s="11" t="s">
        <v>637</v>
      </c>
      <c r="C374" s="106" t="s">
        <v>636</v>
      </c>
      <c r="D374" s="101" t="s">
        <v>588</v>
      </c>
      <c r="E374" s="5" t="s">
        <v>596</v>
      </c>
      <c r="F374" s="106" t="s">
        <v>1155</v>
      </c>
      <c r="G374" s="4" t="s">
        <v>601</v>
      </c>
      <c r="H374" s="95">
        <v>2139.2</v>
      </c>
      <c r="I374" s="98">
        <v>2139.2</v>
      </c>
      <c r="J374" s="95">
        <v>2052.5</v>
      </c>
      <c r="K374" s="95">
        <v>1775.2</v>
      </c>
      <c r="L374" s="95">
        <v>1775.2</v>
      </c>
      <c r="M374" s="95">
        <v>1775.2</v>
      </c>
      <c r="N374" s="96" t="s">
        <v>600</v>
      </c>
    </row>
    <row r="375" spans="1:14" ht="66" customHeight="1">
      <c r="A375" s="127"/>
      <c r="B375" s="188" t="s">
        <v>639</v>
      </c>
      <c r="C375" s="165" t="s">
        <v>638</v>
      </c>
      <c r="D375" s="142" t="s">
        <v>1173</v>
      </c>
      <c r="E375" s="113" t="s">
        <v>592</v>
      </c>
      <c r="F375" s="106" t="s">
        <v>591</v>
      </c>
      <c r="G375" s="106" t="s">
        <v>597</v>
      </c>
      <c r="H375" s="136">
        <v>262.4</v>
      </c>
      <c r="I375" s="143">
        <v>262.4</v>
      </c>
      <c r="J375" s="136">
        <v>277.7</v>
      </c>
      <c r="K375" s="136">
        <v>277.7</v>
      </c>
      <c r="L375" s="136">
        <v>277.7</v>
      </c>
      <c r="M375" s="136">
        <v>277.7</v>
      </c>
      <c r="N375" s="137" t="s">
        <v>598</v>
      </c>
    </row>
    <row r="376" spans="1:14" ht="55.5" customHeight="1">
      <c r="A376" s="127"/>
      <c r="B376" s="188"/>
      <c r="C376" s="165"/>
      <c r="D376" s="142"/>
      <c r="E376" s="5" t="s">
        <v>742</v>
      </c>
      <c r="F376" s="106" t="s">
        <v>1155</v>
      </c>
      <c r="G376" s="41" t="s">
        <v>743</v>
      </c>
      <c r="H376" s="136"/>
      <c r="I376" s="143"/>
      <c r="J376" s="136"/>
      <c r="K376" s="136"/>
      <c r="L376" s="136"/>
      <c r="M376" s="136"/>
      <c r="N376" s="137"/>
    </row>
    <row r="377" spans="1:14" ht="94.5" customHeight="1">
      <c r="A377" s="127"/>
      <c r="B377" s="11" t="s">
        <v>641</v>
      </c>
      <c r="C377" s="106" t="s">
        <v>640</v>
      </c>
      <c r="D377" s="101" t="s">
        <v>111</v>
      </c>
      <c r="E377" s="5" t="s">
        <v>112</v>
      </c>
      <c r="F377" s="106" t="s">
        <v>1155</v>
      </c>
      <c r="G377" s="4" t="s">
        <v>1495</v>
      </c>
      <c r="H377" s="95">
        <f>127731.8+350</f>
        <v>128081.8</v>
      </c>
      <c r="I377" s="98">
        <f>127696.1+341.2</f>
        <v>128037.3</v>
      </c>
      <c r="J377" s="95">
        <f>129269.6+481</f>
        <v>129750.6</v>
      </c>
      <c r="K377" s="95">
        <f>123322.2+481.2</f>
        <v>123803.4</v>
      </c>
      <c r="L377" s="95">
        <f>99245.6+481.2</f>
        <v>99726.8</v>
      </c>
      <c r="M377" s="95">
        <f>99245.6+481.2</f>
        <v>99726.8</v>
      </c>
      <c r="N377" s="96" t="s">
        <v>113</v>
      </c>
    </row>
    <row r="378" spans="1:14" ht="96.75" customHeight="1">
      <c r="A378" s="127"/>
      <c r="B378" s="11" t="s">
        <v>643</v>
      </c>
      <c r="C378" s="106" t="s">
        <v>642</v>
      </c>
      <c r="D378" s="101" t="s">
        <v>834</v>
      </c>
      <c r="E378" s="5" t="s">
        <v>112</v>
      </c>
      <c r="F378" s="106" t="s">
        <v>1155</v>
      </c>
      <c r="G378" s="4" t="s">
        <v>1495</v>
      </c>
      <c r="H378" s="95">
        <v>2153.2</v>
      </c>
      <c r="I378" s="98">
        <v>2009</v>
      </c>
      <c r="J378" s="95">
        <v>2502.6</v>
      </c>
      <c r="K378" s="95">
        <v>2976.2</v>
      </c>
      <c r="L378" s="95">
        <v>2539.4</v>
      </c>
      <c r="M378" s="95">
        <v>2539.4</v>
      </c>
      <c r="N378" s="96" t="s">
        <v>433</v>
      </c>
    </row>
    <row r="379" spans="1:14" ht="139.5" customHeight="1">
      <c r="A379" s="127"/>
      <c r="B379" s="50" t="s">
        <v>645</v>
      </c>
      <c r="C379" s="106" t="s">
        <v>644</v>
      </c>
      <c r="D379" s="101" t="s">
        <v>1486</v>
      </c>
      <c r="E379" s="5" t="s">
        <v>112</v>
      </c>
      <c r="F379" s="106" t="s">
        <v>1155</v>
      </c>
      <c r="G379" s="4" t="s">
        <v>1495</v>
      </c>
      <c r="H379" s="95">
        <v>94190.7</v>
      </c>
      <c r="I379" s="98">
        <v>94188.6</v>
      </c>
      <c r="J379" s="95">
        <v>105494.8</v>
      </c>
      <c r="K379" s="95">
        <v>104753.8</v>
      </c>
      <c r="L379" s="95">
        <v>80292.1</v>
      </c>
      <c r="M379" s="95">
        <v>80292.1</v>
      </c>
      <c r="N379" s="96" t="s">
        <v>432</v>
      </c>
    </row>
    <row r="380" spans="1:14" ht="49.5" customHeight="1">
      <c r="A380" s="127"/>
      <c r="B380" s="192" t="s">
        <v>647</v>
      </c>
      <c r="C380" s="165" t="s">
        <v>646</v>
      </c>
      <c r="D380" s="142" t="s">
        <v>114</v>
      </c>
      <c r="E380" s="5" t="s">
        <v>115</v>
      </c>
      <c r="F380" s="106" t="s">
        <v>1155</v>
      </c>
      <c r="G380" s="4">
        <v>38353</v>
      </c>
      <c r="H380" s="136">
        <f>3493.2+434.4</f>
        <v>3927.6</v>
      </c>
      <c r="I380" s="143">
        <f>3492.3+364.2</f>
        <v>3856.5</v>
      </c>
      <c r="J380" s="136">
        <v>5046.3</v>
      </c>
      <c r="K380" s="136">
        <v>4370.7</v>
      </c>
      <c r="L380" s="136">
        <v>4411.8</v>
      </c>
      <c r="M380" s="136">
        <v>4411.8</v>
      </c>
      <c r="N380" s="137" t="s">
        <v>431</v>
      </c>
    </row>
    <row r="381" spans="1:14" ht="72" customHeight="1">
      <c r="A381" s="127"/>
      <c r="B381" s="192"/>
      <c r="C381" s="165"/>
      <c r="D381" s="142"/>
      <c r="E381" s="5" t="s">
        <v>116</v>
      </c>
      <c r="F381" s="106" t="s">
        <v>1155</v>
      </c>
      <c r="G381" s="4">
        <v>39448</v>
      </c>
      <c r="H381" s="136"/>
      <c r="I381" s="143"/>
      <c r="J381" s="136"/>
      <c r="K381" s="136"/>
      <c r="L381" s="136"/>
      <c r="M381" s="136"/>
      <c r="N381" s="137"/>
    </row>
    <row r="382" spans="1:14" ht="63" customHeight="1">
      <c r="A382" s="127"/>
      <c r="B382" s="192"/>
      <c r="C382" s="165"/>
      <c r="D382" s="142"/>
      <c r="E382" s="5" t="s">
        <v>117</v>
      </c>
      <c r="F382" s="106" t="s">
        <v>1155</v>
      </c>
      <c r="G382" s="4">
        <v>38353</v>
      </c>
      <c r="H382" s="136"/>
      <c r="I382" s="143"/>
      <c r="J382" s="136"/>
      <c r="K382" s="136"/>
      <c r="L382" s="136"/>
      <c r="M382" s="136"/>
      <c r="N382" s="137"/>
    </row>
    <row r="383" spans="1:14" ht="52.5" customHeight="1">
      <c r="A383" s="127"/>
      <c r="B383" s="192"/>
      <c r="C383" s="165"/>
      <c r="D383" s="142"/>
      <c r="E383" s="5" t="s">
        <v>120</v>
      </c>
      <c r="F383" s="106" t="s">
        <v>1155</v>
      </c>
      <c r="G383" s="4">
        <v>39448</v>
      </c>
      <c r="H383" s="136"/>
      <c r="I383" s="143"/>
      <c r="J383" s="136"/>
      <c r="K383" s="136"/>
      <c r="L383" s="136"/>
      <c r="M383" s="136"/>
      <c r="N383" s="137"/>
    </row>
    <row r="384" spans="1:14" ht="49.5" customHeight="1">
      <c r="A384" s="127"/>
      <c r="B384" s="11" t="s">
        <v>649</v>
      </c>
      <c r="C384" s="106" t="s">
        <v>648</v>
      </c>
      <c r="D384" s="101" t="s">
        <v>1486</v>
      </c>
      <c r="E384" s="5" t="s">
        <v>121</v>
      </c>
      <c r="F384" s="106" t="s">
        <v>1155</v>
      </c>
      <c r="G384" s="4">
        <v>40544</v>
      </c>
      <c r="H384" s="43">
        <v>584999.8</v>
      </c>
      <c r="I384" s="43">
        <v>584926.486</v>
      </c>
      <c r="J384" s="43">
        <v>761016.8</v>
      </c>
      <c r="K384" s="43">
        <v>863308.6</v>
      </c>
      <c r="L384" s="43">
        <v>834377.2</v>
      </c>
      <c r="M384" s="43">
        <v>834377.2</v>
      </c>
      <c r="N384" s="96" t="s">
        <v>430</v>
      </c>
    </row>
    <row r="385" spans="1:15" ht="52.5" customHeight="1">
      <c r="A385" s="127"/>
      <c r="B385" s="188" t="s">
        <v>651</v>
      </c>
      <c r="C385" s="165" t="s">
        <v>650</v>
      </c>
      <c r="D385" s="142" t="s">
        <v>733</v>
      </c>
      <c r="E385" s="5" t="s">
        <v>732</v>
      </c>
      <c r="F385" s="106" t="s">
        <v>1155</v>
      </c>
      <c r="G385" s="41" t="s">
        <v>1495</v>
      </c>
      <c r="H385" s="95">
        <f aca="true" t="shared" si="24" ref="H385:M385">H387+H388+H389+H390+H391+H392+H393+H394+H395+H396+H397+H398+H399+H400+H401+H402+H403+H404</f>
        <v>516898.70000000007</v>
      </c>
      <c r="I385" s="95">
        <f t="shared" si="24"/>
        <v>516891.30000000005</v>
      </c>
      <c r="J385" s="95">
        <f t="shared" si="24"/>
        <v>530681.9999999999</v>
      </c>
      <c r="K385" s="95">
        <f t="shared" si="24"/>
        <v>619670.5</v>
      </c>
      <c r="L385" s="95">
        <f t="shared" si="24"/>
        <v>478557.00000000006</v>
      </c>
      <c r="M385" s="95">
        <f t="shared" si="24"/>
        <v>477408.00000000006</v>
      </c>
      <c r="N385" s="96"/>
      <c r="O385" s="44"/>
    </row>
    <row r="386" spans="1:15" ht="15">
      <c r="A386" s="127"/>
      <c r="B386" s="188"/>
      <c r="C386" s="165"/>
      <c r="D386" s="142"/>
      <c r="E386" s="5" t="s">
        <v>1097</v>
      </c>
      <c r="F386" s="106"/>
      <c r="G386" s="4"/>
      <c r="H386" s="95"/>
      <c r="I386" s="98"/>
      <c r="J386" s="95"/>
      <c r="K386" s="95"/>
      <c r="L386" s="95"/>
      <c r="M386" s="95"/>
      <c r="N386" s="96"/>
      <c r="O386" s="44"/>
    </row>
    <row r="387" spans="1:15" ht="49.5" customHeight="1">
      <c r="A387" s="127"/>
      <c r="B387" s="188"/>
      <c r="C387" s="106" t="s">
        <v>734</v>
      </c>
      <c r="D387" s="101" t="s">
        <v>1174</v>
      </c>
      <c r="E387" s="5" t="s">
        <v>732</v>
      </c>
      <c r="F387" s="106" t="s">
        <v>1155</v>
      </c>
      <c r="G387" s="41" t="s">
        <v>1495</v>
      </c>
      <c r="H387" s="95">
        <v>226.8</v>
      </c>
      <c r="I387" s="98">
        <v>226.8</v>
      </c>
      <c r="J387" s="95">
        <v>268.9</v>
      </c>
      <c r="K387" s="95"/>
      <c r="L387" s="95"/>
      <c r="M387" s="95"/>
      <c r="N387" s="96" t="s">
        <v>429</v>
      </c>
      <c r="O387" s="44"/>
    </row>
    <row r="388" spans="1:15" ht="96" customHeight="1">
      <c r="A388" s="127"/>
      <c r="B388" s="188"/>
      <c r="C388" s="106" t="s">
        <v>367</v>
      </c>
      <c r="D388" s="101" t="s">
        <v>1174</v>
      </c>
      <c r="E388" s="113" t="s">
        <v>158</v>
      </c>
      <c r="F388" s="106" t="s">
        <v>1155</v>
      </c>
      <c r="G388" s="106" t="s">
        <v>156</v>
      </c>
      <c r="H388" s="95">
        <v>2488.6</v>
      </c>
      <c r="I388" s="98">
        <v>2488.6</v>
      </c>
      <c r="J388" s="95">
        <v>2731.8</v>
      </c>
      <c r="K388" s="95"/>
      <c r="L388" s="95"/>
      <c r="M388" s="95"/>
      <c r="N388" s="113" t="s">
        <v>390</v>
      </c>
      <c r="O388" s="44"/>
    </row>
    <row r="389" spans="1:15" ht="48" customHeight="1">
      <c r="A389" s="127"/>
      <c r="B389" s="188"/>
      <c r="C389" s="106" t="s">
        <v>368</v>
      </c>
      <c r="D389" s="101" t="s">
        <v>1060</v>
      </c>
      <c r="E389" s="92" t="s">
        <v>157</v>
      </c>
      <c r="F389" s="106" t="s">
        <v>1155</v>
      </c>
      <c r="G389" s="4" t="s">
        <v>1495</v>
      </c>
      <c r="H389" s="95"/>
      <c r="I389" s="98"/>
      <c r="J389" s="95"/>
      <c r="K389" s="95">
        <v>33550.7</v>
      </c>
      <c r="L389" s="95">
        <v>30796</v>
      </c>
      <c r="M389" s="95">
        <v>30796</v>
      </c>
      <c r="N389" s="113" t="s">
        <v>391</v>
      </c>
      <c r="O389" s="44"/>
    </row>
    <row r="390" spans="1:15" ht="52.5" customHeight="1">
      <c r="A390" s="127"/>
      <c r="B390" s="188"/>
      <c r="C390" s="106" t="s">
        <v>369</v>
      </c>
      <c r="D390" s="101" t="s">
        <v>1446</v>
      </c>
      <c r="E390" s="115" t="s">
        <v>345</v>
      </c>
      <c r="F390" s="3" t="s">
        <v>346</v>
      </c>
      <c r="G390" s="3" t="s">
        <v>251</v>
      </c>
      <c r="H390" s="102">
        <v>816.4</v>
      </c>
      <c r="I390" s="98">
        <v>816.4</v>
      </c>
      <c r="J390" s="95">
        <v>458.9</v>
      </c>
      <c r="K390" s="95">
        <v>999</v>
      </c>
      <c r="L390" s="95">
        <v>999</v>
      </c>
      <c r="M390" s="95">
        <v>999</v>
      </c>
      <c r="N390" s="73" t="s">
        <v>428</v>
      </c>
      <c r="O390" s="44"/>
    </row>
    <row r="391" spans="1:15" ht="63" customHeight="1">
      <c r="A391" s="127"/>
      <c r="B391" s="188"/>
      <c r="C391" s="106" t="s">
        <v>370</v>
      </c>
      <c r="D391" s="101" t="s">
        <v>1446</v>
      </c>
      <c r="E391" s="115" t="s">
        <v>347</v>
      </c>
      <c r="F391" s="3" t="s">
        <v>348</v>
      </c>
      <c r="G391" s="3" t="s">
        <v>349</v>
      </c>
      <c r="H391" s="95">
        <v>9477.1</v>
      </c>
      <c r="I391" s="98">
        <v>9477.1</v>
      </c>
      <c r="J391" s="95">
        <v>11263.7</v>
      </c>
      <c r="K391" s="95">
        <v>9295.2</v>
      </c>
      <c r="L391" s="95">
        <v>6339.2</v>
      </c>
      <c r="M391" s="95">
        <v>6339.2</v>
      </c>
      <c r="N391" s="73" t="s">
        <v>427</v>
      </c>
      <c r="O391" s="44"/>
    </row>
    <row r="392" spans="1:15" ht="105">
      <c r="A392" s="127"/>
      <c r="B392" s="188"/>
      <c r="C392" s="106" t="s">
        <v>371</v>
      </c>
      <c r="D392" s="101" t="s">
        <v>1446</v>
      </c>
      <c r="E392" s="115" t="s">
        <v>345</v>
      </c>
      <c r="F392" s="3" t="s">
        <v>346</v>
      </c>
      <c r="G392" s="3" t="s">
        <v>251</v>
      </c>
      <c r="H392" s="95">
        <v>351963.4</v>
      </c>
      <c r="I392" s="98">
        <v>351962.2</v>
      </c>
      <c r="J392" s="95">
        <v>367031.7</v>
      </c>
      <c r="K392" s="95">
        <v>418119.8</v>
      </c>
      <c r="L392" s="95">
        <v>285552.4</v>
      </c>
      <c r="M392" s="95">
        <v>285552.4</v>
      </c>
      <c r="N392" s="73" t="s">
        <v>426</v>
      </c>
      <c r="O392" s="44"/>
    </row>
    <row r="393" spans="1:15" ht="135" customHeight="1">
      <c r="A393" s="127"/>
      <c r="B393" s="188"/>
      <c r="C393" s="106" t="s">
        <v>372</v>
      </c>
      <c r="D393" s="101" t="s">
        <v>352</v>
      </c>
      <c r="E393" s="2" t="s">
        <v>350</v>
      </c>
      <c r="F393" s="106" t="s">
        <v>1155</v>
      </c>
      <c r="G393" s="4" t="s">
        <v>351</v>
      </c>
      <c r="H393" s="95"/>
      <c r="I393" s="98"/>
      <c r="J393" s="95">
        <v>367.3</v>
      </c>
      <c r="K393" s="95"/>
      <c r="L393" s="95"/>
      <c r="M393" s="95"/>
      <c r="N393" s="113" t="s">
        <v>392</v>
      </c>
      <c r="O393" s="44"/>
    </row>
    <row r="394" spans="1:15" ht="63" customHeight="1">
      <c r="A394" s="127"/>
      <c r="B394" s="188"/>
      <c r="C394" s="106" t="s">
        <v>373</v>
      </c>
      <c r="D394" s="101" t="s">
        <v>1446</v>
      </c>
      <c r="E394" s="115" t="s">
        <v>246</v>
      </c>
      <c r="F394" s="3" t="s">
        <v>353</v>
      </c>
      <c r="G394" s="3" t="s">
        <v>247</v>
      </c>
      <c r="H394" s="95">
        <v>409.3</v>
      </c>
      <c r="I394" s="98">
        <v>409.3</v>
      </c>
      <c r="J394" s="95">
        <v>372.8</v>
      </c>
      <c r="K394" s="95">
        <v>530.8</v>
      </c>
      <c r="L394" s="95">
        <v>530.8</v>
      </c>
      <c r="M394" s="95">
        <v>530.8</v>
      </c>
      <c r="N394" s="73" t="s">
        <v>425</v>
      </c>
      <c r="O394" s="44"/>
    </row>
    <row r="395" spans="1:15" ht="30">
      <c r="A395" s="127"/>
      <c r="B395" s="188"/>
      <c r="C395" s="106" t="s">
        <v>374</v>
      </c>
      <c r="D395" s="101" t="s">
        <v>1446</v>
      </c>
      <c r="E395" s="115" t="s">
        <v>354</v>
      </c>
      <c r="F395" s="3" t="s">
        <v>355</v>
      </c>
      <c r="G395" s="3" t="s">
        <v>356</v>
      </c>
      <c r="H395" s="95">
        <v>7230.7</v>
      </c>
      <c r="I395" s="98">
        <v>7230.7</v>
      </c>
      <c r="J395" s="95">
        <v>8000</v>
      </c>
      <c r="K395" s="95">
        <v>8000</v>
      </c>
      <c r="L395" s="95">
        <v>8000</v>
      </c>
      <c r="M395" s="95">
        <v>8000</v>
      </c>
      <c r="N395" s="73" t="s">
        <v>424</v>
      </c>
      <c r="O395" s="44"/>
    </row>
    <row r="396" spans="1:15" ht="135">
      <c r="A396" s="127"/>
      <c r="B396" s="188"/>
      <c r="C396" s="106" t="s">
        <v>375</v>
      </c>
      <c r="D396" s="107">
        <v>1002</v>
      </c>
      <c r="E396" s="36" t="s">
        <v>357</v>
      </c>
      <c r="F396" s="3" t="s">
        <v>1449</v>
      </c>
      <c r="G396" s="4" t="s">
        <v>358</v>
      </c>
      <c r="H396" s="95">
        <v>1060</v>
      </c>
      <c r="I396" s="98">
        <v>1060</v>
      </c>
      <c r="J396" s="95"/>
      <c r="K396" s="95"/>
      <c r="L396" s="95"/>
      <c r="M396" s="95"/>
      <c r="N396" s="113" t="s">
        <v>423</v>
      </c>
      <c r="O396" s="44"/>
    </row>
    <row r="397" spans="1:15" ht="60">
      <c r="A397" s="127"/>
      <c r="B397" s="188"/>
      <c r="C397" s="106" t="s">
        <v>376</v>
      </c>
      <c r="D397" s="114">
        <v>707</v>
      </c>
      <c r="E397" s="63" t="s">
        <v>246</v>
      </c>
      <c r="F397" s="3" t="s">
        <v>359</v>
      </c>
      <c r="G397" s="3" t="s">
        <v>247</v>
      </c>
      <c r="H397" s="95">
        <v>24844</v>
      </c>
      <c r="I397" s="95">
        <v>24838</v>
      </c>
      <c r="J397" s="95">
        <f>25527.7+212.6</f>
        <v>25740.3</v>
      </c>
      <c r="K397" s="95">
        <f>34009.1+231.4</f>
        <v>34240.5</v>
      </c>
      <c r="L397" s="95">
        <f>34009.1+231.4</f>
        <v>34240.5</v>
      </c>
      <c r="M397" s="95">
        <f>34009.1+231.4</f>
        <v>34240.5</v>
      </c>
      <c r="N397" s="73" t="s">
        <v>422</v>
      </c>
      <c r="O397" s="44"/>
    </row>
    <row r="398" spans="1:15" ht="82.5" customHeight="1">
      <c r="A398" s="127"/>
      <c r="B398" s="188"/>
      <c r="C398" s="106" t="s">
        <v>377</v>
      </c>
      <c r="D398" s="107">
        <v>1006</v>
      </c>
      <c r="E398" s="115" t="s">
        <v>246</v>
      </c>
      <c r="F398" s="106" t="s">
        <v>360</v>
      </c>
      <c r="G398" s="4" t="s">
        <v>251</v>
      </c>
      <c r="H398" s="95">
        <f>11148.3+7350.5+92279.6</f>
        <v>110778.40000000001</v>
      </c>
      <c r="I398" s="98">
        <f>11148.3+7350.5+92279.6</f>
        <v>110778.40000000001</v>
      </c>
      <c r="J398" s="95">
        <f>12941.3+212+5929.6+92772.4+91.6</f>
        <v>111946.9</v>
      </c>
      <c r="K398" s="95">
        <f>12631.2+5404.5+91817.7+91.2</f>
        <v>109944.59999999999</v>
      </c>
      <c r="L398" s="95">
        <f>12206.6+5404.5+88680.6+91.2</f>
        <v>106382.90000000001</v>
      </c>
      <c r="M398" s="95">
        <f>12206.6+5404.5+88680.6+91.2</f>
        <v>106382.90000000001</v>
      </c>
      <c r="N398" s="113" t="s">
        <v>421</v>
      </c>
      <c r="O398" s="44"/>
    </row>
    <row r="399" spans="1:15" ht="67.5" customHeight="1">
      <c r="A399" s="127"/>
      <c r="B399" s="188"/>
      <c r="C399" s="106" t="s">
        <v>378</v>
      </c>
      <c r="D399" s="107">
        <v>1002</v>
      </c>
      <c r="E399" s="2" t="s">
        <v>361</v>
      </c>
      <c r="F399" s="106" t="s">
        <v>1155</v>
      </c>
      <c r="G399" s="4" t="s">
        <v>362</v>
      </c>
      <c r="H399" s="64">
        <v>1026.1</v>
      </c>
      <c r="I399" s="64">
        <v>1026.1</v>
      </c>
      <c r="J399" s="95"/>
      <c r="K399" s="95"/>
      <c r="L399" s="95"/>
      <c r="M399" s="95"/>
      <c r="N399" s="113" t="s">
        <v>420</v>
      </c>
      <c r="O399" s="44"/>
    </row>
    <row r="400" spans="1:15" ht="45">
      <c r="A400" s="127"/>
      <c r="B400" s="188"/>
      <c r="C400" s="106" t="s">
        <v>379</v>
      </c>
      <c r="D400" s="107">
        <v>1002</v>
      </c>
      <c r="E400" s="2" t="s">
        <v>363</v>
      </c>
      <c r="F400" s="106" t="s">
        <v>1155</v>
      </c>
      <c r="G400" s="4" t="s">
        <v>292</v>
      </c>
      <c r="H400" s="95">
        <v>1928.2</v>
      </c>
      <c r="I400" s="98">
        <v>1928</v>
      </c>
      <c r="J400" s="95">
        <v>40</v>
      </c>
      <c r="K400" s="95"/>
      <c r="L400" s="95">
        <v>1149</v>
      </c>
      <c r="M400" s="95"/>
      <c r="N400" s="113" t="s">
        <v>419</v>
      </c>
      <c r="O400" s="44"/>
    </row>
    <row r="401" spans="1:15" ht="75" customHeight="1">
      <c r="A401" s="127"/>
      <c r="B401" s="188"/>
      <c r="C401" s="106" t="s">
        <v>380</v>
      </c>
      <c r="D401" s="107">
        <v>1002</v>
      </c>
      <c r="E401" s="2" t="s">
        <v>364</v>
      </c>
      <c r="F401" s="106" t="s">
        <v>1155</v>
      </c>
      <c r="G401" s="4" t="s">
        <v>365</v>
      </c>
      <c r="H401" s="95">
        <v>2500</v>
      </c>
      <c r="I401" s="98">
        <v>2500</v>
      </c>
      <c r="J401" s="95"/>
      <c r="K401" s="95"/>
      <c r="L401" s="95"/>
      <c r="M401" s="95"/>
      <c r="N401" s="113" t="s">
        <v>418</v>
      </c>
      <c r="O401" s="44"/>
    </row>
    <row r="402" spans="1:15" ht="82.5" customHeight="1">
      <c r="A402" s="127"/>
      <c r="B402" s="188"/>
      <c r="C402" s="106" t="s">
        <v>381</v>
      </c>
      <c r="D402" s="107">
        <v>1002</v>
      </c>
      <c r="E402" s="2" t="s">
        <v>93</v>
      </c>
      <c r="F402" s="106" t="s">
        <v>1155</v>
      </c>
      <c r="G402" s="4" t="s">
        <v>552</v>
      </c>
      <c r="H402" s="95"/>
      <c r="I402" s="98"/>
      <c r="J402" s="95">
        <v>310</v>
      </c>
      <c r="K402" s="95"/>
      <c r="L402" s="95"/>
      <c r="M402" s="95"/>
      <c r="N402" s="113" t="s">
        <v>417</v>
      </c>
      <c r="O402" s="44"/>
    </row>
    <row r="403" spans="1:15" ht="60">
      <c r="A403" s="127"/>
      <c r="B403" s="188"/>
      <c r="C403" s="106" t="s">
        <v>382</v>
      </c>
      <c r="D403" s="107">
        <v>1002</v>
      </c>
      <c r="E403" s="2" t="s">
        <v>94</v>
      </c>
      <c r="F403" s="106" t="s">
        <v>1155</v>
      </c>
      <c r="G403" s="4" t="s">
        <v>366</v>
      </c>
      <c r="H403" s="95"/>
      <c r="I403" s="98"/>
      <c r="J403" s="95"/>
      <c r="K403" s="95">
        <v>2911.4</v>
      </c>
      <c r="L403" s="95">
        <v>2871.4</v>
      </c>
      <c r="M403" s="95">
        <v>2871.4</v>
      </c>
      <c r="N403" s="113" t="s">
        <v>393</v>
      </c>
      <c r="O403" s="44"/>
    </row>
    <row r="404" spans="1:15" ht="48" customHeight="1">
      <c r="A404" s="127"/>
      <c r="B404" s="188"/>
      <c r="C404" s="106" t="s">
        <v>383</v>
      </c>
      <c r="D404" s="174">
        <v>1002.1006</v>
      </c>
      <c r="E404" s="144" t="s">
        <v>345</v>
      </c>
      <c r="F404" s="3" t="s">
        <v>346</v>
      </c>
      <c r="G404" s="3" t="s">
        <v>251</v>
      </c>
      <c r="H404" s="136">
        <f>1675.8+473.9</f>
        <v>2149.7</v>
      </c>
      <c r="I404" s="143">
        <f>1675.8+473.9</f>
        <v>2149.7</v>
      </c>
      <c r="J404" s="143">
        <f>1675.8+473.9</f>
        <v>2149.7</v>
      </c>
      <c r="K404" s="143">
        <f>1675.8+402.7</f>
        <v>2078.5</v>
      </c>
      <c r="L404" s="143">
        <f>1675.8+20</f>
        <v>1695.8</v>
      </c>
      <c r="M404" s="143">
        <f>1675.8+20</f>
        <v>1695.8</v>
      </c>
      <c r="N404" s="140" t="s">
        <v>416</v>
      </c>
      <c r="O404" s="44"/>
    </row>
    <row r="405" spans="1:15" ht="45">
      <c r="A405" s="127"/>
      <c r="B405" s="188"/>
      <c r="C405" s="106" t="s">
        <v>384</v>
      </c>
      <c r="D405" s="174"/>
      <c r="E405" s="144"/>
      <c r="F405" s="3" t="s">
        <v>346</v>
      </c>
      <c r="G405" s="3" t="s">
        <v>251</v>
      </c>
      <c r="H405" s="136"/>
      <c r="I405" s="143"/>
      <c r="J405" s="143"/>
      <c r="K405" s="143"/>
      <c r="L405" s="143"/>
      <c r="M405" s="143"/>
      <c r="N405" s="140"/>
      <c r="O405" s="44"/>
    </row>
    <row r="406" spans="1:15" ht="67.5" customHeight="1">
      <c r="A406" s="127"/>
      <c r="B406" s="11" t="s">
        <v>653</v>
      </c>
      <c r="C406" s="106" t="s">
        <v>652</v>
      </c>
      <c r="D406" s="101" t="s">
        <v>1446</v>
      </c>
      <c r="E406" s="45" t="s">
        <v>252</v>
      </c>
      <c r="F406" s="3" t="s">
        <v>1155</v>
      </c>
      <c r="G406" s="3" t="s">
        <v>253</v>
      </c>
      <c r="H406" s="95">
        <f>203680.4</f>
        <v>203680.4</v>
      </c>
      <c r="I406" s="98">
        <v>203680.4</v>
      </c>
      <c r="J406" s="95">
        <v>219639.7</v>
      </c>
      <c r="K406" s="95"/>
      <c r="L406" s="95"/>
      <c r="M406" s="95"/>
      <c r="N406" s="96" t="s">
        <v>394</v>
      </c>
      <c r="O406" s="44"/>
    </row>
    <row r="407" spans="1:15" ht="90">
      <c r="A407" s="127"/>
      <c r="B407" s="11" t="s">
        <v>655</v>
      </c>
      <c r="C407" s="106" t="s">
        <v>654</v>
      </c>
      <c r="D407" s="101" t="s">
        <v>1060</v>
      </c>
      <c r="E407" s="5" t="s">
        <v>122</v>
      </c>
      <c r="F407" s="106" t="s">
        <v>1155</v>
      </c>
      <c r="G407" s="41" t="s">
        <v>1495</v>
      </c>
      <c r="H407" s="95">
        <v>5475</v>
      </c>
      <c r="I407" s="98">
        <v>5468.7</v>
      </c>
      <c r="J407" s="95">
        <v>6818.7</v>
      </c>
      <c r="K407" s="95">
        <v>6818.7</v>
      </c>
      <c r="L407" s="95">
        <v>5829.8</v>
      </c>
      <c r="M407" s="95">
        <v>5829.8</v>
      </c>
      <c r="N407" s="96" t="s">
        <v>655</v>
      </c>
      <c r="O407" s="44"/>
    </row>
    <row r="408" spans="1:15" ht="91.5" customHeight="1">
      <c r="A408" s="127"/>
      <c r="B408" s="11" t="s">
        <v>657</v>
      </c>
      <c r="C408" s="106" t="s">
        <v>656</v>
      </c>
      <c r="D408" s="101" t="s">
        <v>1066</v>
      </c>
      <c r="E408" s="51" t="s">
        <v>254</v>
      </c>
      <c r="F408" s="106" t="s">
        <v>1155</v>
      </c>
      <c r="G408" s="4" t="s">
        <v>528</v>
      </c>
      <c r="H408" s="95">
        <v>1413.9</v>
      </c>
      <c r="I408" s="98">
        <v>1413.9</v>
      </c>
      <c r="J408" s="95">
        <f>2789.4+2742.4</f>
        <v>5531.8</v>
      </c>
      <c r="K408" s="95">
        <f>3856.6+2682.5</f>
        <v>6539.1</v>
      </c>
      <c r="L408" s="95">
        <f>3923.1+2682.5</f>
        <v>6605.6</v>
      </c>
      <c r="M408" s="95">
        <f>3923.1+2682.5</f>
        <v>6605.6</v>
      </c>
      <c r="N408" s="96" t="s">
        <v>255</v>
      </c>
      <c r="O408" s="44"/>
    </row>
    <row r="409" spans="1:15" ht="60">
      <c r="A409" s="127"/>
      <c r="B409" s="11" t="s">
        <v>659</v>
      </c>
      <c r="C409" s="106" t="s">
        <v>658</v>
      </c>
      <c r="D409" s="101" t="s">
        <v>1066</v>
      </c>
      <c r="E409" s="2" t="s">
        <v>256</v>
      </c>
      <c r="F409" s="106" t="s">
        <v>1155</v>
      </c>
      <c r="G409" s="4" t="s">
        <v>257</v>
      </c>
      <c r="H409" s="95"/>
      <c r="I409" s="98"/>
      <c r="J409" s="95">
        <f>1203.6</f>
        <v>1203.6</v>
      </c>
      <c r="K409" s="95">
        <v>902.7</v>
      </c>
      <c r="L409" s="95">
        <v>902.7</v>
      </c>
      <c r="M409" s="95">
        <v>902.7</v>
      </c>
      <c r="N409" s="96" t="s">
        <v>341</v>
      </c>
      <c r="O409" s="44"/>
    </row>
    <row r="410" spans="1:15" ht="51.75" customHeight="1">
      <c r="A410" s="127"/>
      <c r="B410" s="11" t="s">
        <v>667</v>
      </c>
      <c r="C410" s="106" t="s">
        <v>666</v>
      </c>
      <c r="D410" s="101" t="s">
        <v>1066</v>
      </c>
      <c r="E410" s="49" t="s">
        <v>246</v>
      </c>
      <c r="F410" s="3" t="s">
        <v>258</v>
      </c>
      <c r="G410" s="3" t="s">
        <v>251</v>
      </c>
      <c r="H410" s="95">
        <v>6805</v>
      </c>
      <c r="I410" s="98">
        <v>6805</v>
      </c>
      <c r="J410" s="95">
        <v>6804.8</v>
      </c>
      <c r="K410" s="95">
        <v>6805.8</v>
      </c>
      <c r="L410" s="95">
        <v>6805.8</v>
      </c>
      <c r="M410" s="95"/>
      <c r="N410" s="96" t="s">
        <v>342</v>
      </c>
      <c r="O410" s="44"/>
    </row>
    <row r="411" spans="1:15" ht="45">
      <c r="A411" s="127"/>
      <c r="B411" s="188" t="s">
        <v>661</v>
      </c>
      <c r="C411" s="106" t="s">
        <v>660</v>
      </c>
      <c r="D411" s="101" t="s">
        <v>1142</v>
      </c>
      <c r="E411" s="6" t="s">
        <v>1402</v>
      </c>
      <c r="F411" s="119" t="s">
        <v>95</v>
      </c>
      <c r="G411" s="117" t="s">
        <v>63</v>
      </c>
      <c r="H411" s="95">
        <f aca="true" t="shared" si="25" ref="H411:M411">H413+H414+H415</f>
        <v>0</v>
      </c>
      <c r="I411" s="95">
        <f t="shared" si="25"/>
        <v>0</v>
      </c>
      <c r="J411" s="95">
        <f t="shared" si="25"/>
        <v>286348.5</v>
      </c>
      <c r="K411" s="95">
        <f t="shared" si="25"/>
        <v>0</v>
      </c>
      <c r="L411" s="95">
        <f t="shared" si="25"/>
        <v>0</v>
      </c>
      <c r="M411" s="95">
        <f t="shared" si="25"/>
        <v>0</v>
      </c>
      <c r="N411" s="96"/>
      <c r="O411" s="44"/>
    </row>
    <row r="412" spans="1:15" ht="15">
      <c r="A412" s="127"/>
      <c r="B412" s="188"/>
      <c r="C412" s="106"/>
      <c r="D412" s="101"/>
      <c r="E412" s="5" t="s">
        <v>1097</v>
      </c>
      <c r="F412" s="107"/>
      <c r="G412" s="107"/>
      <c r="H412" s="102"/>
      <c r="I412" s="102"/>
      <c r="J412" s="102"/>
      <c r="K412" s="102"/>
      <c r="L412" s="102"/>
      <c r="M412" s="102"/>
      <c r="N412" s="96"/>
      <c r="O412" s="44"/>
    </row>
    <row r="413" spans="1:15" ht="60" customHeight="1">
      <c r="A413" s="127"/>
      <c r="B413" s="188"/>
      <c r="C413" s="106" t="s">
        <v>749</v>
      </c>
      <c r="D413" s="101" t="s">
        <v>1142</v>
      </c>
      <c r="E413" s="22" t="s">
        <v>747</v>
      </c>
      <c r="F413" s="23" t="s">
        <v>1155</v>
      </c>
      <c r="G413" s="23" t="s">
        <v>1114</v>
      </c>
      <c r="H413" s="95"/>
      <c r="I413" s="98"/>
      <c r="J413" s="95">
        <v>280618.3</v>
      </c>
      <c r="K413" s="95"/>
      <c r="L413" s="95"/>
      <c r="M413" s="95"/>
      <c r="N413" s="74" t="s">
        <v>434</v>
      </c>
      <c r="O413" s="44"/>
    </row>
    <row r="414" spans="1:15" ht="48" customHeight="1">
      <c r="A414" s="127"/>
      <c r="B414" s="188"/>
      <c r="C414" s="106" t="s">
        <v>750</v>
      </c>
      <c r="D414" s="101" t="s">
        <v>1063</v>
      </c>
      <c r="E414" s="113" t="s">
        <v>119</v>
      </c>
      <c r="F414" s="23" t="s">
        <v>1155</v>
      </c>
      <c r="G414" s="4" t="s">
        <v>1387</v>
      </c>
      <c r="H414" s="95"/>
      <c r="I414" s="98"/>
      <c r="J414" s="95">
        <v>3030.2</v>
      </c>
      <c r="K414" s="95"/>
      <c r="L414" s="95"/>
      <c r="M414" s="95"/>
      <c r="N414" s="113" t="s">
        <v>435</v>
      </c>
      <c r="O414" s="44"/>
    </row>
    <row r="415" spans="1:15" ht="55.5" customHeight="1">
      <c r="A415" s="127"/>
      <c r="B415" s="188"/>
      <c r="C415" s="106" t="s">
        <v>751</v>
      </c>
      <c r="D415" s="101" t="s">
        <v>1063</v>
      </c>
      <c r="E415" s="113" t="s">
        <v>118</v>
      </c>
      <c r="F415" s="106" t="s">
        <v>1155</v>
      </c>
      <c r="G415" s="4" t="s">
        <v>748</v>
      </c>
      <c r="H415" s="95"/>
      <c r="I415" s="98"/>
      <c r="J415" s="95">
        <v>2700</v>
      </c>
      <c r="K415" s="95"/>
      <c r="L415" s="95"/>
      <c r="M415" s="95"/>
      <c r="N415" s="113" t="s">
        <v>436</v>
      </c>
      <c r="O415" s="44"/>
    </row>
    <row r="416" spans="1:15" ht="177.75" customHeight="1">
      <c r="A416" s="127"/>
      <c r="B416" s="11" t="s">
        <v>663</v>
      </c>
      <c r="C416" s="106" t="s">
        <v>662</v>
      </c>
      <c r="D416" s="101" t="s">
        <v>123</v>
      </c>
      <c r="E416" s="5" t="s">
        <v>112</v>
      </c>
      <c r="F416" s="106" t="s">
        <v>1155</v>
      </c>
      <c r="G416" s="4" t="s">
        <v>1495</v>
      </c>
      <c r="H416" s="43">
        <v>36388.193</v>
      </c>
      <c r="I416" s="43">
        <v>36386.8617</v>
      </c>
      <c r="J416" s="43">
        <v>40952.5</v>
      </c>
      <c r="K416" s="43">
        <v>44506.8</v>
      </c>
      <c r="L416" s="43">
        <v>35843.6</v>
      </c>
      <c r="M416" s="43">
        <v>35843.6</v>
      </c>
      <c r="N416" s="96" t="s">
        <v>437</v>
      </c>
      <c r="O416" s="44"/>
    </row>
    <row r="417" spans="1:16" ht="185.25">
      <c r="A417" s="127"/>
      <c r="B417" s="11" t="s">
        <v>665</v>
      </c>
      <c r="C417" s="106" t="s">
        <v>664</v>
      </c>
      <c r="D417" s="101" t="s">
        <v>123</v>
      </c>
      <c r="E417" s="5" t="s">
        <v>124</v>
      </c>
      <c r="F417" s="106" t="s">
        <v>1155</v>
      </c>
      <c r="G417" s="106" t="s">
        <v>125</v>
      </c>
      <c r="H417" s="43">
        <v>41363.8</v>
      </c>
      <c r="I417" s="43">
        <v>41359.508700000006</v>
      </c>
      <c r="J417" s="43">
        <v>44213.6</v>
      </c>
      <c r="K417" s="43">
        <v>52294.2</v>
      </c>
      <c r="L417" s="43">
        <v>44711.7</v>
      </c>
      <c r="M417" s="43">
        <v>44711.7</v>
      </c>
      <c r="N417" s="75" t="s">
        <v>438</v>
      </c>
      <c r="O417" s="20"/>
      <c r="P417" s="44"/>
    </row>
    <row r="418" spans="1:16" ht="60">
      <c r="A418" s="127"/>
      <c r="B418" s="11" t="s">
        <v>669</v>
      </c>
      <c r="C418" s="106" t="s">
        <v>668</v>
      </c>
      <c r="D418" s="101" t="s">
        <v>1446</v>
      </c>
      <c r="E418" s="5" t="s">
        <v>225</v>
      </c>
      <c r="F418" s="106" t="s">
        <v>1155</v>
      </c>
      <c r="G418" s="106" t="s">
        <v>226</v>
      </c>
      <c r="H418" s="43">
        <v>53078.4</v>
      </c>
      <c r="I418" s="43">
        <v>52903.8</v>
      </c>
      <c r="J418" s="43">
        <v>42045.3</v>
      </c>
      <c r="K418" s="43">
        <v>32413.5</v>
      </c>
      <c r="L418" s="43">
        <v>8825.9</v>
      </c>
      <c r="M418" s="43">
        <v>8818.1</v>
      </c>
      <c r="N418" s="75"/>
      <c r="O418" s="20"/>
      <c r="P418" s="44"/>
    </row>
    <row r="419" spans="1:15" ht="150">
      <c r="A419" s="127"/>
      <c r="B419" s="11" t="s">
        <v>671</v>
      </c>
      <c r="C419" s="106" t="s">
        <v>670</v>
      </c>
      <c r="D419" s="101" t="s">
        <v>926</v>
      </c>
      <c r="E419" s="5" t="s">
        <v>595</v>
      </c>
      <c r="F419" s="106" t="s">
        <v>1449</v>
      </c>
      <c r="G419" s="4" t="s">
        <v>594</v>
      </c>
      <c r="H419" s="95">
        <v>2768</v>
      </c>
      <c r="I419" s="98">
        <v>546.5</v>
      </c>
      <c r="J419" s="95"/>
      <c r="K419" s="95"/>
      <c r="L419" s="95"/>
      <c r="M419" s="95"/>
      <c r="N419" s="96" t="s">
        <v>599</v>
      </c>
      <c r="O419" s="44"/>
    </row>
    <row r="420" spans="1:256" s="29" customFormat="1" ht="74.25" customHeight="1">
      <c r="A420" s="127">
        <v>4</v>
      </c>
      <c r="B420" s="125" t="s">
        <v>1400</v>
      </c>
      <c r="C420" s="193" t="s">
        <v>1010</v>
      </c>
      <c r="D420" s="193" t="s">
        <v>49</v>
      </c>
      <c r="E420" s="97" t="s">
        <v>1184</v>
      </c>
      <c r="F420" s="104" t="s">
        <v>1186</v>
      </c>
      <c r="G420" s="104" t="s">
        <v>1185</v>
      </c>
      <c r="H420" s="31">
        <f aca="true" t="shared" si="26" ref="H420:M420">H422+H437+H459+H471</f>
        <v>433902.80000000005</v>
      </c>
      <c r="I420" s="31">
        <f t="shared" si="26"/>
        <v>376489.9</v>
      </c>
      <c r="J420" s="31">
        <f t="shared" si="26"/>
        <v>326866.9</v>
      </c>
      <c r="K420" s="31">
        <f t="shared" si="26"/>
        <v>107733</v>
      </c>
      <c r="L420" s="31">
        <f t="shared" si="26"/>
        <v>92434.1</v>
      </c>
      <c r="M420" s="31">
        <f t="shared" si="26"/>
        <v>92551.2</v>
      </c>
      <c r="N420" s="72"/>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c r="FP420" s="21"/>
      <c r="FQ420" s="21"/>
      <c r="FR420" s="21"/>
      <c r="FS420" s="21"/>
      <c r="FT420" s="21"/>
      <c r="FU420" s="21"/>
      <c r="FV420" s="21"/>
      <c r="FW420" s="21"/>
      <c r="FX420" s="21"/>
      <c r="FY420" s="21"/>
      <c r="FZ420" s="21"/>
      <c r="GA420" s="21"/>
      <c r="GB420" s="21"/>
      <c r="GC420" s="21"/>
      <c r="GD420" s="21"/>
      <c r="GE420" s="21"/>
      <c r="GF420" s="21"/>
      <c r="GG420" s="21"/>
      <c r="GH420" s="21"/>
      <c r="GI420" s="21"/>
      <c r="GJ420" s="21"/>
      <c r="GK420" s="21"/>
      <c r="GL420" s="21"/>
      <c r="GM420" s="21"/>
      <c r="GN420" s="21"/>
      <c r="GO420" s="21"/>
      <c r="GP420" s="21"/>
      <c r="GQ420" s="21"/>
      <c r="GR420" s="21"/>
      <c r="GS420" s="21"/>
      <c r="GT420" s="21"/>
      <c r="GU420" s="21"/>
      <c r="GV420" s="21"/>
      <c r="GW420" s="21"/>
      <c r="GX420" s="21"/>
      <c r="GY420" s="21"/>
      <c r="GZ420" s="21"/>
      <c r="HA420" s="21"/>
      <c r="HB420" s="21"/>
      <c r="HC420" s="21"/>
      <c r="HD420" s="21"/>
      <c r="HE420" s="21"/>
      <c r="HF420" s="21"/>
      <c r="HG420" s="21"/>
      <c r="HH420" s="21"/>
      <c r="HI420" s="21"/>
      <c r="HJ420" s="21"/>
      <c r="HK420" s="21"/>
      <c r="HL420" s="21"/>
      <c r="HM420" s="21"/>
      <c r="HN420" s="21"/>
      <c r="HO420" s="21"/>
      <c r="HP420" s="21"/>
      <c r="HQ420" s="21"/>
      <c r="HR420" s="21"/>
      <c r="HS420" s="21"/>
      <c r="HT420" s="21"/>
      <c r="HU420" s="21"/>
      <c r="HV420" s="21"/>
      <c r="HW420" s="21"/>
      <c r="HX420" s="21"/>
      <c r="HY420" s="21"/>
      <c r="HZ420" s="21"/>
      <c r="IA420" s="21"/>
      <c r="IB420" s="21"/>
      <c r="IC420" s="21"/>
      <c r="ID420" s="21"/>
      <c r="IE420" s="21"/>
      <c r="IF420" s="21"/>
      <c r="IG420" s="21"/>
      <c r="IH420" s="21"/>
      <c r="II420" s="21"/>
      <c r="IJ420" s="21"/>
      <c r="IK420" s="21"/>
      <c r="IL420" s="21"/>
      <c r="IM420" s="21"/>
      <c r="IN420" s="21"/>
      <c r="IO420" s="21"/>
      <c r="IP420" s="21"/>
      <c r="IQ420" s="21"/>
      <c r="IR420" s="21"/>
      <c r="IS420" s="21"/>
      <c r="IT420" s="21"/>
      <c r="IU420" s="21"/>
      <c r="IV420" s="21"/>
    </row>
    <row r="421" spans="1:14" ht="60" customHeight="1">
      <c r="A421" s="127"/>
      <c r="B421" s="125"/>
      <c r="C421" s="193"/>
      <c r="D421" s="193"/>
      <c r="E421" s="97" t="s">
        <v>1097</v>
      </c>
      <c r="F421" s="104"/>
      <c r="G421" s="104"/>
      <c r="H421" s="31"/>
      <c r="I421" s="32"/>
      <c r="J421" s="31"/>
      <c r="K421" s="31"/>
      <c r="L421" s="31"/>
      <c r="M421" s="31"/>
      <c r="N421" s="72"/>
    </row>
    <row r="422" spans="1:14" ht="28.5">
      <c r="A422" s="127" t="s">
        <v>187</v>
      </c>
      <c r="B422" s="188" t="s">
        <v>673</v>
      </c>
      <c r="C422" s="189" t="s">
        <v>672</v>
      </c>
      <c r="D422" s="190" t="s">
        <v>894</v>
      </c>
      <c r="E422" s="97" t="s">
        <v>589</v>
      </c>
      <c r="F422" s="104" t="s">
        <v>1186</v>
      </c>
      <c r="G422" s="104" t="s">
        <v>1403</v>
      </c>
      <c r="H422" s="31">
        <f aca="true" t="shared" si="27" ref="H422:M422">H424+H425+H426+H427+H428+H429+H430+H431+H432+H433+H434+H435+H436</f>
        <v>133541.6</v>
      </c>
      <c r="I422" s="31">
        <f t="shared" si="27"/>
        <v>132422.1</v>
      </c>
      <c r="J422" s="31">
        <f t="shared" si="27"/>
        <v>55073.1</v>
      </c>
      <c r="K422" s="31">
        <f t="shared" si="27"/>
        <v>9627.7</v>
      </c>
      <c r="L422" s="31">
        <f t="shared" si="27"/>
        <v>6053.1</v>
      </c>
      <c r="M422" s="31">
        <f t="shared" si="27"/>
        <v>6020.5</v>
      </c>
      <c r="N422" s="72"/>
    </row>
    <row r="423" spans="1:14" ht="15">
      <c r="A423" s="127"/>
      <c r="B423" s="188"/>
      <c r="C423" s="189"/>
      <c r="D423" s="190"/>
      <c r="E423" s="5" t="s">
        <v>1097</v>
      </c>
      <c r="F423" s="104"/>
      <c r="G423" s="104"/>
      <c r="H423" s="31"/>
      <c r="I423" s="32"/>
      <c r="J423" s="31"/>
      <c r="K423" s="31"/>
      <c r="L423" s="31"/>
      <c r="M423" s="31"/>
      <c r="N423" s="72"/>
    </row>
    <row r="424" spans="1:14" ht="33" customHeight="1">
      <c r="A424" s="127"/>
      <c r="B424" s="188"/>
      <c r="C424" s="165" t="s">
        <v>188</v>
      </c>
      <c r="D424" s="191">
        <v>702</v>
      </c>
      <c r="E424" s="42" t="s">
        <v>126</v>
      </c>
      <c r="F424" s="100" t="s">
        <v>1155</v>
      </c>
      <c r="G424" s="100" t="s">
        <v>1474</v>
      </c>
      <c r="H424" s="95">
        <v>28711</v>
      </c>
      <c r="I424" s="98">
        <v>28666</v>
      </c>
      <c r="J424" s="31"/>
      <c r="K424" s="31"/>
      <c r="L424" s="31"/>
      <c r="M424" s="31"/>
      <c r="N424" s="96" t="s">
        <v>32</v>
      </c>
    </row>
    <row r="425" spans="1:14" ht="30">
      <c r="A425" s="127"/>
      <c r="B425" s="188"/>
      <c r="C425" s="165"/>
      <c r="D425" s="191"/>
      <c r="E425" s="42" t="s">
        <v>127</v>
      </c>
      <c r="F425" s="100" t="s">
        <v>1155</v>
      </c>
      <c r="G425" s="100" t="s">
        <v>1474</v>
      </c>
      <c r="H425" s="95">
        <v>38700</v>
      </c>
      <c r="I425" s="98">
        <v>38259</v>
      </c>
      <c r="J425" s="31"/>
      <c r="K425" s="31"/>
      <c r="L425" s="31"/>
      <c r="M425" s="31"/>
      <c r="N425" s="96" t="s">
        <v>128</v>
      </c>
    </row>
    <row r="426" spans="1:14" ht="70.5" customHeight="1">
      <c r="A426" s="127"/>
      <c r="B426" s="188"/>
      <c r="C426" s="106" t="s">
        <v>189</v>
      </c>
      <c r="D426" s="105" t="s">
        <v>1486</v>
      </c>
      <c r="E426" s="96" t="s">
        <v>1491</v>
      </c>
      <c r="F426" s="106" t="s">
        <v>1155</v>
      </c>
      <c r="G426" s="107" t="s">
        <v>1492</v>
      </c>
      <c r="H426" s="95">
        <v>129.8</v>
      </c>
      <c r="I426" s="98">
        <v>88.8</v>
      </c>
      <c r="J426" s="95">
        <v>112</v>
      </c>
      <c r="K426" s="95">
        <v>412.4</v>
      </c>
      <c r="L426" s="95">
        <v>412.4</v>
      </c>
      <c r="M426" s="95">
        <v>412.4</v>
      </c>
      <c r="N426" s="96" t="s">
        <v>404</v>
      </c>
    </row>
    <row r="427" spans="1:14" ht="57" customHeight="1">
      <c r="A427" s="127"/>
      <c r="B427" s="188"/>
      <c r="C427" s="106" t="s">
        <v>190</v>
      </c>
      <c r="D427" s="105" t="s">
        <v>836</v>
      </c>
      <c r="E427" s="96" t="s">
        <v>1491</v>
      </c>
      <c r="F427" s="106" t="s">
        <v>1155</v>
      </c>
      <c r="G427" s="107" t="s">
        <v>1492</v>
      </c>
      <c r="H427" s="95">
        <v>335.7</v>
      </c>
      <c r="I427" s="98">
        <v>335.5</v>
      </c>
      <c r="J427" s="95">
        <v>325.7</v>
      </c>
      <c r="K427" s="95">
        <v>325.6</v>
      </c>
      <c r="L427" s="95">
        <v>325.6</v>
      </c>
      <c r="M427" s="95">
        <v>325.6</v>
      </c>
      <c r="N427" s="96" t="s">
        <v>159</v>
      </c>
    </row>
    <row r="428" spans="1:14" ht="85.5" customHeight="1">
      <c r="A428" s="127"/>
      <c r="B428" s="188"/>
      <c r="C428" s="106" t="s">
        <v>191</v>
      </c>
      <c r="D428" s="114">
        <v>702</v>
      </c>
      <c r="E428" s="6" t="s">
        <v>130</v>
      </c>
      <c r="F428" s="100" t="s">
        <v>129</v>
      </c>
      <c r="G428" s="100" t="s">
        <v>1555</v>
      </c>
      <c r="H428" s="31"/>
      <c r="I428" s="32"/>
      <c r="J428" s="95">
        <v>32.6</v>
      </c>
      <c r="K428" s="95"/>
      <c r="L428" s="95">
        <v>32.6</v>
      </c>
      <c r="M428" s="31"/>
      <c r="N428" s="96" t="s">
        <v>161</v>
      </c>
    </row>
    <row r="429" spans="1:14" ht="82.5" customHeight="1">
      <c r="A429" s="127"/>
      <c r="B429" s="188"/>
      <c r="C429" s="106" t="s">
        <v>192</v>
      </c>
      <c r="D429" s="114">
        <v>707</v>
      </c>
      <c r="E429" s="6" t="s">
        <v>405</v>
      </c>
      <c r="F429" s="106" t="s">
        <v>1155</v>
      </c>
      <c r="G429" s="100" t="s">
        <v>169</v>
      </c>
      <c r="H429" s="95">
        <v>1110.3</v>
      </c>
      <c r="I429" s="98">
        <v>1110.3</v>
      </c>
      <c r="J429" s="95">
        <v>1110.3</v>
      </c>
      <c r="K429" s="95">
        <v>962.5</v>
      </c>
      <c r="L429" s="95">
        <v>962.5</v>
      </c>
      <c r="M429" s="95">
        <v>962.5</v>
      </c>
      <c r="N429" s="96" t="s">
        <v>170</v>
      </c>
    </row>
    <row r="430" spans="1:14" ht="33" customHeight="1">
      <c r="A430" s="127"/>
      <c r="B430" s="188"/>
      <c r="C430" s="106" t="s">
        <v>193</v>
      </c>
      <c r="D430" s="114" t="s">
        <v>1307</v>
      </c>
      <c r="E430" s="6" t="s">
        <v>131</v>
      </c>
      <c r="F430" s="100" t="s">
        <v>1155</v>
      </c>
      <c r="G430" s="100" t="s">
        <v>484</v>
      </c>
      <c r="H430" s="95">
        <v>54037.8</v>
      </c>
      <c r="I430" s="98">
        <v>54037.4</v>
      </c>
      <c r="J430" s="95">
        <v>43447.6</v>
      </c>
      <c r="K430" s="95"/>
      <c r="L430" s="31"/>
      <c r="M430" s="31"/>
      <c r="N430" s="96" t="s">
        <v>162</v>
      </c>
    </row>
    <row r="431" spans="1:14" ht="30">
      <c r="A431" s="127"/>
      <c r="B431" s="188"/>
      <c r="C431" s="106" t="s">
        <v>194</v>
      </c>
      <c r="D431" s="114" t="s">
        <v>1307</v>
      </c>
      <c r="E431" s="6" t="s">
        <v>133</v>
      </c>
      <c r="F431" s="100" t="s">
        <v>1155</v>
      </c>
      <c r="G431" s="100" t="s">
        <v>132</v>
      </c>
      <c r="H431" s="95">
        <v>5101.7</v>
      </c>
      <c r="I431" s="98">
        <v>5101.7</v>
      </c>
      <c r="J431" s="95">
        <v>8455.1</v>
      </c>
      <c r="K431" s="95"/>
      <c r="L431" s="95"/>
      <c r="M431" s="95"/>
      <c r="N431" s="96" t="s">
        <v>160</v>
      </c>
    </row>
    <row r="432" spans="1:14" ht="67.5" customHeight="1">
      <c r="A432" s="127"/>
      <c r="B432" s="188"/>
      <c r="C432" s="106" t="s">
        <v>195</v>
      </c>
      <c r="D432" s="114">
        <v>709</v>
      </c>
      <c r="E432" s="6" t="s">
        <v>406</v>
      </c>
      <c r="F432" s="100" t="s">
        <v>1155</v>
      </c>
      <c r="G432" s="17" t="s">
        <v>168</v>
      </c>
      <c r="H432" s="95"/>
      <c r="I432" s="98"/>
      <c r="J432" s="95"/>
      <c r="K432" s="95">
        <v>3607.2</v>
      </c>
      <c r="L432" s="95"/>
      <c r="M432" s="95"/>
      <c r="N432" s="113" t="s">
        <v>186</v>
      </c>
    </row>
    <row r="433" spans="1:14" ht="63" customHeight="1">
      <c r="A433" s="127"/>
      <c r="B433" s="188"/>
      <c r="C433" s="106" t="s">
        <v>196</v>
      </c>
      <c r="D433" s="114">
        <v>709</v>
      </c>
      <c r="E433" s="6" t="s">
        <v>51</v>
      </c>
      <c r="F433" s="100" t="s">
        <v>1155</v>
      </c>
      <c r="G433" s="17" t="s">
        <v>1525</v>
      </c>
      <c r="H433" s="95"/>
      <c r="I433" s="98"/>
      <c r="J433" s="95">
        <v>143.4</v>
      </c>
      <c r="K433" s="95"/>
      <c r="L433" s="95"/>
      <c r="M433" s="95"/>
      <c r="N433" s="113" t="s">
        <v>167</v>
      </c>
    </row>
    <row r="434" spans="1:14" ht="45">
      <c r="A434" s="127"/>
      <c r="B434" s="188"/>
      <c r="C434" s="106" t="s">
        <v>197</v>
      </c>
      <c r="D434" s="114">
        <v>709</v>
      </c>
      <c r="E434" s="6" t="s">
        <v>99</v>
      </c>
      <c r="F434" s="16" t="s">
        <v>1155</v>
      </c>
      <c r="G434" s="17" t="s">
        <v>541</v>
      </c>
      <c r="H434" s="95">
        <f>5666.2-434.4</f>
        <v>5231.8</v>
      </c>
      <c r="I434" s="98">
        <f>5037.4-364.2</f>
        <v>4673.2</v>
      </c>
      <c r="J434" s="95"/>
      <c r="K434" s="95"/>
      <c r="L434" s="95"/>
      <c r="M434" s="95"/>
      <c r="N434" s="113" t="s">
        <v>148</v>
      </c>
    </row>
    <row r="435" spans="1:14" ht="30">
      <c r="A435" s="127"/>
      <c r="B435" s="188"/>
      <c r="C435" s="106" t="s">
        <v>198</v>
      </c>
      <c r="D435" s="114">
        <v>701</v>
      </c>
      <c r="E435" s="42" t="s">
        <v>135</v>
      </c>
      <c r="F435" s="16" t="s">
        <v>1155</v>
      </c>
      <c r="G435" s="17" t="s">
        <v>134</v>
      </c>
      <c r="H435" s="95"/>
      <c r="I435" s="98"/>
      <c r="J435" s="95">
        <v>1446.4</v>
      </c>
      <c r="K435" s="95">
        <v>4320</v>
      </c>
      <c r="L435" s="95">
        <v>4320</v>
      </c>
      <c r="M435" s="95">
        <v>4320</v>
      </c>
      <c r="N435" s="96" t="s">
        <v>165</v>
      </c>
    </row>
    <row r="436" spans="1:14" ht="60">
      <c r="A436" s="127"/>
      <c r="B436" s="188"/>
      <c r="C436" s="106" t="s">
        <v>199</v>
      </c>
      <c r="D436" s="114">
        <v>709</v>
      </c>
      <c r="E436" s="42" t="s">
        <v>136</v>
      </c>
      <c r="F436" s="106" t="s">
        <v>1155</v>
      </c>
      <c r="G436" s="106" t="s">
        <v>1489</v>
      </c>
      <c r="H436" s="95">
        <v>183.5</v>
      </c>
      <c r="I436" s="98">
        <v>150.2</v>
      </c>
      <c r="J436" s="95"/>
      <c r="K436" s="95"/>
      <c r="L436" s="95"/>
      <c r="M436" s="95"/>
      <c r="N436" s="96" t="s">
        <v>166</v>
      </c>
    </row>
    <row r="437" spans="1:14" ht="28.5">
      <c r="A437" s="127" t="s">
        <v>200</v>
      </c>
      <c r="B437" s="188" t="s">
        <v>675</v>
      </c>
      <c r="C437" s="189" t="s">
        <v>674</v>
      </c>
      <c r="D437" s="190" t="s">
        <v>294</v>
      </c>
      <c r="E437" s="97" t="s">
        <v>589</v>
      </c>
      <c r="F437" s="104" t="s">
        <v>1186</v>
      </c>
      <c r="G437" s="104" t="s">
        <v>1403</v>
      </c>
      <c r="H437" s="31">
        <f aca="true" t="shared" si="28" ref="H437:M437">H439+H440+H442+H455+H443+H456+H444+H446+H447+H448+H449+H450+H451+H452+H453+H457+H454+H458</f>
        <v>60638.799999999996</v>
      </c>
      <c r="I437" s="31">
        <f t="shared" si="28"/>
        <v>57440.799999999996</v>
      </c>
      <c r="J437" s="31">
        <f t="shared" si="28"/>
        <v>47290.49999999999</v>
      </c>
      <c r="K437" s="31">
        <f t="shared" si="28"/>
        <v>94742.1</v>
      </c>
      <c r="L437" s="31">
        <f t="shared" si="28"/>
        <v>84758.9</v>
      </c>
      <c r="M437" s="31">
        <f t="shared" si="28"/>
        <v>84907.8</v>
      </c>
      <c r="N437" s="72"/>
    </row>
    <row r="438" spans="1:14" ht="15">
      <c r="A438" s="127"/>
      <c r="B438" s="188"/>
      <c r="C438" s="189"/>
      <c r="D438" s="190"/>
      <c r="E438" s="5" t="s">
        <v>1097</v>
      </c>
      <c r="F438" s="104"/>
      <c r="G438" s="104"/>
      <c r="H438" s="31"/>
      <c r="I438" s="32"/>
      <c r="J438" s="31"/>
      <c r="K438" s="31"/>
      <c r="L438" s="31"/>
      <c r="M438" s="31"/>
      <c r="N438" s="72"/>
    </row>
    <row r="439" spans="1:14" ht="51" customHeight="1">
      <c r="A439" s="127"/>
      <c r="B439" s="188"/>
      <c r="C439" s="106" t="s">
        <v>273</v>
      </c>
      <c r="D439" s="114">
        <v>1003</v>
      </c>
      <c r="E439" s="6" t="s">
        <v>101</v>
      </c>
      <c r="F439" s="100" t="s">
        <v>1155</v>
      </c>
      <c r="G439" s="100" t="s">
        <v>731</v>
      </c>
      <c r="H439" s="95">
        <v>62.2</v>
      </c>
      <c r="I439" s="98">
        <v>62.2</v>
      </c>
      <c r="J439" s="95">
        <v>65.3</v>
      </c>
      <c r="K439" s="95">
        <v>71</v>
      </c>
      <c r="L439" s="95">
        <v>71</v>
      </c>
      <c r="M439" s="95">
        <v>71</v>
      </c>
      <c r="N439" s="96" t="s">
        <v>102</v>
      </c>
    </row>
    <row r="440" spans="1:14" ht="45" customHeight="1">
      <c r="A440" s="127"/>
      <c r="B440" s="188"/>
      <c r="C440" s="150" t="s">
        <v>274</v>
      </c>
      <c r="D440" s="201">
        <v>1003</v>
      </c>
      <c r="E440" s="6" t="s">
        <v>137</v>
      </c>
      <c r="F440" s="106" t="s">
        <v>1155</v>
      </c>
      <c r="G440" s="4" t="s">
        <v>1397</v>
      </c>
      <c r="H440" s="136">
        <v>40632.4</v>
      </c>
      <c r="I440" s="143">
        <v>39395</v>
      </c>
      <c r="J440" s="136">
        <v>5288</v>
      </c>
      <c r="K440" s="143">
        <v>9062.4</v>
      </c>
      <c r="L440" s="136">
        <v>9062.4</v>
      </c>
      <c r="M440" s="136">
        <v>9062.4</v>
      </c>
      <c r="N440" s="137" t="s">
        <v>163</v>
      </c>
    </row>
    <row r="441" spans="1:14" ht="30">
      <c r="A441" s="127"/>
      <c r="B441" s="188"/>
      <c r="C441" s="151"/>
      <c r="D441" s="202"/>
      <c r="E441" s="113" t="s">
        <v>138</v>
      </c>
      <c r="F441" s="106" t="s">
        <v>1155</v>
      </c>
      <c r="G441" s="106" t="s">
        <v>139</v>
      </c>
      <c r="H441" s="136"/>
      <c r="I441" s="143"/>
      <c r="J441" s="136"/>
      <c r="K441" s="143"/>
      <c r="L441" s="136"/>
      <c r="M441" s="136"/>
      <c r="N441" s="137"/>
    </row>
    <row r="442" spans="1:256" s="42" customFormat="1" ht="78" customHeight="1">
      <c r="A442" s="127"/>
      <c r="B442" s="188"/>
      <c r="C442" s="106" t="s">
        <v>275</v>
      </c>
      <c r="D442" s="114">
        <v>1003</v>
      </c>
      <c r="E442" s="93" t="s">
        <v>227</v>
      </c>
      <c r="F442" s="106" t="s">
        <v>1155</v>
      </c>
      <c r="G442" s="91" t="s">
        <v>1114</v>
      </c>
      <c r="H442" s="31"/>
      <c r="I442" s="32"/>
      <c r="J442" s="95">
        <v>50</v>
      </c>
      <c r="K442" s="95">
        <v>100</v>
      </c>
      <c r="L442" s="95"/>
      <c r="M442" s="95"/>
      <c r="N442" s="96" t="s">
        <v>228</v>
      </c>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c r="FP442" s="21"/>
      <c r="FQ442" s="21"/>
      <c r="FR442" s="21"/>
      <c r="FS442" s="21"/>
      <c r="FT442" s="21"/>
      <c r="FU442" s="21"/>
      <c r="FV442" s="21"/>
      <c r="FW442" s="21"/>
      <c r="FX442" s="21"/>
      <c r="FY442" s="21"/>
      <c r="FZ442" s="21"/>
      <c r="GA442" s="21"/>
      <c r="GB442" s="21"/>
      <c r="GC442" s="21"/>
      <c r="GD442" s="21"/>
      <c r="GE442" s="21"/>
      <c r="GF442" s="21"/>
      <c r="GG442" s="21"/>
      <c r="GH442" s="21"/>
      <c r="GI442" s="21"/>
      <c r="GJ442" s="21"/>
      <c r="GK442" s="21"/>
      <c r="GL442" s="21"/>
      <c r="GM442" s="21"/>
      <c r="GN442" s="21"/>
      <c r="GO442" s="21"/>
      <c r="GP442" s="21"/>
      <c r="GQ442" s="21"/>
      <c r="GR442" s="21"/>
      <c r="GS442" s="21"/>
      <c r="GT442" s="21"/>
      <c r="GU442" s="21"/>
      <c r="GV442" s="21"/>
      <c r="GW442" s="21"/>
      <c r="GX442" s="21"/>
      <c r="GY442" s="21"/>
      <c r="GZ442" s="21"/>
      <c r="HA442" s="21"/>
      <c r="HB442" s="21"/>
      <c r="HC442" s="21"/>
      <c r="HD442" s="21"/>
      <c r="HE442" s="21"/>
      <c r="HF442" s="21"/>
      <c r="HG442" s="21"/>
      <c r="HH442" s="21"/>
      <c r="HI442" s="21"/>
      <c r="HJ442" s="21"/>
      <c r="HK442" s="21"/>
      <c r="HL442" s="21"/>
      <c r="HM442" s="21"/>
      <c r="HN442" s="21"/>
      <c r="HO442" s="21"/>
      <c r="HP442" s="21"/>
      <c r="HQ442" s="21"/>
      <c r="HR442" s="21"/>
      <c r="HS442" s="21"/>
      <c r="HT442" s="21"/>
      <c r="HU442" s="21"/>
      <c r="HV442" s="21"/>
      <c r="HW442" s="21"/>
      <c r="HX442" s="21"/>
      <c r="HY442" s="21"/>
      <c r="HZ442" s="21"/>
      <c r="IA442" s="21"/>
      <c r="IB442" s="21"/>
      <c r="IC442" s="21"/>
      <c r="ID442" s="21"/>
      <c r="IE442" s="21"/>
      <c r="IF442" s="21"/>
      <c r="IG442" s="21"/>
      <c r="IH442" s="21"/>
      <c r="II442" s="21"/>
      <c r="IJ442" s="21"/>
      <c r="IK442" s="21"/>
      <c r="IL442" s="21"/>
      <c r="IM442" s="21"/>
      <c r="IN442" s="21"/>
      <c r="IO442" s="21"/>
      <c r="IP442" s="21"/>
      <c r="IQ442" s="21"/>
      <c r="IR442" s="21"/>
      <c r="IS442" s="21"/>
      <c r="IT442" s="21"/>
      <c r="IU442" s="21"/>
      <c r="IV442" s="21"/>
    </row>
    <row r="443" spans="1:14" ht="48" customHeight="1">
      <c r="A443" s="127"/>
      <c r="B443" s="188"/>
      <c r="C443" s="106" t="s">
        <v>295</v>
      </c>
      <c r="D443" s="114">
        <v>1003</v>
      </c>
      <c r="E443" s="113" t="s">
        <v>1496</v>
      </c>
      <c r="F443" s="106" t="s">
        <v>1155</v>
      </c>
      <c r="G443" s="106" t="s">
        <v>1433</v>
      </c>
      <c r="H443" s="95">
        <f>6510.8</f>
        <v>6510.8</v>
      </c>
      <c r="I443" s="98">
        <v>6510.4</v>
      </c>
      <c r="J443" s="95">
        <v>13349.5</v>
      </c>
      <c r="K443" s="95">
        <v>15495.7</v>
      </c>
      <c r="L443" s="95">
        <v>15587</v>
      </c>
      <c r="M443" s="95">
        <v>15693.4</v>
      </c>
      <c r="N443" s="96" t="s">
        <v>259</v>
      </c>
    </row>
    <row r="444" spans="1:14" ht="52.5" customHeight="1">
      <c r="A444" s="127"/>
      <c r="B444" s="188"/>
      <c r="C444" s="126" t="s">
        <v>296</v>
      </c>
      <c r="D444" s="194" t="s">
        <v>1446</v>
      </c>
      <c r="E444" s="96" t="s">
        <v>1490</v>
      </c>
      <c r="F444" s="106" t="s">
        <v>1155</v>
      </c>
      <c r="G444" s="107" t="s">
        <v>1489</v>
      </c>
      <c r="H444" s="136">
        <v>362</v>
      </c>
      <c r="I444" s="143">
        <v>250.9</v>
      </c>
      <c r="J444" s="136">
        <v>405</v>
      </c>
      <c r="K444" s="136">
        <v>403</v>
      </c>
      <c r="L444" s="136">
        <v>421.2</v>
      </c>
      <c r="M444" s="136">
        <v>439.4</v>
      </c>
      <c r="N444" s="137" t="s">
        <v>261</v>
      </c>
    </row>
    <row r="445" spans="1:14" ht="48" customHeight="1">
      <c r="A445" s="127"/>
      <c r="B445" s="188"/>
      <c r="C445" s="126"/>
      <c r="D445" s="194"/>
      <c r="E445" s="96" t="s">
        <v>828</v>
      </c>
      <c r="F445" s="106" t="s">
        <v>1155</v>
      </c>
      <c r="G445" s="107" t="s">
        <v>1489</v>
      </c>
      <c r="H445" s="136"/>
      <c r="I445" s="143"/>
      <c r="J445" s="136"/>
      <c r="K445" s="136"/>
      <c r="L445" s="136"/>
      <c r="M445" s="136"/>
      <c r="N445" s="137"/>
    </row>
    <row r="446" spans="1:14" ht="55.5" customHeight="1">
      <c r="A446" s="127"/>
      <c r="B446" s="188"/>
      <c r="C446" s="106" t="s">
        <v>297</v>
      </c>
      <c r="D446" s="114">
        <v>1003</v>
      </c>
      <c r="E446" s="113" t="s">
        <v>1488</v>
      </c>
      <c r="F446" s="106" t="s">
        <v>1155</v>
      </c>
      <c r="G446" s="106" t="s">
        <v>262</v>
      </c>
      <c r="H446" s="95">
        <v>518</v>
      </c>
      <c r="I446" s="98">
        <v>305.8</v>
      </c>
      <c r="J446" s="95">
        <v>486.8</v>
      </c>
      <c r="K446" s="95">
        <v>449.5</v>
      </c>
      <c r="L446" s="95">
        <v>478.7</v>
      </c>
      <c r="M446" s="95">
        <v>503</v>
      </c>
      <c r="N446" s="96" t="s">
        <v>263</v>
      </c>
    </row>
    <row r="447" spans="1:14" ht="48" customHeight="1">
      <c r="A447" s="127"/>
      <c r="B447" s="188"/>
      <c r="C447" s="106" t="s">
        <v>298</v>
      </c>
      <c r="D447" s="114">
        <v>1003</v>
      </c>
      <c r="E447" s="2" t="s">
        <v>267</v>
      </c>
      <c r="F447" s="106" t="s">
        <v>1155</v>
      </c>
      <c r="G447" s="4" t="s">
        <v>264</v>
      </c>
      <c r="H447" s="95">
        <v>500</v>
      </c>
      <c r="I447" s="98">
        <v>500</v>
      </c>
      <c r="J447" s="95"/>
      <c r="K447" s="95"/>
      <c r="L447" s="95"/>
      <c r="M447" s="95"/>
      <c r="N447" s="96" t="s">
        <v>268</v>
      </c>
    </row>
    <row r="448" spans="1:14" ht="49.5" customHeight="1">
      <c r="A448" s="127"/>
      <c r="B448" s="188"/>
      <c r="C448" s="106" t="s">
        <v>299</v>
      </c>
      <c r="D448" s="114">
        <v>1003</v>
      </c>
      <c r="E448" s="36" t="s">
        <v>269</v>
      </c>
      <c r="F448" s="106" t="s">
        <v>1155</v>
      </c>
      <c r="G448" s="4" t="s">
        <v>265</v>
      </c>
      <c r="H448" s="31"/>
      <c r="I448" s="32"/>
      <c r="J448" s="95">
        <v>500</v>
      </c>
      <c r="K448" s="95"/>
      <c r="L448" s="95"/>
      <c r="M448" s="95"/>
      <c r="N448" s="96" t="s">
        <v>270</v>
      </c>
    </row>
    <row r="449" spans="1:14" ht="55.5" customHeight="1">
      <c r="A449" s="127"/>
      <c r="B449" s="188"/>
      <c r="C449" s="106" t="s">
        <v>300</v>
      </c>
      <c r="D449" s="114">
        <v>1003</v>
      </c>
      <c r="E449" s="36" t="s">
        <v>271</v>
      </c>
      <c r="F449" s="106" t="s">
        <v>1155</v>
      </c>
      <c r="G449" s="106" t="s">
        <v>266</v>
      </c>
      <c r="H449" s="31"/>
      <c r="I449" s="32"/>
      <c r="J449" s="95">
        <v>500</v>
      </c>
      <c r="K449" s="95"/>
      <c r="L449" s="95"/>
      <c r="M449" s="95"/>
      <c r="N449" s="96" t="s">
        <v>272</v>
      </c>
    </row>
    <row r="450" spans="1:14" ht="52.5" customHeight="1">
      <c r="A450" s="127"/>
      <c r="B450" s="188"/>
      <c r="C450" s="106" t="s">
        <v>301</v>
      </c>
      <c r="D450" s="114">
        <v>1003</v>
      </c>
      <c r="E450" s="5" t="s">
        <v>277</v>
      </c>
      <c r="F450" s="106" t="s">
        <v>1155</v>
      </c>
      <c r="G450" s="4" t="s">
        <v>276</v>
      </c>
      <c r="H450" s="31"/>
      <c r="I450" s="32"/>
      <c r="J450" s="95">
        <v>15657.4</v>
      </c>
      <c r="K450" s="95">
        <v>39006</v>
      </c>
      <c r="L450" s="95">
        <v>39006</v>
      </c>
      <c r="M450" s="95">
        <v>39006</v>
      </c>
      <c r="N450" s="96" t="s">
        <v>278</v>
      </c>
    </row>
    <row r="451" spans="1:14" ht="66" customHeight="1">
      <c r="A451" s="127"/>
      <c r="B451" s="188"/>
      <c r="C451" s="106" t="s">
        <v>302</v>
      </c>
      <c r="D451" s="114">
        <v>1003</v>
      </c>
      <c r="E451" s="46" t="s">
        <v>279</v>
      </c>
      <c r="F451" s="106" t="s">
        <v>1155</v>
      </c>
      <c r="G451" s="4" t="s">
        <v>752</v>
      </c>
      <c r="H451" s="31"/>
      <c r="I451" s="32"/>
      <c r="J451" s="95">
        <v>1375.2</v>
      </c>
      <c r="K451" s="95">
        <v>5940</v>
      </c>
      <c r="L451" s="95">
        <v>5940</v>
      </c>
      <c r="M451" s="95">
        <v>5940</v>
      </c>
      <c r="N451" s="96" t="s">
        <v>753</v>
      </c>
    </row>
    <row r="452" spans="1:14" ht="48" customHeight="1">
      <c r="A452" s="127"/>
      <c r="B452" s="188"/>
      <c r="C452" s="106" t="s">
        <v>303</v>
      </c>
      <c r="D452" s="114">
        <v>1003</v>
      </c>
      <c r="E452" s="113" t="s">
        <v>287</v>
      </c>
      <c r="F452" s="106" t="s">
        <v>1155</v>
      </c>
      <c r="G452" s="106" t="s">
        <v>280</v>
      </c>
      <c r="H452" s="95">
        <v>756</v>
      </c>
      <c r="I452" s="98">
        <v>318</v>
      </c>
      <c r="J452" s="95">
        <v>18</v>
      </c>
      <c r="K452" s="95"/>
      <c r="L452" s="95"/>
      <c r="M452" s="95"/>
      <c r="N452" s="96" t="s">
        <v>288</v>
      </c>
    </row>
    <row r="453" spans="1:14" ht="99" customHeight="1">
      <c r="A453" s="127"/>
      <c r="B453" s="188"/>
      <c r="C453" s="100" t="s">
        <v>304</v>
      </c>
      <c r="D453" s="105" t="s">
        <v>1446</v>
      </c>
      <c r="E453" s="96" t="s">
        <v>468</v>
      </c>
      <c r="F453" s="106" t="s">
        <v>1155</v>
      </c>
      <c r="G453" s="107" t="s">
        <v>469</v>
      </c>
      <c r="H453" s="95">
        <v>6.2</v>
      </c>
      <c r="I453" s="98">
        <v>6.2</v>
      </c>
      <c r="J453" s="95"/>
      <c r="K453" s="95"/>
      <c r="L453" s="95"/>
      <c r="M453" s="95"/>
      <c r="N453" s="113" t="s">
        <v>470</v>
      </c>
    </row>
    <row r="454" spans="1:14" ht="45">
      <c r="A454" s="127"/>
      <c r="B454" s="188"/>
      <c r="C454" s="100" t="s">
        <v>305</v>
      </c>
      <c r="D454" s="105" t="s">
        <v>1446</v>
      </c>
      <c r="E454" s="2" t="s">
        <v>293</v>
      </c>
      <c r="F454" s="106" t="s">
        <v>1155</v>
      </c>
      <c r="G454" s="106" t="s">
        <v>1256</v>
      </c>
      <c r="H454" s="95">
        <v>117.2</v>
      </c>
      <c r="I454" s="98">
        <v>117.2</v>
      </c>
      <c r="J454" s="95"/>
      <c r="K454" s="95"/>
      <c r="L454" s="95"/>
      <c r="M454" s="95"/>
      <c r="N454" s="96" t="s">
        <v>11</v>
      </c>
    </row>
    <row r="455" spans="1:14" ht="50.25" customHeight="1">
      <c r="A455" s="127"/>
      <c r="B455" s="188"/>
      <c r="C455" s="106" t="s">
        <v>306</v>
      </c>
      <c r="D455" s="114">
        <v>1004</v>
      </c>
      <c r="E455" s="113" t="s">
        <v>140</v>
      </c>
      <c r="F455" s="106" t="s">
        <v>1155</v>
      </c>
      <c r="G455" s="106" t="s">
        <v>141</v>
      </c>
      <c r="H455" s="31"/>
      <c r="I455" s="32"/>
      <c r="J455" s="95">
        <v>3379.2</v>
      </c>
      <c r="K455" s="95">
        <v>14192.6</v>
      </c>
      <c r="L455" s="95">
        <v>14192.6</v>
      </c>
      <c r="M455" s="95">
        <v>14192.6</v>
      </c>
      <c r="N455" s="96" t="s">
        <v>164</v>
      </c>
    </row>
    <row r="456" spans="1:14" ht="100.5" customHeight="1">
      <c r="A456" s="127"/>
      <c r="B456" s="188"/>
      <c r="C456" s="106" t="s">
        <v>307</v>
      </c>
      <c r="D456" s="114">
        <v>1006</v>
      </c>
      <c r="E456" s="113" t="s">
        <v>281</v>
      </c>
      <c r="F456" s="106" t="s">
        <v>1155</v>
      </c>
      <c r="G456" s="106" t="s">
        <v>1152</v>
      </c>
      <c r="H456" s="95">
        <v>11024</v>
      </c>
      <c r="I456" s="98">
        <v>9825.1</v>
      </c>
      <c r="J456" s="95">
        <v>5984.9</v>
      </c>
      <c r="K456" s="95">
        <v>9861</v>
      </c>
      <c r="L456" s="95"/>
      <c r="M456" s="95"/>
      <c r="N456" s="96" t="s">
        <v>260</v>
      </c>
    </row>
    <row r="457" spans="1:14" ht="63" customHeight="1">
      <c r="A457" s="127"/>
      <c r="B457" s="188"/>
      <c r="C457" s="100" t="s">
        <v>308</v>
      </c>
      <c r="D457" s="105" t="s">
        <v>1066</v>
      </c>
      <c r="E457" s="36" t="s">
        <v>289</v>
      </c>
      <c r="F457" s="106" t="s">
        <v>1155</v>
      </c>
      <c r="G457" s="4" t="s">
        <v>290</v>
      </c>
      <c r="H457" s="31"/>
      <c r="I457" s="32"/>
      <c r="J457" s="95">
        <v>180</v>
      </c>
      <c r="K457" s="95">
        <v>8.1</v>
      </c>
      <c r="L457" s="95"/>
      <c r="M457" s="95"/>
      <c r="N457" s="96" t="s">
        <v>291</v>
      </c>
    </row>
    <row r="458" spans="1:14" ht="60" customHeight="1">
      <c r="A458" s="127"/>
      <c r="B458" s="188"/>
      <c r="C458" s="100" t="s">
        <v>309</v>
      </c>
      <c r="D458" s="105" t="s">
        <v>1066</v>
      </c>
      <c r="E458" s="2" t="s">
        <v>1187</v>
      </c>
      <c r="F458" s="106" t="s">
        <v>1155</v>
      </c>
      <c r="G458" s="4" t="s">
        <v>292</v>
      </c>
      <c r="H458" s="95">
        <v>150</v>
      </c>
      <c r="I458" s="98">
        <v>150</v>
      </c>
      <c r="J458" s="95">
        <v>51.2</v>
      </c>
      <c r="K458" s="95">
        <v>152.8</v>
      </c>
      <c r="L458" s="95"/>
      <c r="M458" s="31"/>
      <c r="N458" s="96" t="s">
        <v>10</v>
      </c>
    </row>
    <row r="459" spans="1:14" ht="28.5">
      <c r="A459" s="127" t="s">
        <v>201</v>
      </c>
      <c r="B459" s="188" t="s">
        <v>677</v>
      </c>
      <c r="C459" s="189" t="s">
        <v>676</v>
      </c>
      <c r="D459" s="190" t="s">
        <v>895</v>
      </c>
      <c r="E459" s="97" t="s">
        <v>589</v>
      </c>
      <c r="F459" s="104" t="s">
        <v>1186</v>
      </c>
      <c r="G459" s="104" t="s">
        <v>1403</v>
      </c>
      <c r="H459" s="31">
        <f>H461+H462+H463+H464+H465+H466+H467+H468+H469+H470</f>
        <v>25000.800000000003</v>
      </c>
      <c r="I459" s="31">
        <f>I461+I462+I463+I464+I465+I466+I467+I468+I469+I470</f>
        <v>24647.9</v>
      </c>
      <c r="J459" s="31">
        <f>J461+J462+J463+J464+J465+J466+J467+J468+J469+J470</f>
        <v>2677.2000000000003</v>
      </c>
      <c r="K459" s="31"/>
      <c r="L459" s="31"/>
      <c r="M459" s="31"/>
      <c r="N459" s="72"/>
    </row>
    <row r="460" spans="1:14" ht="15">
      <c r="A460" s="127"/>
      <c r="B460" s="188"/>
      <c r="C460" s="189"/>
      <c r="D460" s="190"/>
      <c r="E460" s="5" t="s">
        <v>1097</v>
      </c>
      <c r="F460" s="104"/>
      <c r="G460" s="104"/>
      <c r="H460" s="31"/>
      <c r="I460" s="31"/>
      <c r="J460" s="31"/>
      <c r="K460" s="31"/>
      <c r="L460" s="31"/>
      <c r="M460" s="31"/>
      <c r="N460" s="72"/>
    </row>
    <row r="461" spans="1:14" ht="57" customHeight="1">
      <c r="A461" s="127"/>
      <c r="B461" s="188"/>
      <c r="C461" s="106" t="s">
        <v>203</v>
      </c>
      <c r="D461" s="105" t="s">
        <v>1139</v>
      </c>
      <c r="E461" s="96" t="s">
        <v>463</v>
      </c>
      <c r="F461" s="106" t="s">
        <v>1155</v>
      </c>
      <c r="G461" s="107" t="s">
        <v>462</v>
      </c>
      <c r="H461" s="95">
        <v>5950.4</v>
      </c>
      <c r="I461" s="98">
        <v>5872.7</v>
      </c>
      <c r="J461" s="95"/>
      <c r="K461" s="95"/>
      <c r="L461" s="95"/>
      <c r="M461" s="95"/>
      <c r="N461" s="96" t="s">
        <v>464</v>
      </c>
    </row>
    <row r="462" spans="1:14" ht="172.5" customHeight="1">
      <c r="A462" s="127"/>
      <c r="B462" s="188"/>
      <c r="C462" s="106" t="s">
        <v>204</v>
      </c>
      <c r="D462" s="105" t="s">
        <v>1139</v>
      </c>
      <c r="E462" s="96" t="s">
        <v>1483</v>
      </c>
      <c r="F462" s="106" t="s">
        <v>1155</v>
      </c>
      <c r="G462" s="107" t="s">
        <v>1484</v>
      </c>
      <c r="H462" s="95">
        <v>9277</v>
      </c>
      <c r="I462" s="98">
        <v>9027.5</v>
      </c>
      <c r="J462" s="95"/>
      <c r="K462" s="95"/>
      <c r="L462" s="95"/>
      <c r="M462" s="95"/>
      <c r="N462" s="113" t="s">
        <v>1478</v>
      </c>
    </row>
    <row r="463" spans="1:14" ht="111" customHeight="1">
      <c r="A463" s="127"/>
      <c r="B463" s="188"/>
      <c r="C463" s="106" t="s">
        <v>205</v>
      </c>
      <c r="D463" s="114">
        <v>901</v>
      </c>
      <c r="E463" s="5" t="s">
        <v>407</v>
      </c>
      <c r="F463" s="106" t="s">
        <v>1155</v>
      </c>
      <c r="G463" s="4" t="s">
        <v>754</v>
      </c>
      <c r="H463" s="95"/>
      <c r="I463" s="98"/>
      <c r="J463" s="95">
        <v>776</v>
      </c>
      <c r="K463" s="95"/>
      <c r="L463" s="95"/>
      <c r="M463" s="95"/>
      <c r="N463" s="113" t="s">
        <v>755</v>
      </c>
    </row>
    <row r="464" spans="1:14" ht="52.5" customHeight="1">
      <c r="A464" s="127"/>
      <c r="B464" s="188"/>
      <c r="C464" s="106" t="s">
        <v>206</v>
      </c>
      <c r="D464" s="105" t="s">
        <v>1141</v>
      </c>
      <c r="E464" s="96" t="s">
        <v>1497</v>
      </c>
      <c r="F464" s="106" t="s">
        <v>1155</v>
      </c>
      <c r="G464" s="107" t="s">
        <v>471</v>
      </c>
      <c r="H464" s="95">
        <v>2793.5</v>
      </c>
      <c r="I464" s="98">
        <v>2793.5</v>
      </c>
      <c r="J464" s="95"/>
      <c r="K464" s="95"/>
      <c r="L464" s="95"/>
      <c r="M464" s="95"/>
      <c r="N464" s="96" t="s">
        <v>1087</v>
      </c>
    </row>
    <row r="465" spans="1:14" ht="93" customHeight="1">
      <c r="A465" s="127"/>
      <c r="B465" s="188"/>
      <c r="C465" s="106" t="s">
        <v>207</v>
      </c>
      <c r="D465" s="105" t="s">
        <v>1141</v>
      </c>
      <c r="E465" s="96" t="s">
        <v>1493</v>
      </c>
      <c r="F465" s="106" t="s">
        <v>1155</v>
      </c>
      <c r="G465" s="107" t="s">
        <v>1494</v>
      </c>
      <c r="H465" s="95">
        <v>73.8</v>
      </c>
      <c r="I465" s="98">
        <v>73.2</v>
      </c>
      <c r="J465" s="95">
        <v>71.6</v>
      </c>
      <c r="K465" s="95"/>
      <c r="L465" s="95"/>
      <c r="M465" s="95"/>
      <c r="N465" s="96" t="s">
        <v>439</v>
      </c>
    </row>
    <row r="466" spans="1:14" ht="64.5" customHeight="1">
      <c r="A466" s="127"/>
      <c r="B466" s="188"/>
      <c r="C466" s="106" t="s">
        <v>208</v>
      </c>
      <c r="D466" s="105" t="s">
        <v>1063</v>
      </c>
      <c r="E466" s="96" t="s">
        <v>1485</v>
      </c>
      <c r="F466" s="106" t="s">
        <v>1155</v>
      </c>
      <c r="G466" s="107" t="s">
        <v>1397</v>
      </c>
      <c r="H466" s="95">
        <v>204.5</v>
      </c>
      <c r="I466" s="98">
        <v>204.5</v>
      </c>
      <c r="J466" s="95"/>
      <c r="K466" s="95"/>
      <c r="L466" s="95"/>
      <c r="M466" s="95"/>
      <c r="N466" s="113" t="s">
        <v>1477</v>
      </c>
    </row>
    <row r="467" spans="1:14" ht="75">
      <c r="A467" s="127"/>
      <c r="B467" s="188"/>
      <c r="C467" s="106" t="s">
        <v>209</v>
      </c>
      <c r="D467" s="114">
        <v>909</v>
      </c>
      <c r="E467" s="113" t="s">
        <v>282</v>
      </c>
      <c r="F467" s="106" t="s">
        <v>1155</v>
      </c>
      <c r="G467" s="106" t="s">
        <v>735</v>
      </c>
      <c r="H467" s="95">
        <v>158.2</v>
      </c>
      <c r="I467" s="98">
        <v>150.5</v>
      </c>
      <c r="J467" s="95">
        <v>158.3</v>
      </c>
      <c r="K467" s="95"/>
      <c r="L467" s="95"/>
      <c r="M467" s="95"/>
      <c r="N467" s="96" t="s">
        <v>736</v>
      </c>
    </row>
    <row r="468" spans="1:14" ht="36" customHeight="1">
      <c r="A468" s="127"/>
      <c r="B468" s="188"/>
      <c r="C468" s="106" t="s">
        <v>210</v>
      </c>
      <c r="D468" s="114">
        <v>909</v>
      </c>
      <c r="E468" s="2" t="s">
        <v>737</v>
      </c>
      <c r="F468" s="106" t="s">
        <v>1155</v>
      </c>
      <c r="G468" s="106" t="s">
        <v>1524</v>
      </c>
      <c r="H468" s="95">
        <v>3882.4</v>
      </c>
      <c r="I468" s="98">
        <v>3882.4</v>
      </c>
      <c r="J468" s="95"/>
      <c r="K468" s="31"/>
      <c r="L468" s="31"/>
      <c r="M468" s="31"/>
      <c r="N468" s="96" t="s">
        <v>3</v>
      </c>
    </row>
    <row r="469" spans="1:14" ht="60">
      <c r="A469" s="127"/>
      <c r="B469" s="188"/>
      <c r="C469" s="106" t="s">
        <v>211</v>
      </c>
      <c r="D469" s="114">
        <v>909</v>
      </c>
      <c r="E469" s="2" t="s">
        <v>738</v>
      </c>
      <c r="F469" s="106" t="s">
        <v>1155</v>
      </c>
      <c r="G469" s="3" t="s">
        <v>552</v>
      </c>
      <c r="H469" s="95">
        <v>2661</v>
      </c>
      <c r="I469" s="98">
        <v>2643.6</v>
      </c>
      <c r="J469" s="95">
        <v>1624.4</v>
      </c>
      <c r="K469" s="31"/>
      <c r="L469" s="31"/>
      <c r="M469" s="31"/>
      <c r="N469" s="96" t="s">
        <v>4</v>
      </c>
    </row>
    <row r="470" spans="1:14" ht="63" customHeight="1">
      <c r="A470" s="127"/>
      <c r="B470" s="188"/>
      <c r="C470" s="106" t="s">
        <v>212</v>
      </c>
      <c r="D470" s="114">
        <v>909</v>
      </c>
      <c r="E470" s="46" t="s">
        <v>279</v>
      </c>
      <c r="F470" s="106" t="s">
        <v>1155</v>
      </c>
      <c r="G470" s="4" t="s">
        <v>752</v>
      </c>
      <c r="H470" s="102"/>
      <c r="I470" s="102"/>
      <c r="J470" s="102">
        <v>46.9</v>
      </c>
      <c r="K470" s="102"/>
      <c r="L470" s="102"/>
      <c r="M470" s="102"/>
      <c r="N470" s="96" t="s">
        <v>753</v>
      </c>
    </row>
    <row r="471" spans="1:14" ht="28.5">
      <c r="A471" s="127" t="s">
        <v>202</v>
      </c>
      <c r="B471" s="188" t="s">
        <v>612</v>
      </c>
      <c r="C471" s="189" t="s">
        <v>678</v>
      </c>
      <c r="D471" s="190" t="s">
        <v>323</v>
      </c>
      <c r="E471" s="97" t="s">
        <v>589</v>
      </c>
      <c r="F471" s="104" t="s">
        <v>1186</v>
      </c>
      <c r="G471" s="104" t="s">
        <v>1403</v>
      </c>
      <c r="H471" s="31">
        <f aca="true" t="shared" si="29" ref="H471:M471">H474+H475+H476+H477+H479+H480+H481+H482+H483+H484+H478+H473+H485+H487+H488+H486+H489+H490</f>
        <v>214721.6</v>
      </c>
      <c r="I471" s="31">
        <f t="shared" si="29"/>
        <v>161979.1</v>
      </c>
      <c r="J471" s="31">
        <f t="shared" si="29"/>
        <v>221826.1</v>
      </c>
      <c r="K471" s="31">
        <f t="shared" si="29"/>
        <v>3363.2000000000003</v>
      </c>
      <c r="L471" s="31">
        <f t="shared" si="29"/>
        <v>1622.1000000000001</v>
      </c>
      <c r="M471" s="31">
        <f t="shared" si="29"/>
        <v>1622.8999999999999</v>
      </c>
      <c r="N471" s="72"/>
    </row>
    <row r="472" spans="1:14" ht="15">
      <c r="A472" s="127"/>
      <c r="B472" s="188"/>
      <c r="C472" s="189"/>
      <c r="D472" s="190"/>
      <c r="E472" s="5" t="s">
        <v>1097</v>
      </c>
      <c r="F472" s="104"/>
      <c r="G472" s="104"/>
      <c r="H472" s="31"/>
      <c r="I472" s="32"/>
      <c r="J472" s="31"/>
      <c r="K472" s="31"/>
      <c r="L472" s="31"/>
      <c r="M472" s="31"/>
      <c r="N472" s="72"/>
    </row>
    <row r="473" spans="1:14" ht="108" customHeight="1">
      <c r="A473" s="127"/>
      <c r="B473" s="188"/>
      <c r="C473" s="106" t="s">
        <v>229</v>
      </c>
      <c r="D473" s="105" t="s">
        <v>310</v>
      </c>
      <c r="E473" s="2" t="s">
        <v>1398</v>
      </c>
      <c r="F473" s="106" t="s">
        <v>1155</v>
      </c>
      <c r="G473" s="106" t="s">
        <v>1435</v>
      </c>
      <c r="H473" s="95">
        <v>1198</v>
      </c>
      <c r="I473" s="98">
        <v>943.8</v>
      </c>
      <c r="J473" s="95">
        <v>1063.6</v>
      </c>
      <c r="K473" s="95">
        <v>1063.6</v>
      </c>
      <c r="L473" s="95"/>
      <c r="M473" s="95"/>
      <c r="N473" s="96" t="s">
        <v>515</v>
      </c>
    </row>
    <row r="474" spans="1:256" s="26" customFormat="1" ht="55.5" customHeight="1">
      <c r="A474" s="127"/>
      <c r="B474" s="188"/>
      <c r="C474" s="106" t="s">
        <v>231</v>
      </c>
      <c r="D474" s="114">
        <v>113</v>
      </c>
      <c r="E474" s="5" t="s">
        <v>283</v>
      </c>
      <c r="F474" s="106" t="s">
        <v>1155</v>
      </c>
      <c r="G474" s="106" t="s">
        <v>1152</v>
      </c>
      <c r="H474" s="47">
        <v>191</v>
      </c>
      <c r="I474" s="47">
        <v>191</v>
      </c>
      <c r="J474" s="47">
        <v>208.8</v>
      </c>
      <c r="K474" s="47">
        <v>243.1</v>
      </c>
      <c r="L474" s="47">
        <v>243.1</v>
      </c>
      <c r="M474" s="47">
        <v>243.1</v>
      </c>
      <c r="N474" s="96" t="s">
        <v>230</v>
      </c>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c r="BO474" s="21"/>
      <c r="BP474" s="21"/>
      <c r="BQ474" s="21"/>
      <c r="BR474" s="21"/>
      <c r="BS474" s="21"/>
      <c r="BT474" s="21"/>
      <c r="BU474" s="21"/>
      <c r="BV474" s="21"/>
      <c r="BW474" s="21"/>
      <c r="BX474" s="21"/>
      <c r="BY474" s="21"/>
      <c r="BZ474" s="21"/>
      <c r="CA474" s="21"/>
      <c r="CB474" s="21"/>
      <c r="CC474" s="21"/>
      <c r="CD474" s="21"/>
      <c r="CE474" s="21"/>
      <c r="CF474" s="21"/>
      <c r="CG474" s="21"/>
      <c r="CH474" s="21"/>
      <c r="CI474" s="21"/>
      <c r="CJ474" s="21"/>
      <c r="CK474" s="21"/>
      <c r="CL474" s="21"/>
      <c r="CM474" s="21"/>
      <c r="CN474" s="21"/>
      <c r="CO474" s="21"/>
      <c r="CP474" s="21"/>
      <c r="CQ474" s="21"/>
      <c r="CR474" s="21"/>
      <c r="CS474" s="21"/>
      <c r="CT474" s="21"/>
      <c r="CU474" s="21"/>
      <c r="CV474" s="21"/>
      <c r="CW474" s="21"/>
      <c r="CX474" s="21"/>
      <c r="CY474" s="21"/>
      <c r="CZ474" s="21"/>
      <c r="DA474" s="21"/>
      <c r="DB474" s="21"/>
      <c r="DC474" s="21"/>
      <c r="DD474" s="21"/>
      <c r="DE474" s="21"/>
      <c r="DF474" s="21"/>
      <c r="DG474" s="21"/>
      <c r="DH474" s="21"/>
      <c r="DI474" s="21"/>
      <c r="DJ474" s="21"/>
      <c r="DK474" s="21"/>
      <c r="DL474" s="21"/>
      <c r="DM474" s="21"/>
      <c r="DN474" s="21"/>
      <c r="DO474" s="21"/>
      <c r="DP474" s="21"/>
      <c r="DQ474" s="21"/>
      <c r="DR474" s="21"/>
      <c r="DS474" s="21"/>
      <c r="DT474" s="21"/>
      <c r="DU474" s="21"/>
      <c r="DV474" s="21"/>
      <c r="DW474" s="21"/>
      <c r="DX474" s="21"/>
      <c r="DY474" s="21"/>
      <c r="DZ474" s="21"/>
      <c r="EA474" s="21"/>
      <c r="EB474" s="21"/>
      <c r="EC474" s="21"/>
      <c r="ED474" s="21"/>
      <c r="EE474" s="21"/>
      <c r="EF474" s="21"/>
      <c r="EG474" s="21"/>
      <c r="EH474" s="21"/>
      <c r="EI474" s="21"/>
      <c r="EJ474" s="21"/>
      <c r="EK474" s="21"/>
      <c r="EL474" s="21"/>
      <c r="EM474" s="21"/>
      <c r="EN474" s="21"/>
      <c r="EO474" s="21"/>
      <c r="EP474" s="21"/>
      <c r="EQ474" s="21"/>
      <c r="ER474" s="21"/>
      <c r="ES474" s="21"/>
      <c r="ET474" s="21"/>
      <c r="EU474" s="21"/>
      <c r="EV474" s="21"/>
      <c r="EW474" s="21"/>
      <c r="EX474" s="21"/>
      <c r="EY474" s="21"/>
      <c r="EZ474" s="21"/>
      <c r="FA474" s="21"/>
      <c r="FB474" s="21"/>
      <c r="FC474" s="21"/>
      <c r="FD474" s="21"/>
      <c r="FE474" s="21"/>
      <c r="FF474" s="21"/>
      <c r="FG474" s="21"/>
      <c r="FH474" s="21"/>
      <c r="FI474" s="21"/>
      <c r="FJ474" s="21"/>
      <c r="FK474" s="21"/>
      <c r="FL474" s="21"/>
      <c r="FM474" s="21"/>
      <c r="FN474" s="21"/>
      <c r="FO474" s="21"/>
      <c r="FP474" s="21"/>
      <c r="FQ474" s="21"/>
      <c r="FR474" s="21"/>
      <c r="FS474" s="21"/>
      <c r="FT474" s="21"/>
      <c r="FU474" s="21"/>
      <c r="FV474" s="21"/>
      <c r="FW474" s="21"/>
      <c r="FX474" s="21"/>
      <c r="FY474" s="21"/>
      <c r="FZ474" s="21"/>
      <c r="GA474" s="21"/>
      <c r="GB474" s="21"/>
      <c r="GC474" s="21"/>
      <c r="GD474" s="21"/>
      <c r="GE474" s="21"/>
      <c r="GF474" s="21"/>
      <c r="GG474" s="21"/>
      <c r="GH474" s="21"/>
      <c r="GI474" s="21"/>
      <c r="GJ474" s="21"/>
      <c r="GK474" s="21"/>
      <c r="GL474" s="21"/>
      <c r="GM474" s="21"/>
      <c r="GN474" s="21"/>
      <c r="GO474" s="21"/>
      <c r="GP474" s="21"/>
      <c r="GQ474" s="21"/>
      <c r="GR474" s="21"/>
      <c r="GS474" s="21"/>
      <c r="GT474" s="21"/>
      <c r="GU474" s="21"/>
      <c r="GV474" s="21"/>
      <c r="GW474" s="21"/>
      <c r="GX474" s="21"/>
      <c r="GY474" s="21"/>
      <c r="GZ474" s="21"/>
      <c r="HA474" s="21"/>
      <c r="HB474" s="21"/>
      <c r="HC474" s="21"/>
      <c r="HD474" s="21"/>
      <c r="HE474" s="21"/>
      <c r="HF474" s="21"/>
      <c r="HG474" s="21"/>
      <c r="HH474" s="21"/>
      <c r="HI474" s="21"/>
      <c r="HJ474" s="21"/>
      <c r="HK474" s="21"/>
      <c r="HL474" s="21"/>
      <c r="HM474" s="21"/>
      <c r="HN474" s="21"/>
      <c r="HO474" s="21"/>
      <c r="HP474" s="21"/>
      <c r="HQ474" s="21"/>
      <c r="HR474" s="21"/>
      <c r="HS474" s="21"/>
      <c r="HT474" s="21"/>
      <c r="HU474" s="21"/>
      <c r="HV474" s="21"/>
      <c r="HW474" s="21"/>
      <c r="HX474" s="21"/>
      <c r="HY474" s="21"/>
      <c r="HZ474" s="21"/>
      <c r="IA474" s="21"/>
      <c r="IB474" s="21"/>
      <c r="IC474" s="21"/>
      <c r="ID474" s="21"/>
      <c r="IE474" s="21"/>
      <c r="IF474" s="21"/>
      <c r="IG474" s="21"/>
      <c r="IH474" s="21"/>
      <c r="II474" s="21"/>
      <c r="IJ474" s="21"/>
      <c r="IK474" s="21"/>
      <c r="IL474" s="21"/>
      <c r="IM474" s="21"/>
      <c r="IN474" s="21"/>
      <c r="IO474" s="21"/>
      <c r="IP474" s="21"/>
      <c r="IQ474" s="21"/>
      <c r="IR474" s="21"/>
      <c r="IS474" s="21"/>
      <c r="IT474" s="21"/>
      <c r="IU474" s="21"/>
      <c r="IV474" s="21"/>
    </row>
    <row r="475" spans="1:256" s="26" customFormat="1" ht="52.5" customHeight="1">
      <c r="A475" s="127"/>
      <c r="B475" s="188"/>
      <c r="C475" s="106" t="s">
        <v>233</v>
      </c>
      <c r="D475" s="114">
        <v>113</v>
      </c>
      <c r="E475" s="5" t="s">
        <v>284</v>
      </c>
      <c r="F475" s="106" t="s">
        <v>1155</v>
      </c>
      <c r="G475" s="106" t="s">
        <v>1152</v>
      </c>
      <c r="H475" s="47"/>
      <c r="I475" s="47"/>
      <c r="J475" s="47">
        <v>125.2</v>
      </c>
      <c r="K475" s="47">
        <v>125.2</v>
      </c>
      <c r="L475" s="47">
        <v>125.2</v>
      </c>
      <c r="M475" s="47">
        <v>125.2</v>
      </c>
      <c r="N475" s="96" t="s">
        <v>232</v>
      </c>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c r="BX475" s="21"/>
      <c r="BY475" s="21"/>
      <c r="BZ475" s="21"/>
      <c r="CA475" s="21"/>
      <c r="CB475" s="21"/>
      <c r="CC475" s="21"/>
      <c r="CD475" s="21"/>
      <c r="CE475" s="21"/>
      <c r="CF475" s="21"/>
      <c r="CG475" s="21"/>
      <c r="CH475" s="21"/>
      <c r="CI475" s="21"/>
      <c r="CJ475" s="21"/>
      <c r="CK475" s="21"/>
      <c r="CL475" s="21"/>
      <c r="CM475" s="21"/>
      <c r="CN475" s="21"/>
      <c r="CO475" s="21"/>
      <c r="CP475" s="21"/>
      <c r="CQ475" s="21"/>
      <c r="CR475" s="21"/>
      <c r="CS475" s="21"/>
      <c r="CT475" s="21"/>
      <c r="CU475" s="21"/>
      <c r="CV475" s="21"/>
      <c r="CW475" s="21"/>
      <c r="CX475" s="21"/>
      <c r="CY475" s="21"/>
      <c r="CZ475" s="21"/>
      <c r="DA475" s="21"/>
      <c r="DB475" s="21"/>
      <c r="DC475" s="21"/>
      <c r="DD475" s="21"/>
      <c r="DE475" s="21"/>
      <c r="DF475" s="21"/>
      <c r="DG475" s="21"/>
      <c r="DH475" s="21"/>
      <c r="DI475" s="21"/>
      <c r="DJ475" s="21"/>
      <c r="DK475" s="21"/>
      <c r="DL475" s="21"/>
      <c r="DM475" s="21"/>
      <c r="DN475" s="21"/>
      <c r="DO475" s="21"/>
      <c r="DP475" s="21"/>
      <c r="DQ475" s="21"/>
      <c r="DR475" s="21"/>
      <c r="DS475" s="21"/>
      <c r="DT475" s="21"/>
      <c r="DU475" s="21"/>
      <c r="DV475" s="21"/>
      <c r="DW475" s="21"/>
      <c r="DX475" s="21"/>
      <c r="DY475" s="21"/>
      <c r="DZ475" s="21"/>
      <c r="EA475" s="21"/>
      <c r="EB475" s="21"/>
      <c r="EC475" s="21"/>
      <c r="ED475" s="21"/>
      <c r="EE475" s="21"/>
      <c r="EF475" s="21"/>
      <c r="EG475" s="21"/>
      <c r="EH475" s="21"/>
      <c r="EI475" s="21"/>
      <c r="EJ475" s="21"/>
      <c r="EK475" s="21"/>
      <c r="EL475" s="21"/>
      <c r="EM475" s="21"/>
      <c r="EN475" s="21"/>
      <c r="EO475" s="21"/>
      <c r="EP475" s="21"/>
      <c r="EQ475" s="21"/>
      <c r="ER475" s="21"/>
      <c r="ES475" s="21"/>
      <c r="ET475" s="21"/>
      <c r="EU475" s="21"/>
      <c r="EV475" s="21"/>
      <c r="EW475" s="21"/>
      <c r="EX475" s="21"/>
      <c r="EY475" s="21"/>
      <c r="EZ475" s="21"/>
      <c r="FA475" s="21"/>
      <c r="FB475" s="21"/>
      <c r="FC475" s="21"/>
      <c r="FD475" s="21"/>
      <c r="FE475" s="21"/>
      <c r="FF475" s="21"/>
      <c r="FG475" s="21"/>
      <c r="FH475" s="21"/>
      <c r="FI475" s="21"/>
      <c r="FJ475" s="21"/>
      <c r="FK475" s="21"/>
      <c r="FL475" s="21"/>
      <c r="FM475" s="21"/>
      <c r="FN475" s="21"/>
      <c r="FO475" s="21"/>
      <c r="FP475" s="21"/>
      <c r="FQ475" s="21"/>
      <c r="FR475" s="21"/>
      <c r="FS475" s="21"/>
      <c r="FT475" s="21"/>
      <c r="FU475" s="21"/>
      <c r="FV475" s="21"/>
      <c r="FW475" s="21"/>
      <c r="FX475" s="21"/>
      <c r="FY475" s="21"/>
      <c r="FZ475" s="21"/>
      <c r="GA475" s="21"/>
      <c r="GB475" s="21"/>
      <c r="GC475" s="21"/>
      <c r="GD475" s="21"/>
      <c r="GE475" s="21"/>
      <c r="GF475" s="21"/>
      <c r="GG475" s="21"/>
      <c r="GH475" s="21"/>
      <c r="GI475" s="21"/>
      <c r="GJ475" s="21"/>
      <c r="GK475" s="21"/>
      <c r="GL475" s="21"/>
      <c r="GM475" s="21"/>
      <c r="GN475" s="21"/>
      <c r="GO475" s="21"/>
      <c r="GP475" s="21"/>
      <c r="GQ475" s="21"/>
      <c r="GR475" s="21"/>
      <c r="GS475" s="21"/>
      <c r="GT475" s="21"/>
      <c r="GU475" s="21"/>
      <c r="GV475" s="21"/>
      <c r="GW475" s="21"/>
      <c r="GX475" s="21"/>
      <c r="GY475" s="21"/>
      <c r="GZ475" s="21"/>
      <c r="HA475" s="21"/>
      <c r="HB475" s="21"/>
      <c r="HC475" s="21"/>
      <c r="HD475" s="21"/>
      <c r="HE475" s="21"/>
      <c r="HF475" s="21"/>
      <c r="HG475" s="21"/>
      <c r="HH475" s="21"/>
      <c r="HI475" s="21"/>
      <c r="HJ475" s="21"/>
      <c r="HK475" s="21"/>
      <c r="HL475" s="21"/>
      <c r="HM475" s="21"/>
      <c r="HN475" s="21"/>
      <c r="HO475" s="21"/>
      <c r="HP475" s="21"/>
      <c r="HQ475" s="21"/>
      <c r="HR475" s="21"/>
      <c r="HS475" s="21"/>
      <c r="HT475" s="21"/>
      <c r="HU475" s="21"/>
      <c r="HV475" s="21"/>
      <c r="HW475" s="21"/>
      <c r="HX475" s="21"/>
      <c r="HY475" s="21"/>
      <c r="HZ475" s="21"/>
      <c r="IA475" s="21"/>
      <c r="IB475" s="21"/>
      <c r="IC475" s="21"/>
      <c r="ID475" s="21"/>
      <c r="IE475" s="21"/>
      <c r="IF475" s="21"/>
      <c r="IG475" s="21"/>
      <c r="IH475" s="21"/>
      <c r="II475" s="21"/>
      <c r="IJ475" s="21"/>
      <c r="IK475" s="21"/>
      <c r="IL475" s="21"/>
      <c r="IM475" s="21"/>
      <c r="IN475" s="21"/>
      <c r="IO475" s="21"/>
      <c r="IP475" s="21"/>
      <c r="IQ475" s="21"/>
      <c r="IR475" s="21"/>
      <c r="IS475" s="21"/>
      <c r="IT475" s="21"/>
      <c r="IU475" s="21"/>
      <c r="IV475" s="21"/>
    </row>
    <row r="476" spans="1:256" s="26" customFormat="1" ht="63" customHeight="1">
      <c r="A476" s="127"/>
      <c r="B476" s="188"/>
      <c r="C476" s="106" t="s">
        <v>236</v>
      </c>
      <c r="D476" s="114">
        <v>113</v>
      </c>
      <c r="E476" s="5" t="s">
        <v>1507</v>
      </c>
      <c r="F476" s="106" t="s">
        <v>1155</v>
      </c>
      <c r="G476" s="4" t="s">
        <v>234</v>
      </c>
      <c r="H476" s="47"/>
      <c r="I476" s="47"/>
      <c r="J476" s="47">
        <v>117.7</v>
      </c>
      <c r="K476" s="47">
        <v>126.4</v>
      </c>
      <c r="L476" s="47">
        <v>126.4</v>
      </c>
      <c r="M476" s="47">
        <v>126.4</v>
      </c>
      <c r="N476" s="96" t="s">
        <v>235</v>
      </c>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c r="BY476" s="21"/>
      <c r="BZ476" s="21"/>
      <c r="CA476" s="21"/>
      <c r="CB476" s="21"/>
      <c r="CC476" s="21"/>
      <c r="CD476" s="21"/>
      <c r="CE476" s="21"/>
      <c r="CF476" s="21"/>
      <c r="CG476" s="21"/>
      <c r="CH476" s="21"/>
      <c r="CI476" s="21"/>
      <c r="CJ476" s="21"/>
      <c r="CK476" s="21"/>
      <c r="CL476" s="21"/>
      <c r="CM476" s="21"/>
      <c r="CN476" s="21"/>
      <c r="CO476" s="21"/>
      <c r="CP476" s="21"/>
      <c r="CQ476" s="21"/>
      <c r="CR476" s="21"/>
      <c r="CS476" s="21"/>
      <c r="CT476" s="21"/>
      <c r="CU476" s="21"/>
      <c r="CV476" s="21"/>
      <c r="CW476" s="21"/>
      <c r="CX476" s="21"/>
      <c r="CY476" s="21"/>
      <c r="CZ476" s="21"/>
      <c r="DA476" s="21"/>
      <c r="DB476" s="21"/>
      <c r="DC476" s="21"/>
      <c r="DD476" s="21"/>
      <c r="DE476" s="21"/>
      <c r="DF476" s="21"/>
      <c r="DG476" s="21"/>
      <c r="DH476" s="21"/>
      <c r="DI476" s="21"/>
      <c r="DJ476" s="21"/>
      <c r="DK476" s="21"/>
      <c r="DL476" s="21"/>
      <c r="DM476" s="21"/>
      <c r="DN476" s="21"/>
      <c r="DO476" s="21"/>
      <c r="DP476" s="21"/>
      <c r="DQ476" s="21"/>
      <c r="DR476" s="21"/>
      <c r="DS476" s="21"/>
      <c r="DT476" s="21"/>
      <c r="DU476" s="21"/>
      <c r="DV476" s="21"/>
      <c r="DW476" s="21"/>
      <c r="DX476" s="21"/>
      <c r="DY476" s="21"/>
      <c r="DZ476" s="21"/>
      <c r="EA476" s="21"/>
      <c r="EB476" s="21"/>
      <c r="EC476" s="21"/>
      <c r="ED476" s="21"/>
      <c r="EE476" s="21"/>
      <c r="EF476" s="21"/>
      <c r="EG476" s="21"/>
      <c r="EH476" s="21"/>
      <c r="EI476" s="21"/>
      <c r="EJ476" s="21"/>
      <c r="EK476" s="21"/>
      <c r="EL476" s="21"/>
      <c r="EM476" s="21"/>
      <c r="EN476" s="21"/>
      <c r="EO476" s="21"/>
      <c r="EP476" s="21"/>
      <c r="EQ476" s="21"/>
      <c r="ER476" s="21"/>
      <c r="ES476" s="21"/>
      <c r="ET476" s="21"/>
      <c r="EU476" s="21"/>
      <c r="EV476" s="21"/>
      <c r="EW476" s="21"/>
      <c r="EX476" s="21"/>
      <c r="EY476" s="21"/>
      <c r="EZ476" s="21"/>
      <c r="FA476" s="21"/>
      <c r="FB476" s="21"/>
      <c r="FC476" s="21"/>
      <c r="FD476" s="21"/>
      <c r="FE476" s="21"/>
      <c r="FF476" s="21"/>
      <c r="FG476" s="21"/>
      <c r="FH476" s="21"/>
      <c r="FI476" s="21"/>
      <c r="FJ476" s="21"/>
      <c r="FK476" s="21"/>
      <c r="FL476" s="21"/>
      <c r="FM476" s="21"/>
      <c r="FN476" s="21"/>
      <c r="FO476" s="21"/>
      <c r="FP476" s="21"/>
      <c r="FQ476" s="21"/>
      <c r="FR476" s="21"/>
      <c r="FS476" s="21"/>
      <c r="FT476" s="21"/>
      <c r="FU476" s="21"/>
      <c r="FV476" s="21"/>
      <c r="FW476" s="21"/>
      <c r="FX476" s="21"/>
      <c r="FY476" s="21"/>
      <c r="FZ476" s="21"/>
      <c r="GA476" s="21"/>
      <c r="GB476" s="21"/>
      <c r="GC476" s="21"/>
      <c r="GD476" s="21"/>
      <c r="GE476" s="21"/>
      <c r="GF476" s="21"/>
      <c r="GG476" s="21"/>
      <c r="GH476" s="21"/>
      <c r="GI476" s="21"/>
      <c r="GJ476" s="21"/>
      <c r="GK476" s="21"/>
      <c r="GL476" s="21"/>
      <c r="GM476" s="21"/>
      <c r="GN476" s="21"/>
      <c r="GO476" s="21"/>
      <c r="GP476" s="21"/>
      <c r="GQ476" s="21"/>
      <c r="GR476" s="21"/>
      <c r="GS476" s="21"/>
      <c r="GT476" s="21"/>
      <c r="GU476" s="21"/>
      <c r="GV476" s="21"/>
      <c r="GW476" s="21"/>
      <c r="GX476" s="21"/>
      <c r="GY476" s="21"/>
      <c r="GZ476" s="21"/>
      <c r="HA476" s="21"/>
      <c r="HB476" s="21"/>
      <c r="HC476" s="21"/>
      <c r="HD476" s="21"/>
      <c r="HE476" s="21"/>
      <c r="HF476" s="21"/>
      <c r="HG476" s="21"/>
      <c r="HH476" s="21"/>
      <c r="HI476" s="21"/>
      <c r="HJ476" s="21"/>
      <c r="HK476" s="21"/>
      <c r="HL476" s="21"/>
      <c r="HM476" s="21"/>
      <c r="HN476" s="21"/>
      <c r="HO476" s="21"/>
      <c r="HP476" s="21"/>
      <c r="HQ476" s="21"/>
      <c r="HR476" s="21"/>
      <c r="HS476" s="21"/>
      <c r="HT476" s="21"/>
      <c r="HU476" s="21"/>
      <c r="HV476" s="21"/>
      <c r="HW476" s="21"/>
      <c r="HX476" s="21"/>
      <c r="HY476" s="21"/>
      <c r="HZ476" s="21"/>
      <c r="IA476" s="21"/>
      <c r="IB476" s="21"/>
      <c r="IC476" s="21"/>
      <c r="ID476" s="21"/>
      <c r="IE476" s="21"/>
      <c r="IF476" s="21"/>
      <c r="IG476" s="21"/>
      <c r="IH476" s="21"/>
      <c r="II476" s="21"/>
      <c r="IJ476" s="21"/>
      <c r="IK476" s="21"/>
      <c r="IL476" s="21"/>
      <c r="IM476" s="21"/>
      <c r="IN476" s="21"/>
      <c r="IO476" s="21"/>
      <c r="IP476" s="21"/>
      <c r="IQ476" s="21"/>
      <c r="IR476" s="21"/>
      <c r="IS476" s="21"/>
      <c r="IT476" s="21"/>
      <c r="IU476" s="21"/>
      <c r="IV476" s="21"/>
    </row>
    <row r="477" spans="1:256" s="26" customFormat="1" ht="70.5" customHeight="1">
      <c r="A477" s="127"/>
      <c r="B477" s="188"/>
      <c r="C477" s="106" t="s">
        <v>311</v>
      </c>
      <c r="D477" s="114">
        <v>113</v>
      </c>
      <c r="E477" s="113" t="s">
        <v>285</v>
      </c>
      <c r="F477" s="106" t="s">
        <v>1155</v>
      </c>
      <c r="G477" s="106" t="s">
        <v>237</v>
      </c>
      <c r="H477" s="47">
        <v>803</v>
      </c>
      <c r="I477" s="47">
        <v>803</v>
      </c>
      <c r="J477" s="47">
        <v>678</v>
      </c>
      <c r="K477" s="47">
        <v>678</v>
      </c>
      <c r="L477" s="47"/>
      <c r="M477" s="47"/>
      <c r="N477" s="96" t="s">
        <v>238</v>
      </c>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c r="BF477" s="21"/>
      <c r="BG477" s="21"/>
      <c r="BH477" s="21"/>
      <c r="BI477" s="21"/>
      <c r="BJ477" s="21"/>
      <c r="BK477" s="21"/>
      <c r="BL477" s="21"/>
      <c r="BM477" s="21"/>
      <c r="BN477" s="21"/>
      <c r="BO477" s="21"/>
      <c r="BP477" s="21"/>
      <c r="BQ477" s="21"/>
      <c r="BR477" s="21"/>
      <c r="BS477" s="21"/>
      <c r="BT477" s="21"/>
      <c r="BU477" s="21"/>
      <c r="BV477" s="21"/>
      <c r="BW477" s="21"/>
      <c r="BX477" s="21"/>
      <c r="BY477" s="21"/>
      <c r="BZ477" s="21"/>
      <c r="CA477" s="21"/>
      <c r="CB477" s="21"/>
      <c r="CC477" s="21"/>
      <c r="CD477" s="21"/>
      <c r="CE477" s="21"/>
      <c r="CF477" s="21"/>
      <c r="CG477" s="21"/>
      <c r="CH477" s="21"/>
      <c r="CI477" s="21"/>
      <c r="CJ477" s="21"/>
      <c r="CK477" s="21"/>
      <c r="CL477" s="21"/>
      <c r="CM477" s="21"/>
      <c r="CN477" s="21"/>
      <c r="CO477" s="21"/>
      <c r="CP477" s="21"/>
      <c r="CQ477" s="21"/>
      <c r="CR477" s="21"/>
      <c r="CS477" s="21"/>
      <c r="CT477" s="21"/>
      <c r="CU477" s="21"/>
      <c r="CV477" s="21"/>
      <c r="CW477" s="21"/>
      <c r="CX477" s="21"/>
      <c r="CY477" s="21"/>
      <c r="CZ477" s="21"/>
      <c r="DA477" s="21"/>
      <c r="DB477" s="21"/>
      <c r="DC477" s="21"/>
      <c r="DD477" s="21"/>
      <c r="DE477" s="21"/>
      <c r="DF477" s="21"/>
      <c r="DG477" s="21"/>
      <c r="DH477" s="21"/>
      <c r="DI477" s="21"/>
      <c r="DJ477" s="21"/>
      <c r="DK477" s="21"/>
      <c r="DL477" s="21"/>
      <c r="DM477" s="21"/>
      <c r="DN477" s="21"/>
      <c r="DO477" s="21"/>
      <c r="DP477" s="21"/>
      <c r="DQ477" s="21"/>
      <c r="DR477" s="21"/>
      <c r="DS477" s="21"/>
      <c r="DT477" s="21"/>
      <c r="DU477" s="21"/>
      <c r="DV477" s="21"/>
      <c r="DW477" s="21"/>
      <c r="DX477" s="21"/>
      <c r="DY477" s="21"/>
      <c r="DZ477" s="21"/>
      <c r="EA477" s="21"/>
      <c r="EB477" s="21"/>
      <c r="EC477" s="21"/>
      <c r="ED477" s="21"/>
      <c r="EE477" s="21"/>
      <c r="EF477" s="21"/>
      <c r="EG477" s="21"/>
      <c r="EH477" s="21"/>
      <c r="EI477" s="21"/>
      <c r="EJ477" s="21"/>
      <c r="EK477" s="21"/>
      <c r="EL477" s="21"/>
      <c r="EM477" s="21"/>
      <c r="EN477" s="21"/>
      <c r="EO477" s="21"/>
      <c r="EP477" s="21"/>
      <c r="EQ477" s="21"/>
      <c r="ER477" s="21"/>
      <c r="ES477" s="21"/>
      <c r="ET477" s="21"/>
      <c r="EU477" s="21"/>
      <c r="EV477" s="21"/>
      <c r="EW477" s="21"/>
      <c r="EX477" s="21"/>
      <c r="EY477" s="21"/>
      <c r="EZ477" s="21"/>
      <c r="FA477" s="21"/>
      <c r="FB477" s="21"/>
      <c r="FC477" s="21"/>
      <c r="FD477" s="21"/>
      <c r="FE477" s="21"/>
      <c r="FF477" s="21"/>
      <c r="FG477" s="21"/>
      <c r="FH477" s="21"/>
      <c r="FI477" s="21"/>
      <c r="FJ477" s="21"/>
      <c r="FK477" s="21"/>
      <c r="FL477" s="21"/>
      <c r="FM477" s="21"/>
      <c r="FN477" s="21"/>
      <c r="FO477" s="21"/>
      <c r="FP477" s="21"/>
      <c r="FQ477" s="21"/>
      <c r="FR477" s="21"/>
      <c r="FS477" s="21"/>
      <c r="FT477" s="21"/>
      <c r="FU477" s="21"/>
      <c r="FV477" s="21"/>
      <c r="FW477" s="21"/>
      <c r="FX477" s="21"/>
      <c r="FY477" s="21"/>
      <c r="FZ477" s="21"/>
      <c r="GA477" s="21"/>
      <c r="GB477" s="21"/>
      <c r="GC477" s="21"/>
      <c r="GD477" s="21"/>
      <c r="GE477" s="21"/>
      <c r="GF477" s="21"/>
      <c r="GG477" s="21"/>
      <c r="GH477" s="21"/>
      <c r="GI477" s="21"/>
      <c r="GJ477" s="21"/>
      <c r="GK477" s="21"/>
      <c r="GL477" s="21"/>
      <c r="GM477" s="21"/>
      <c r="GN477" s="21"/>
      <c r="GO477" s="21"/>
      <c r="GP477" s="21"/>
      <c r="GQ477" s="21"/>
      <c r="GR477" s="21"/>
      <c r="GS477" s="21"/>
      <c r="GT477" s="21"/>
      <c r="GU477" s="21"/>
      <c r="GV477" s="21"/>
      <c r="GW477" s="21"/>
      <c r="GX477" s="21"/>
      <c r="GY477" s="21"/>
      <c r="GZ477" s="21"/>
      <c r="HA477" s="21"/>
      <c r="HB477" s="21"/>
      <c r="HC477" s="21"/>
      <c r="HD477" s="21"/>
      <c r="HE477" s="21"/>
      <c r="HF477" s="21"/>
      <c r="HG477" s="21"/>
      <c r="HH477" s="21"/>
      <c r="HI477" s="21"/>
      <c r="HJ477" s="21"/>
      <c r="HK477" s="21"/>
      <c r="HL477" s="21"/>
      <c r="HM477" s="21"/>
      <c r="HN477" s="21"/>
      <c r="HO477" s="21"/>
      <c r="HP477" s="21"/>
      <c r="HQ477" s="21"/>
      <c r="HR477" s="21"/>
      <c r="HS477" s="21"/>
      <c r="HT477" s="21"/>
      <c r="HU477" s="21"/>
      <c r="HV477" s="21"/>
      <c r="HW477" s="21"/>
      <c r="HX477" s="21"/>
      <c r="HY477" s="21"/>
      <c r="HZ477" s="21"/>
      <c r="IA477" s="21"/>
      <c r="IB477" s="21"/>
      <c r="IC477" s="21"/>
      <c r="ID477" s="21"/>
      <c r="IE477" s="21"/>
      <c r="IF477" s="21"/>
      <c r="IG477" s="21"/>
      <c r="IH477" s="21"/>
      <c r="II477" s="21"/>
      <c r="IJ477" s="21"/>
      <c r="IK477" s="21"/>
      <c r="IL477" s="21"/>
      <c r="IM477" s="21"/>
      <c r="IN477" s="21"/>
      <c r="IO477" s="21"/>
      <c r="IP477" s="21"/>
      <c r="IQ477" s="21"/>
      <c r="IR477" s="21"/>
      <c r="IS477" s="21"/>
      <c r="IT477" s="21"/>
      <c r="IU477" s="21"/>
      <c r="IV477" s="21"/>
    </row>
    <row r="478" spans="1:256" s="26" customFormat="1" ht="40.5" customHeight="1">
      <c r="A478" s="127"/>
      <c r="B478" s="188"/>
      <c r="C478" s="106" t="s">
        <v>312</v>
      </c>
      <c r="D478" s="105" t="s">
        <v>926</v>
      </c>
      <c r="E478" s="2" t="s">
        <v>286</v>
      </c>
      <c r="F478" s="106" t="s">
        <v>1155</v>
      </c>
      <c r="G478" s="48" t="s">
        <v>719</v>
      </c>
      <c r="H478" s="95">
        <v>500</v>
      </c>
      <c r="I478" s="98">
        <v>499.9</v>
      </c>
      <c r="J478" s="95">
        <v>403.4</v>
      </c>
      <c r="K478" s="95">
        <v>228.3</v>
      </c>
      <c r="L478" s="95">
        <v>228.3</v>
      </c>
      <c r="M478" s="95">
        <v>228.3</v>
      </c>
      <c r="N478" s="96" t="s">
        <v>720</v>
      </c>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c r="BO478" s="21"/>
      <c r="BP478" s="21"/>
      <c r="BQ478" s="21"/>
      <c r="BR478" s="21"/>
      <c r="BS478" s="21"/>
      <c r="BT478" s="21"/>
      <c r="BU478" s="21"/>
      <c r="BV478" s="21"/>
      <c r="BW478" s="21"/>
      <c r="BX478" s="21"/>
      <c r="BY478" s="21"/>
      <c r="BZ478" s="21"/>
      <c r="CA478" s="21"/>
      <c r="CB478" s="21"/>
      <c r="CC478" s="21"/>
      <c r="CD478" s="21"/>
      <c r="CE478" s="21"/>
      <c r="CF478" s="21"/>
      <c r="CG478" s="21"/>
      <c r="CH478" s="21"/>
      <c r="CI478" s="21"/>
      <c r="CJ478" s="21"/>
      <c r="CK478" s="21"/>
      <c r="CL478" s="21"/>
      <c r="CM478" s="21"/>
      <c r="CN478" s="21"/>
      <c r="CO478" s="21"/>
      <c r="CP478" s="21"/>
      <c r="CQ478" s="21"/>
      <c r="CR478" s="21"/>
      <c r="CS478" s="21"/>
      <c r="CT478" s="21"/>
      <c r="CU478" s="21"/>
      <c r="CV478" s="21"/>
      <c r="CW478" s="21"/>
      <c r="CX478" s="21"/>
      <c r="CY478" s="21"/>
      <c r="CZ478" s="21"/>
      <c r="DA478" s="21"/>
      <c r="DB478" s="21"/>
      <c r="DC478" s="21"/>
      <c r="DD478" s="21"/>
      <c r="DE478" s="21"/>
      <c r="DF478" s="21"/>
      <c r="DG478" s="21"/>
      <c r="DH478" s="21"/>
      <c r="DI478" s="21"/>
      <c r="DJ478" s="21"/>
      <c r="DK478" s="21"/>
      <c r="DL478" s="21"/>
      <c r="DM478" s="21"/>
      <c r="DN478" s="21"/>
      <c r="DO478" s="21"/>
      <c r="DP478" s="21"/>
      <c r="DQ478" s="21"/>
      <c r="DR478" s="21"/>
      <c r="DS478" s="21"/>
      <c r="DT478" s="21"/>
      <c r="DU478" s="21"/>
      <c r="DV478" s="21"/>
      <c r="DW478" s="21"/>
      <c r="DX478" s="21"/>
      <c r="DY478" s="21"/>
      <c r="DZ478" s="21"/>
      <c r="EA478" s="21"/>
      <c r="EB478" s="21"/>
      <c r="EC478" s="21"/>
      <c r="ED478" s="21"/>
      <c r="EE478" s="21"/>
      <c r="EF478" s="21"/>
      <c r="EG478" s="21"/>
      <c r="EH478" s="21"/>
      <c r="EI478" s="21"/>
      <c r="EJ478" s="21"/>
      <c r="EK478" s="21"/>
      <c r="EL478" s="21"/>
      <c r="EM478" s="21"/>
      <c r="EN478" s="21"/>
      <c r="EO478" s="21"/>
      <c r="EP478" s="21"/>
      <c r="EQ478" s="21"/>
      <c r="ER478" s="21"/>
      <c r="ES478" s="21"/>
      <c r="ET478" s="21"/>
      <c r="EU478" s="21"/>
      <c r="EV478" s="21"/>
      <c r="EW478" s="21"/>
      <c r="EX478" s="21"/>
      <c r="EY478" s="21"/>
      <c r="EZ478" s="21"/>
      <c r="FA478" s="21"/>
      <c r="FB478" s="21"/>
      <c r="FC478" s="21"/>
      <c r="FD478" s="21"/>
      <c r="FE478" s="21"/>
      <c r="FF478" s="21"/>
      <c r="FG478" s="21"/>
      <c r="FH478" s="21"/>
      <c r="FI478" s="21"/>
      <c r="FJ478" s="21"/>
      <c r="FK478" s="21"/>
      <c r="FL478" s="21"/>
      <c r="FM478" s="21"/>
      <c r="FN478" s="21"/>
      <c r="FO478" s="21"/>
      <c r="FP478" s="21"/>
      <c r="FQ478" s="21"/>
      <c r="FR478" s="21"/>
      <c r="FS478" s="21"/>
      <c r="FT478" s="21"/>
      <c r="FU478" s="21"/>
      <c r="FV478" s="21"/>
      <c r="FW478" s="21"/>
      <c r="FX478" s="21"/>
      <c r="FY478" s="21"/>
      <c r="FZ478" s="21"/>
      <c r="GA478" s="21"/>
      <c r="GB478" s="21"/>
      <c r="GC478" s="21"/>
      <c r="GD478" s="21"/>
      <c r="GE478" s="21"/>
      <c r="GF478" s="21"/>
      <c r="GG478" s="21"/>
      <c r="GH478" s="21"/>
      <c r="GI478" s="21"/>
      <c r="GJ478" s="21"/>
      <c r="GK478" s="21"/>
      <c r="GL478" s="21"/>
      <c r="GM478" s="21"/>
      <c r="GN478" s="21"/>
      <c r="GO478" s="21"/>
      <c r="GP478" s="21"/>
      <c r="GQ478" s="21"/>
      <c r="GR478" s="21"/>
      <c r="GS478" s="21"/>
      <c r="GT478" s="21"/>
      <c r="GU478" s="21"/>
      <c r="GV478" s="21"/>
      <c r="GW478" s="21"/>
      <c r="GX478" s="21"/>
      <c r="GY478" s="21"/>
      <c r="GZ478" s="21"/>
      <c r="HA478" s="21"/>
      <c r="HB478" s="21"/>
      <c r="HC478" s="21"/>
      <c r="HD478" s="21"/>
      <c r="HE478" s="21"/>
      <c r="HF478" s="21"/>
      <c r="HG478" s="21"/>
      <c r="HH478" s="21"/>
      <c r="HI478" s="21"/>
      <c r="HJ478" s="21"/>
      <c r="HK478" s="21"/>
      <c r="HL478" s="21"/>
      <c r="HM478" s="21"/>
      <c r="HN478" s="21"/>
      <c r="HO478" s="21"/>
      <c r="HP478" s="21"/>
      <c r="HQ478" s="21"/>
      <c r="HR478" s="21"/>
      <c r="HS478" s="21"/>
      <c r="HT478" s="21"/>
      <c r="HU478" s="21"/>
      <c r="HV478" s="21"/>
      <c r="HW478" s="21"/>
      <c r="HX478" s="21"/>
      <c r="HY478" s="21"/>
      <c r="HZ478" s="21"/>
      <c r="IA478" s="21"/>
      <c r="IB478" s="21"/>
      <c r="IC478" s="21"/>
      <c r="ID478" s="21"/>
      <c r="IE478" s="21"/>
      <c r="IF478" s="21"/>
      <c r="IG478" s="21"/>
      <c r="IH478" s="21"/>
      <c r="II478" s="21"/>
      <c r="IJ478" s="21"/>
      <c r="IK478" s="21"/>
      <c r="IL478" s="21"/>
      <c r="IM478" s="21"/>
      <c r="IN478" s="21"/>
      <c r="IO478" s="21"/>
      <c r="IP478" s="21"/>
      <c r="IQ478" s="21"/>
      <c r="IR478" s="21"/>
      <c r="IS478" s="21"/>
      <c r="IT478" s="21"/>
      <c r="IU478" s="21"/>
      <c r="IV478" s="21"/>
    </row>
    <row r="479" spans="1:256" s="26" customFormat="1" ht="67.5" customHeight="1">
      <c r="A479" s="127"/>
      <c r="B479" s="188"/>
      <c r="C479" s="106" t="s">
        <v>313</v>
      </c>
      <c r="D479" s="105" t="s">
        <v>1086</v>
      </c>
      <c r="E479" s="96" t="s">
        <v>1480</v>
      </c>
      <c r="F479" s="106" t="s">
        <v>1155</v>
      </c>
      <c r="G479" s="107" t="s">
        <v>472</v>
      </c>
      <c r="H479" s="95">
        <v>30</v>
      </c>
      <c r="I479" s="98">
        <v>30</v>
      </c>
      <c r="J479" s="95"/>
      <c r="K479" s="95"/>
      <c r="L479" s="95"/>
      <c r="M479" s="95"/>
      <c r="N479" s="96" t="s">
        <v>987</v>
      </c>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c r="BE479" s="21"/>
      <c r="BF479" s="21"/>
      <c r="BG479" s="21"/>
      <c r="BH479" s="21"/>
      <c r="BI479" s="21"/>
      <c r="BJ479" s="21"/>
      <c r="BK479" s="21"/>
      <c r="BL479" s="21"/>
      <c r="BM479" s="21"/>
      <c r="BN479" s="21"/>
      <c r="BO479" s="21"/>
      <c r="BP479" s="21"/>
      <c r="BQ479" s="21"/>
      <c r="BR479" s="21"/>
      <c r="BS479" s="21"/>
      <c r="BT479" s="21"/>
      <c r="BU479" s="21"/>
      <c r="BV479" s="21"/>
      <c r="BW479" s="21"/>
      <c r="BX479" s="21"/>
      <c r="BY479" s="21"/>
      <c r="BZ479" s="21"/>
      <c r="CA479" s="21"/>
      <c r="CB479" s="21"/>
      <c r="CC479" s="21"/>
      <c r="CD479" s="21"/>
      <c r="CE479" s="21"/>
      <c r="CF479" s="21"/>
      <c r="CG479" s="21"/>
      <c r="CH479" s="21"/>
      <c r="CI479" s="21"/>
      <c r="CJ479" s="21"/>
      <c r="CK479" s="21"/>
      <c r="CL479" s="21"/>
      <c r="CM479" s="21"/>
      <c r="CN479" s="21"/>
      <c r="CO479" s="21"/>
      <c r="CP479" s="21"/>
      <c r="CQ479" s="21"/>
      <c r="CR479" s="21"/>
      <c r="CS479" s="21"/>
      <c r="CT479" s="21"/>
      <c r="CU479" s="21"/>
      <c r="CV479" s="21"/>
      <c r="CW479" s="21"/>
      <c r="CX479" s="21"/>
      <c r="CY479" s="21"/>
      <c r="CZ479" s="21"/>
      <c r="DA479" s="21"/>
      <c r="DB479" s="21"/>
      <c r="DC479" s="21"/>
      <c r="DD479" s="21"/>
      <c r="DE479" s="21"/>
      <c r="DF479" s="21"/>
      <c r="DG479" s="21"/>
      <c r="DH479" s="21"/>
      <c r="DI479" s="21"/>
      <c r="DJ479" s="21"/>
      <c r="DK479" s="21"/>
      <c r="DL479" s="21"/>
      <c r="DM479" s="21"/>
      <c r="DN479" s="21"/>
      <c r="DO479" s="21"/>
      <c r="DP479" s="21"/>
      <c r="DQ479" s="21"/>
      <c r="DR479" s="21"/>
      <c r="DS479" s="21"/>
      <c r="DT479" s="21"/>
      <c r="DU479" s="21"/>
      <c r="DV479" s="21"/>
      <c r="DW479" s="21"/>
      <c r="DX479" s="21"/>
      <c r="DY479" s="21"/>
      <c r="DZ479" s="21"/>
      <c r="EA479" s="21"/>
      <c r="EB479" s="21"/>
      <c r="EC479" s="21"/>
      <c r="ED479" s="21"/>
      <c r="EE479" s="21"/>
      <c r="EF479" s="21"/>
      <c r="EG479" s="21"/>
      <c r="EH479" s="21"/>
      <c r="EI479" s="21"/>
      <c r="EJ479" s="21"/>
      <c r="EK479" s="21"/>
      <c r="EL479" s="21"/>
      <c r="EM479" s="21"/>
      <c r="EN479" s="21"/>
      <c r="EO479" s="21"/>
      <c r="EP479" s="21"/>
      <c r="EQ479" s="21"/>
      <c r="ER479" s="21"/>
      <c r="ES479" s="21"/>
      <c r="ET479" s="21"/>
      <c r="EU479" s="21"/>
      <c r="EV479" s="21"/>
      <c r="EW479" s="21"/>
      <c r="EX479" s="21"/>
      <c r="EY479" s="21"/>
      <c r="EZ479" s="21"/>
      <c r="FA479" s="21"/>
      <c r="FB479" s="21"/>
      <c r="FC479" s="21"/>
      <c r="FD479" s="21"/>
      <c r="FE479" s="21"/>
      <c r="FF479" s="21"/>
      <c r="FG479" s="21"/>
      <c r="FH479" s="21"/>
      <c r="FI479" s="21"/>
      <c r="FJ479" s="21"/>
      <c r="FK479" s="21"/>
      <c r="FL479" s="21"/>
      <c r="FM479" s="21"/>
      <c r="FN479" s="21"/>
      <c r="FO479" s="21"/>
      <c r="FP479" s="21"/>
      <c r="FQ479" s="21"/>
      <c r="FR479" s="21"/>
      <c r="FS479" s="21"/>
      <c r="FT479" s="21"/>
      <c r="FU479" s="21"/>
      <c r="FV479" s="21"/>
      <c r="FW479" s="21"/>
      <c r="FX479" s="21"/>
      <c r="FY479" s="21"/>
      <c r="FZ479" s="21"/>
      <c r="GA479" s="21"/>
      <c r="GB479" s="21"/>
      <c r="GC479" s="21"/>
      <c r="GD479" s="21"/>
      <c r="GE479" s="21"/>
      <c r="GF479" s="21"/>
      <c r="GG479" s="21"/>
      <c r="GH479" s="21"/>
      <c r="GI479" s="21"/>
      <c r="GJ479" s="21"/>
      <c r="GK479" s="21"/>
      <c r="GL479" s="21"/>
      <c r="GM479" s="21"/>
      <c r="GN479" s="21"/>
      <c r="GO479" s="21"/>
      <c r="GP479" s="21"/>
      <c r="GQ479" s="21"/>
      <c r="GR479" s="21"/>
      <c r="GS479" s="21"/>
      <c r="GT479" s="21"/>
      <c r="GU479" s="21"/>
      <c r="GV479" s="21"/>
      <c r="GW479" s="21"/>
      <c r="GX479" s="21"/>
      <c r="GY479" s="21"/>
      <c r="GZ479" s="21"/>
      <c r="HA479" s="21"/>
      <c r="HB479" s="21"/>
      <c r="HC479" s="21"/>
      <c r="HD479" s="21"/>
      <c r="HE479" s="21"/>
      <c r="HF479" s="21"/>
      <c r="HG479" s="21"/>
      <c r="HH479" s="21"/>
      <c r="HI479" s="21"/>
      <c r="HJ479" s="21"/>
      <c r="HK479" s="21"/>
      <c r="HL479" s="21"/>
      <c r="HM479" s="21"/>
      <c r="HN479" s="21"/>
      <c r="HO479" s="21"/>
      <c r="HP479" s="21"/>
      <c r="HQ479" s="21"/>
      <c r="HR479" s="21"/>
      <c r="HS479" s="21"/>
      <c r="HT479" s="21"/>
      <c r="HU479" s="21"/>
      <c r="HV479" s="21"/>
      <c r="HW479" s="21"/>
      <c r="HX479" s="21"/>
      <c r="HY479" s="21"/>
      <c r="HZ479" s="21"/>
      <c r="IA479" s="21"/>
      <c r="IB479" s="21"/>
      <c r="IC479" s="21"/>
      <c r="ID479" s="21"/>
      <c r="IE479" s="21"/>
      <c r="IF479" s="21"/>
      <c r="IG479" s="21"/>
      <c r="IH479" s="21"/>
      <c r="II479" s="21"/>
      <c r="IJ479" s="21"/>
      <c r="IK479" s="21"/>
      <c r="IL479" s="21"/>
      <c r="IM479" s="21"/>
      <c r="IN479" s="21"/>
      <c r="IO479" s="21"/>
      <c r="IP479" s="21"/>
      <c r="IQ479" s="21"/>
      <c r="IR479" s="21"/>
      <c r="IS479" s="21"/>
      <c r="IT479" s="21"/>
      <c r="IU479" s="21"/>
      <c r="IV479" s="21"/>
    </row>
    <row r="480" spans="1:14" ht="49.5" customHeight="1">
      <c r="A480" s="127"/>
      <c r="B480" s="188"/>
      <c r="C480" s="106" t="s">
        <v>314</v>
      </c>
      <c r="D480" s="105" t="s">
        <v>1086</v>
      </c>
      <c r="E480" s="96" t="s">
        <v>1480</v>
      </c>
      <c r="F480" s="106" t="s">
        <v>1155</v>
      </c>
      <c r="G480" s="107" t="s">
        <v>473</v>
      </c>
      <c r="H480" s="95">
        <v>45</v>
      </c>
      <c r="I480" s="98">
        <v>45</v>
      </c>
      <c r="J480" s="95"/>
      <c r="K480" s="95"/>
      <c r="L480" s="95"/>
      <c r="M480" s="95"/>
      <c r="N480" s="113" t="s">
        <v>1479</v>
      </c>
    </row>
    <row r="481" spans="1:14" ht="78" customHeight="1">
      <c r="A481" s="127"/>
      <c r="B481" s="188"/>
      <c r="C481" s="106" t="s">
        <v>315</v>
      </c>
      <c r="D481" s="105" t="s">
        <v>1086</v>
      </c>
      <c r="E481" s="96" t="s">
        <v>1481</v>
      </c>
      <c r="F481" s="106" t="s">
        <v>1155</v>
      </c>
      <c r="G481" s="107" t="s">
        <v>1475</v>
      </c>
      <c r="H481" s="95">
        <v>1112.5</v>
      </c>
      <c r="I481" s="98">
        <v>1110.8</v>
      </c>
      <c r="J481" s="95"/>
      <c r="K481" s="95"/>
      <c r="L481" s="95"/>
      <c r="M481" s="95"/>
      <c r="N481" s="113" t="s">
        <v>1482</v>
      </c>
    </row>
    <row r="482" spans="1:14" ht="102" customHeight="1">
      <c r="A482" s="127"/>
      <c r="B482" s="188"/>
      <c r="C482" s="106" t="s">
        <v>316</v>
      </c>
      <c r="D482" s="105" t="s">
        <v>20</v>
      </c>
      <c r="E482" s="113" t="s">
        <v>1558</v>
      </c>
      <c r="F482" s="106" t="s">
        <v>1155</v>
      </c>
      <c r="G482" s="106" t="s">
        <v>1556</v>
      </c>
      <c r="H482" s="95">
        <v>1198.7</v>
      </c>
      <c r="I482" s="98">
        <v>1172.2</v>
      </c>
      <c r="J482" s="95">
        <f>620+278</f>
        <v>898</v>
      </c>
      <c r="K482" s="95">
        <f>620+278.6</f>
        <v>898.6</v>
      </c>
      <c r="L482" s="95">
        <f>620+279.1</f>
        <v>899.1</v>
      </c>
      <c r="M482" s="95">
        <f>620+279.9</f>
        <v>899.9</v>
      </c>
      <c r="N482" s="96" t="s">
        <v>950</v>
      </c>
    </row>
    <row r="483" spans="1:14" ht="97.5" customHeight="1">
      <c r="A483" s="127"/>
      <c r="B483" s="188"/>
      <c r="C483" s="106" t="s">
        <v>317</v>
      </c>
      <c r="D483" s="105" t="s">
        <v>1557</v>
      </c>
      <c r="E483" s="96" t="s">
        <v>1217</v>
      </c>
      <c r="F483" s="106" t="s">
        <v>1155</v>
      </c>
      <c r="G483" s="107" t="s">
        <v>1218</v>
      </c>
      <c r="H483" s="95">
        <v>1634</v>
      </c>
      <c r="I483" s="98">
        <v>1183.4</v>
      </c>
      <c r="J483" s="95">
        <v>737.5</v>
      </c>
      <c r="K483" s="95"/>
      <c r="L483" s="95"/>
      <c r="M483" s="95"/>
      <c r="N483" s="113" t="s">
        <v>1476</v>
      </c>
    </row>
    <row r="484" spans="1:14" ht="64.5" customHeight="1">
      <c r="A484" s="127"/>
      <c r="B484" s="188"/>
      <c r="C484" s="106" t="s">
        <v>318</v>
      </c>
      <c r="D484" s="105" t="s">
        <v>1557</v>
      </c>
      <c r="E484" s="2" t="s">
        <v>465</v>
      </c>
      <c r="F484" s="106" t="s">
        <v>1155</v>
      </c>
      <c r="G484" s="106" t="s">
        <v>1524</v>
      </c>
      <c r="H484" s="95">
        <v>4972.6</v>
      </c>
      <c r="I484" s="98">
        <v>3314</v>
      </c>
      <c r="J484" s="95"/>
      <c r="K484" s="95"/>
      <c r="L484" s="95"/>
      <c r="M484" s="95"/>
      <c r="N484" s="96" t="s">
        <v>466</v>
      </c>
    </row>
    <row r="485" spans="1:14" ht="45">
      <c r="A485" s="127"/>
      <c r="B485" s="188"/>
      <c r="C485" s="106" t="s">
        <v>319</v>
      </c>
      <c r="D485" s="114">
        <v>501</v>
      </c>
      <c r="E485" s="6" t="s">
        <v>103</v>
      </c>
      <c r="F485" s="100" t="s">
        <v>1155</v>
      </c>
      <c r="G485" s="100" t="s">
        <v>731</v>
      </c>
      <c r="H485" s="95">
        <v>5338.5</v>
      </c>
      <c r="I485" s="98">
        <v>5296</v>
      </c>
      <c r="J485" s="31"/>
      <c r="K485" s="31"/>
      <c r="L485" s="31"/>
      <c r="M485" s="31"/>
      <c r="N485" s="96" t="s">
        <v>959</v>
      </c>
    </row>
    <row r="486" spans="1:14" ht="57" customHeight="1">
      <c r="A486" s="127"/>
      <c r="B486" s="188"/>
      <c r="C486" s="150" t="s">
        <v>320</v>
      </c>
      <c r="D486" s="201">
        <v>501</v>
      </c>
      <c r="E486" s="6" t="s">
        <v>104</v>
      </c>
      <c r="F486" s="100" t="s">
        <v>1155</v>
      </c>
      <c r="G486" s="100" t="s">
        <v>105</v>
      </c>
      <c r="H486" s="133">
        <f>57128.1+140000</f>
        <v>197128.1</v>
      </c>
      <c r="I486" s="135">
        <f>16095.3+130724.5</f>
        <v>146819.8</v>
      </c>
      <c r="J486" s="133">
        <f>57833.5+100000+57194+2566.4</f>
        <v>217593.9</v>
      </c>
      <c r="K486" s="203"/>
      <c r="L486" s="203"/>
      <c r="M486" s="203"/>
      <c r="N486" s="198" t="s">
        <v>5</v>
      </c>
    </row>
    <row r="487" spans="1:14" ht="36" customHeight="1">
      <c r="A487" s="127"/>
      <c r="B487" s="188"/>
      <c r="C487" s="206"/>
      <c r="D487" s="207"/>
      <c r="E487" s="6" t="s">
        <v>892</v>
      </c>
      <c r="F487" s="100" t="s">
        <v>1155</v>
      </c>
      <c r="G487" s="100" t="s">
        <v>498</v>
      </c>
      <c r="H487" s="172"/>
      <c r="I487" s="186"/>
      <c r="J487" s="172"/>
      <c r="K487" s="204"/>
      <c r="L487" s="204"/>
      <c r="M487" s="204"/>
      <c r="N487" s="199"/>
    </row>
    <row r="488" spans="1:14" ht="48" customHeight="1">
      <c r="A488" s="127"/>
      <c r="B488" s="188"/>
      <c r="C488" s="151"/>
      <c r="D488" s="202"/>
      <c r="E488" s="6" t="s">
        <v>994</v>
      </c>
      <c r="F488" s="100" t="s">
        <v>1155</v>
      </c>
      <c r="G488" s="14" t="s">
        <v>6</v>
      </c>
      <c r="H488" s="134"/>
      <c r="I488" s="123"/>
      <c r="J488" s="134"/>
      <c r="K488" s="205"/>
      <c r="L488" s="205"/>
      <c r="M488" s="205"/>
      <c r="N488" s="200"/>
    </row>
    <row r="489" spans="1:14" ht="33" customHeight="1">
      <c r="A489" s="127"/>
      <c r="B489" s="188"/>
      <c r="C489" s="106" t="s">
        <v>321</v>
      </c>
      <c r="D489" s="114">
        <v>501</v>
      </c>
      <c r="E489" s="6" t="s">
        <v>147</v>
      </c>
      <c r="F489" s="100" t="s">
        <v>1449</v>
      </c>
      <c r="G489" s="100" t="s">
        <v>1150</v>
      </c>
      <c r="H489" s="95">
        <v>200</v>
      </c>
      <c r="I489" s="98">
        <v>200</v>
      </c>
      <c r="J489" s="95"/>
      <c r="K489" s="31"/>
      <c r="L489" s="31"/>
      <c r="M489" s="31"/>
      <c r="N489" s="113" t="s">
        <v>148</v>
      </c>
    </row>
    <row r="490" spans="1:14" ht="52.5" customHeight="1">
      <c r="A490" s="127"/>
      <c r="B490" s="188"/>
      <c r="C490" s="106" t="s">
        <v>322</v>
      </c>
      <c r="D490" s="105" t="s">
        <v>879</v>
      </c>
      <c r="E490" s="113" t="s">
        <v>1187</v>
      </c>
      <c r="F490" s="106" t="s">
        <v>1155</v>
      </c>
      <c r="G490" s="24" t="s">
        <v>541</v>
      </c>
      <c r="H490" s="95">
        <v>370.2</v>
      </c>
      <c r="I490" s="98">
        <v>370.2</v>
      </c>
      <c r="J490" s="95"/>
      <c r="K490" s="95"/>
      <c r="L490" s="95"/>
      <c r="M490" s="95"/>
      <c r="N490" s="96" t="s">
        <v>467</v>
      </c>
    </row>
    <row r="491" spans="1:14" ht="28.5" customHeight="1">
      <c r="A491" s="173" t="s">
        <v>611</v>
      </c>
      <c r="B491" s="173"/>
      <c r="C491" s="173"/>
      <c r="D491" s="173"/>
      <c r="E491" s="173"/>
      <c r="F491" s="173"/>
      <c r="G491" s="173"/>
      <c r="H491" s="173"/>
      <c r="I491" s="173"/>
      <c r="J491" s="173"/>
      <c r="K491" s="173"/>
      <c r="L491" s="173"/>
      <c r="M491" s="173"/>
      <c r="N491" s="173"/>
    </row>
    <row r="492" spans="1:14" ht="15">
      <c r="A492" s="65"/>
      <c r="B492" s="9"/>
      <c r="C492" s="10"/>
      <c r="D492" s="66"/>
      <c r="E492" s="20"/>
      <c r="F492" s="66"/>
      <c r="G492" s="66"/>
      <c r="H492" s="109"/>
      <c r="I492" s="109"/>
      <c r="J492" s="109"/>
      <c r="K492" s="109"/>
      <c r="L492" s="109"/>
      <c r="M492" s="109"/>
      <c r="N492" s="20"/>
    </row>
    <row r="494" ht="15">
      <c r="J494" s="34"/>
    </row>
  </sheetData>
  <sheetProtection/>
  <mergeCells count="794">
    <mergeCell ref="J139:J141"/>
    <mergeCell ref="K139:K141"/>
    <mergeCell ref="L139:L141"/>
    <mergeCell ref="M139:M141"/>
    <mergeCell ref="C139:C141"/>
    <mergeCell ref="D139:D141"/>
    <mergeCell ref="H139:H141"/>
    <mergeCell ref="I139:I141"/>
    <mergeCell ref="A285:A289"/>
    <mergeCell ref="B285:B289"/>
    <mergeCell ref="B290:B298"/>
    <mergeCell ref="A290:A298"/>
    <mergeCell ref="C292:C294"/>
    <mergeCell ref="D292:D294"/>
    <mergeCell ref="C321:C322"/>
    <mergeCell ref="D321:D322"/>
    <mergeCell ref="J353:J356"/>
    <mergeCell ref="K353:K356"/>
    <mergeCell ref="J280:J281"/>
    <mergeCell ref="K280:K281"/>
    <mergeCell ref="K327:K328"/>
    <mergeCell ref="C353:C356"/>
    <mergeCell ref="D353:D356"/>
    <mergeCell ref="B353:B356"/>
    <mergeCell ref="A353:A356"/>
    <mergeCell ref="M339:M340"/>
    <mergeCell ref="N339:N340"/>
    <mergeCell ref="H345:H347"/>
    <mergeCell ref="N325:N326"/>
    <mergeCell ref="J327:J328"/>
    <mergeCell ref="N351:N352"/>
    <mergeCell ref="H292:H294"/>
    <mergeCell ref="I292:I294"/>
    <mergeCell ref="J292:J294"/>
    <mergeCell ref="K292:K294"/>
    <mergeCell ref="N321:N322"/>
    <mergeCell ref="M321:M322"/>
    <mergeCell ref="L321:L322"/>
    <mergeCell ref="K321:K322"/>
    <mergeCell ref="J321:J322"/>
    <mergeCell ref="J351:J352"/>
    <mergeCell ref="K351:K352"/>
    <mergeCell ref="L351:L352"/>
    <mergeCell ref="M351:M352"/>
    <mergeCell ref="N207:N208"/>
    <mergeCell ref="K142:K143"/>
    <mergeCell ref="L142:L143"/>
    <mergeCell ref="M142:M143"/>
    <mergeCell ref="N142:N143"/>
    <mergeCell ref="K166:K168"/>
    <mergeCell ref="N177:N178"/>
    <mergeCell ref="N166:N168"/>
    <mergeCell ref="N198:N202"/>
    <mergeCell ref="K122:K127"/>
    <mergeCell ref="L122:L127"/>
    <mergeCell ref="M122:M127"/>
    <mergeCell ref="N122:N127"/>
    <mergeCell ref="K135:K137"/>
    <mergeCell ref="L135:L137"/>
    <mergeCell ref="M135:M137"/>
    <mergeCell ref="N135:N137"/>
    <mergeCell ref="N139:N141"/>
    <mergeCell ref="H307:H311"/>
    <mergeCell ref="K241:K242"/>
    <mergeCell ref="M241:M242"/>
    <mergeCell ref="M231:M233"/>
    <mergeCell ref="L264:L265"/>
    <mergeCell ref="K253:K255"/>
    <mergeCell ref="L280:L281"/>
    <mergeCell ref="M280:M281"/>
    <mergeCell ref="D375:D376"/>
    <mergeCell ref="H375:H376"/>
    <mergeCell ref="I375:I376"/>
    <mergeCell ref="H339:H340"/>
    <mergeCell ref="H351:H352"/>
    <mergeCell ref="I351:I352"/>
    <mergeCell ref="H353:H356"/>
    <mergeCell ref="I353:I356"/>
    <mergeCell ref="D339:D340"/>
    <mergeCell ref="H368:H369"/>
    <mergeCell ref="I368:I369"/>
    <mergeCell ref="J368:J369"/>
    <mergeCell ref="K368:K369"/>
    <mergeCell ref="N486:N488"/>
    <mergeCell ref="C486:C488"/>
    <mergeCell ref="D486:D488"/>
    <mergeCell ref="L292:L294"/>
    <mergeCell ref="M292:M294"/>
    <mergeCell ref="N292:N294"/>
    <mergeCell ref="I321:I322"/>
    <mergeCell ref="H321:H322"/>
    <mergeCell ref="M404:M405"/>
    <mergeCell ref="D368:D369"/>
    <mergeCell ref="J486:J488"/>
    <mergeCell ref="K486:K488"/>
    <mergeCell ref="L486:L488"/>
    <mergeCell ref="M486:M488"/>
    <mergeCell ref="J440:J441"/>
    <mergeCell ref="I440:I441"/>
    <mergeCell ref="H440:H441"/>
    <mergeCell ref="D440:D441"/>
    <mergeCell ref="N440:N441"/>
    <mergeCell ref="M440:M441"/>
    <mergeCell ref="L440:L441"/>
    <mergeCell ref="K440:K441"/>
    <mergeCell ref="H114:H117"/>
    <mergeCell ref="M80:M83"/>
    <mergeCell ref="N80:N83"/>
    <mergeCell ref="C85:C86"/>
    <mergeCell ref="D85:D86"/>
    <mergeCell ref="H85:H86"/>
    <mergeCell ref="I85:I86"/>
    <mergeCell ref="J85:J86"/>
    <mergeCell ref="K85:K86"/>
    <mergeCell ref="L85:L86"/>
    <mergeCell ref="K23:K24"/>
    <mergeCell ref="L23:L24"/>
    <mergeCell ref="M23:M24"/>
    <mergeCell ref="B77:B88"/>
    <mergeCell ref="M85:M86"/>
    <mergeCell ref="D80:D83"/>
    <mergeCell ref="L80:L83"/>
    <mergeCell ref="D23:D24"/>
    <mergeCell ref="H23:H24"/>
    <mergeCell ref="I23:I24"/>
    <mergeCell ref="J23:J24"/>
    <mergeCell ref="K25:K26"/>
    <mergeCell ref="L25:L26"/>
    <mergeCell ref="M25:M26"/>
    <mergeCell ref="N25:N26"/>
    <mergeCell ref="D25:D26"/>
    <mergeCell ref="H25:H26"/>
    <mergeCell ref="I25:I26"/>
    <mergeCell ref="J25:J26"/>
    <mergeCell ref="L353:L356"/>
    <mergeCell ref="M353:M356"/>
    <mergeCell ref="N353:N356"/>
    <mergeCell ref="N23:N24"/>
    <mergeCell ref="N95:N96"/>
    <mergeCell ref="N92:N93"/>
    <mergeCell ref="M92:M93"/>
    <mergeCell ref="L92:L93"/>
    <mergeCell ref="N85:N86"/>
    <mergeCell ref="N264:N265"/>
    <mergeCell ref="C147:C148"/>
    <mergeCell ref="B166:B168"/>
    <mergeCell ref="A166:A168"/>
    <mergeCell ref="N365:N366"/>
    <mergeCell ref="N345:N347"/>
    <mergeCell ref="M345:M347"/>
    <mergeCell ref="L345:L347"/>
    <mergeCell ref="E355:E356"/>
    <mergeCell ref="F355:F356"/>
    <mergeCell ref="G355:G356"/>
    <mergeCell ref="B142:B143"/>
    <mergeCell ref="A142:A143"/>
    <mergeCell ref="C142:C143"/>
    <mergeCell ref="D142:D143"/>
    <mergeCell ref="D459:D460"/>
    <mergeCell ref="C459:C460"/>
    <mergeCell ref="H486:H488"/>
    <mergeCell ref="I486:I488"/>
    <mergeCell ref="A420:A421"/>
    <mergeCell ref="A422:A436"/>
    <mergeCell ref="A459:A470"/>
    <mergeCell ref="C444:C445"/>
    <mergeCell ref="B459:B470"/>
    <mergeCell ref="A437:A458"/>
    <mergeCell ref="C440:C441"/>
    <mergeCell ref="D471:D472"/>
    <mergeCell ref="C471:C472"/>
    <mergeCell ref="A471:A490"/>
    <mergeCell ref="B471:B490"/>
    <mergeCell ref="C241:C242"/>
    <mergeCell ref="C339:C340"/>
    <mergeCell ref="H331:H333"/>
    <mergeCell ref="I331:I333"/>
    <mergeCell ref="D299:D301"/>
    <mergeCell ref="C299:C301"/>
    <mergeCell ref="C275:C276"/>
    <mergeCell ref="D275:D276"/>
    <mergeCell ref="C277:C278"/>
    <mergeCell ref="D277:D278"/>
    <mergeCell ref="C363:C364"/>
    <mergeCell ref="D404:D405"/>
    <mergeCell ref="D363:D364"/>
    <mergeCell ref="A243:A252"/>
    <mergeCell ref="B243:B252"/>
    <mergeCell ref="B319:B328"/>
    <mergeCell ref="A319:A328"/>
    <mergeCell ref="B339:B340"/>
    <mergeCell ref="A339:A340"/>
    <mergeCell ref="A275:A279"/>
    <mergeCell ref="C437:C438"/>
    <mergeCell ref="B385:B405"/>
    <mergeCell ref="B368:B369"/>
    <mergeCell ref="C368:C369"/>
    <mergeCell ref="C375:C376"/>
    <mergeCell ref="C385:C386"/>
    <mergeCell ref="C420:C421"/>
    <mergeCell ref="B420:B421"/>
    <mergeCell ref="B437:B458"/>
    <mergeCell ref="B375:B376"/>
    <mergeCell ref="C422:C423"/>
    <mergeCell ref="D422:D423"/>
    <mergeCell ref="B422:B436"/>
    <mergeCell ref="C424:C425"/>
    <mergeCell ref="D424:D425"/>
    <mergeCell ref="B380:B383"/>
    <mergeCell ref="C380:C383"/>
    <mergeCell ref="D437:D438"/>
    <mergeCell ref="A363:A419"/>
    <mergeCell ref="B363:B364"/>
    <mergeCell ref="B365:B366"/>
    <mergeCell ref="B411:B415"/>
    <mergeCell ref="I217:I221"/>
    <mergeCell ref="M243:M246"/>
    <mergeCell ref="L257:L258"/>
    <mergeCell ref="L217:L221"/>
    <mergeCell ref="L241:L242"/>
    <mergeCell ref="M257:M258"/>
    <mergeCell ref="M217:M221"/>
    <mergeCell ref="K217:K221"/>
    <mergeCell ref="L331:L333"/>
    <mergeCell ref="M331:M333"/>
    <mergeCell ref="D147:D148"/>
    <mergeCell ref="H147:H148"/>
    <mergeCell ref="I147:I148"/>
    <mergeCell ref="J147:J148"/>
    <mergeCell ref="K147:K148"/>
    <mergeCell ref="L147:L148"/>
    <mergeCell ref="H241:H242"/>
    <mergeCell ref="I241:I242"/>
    <mergeCell ref="J207:J208"/>
    <mergeCell ref="L327:L328"/>
    <mergeCell ref="M327:M328"/>
    <mergeCell ref="K307:K311"/>
    <mergeCell ref="J307:J311"/>
    <mergeCell ref="L259:L261"/>
    <mergeCell ref="M207:M208"/>
    <mergeCell ref="J212:J216"/>
    <mergeCell ref="I212:I216"/>
    <mergeCell ref="H212:H216"/>
    <mergeCell ref="L212:L216"/>
    <mergeCell ref="H325:H326"/>
    <mergeCell ref="I325:I326"/>
    <mergeCell ref="J325:J326"/>
    <mergeCell ref="D313:D314"/>
    <mergeCell ref="H313:H314"/>
    <mergeCell ref="I313:I314"/>
    <mergeCell ref="J313:J314"/>
    <mergeCell ref="L128:L129"/>
    <mergeCell ref="M128:M129"/>
    <mergeCell ref="D89:D90"/>
    <mergeCell ref="N331:N333"/>
    <mergeCell ref="N327:N328"/>
    <mergeCell ref="H277:H278"/>
    <mergeCell ref="I277:I278"/>
    <mergeCell ref="J217:J221"/>
    <mergeCell ref="L253:L255"/>
    <mergeCell ref="N253:N255"/>
    <mergeCell ref="K212:K216"/>
    <mergeCell ref="K207:K208"/>
    <mergeCell ref="M198:M202"/>
    <mergeCell ref="M186:M187"/>
    <mergeCell ref="L207:L208"/>
    <mergeCell ref="L198:L202"/>
    <mergeCell ref="N186:N187"/>
    <mergeCell ref="M277:M278"/>
    <mergeCell ref="L313:L314"/>
    <mergeCell ref="M313:M314"/>
    <mergeCell ref="M212:M216"/>
    <mergeCell ref="N212:N216"/>
    <mergeCell ref="L277:L278"/>
    <mergeCell ref="N231:N233"/>
    <mergeCell ref="M307:M311"/>
    <mergeCell ref="N313:N314"/>
    <mergeCell ref="N302:N305"/>
    <mergeCell ref="N217:N221"/>
    <mergeCell ref="N307:N311"/>
    <mergeCell ref="K325:K326"/>
    <mergeCell ref="N277:N278"/>
    <mergeCell ref="K277:K278"/>
    <mergeCell ref="M325:M326"/>
    <mergeCell ref="K259:K261"/>
    <mergeCell ref="K313:K314"/>
    <mergeCell ref="N280:N281"/>
    <mergeCell ref="D169:D176"/>
    <mergeCell ref="H157:H158"/>
    <mergeCell ref="I157:I158"/>
    <mergeCell ref="D207:D208"/>
    <mergeCell ref="D177:D178"/>
    <mergeCell ref="H207:H208"/>
    <mergeCell ref="I198:I202"/>
    <mergeCell ref="D166:D168"/>
    <mergeCell ref="H166:H168"/>
    <mergeCell ref="I166:I168"/>
    <mergeCell ref="N47:N48"/>
    <mergeCell ref="L50:L51"/>
    <mergeCell ref="L56:L57"/>
    <mergeCell ref="M56:M57"/>
    <mergeCell ref="N56:N57"/>
    <mergeCell ref="M50:M51"/>
    <mergeCell ref="N50:N51"/>
    <mergeCell ref="M47:M48"/>
    <mergeCell ref="M52:M53"/>
    <mergeCell ref="I302:I305"/>
    <mergeCell ref="M144:M145"/>
    <mergeCell ref="I104:I105"/>
    <mergeCell ref="L144:L145"/>
    <mergeCell ref="L131:L132"/>
    <mergeCell ref="J104:J105"/>
    <mergeCell ref="J198:J202"/>
    <mergeCell ref="M302:M305"/>
    <mergeCell ref="J302:J305"/>
    <mergeCell ref="K302:K305"/>
    <mergeCell ref="N60:N61"/>
    <mergeCell ref="N52:N53"/>
    <mergeCell ref="D307:D311"/>
    <mergeCell ref="I207:I208"/>
    <mergeCell ref="L114:L117"/>
    <mergeCell ref="M98:M100"/>
    <mergeCell ref="L98:L100"/>
    <mergeCell ref="N114:N117"/>
    <mergeCell ref="L153:L156"/>
    <mergeCell ref="K198:K202"/>
    <mergeCell ref="N63:N66"/>
    <mergeCell ref="H63:H66"/>
    <mergeCell ref="H67:H69"/>
    <mergeCell ref="I67:I69"/>
    <mergeCell ref="I63:I66"/>
    <mergeCell ref="M104:M105"/>
    <mergeCell ref="N104:N105"/>
    <mergeCell ref="M114:M117"/>
    <mergeCell ref="A72:A75"/>
    <mergeCell ref="B72:B75"/>
    <mergeCell ref="C98:C101"/>
    <mergeCell ref="D95:D96"/>
    <mergeCell ref="B89:B96"/>
    <mergeCell ref="C95:C96"/>
    <mergeCell ref="D98:D101"/>
    <mergeCell ref="N58:N59"/>
    <mergeCell ref="I58:I59"/>
    <mergeCell ref="B153:B156"/>
    <mergeCell ref="J98:J100"/>
    <mergeCell ref="C114:C117"/>
    <mergeCell ref="B128:B138"/>
    <mergeCell ref="J144:J145"/>
    <mergeCell ref="I153:I156"/>
    <mergeCell ref="N131:N132"/>
    <mergeCell ref="L104:L105"/>
    <mergeCell ref="D56:D57"/>
    <mergeCell ref="D50:D51"/>
    <mergeCell ref="C131:C132"/>
    <mergeCell ref="A157:A165"/>
    <mergeCell ref="B157:B165"/>
    <mergeCell ref="A153:A156"/>
    <mergeCell ref="B118:B127"/>
    <mergeCell ref="C157:C159"/>
    <mergeCell ref="A139:A141"/>
    <mergeCell ref="B41:B70"/>
    <mergeCell ref="B139:B141"/>
    <mergeCell ref="A118:A127"/>
    <mergeCell ref="A128:A138"/>
    <mergeCell ref="A77:A88"/>
    <mergeCell ref="A89:A96"/>
    <mergeCell ref="A98:A113"/>
    <mergeCell ref="B98:B113"/>
    <mergeCell ref="C89:C90"/>
    <mergeCell ref="C80:C83"/>
    <mergeCell ref="C92:C93"/>
    <mergeCell ref="A144:A152"/>
    <mergeCell ref="D67:D69"/>
    <mergeCell ref="C153:C156"/>
    <mergeCell ref="D144:D146"/>
    <mergeCell ref="B144:B152"/>
    <mergeCell ref="C144:C146"/>
    <mergeCell ref="D153:D156"/>
    <mergeCell ref="A41:A70"/>
    <mergeCell ref="A114:A117"/>
    <mergeCell ref="B114:B117"/>
    <mergeCell ref="J243:J246"/>
    <mergeCell ref="J277:J278"/>
    <mergeCell ref="C325:C326"/>
    <mergeCell ref="C313:C314"/>
    <mergeCell ref="H243:H246"/>
    <mergeCell ref="I243:I246"/>
    <mergeCell ref="J257:J258"/>
    <mergeCell ref="J253:J255"/>
    <mergeCell ref="C319:C320"/>
    <mergeCell ref="D319:D320"/>
    <mergeCell ref="J264:J265"/>
    <mergeCell ref="K257:K258"/>
    <mergeCell ref="I253:I255"/>
    <mergeCell ref="C268:C270"/>
    <mergeCell ref="D268:D270"/>
    <mergeCell ref="D253:D256"/>
    <mergeCell ref="I259:I261"/>
    <mergeCell ref="H268:H269"/>
    <mergeCell ref="C253:C256"/>
    <mergeCell ref="C257:C258"/>
    <mergeCell ref="H253:H255"/>
    <mergeCell ref="A313:A314"/>
    <mergeCell ref="C290:C291"/>
    <mergeCell ref="D327:D328"/>
    <mergeCell ref="H264:H265"/>
    <mergeCell ref="C280:C281"/>
    <mergeCell ref="D280:D281"/>
    <mergeCell ref="C285:C286"/>
    <mergeCell ref="C327:C328"/>
    <mergeCell ref="D290:D291"/>
    <mergeCell ref="A351:A352"/>
    <mergeCell ref="D259:D261"/>
    <mergeCell ref="D257:D258"/>
    <mergeCell ref="D264:D265"/>
    <mergeCell ref="D302:D305"/>
    <mergeCell ref="B307:B311"/>
    <mergeCell ref="D325:D326"/>
    <mergeCell ref="B275:B279"/>
    <mergeCell ref="D331:D333"/>
    <mergeCell ref="B313:B314"/>
    <mergeCell ref="L177:L178"/>
    <mergeCell ref="M177:M178"/>
    <mergeCell ref="A491:N491"/>
    <mergeCell ref="M253:M255"/>
    <mergeCell ref="J345:J347"/>
    <mergeCell ref="C365:C366"/>
    <mergeCell ref="D365:D366"/>
    <mergeCell ref="H365:H366"/>
    <mergeCell ref="I365:I366"/>
    <mergeCell ref="J365:J366"/>
    <mergeCell ref="H142:H143"/>
    <mergeCell ref="I142:I143"/>
    <mergeCell ref="J142:J143"/>
    <mergeCell ref="M166:M168"/>
    <mergeCell ref="J153:J156"/>
    <mergeCell ref="J166:J168"/>
    <mergeCell ref="L166:L168"/>
    <mergeCell ref="H144:H145"/>
    <mergeCell ref="H153:H156"/>
    <mergeCell ref="J186:J187"/>
    <mergeCell ref="K153:K156"/>
    <mergeCell ref="H177:H178"/>
    <mergeCell ref="I177:I178"/>
    <mergeCell ref="J177:J178"/>
    <mergeCell ref="H163:H164"/>
    <mergeCell ref="H186:H187"/>
    <mergeCell ref="K186:K187"/>
    <mergeCell ref="K177:K178"/>
    <mergeCell ref="I144:I145"/>
    <mergeCell ref="J157:J158"/>
    <mergeCell ref="K157:K158"/>
    <mergeCell ref="L157:L158"/>
    <mergeCell ref="N144:N145"/>
    <mergeCell ref="N153:N156"/>
    <mergeCell ref="M157:M158"/>
    <mergeCell ref="N157:N158"/>
    <mergeCell ref="M147:M148"/>
    <mergeCell ref="N147:N148"/>
    <mergeCell ref="O186:O187"/>
    <mergeCell ref="P186:P187"/>
    <mergeCell ref="L58:L59"/>
    <mergeCell ref="K131:K132"/>
    <mergeCell ref="K144:K145"/>
    <mergeCell ref="L186:L187"/>
    <mergeCell ref="M72:M75"/>
    <mergeCell ref="M60:M61"/>
    <mergeCell ref="K60:K61"/>
    <mergeCell ref="L60:L61"/>
    <mergeCell ref="H60:H61"/>
    <mergeCell ref="H56:H57"/>
    <mergeCell ref="I56:I57"/>
    <mergeCell ref="J128:J129"/>
    <mergeCell ref="H95:H96"/>
    <mergeCell ref="I72:I75"/>
    <mergeCell ref="H72:H75"/>
    <mergeCell ref="H128:H129"/>
    <mergeCell ref="I128:I129"/>
    <mergeCell ref="I114:I117"/>
    <mergeCell ref="C128:C130"/>
    <mergeCell ref="H104:H105"/>
    <mergeCell ref="K67:K69"/>
    <mergeCell ref="D63:D66"/>
    <mergeCell ref="C72:C75"/>
    <mergeCell ref="C63:C66"/>
    <mergeCell ref="D128:D130"/>
    <mergeCell ref="D114:D117"/>
    <mergeCell ref="D104:D105"/>
    <mergeCell ref="K128:K129"/>
    <mergeCell ref="C122:C127"/>
    <mergeCell ref="H122:H127"/>
    <mergeCell ref="I122:I127"/>
    <mergeCell ref="J122:J127"/>
    <mergeCell ref="C104:C105"/>
    <mergeCell ref="J131:J132"/>
    <mergeCell ref="C135:C137"/>
    <mergeCell ref="D135:D137"/>
    <mergeCell ref="H135:H137"/>
    <mergeCell ref="I135:I137"/>
    <mergeCell ref="J135:J137"/>
    <mergeCell ref="C118:C120"/>
    <mergeCell ref="D118:D120"/>
    <mergeCell ref="D122:D127"/>
    <mergeCell ref="H80:H83"/>
    <mergeCell ref="I80:I83"/>
    <mergeCell ref="J80:J83"/>
    <mergeCell ref="I95:I96"/>
    <mergeCell ref="J95:J96"/>
    <mergeCell ref="H92:H93"/>
    <mergeCell ref="J92:J93"/>
    <mergeCell ref="I118:I119"/>
    <mergeCell ref="J118:J119"/>
    <mergeCell ref="K80:K83"/>
    <mergeCell ref="I92:I93"/>
    <mergeCell ref="K95:K96"/>
    <mergeCell ref="J114:J117"/>
    <mergeCell ref="K114:K117"/>
    <mergeCell ref="K98:K100"/>
    <mergeCell ref="K92:K93"/>
    <mergeCell ref="I98:I100"/>
    <mergeCell ref="H41:H45"/>
    <mergeCell ref="I41:I45"/>
    <mergeCell ref="K104:K105"/>
    <mergeCell ref="J72:J75"/>
    <mergeCell ref="H98:H100"/>
    <mergeCell ref="H47:H48"/>
    <mergeCell ref="J50:J51"/>
    <mergeCell ref="I60:I61"/>
    <mergeCell ref="J58:J59"/>
    <mergeCell ref="J56:J57"/>
    <mergeCell ref="H6:I6"/>
    <mergeCell ref="K6:K7"/>
    <mergeCell ref="J6:J7"/>
    <mergeCell ref="L6:M6"/>
    <mergeCell ref="J41:J45"/>
    <mergeCell ref="C19:C21"/>
    <mergeCell ref="A1:N1"/>
    <mergeCell ref="A3:N3"/>
    <mergeCell ref="A4:N4"/>
    <mergeCell ref="A5:C7"/>
    <mergeCell ref="D5:D7"/>
    <mergeCell ref="E5:G6"/>
    <mergeCell ref="H5:M5"/>
    <mergeCell ref="N5:N7"/>
    <mergeCell ref="K19:K21"/>
    <mergeCell ref="I17:I18"/>
    <mergeCell ref="H19:H21"/>
    <mergeCell ref="I19:I21"/>
    <mergeCell ref="D47:D48"/>
    <mergeCell ref="J63:J66"/>
    <mergeCell ref="H50:H51"/>
    <mergeCell ref="K47:K48"/>
    <mergeCell ref="D60:D61"/>
    <mergeCell ref="D52:D53"/>
    <mergeCell ref="H52:H53"/>
    <mergeCell ref="H58:H59"/>
    <mergeCell ref="D58:D59"/>
    <mergeCell ref="I52:I53"/>
    <mergeCell ref="C77:C78"/>
    <mergeCell ref="C67:C69"/>
    <mergeCell ref="C47:C48"/>
    <mergeCell ref="C50:C51"/>
    <mergeCell ref="C58:C59"/>
    <mergeCell ref="C56:C57"/>
    <mergeCell ref="K52:K53"/>
    <mergeCell ref="I47:I48"/>
    <mergeCell ref="J47:J48"/>
    <mergeCell ref="K72:K75"/>
    <mergeCell ref="L11:L15"/>
    <mergeCell ref="M11:M15"/>
    <mergeCell ref="J17:J18"/>
    <mergeCell ref="J67:J69"/>
    <mergeCell ref="K50:K51"/>
    <mergeCell ref="J60:J61"/>
    <mergeCell ref="J52:J53"/>
    <mergeCell ref="K41:K45"/>
    <mergeCell ref="K63:K66"/>
    <mergeCell ref="K58:K59"/>
    <mergeCell ref="D11:D16"/>
    <mergeCell ref="D41:D46"/>
    <mergeCell ref="J11:J15"/>
    <mergeCell ref="K11:K15"/>
    <mergeCell ref="H11:H15"/>
    <mergeCell ref="I11:I15"/>
    <mergeCell ref="H17:H18"/>
    <mergeCell ref="D19:D21"/>
    <mergeCell ref="J19:J21"/>
    <mergeCell ref="D17:D18"/>
    <mergeCell ref="D186:D187"/>
    <mergeCell ref="I186:I187"/>
    <mergeCell ref="C186:C187"/>
    <mergeCell ref="M41:M45"/>
    <mergeCell ref="M153:M156"/>
    <mergeCell ref="L47:L48"/>
    <mergeCell ref="L52:L53"/>
    <mergeCell ref="M58:M59"/>
    <mergeCell ref="I50:I51"/>
    <mergeCell ref="K56:K57"/>
    <mergeCell ref="A169:A197"/>
    <mergeCell ref="B169:B197"/>
    <mergeCell ref="C163:C164"/>
    <mergeCell ref="C177:C178"/>
    <mergeCell ref="C169:C176"/>
    <mergeCell ref="C166:C168"/>
    <mergeCell ref="L243:L246"/>
    <mergeCell ref="M19:M21"/>
    <mergeCell ref="L41:L45"/>
    <mergeCell ref="M63:M66"/>
    <mergeCell ref="L67:L69"/>
    <mergeCell ref="M67:M69"/>
    <mergeCell ref="L19:L21"/>
    <mergeCell ref="L63:L66"/>
    <mergeCell ref="L72:L75"/>
    <mergeCell ref="M118:M119"/>
    <mergeCell ref="A198:A211"/>
    <mergeCell ref="B198:B211"/>
    <mergeCell ref="B217:B230"/>
    <mergeCell ref="A217:A230"/>
    <mergeCell ref="B212:B216"/>
    <mergeCell ref="A212:A216"/>
    <mergeCell ref="A231:A240"/>
    <mergeCell ref="B231:B240"/>
    <mergeCell ref="L231:L233"/>
    <mergeCell ref="K231:K233"/>
    <mergeCell ref="J231:J233"/>
    <mergeCell ref="H231:H233"/>
    <mergeCell ref="D345:D347"/>
    <mergeCell ref="I345:I347"/>
    <mergeCell ref="B329:B337"/>
    <mergeCell ref="B351:B352"/>
    <mergeCell ref="C351:C352"/>
    <mergeCell ref="D351:D352"/>
    <mergeCell ref="C331:C333"/>
    <mergeCell ref="C329:C330"/>
    <mergeCell ref="D329:D330"/>
    <mergeCell ref="A345:A347"/>
    <mergeCell ref="B345:B347"/>
    <mergeCell ref="A329:A337"/>
    <mergeCell ref="C345:C347"/>
    <mergeCell ref="H131:H132"/>
    <mergeCell ref="I163:I164"/>
    <mergeCell ref="L118:L119"/>
    <mergeCell ref="L375:L376"/>
    <mergeCell ref="K365:K366"/>
    <mergeCell ref="L365:L366"/>
    <mergeCell ref="L368:L369"/>
    <mergeCell ref="H217:H221"/>
    <mergeCell ref="H198:H202"/>
    <mergeCell ref="L307:L311"/>
    <mergeCell ref="D77:D78"/>
    <mergeCell ref="D72:D75"/>
    <mergeCell ref="D157:D159"/>
    <mergeCell ref="D163:D164"/>
    <mergeCell ref="D131:D132"/>
    <mergeCell ref="J163:J164"/>
    <mergeCell ref="M163:M164"/>
    <mergeCell ref="L163:L164"/>
    <mergeCell ref="K163:K164"/>
    <mergeCell ref="S186:S187"/>
    <mergeCell ref="B299:B306"/>
    <mergeCell ref="H302:H305"/>
    <mergeCell ref="C302:C305"/>
    <mergeCell ref="I268:I269"/>
    <mergeCell ref="H259:H261"/>
    <mergeCell ref="H280:H281"/>
    <mergeCell ref="I280:I281"/>
    <mergeCell ref="C212:C216"/>
    <mergeCell ref="D212:D216"/>
    <mergeCell ref="T186:T187"/>
    <mergeCell ref="H169:H175"/>
    <mergeCell ref="N169:N175"/>
    <mergeCell ref="M169:M175"/>
    <mergeCell ref="L169:L175"/>
    <mergeCell ref="K169:K175"/>
    <mergeCell ref="I169:I175"/>
    <mergeCell ref="J169:J175"/>
    <mergeCell ref="Q186:Q187"/>
    <mergeCell ref="R186:R187"/>
    <mergeCell ref="I131:I132"/>
    <mergeCell ref="D92:D93"/>
    <mergeCell ref="N98:N100"/>
    <mergeCell ref="N128:N129"/>
    <mergeCell ref="L95:L96"/>
    <mergeCell ref="M95:M96"/>
    <mergeCell ref="M131:M132"/>
    <mergeCell ref="K118:K119"/>
    <mergeCell ref="N118:N119"/>
    <mergeCell ref="H118:H119"/>
    <mergeCell ref="D198:D203"/>
    <mergeCell ref="C198:C203"/>
    <mergeCell ref="C217:C222"/>
    <mergeCell ref="C307:C311"/>
    <mergeCell ref="D243:D247"/>
    <mergeCell ref="C243:C247"/>
    <mergeCell ref="C259:C261"/>
    <mergeCell ref="D217:D222"/>
    <mergeCell ref="D241:D242"/>
    <mergeCell ref="C207:C208"/>
    <mergeCell ref="A307:A311"/>
    <mergeCell ref="I307:I311"/>
    <mergeCell ref="N243:N246"/>
    <mergeCell ref="N241:N242"/>
    <mergeCell ref="J241:J242"/>
    <mergeCell ref="H257:H258"/>
    <mergeCell ref="L302:L305"/>
    <mergeCell ref="A241:A242"/>
    <mergeCell ref="B241:B242"/>
    <mergeCell ref="A268:A274"/>
    <mergeCell ref="D285:D286"/>
    <mergeCell ref="I257:I258"/>
    <mergeCell ref="C264:C265"/>
    <mergeCell ref="B280:B284"/>
    <mergeCell ref="I264:I265"/>
    <mergeCell ref="A11:A40"/>
    <mergeCell ref="J375:J376"/>
    <mergeCell ref="B268:B274"/>
    <mergeCell ref="C231:C234"/>
    <mergeCell ref="D231:D234"/>
    <mergeCell ref="I231:I233"/>
    <mergeCell ref="A299:A306"/>
    <mergeCell ref="B253:B267"/>
    <mergeCell ref="A253:A267"/>
    <mergeCell ref="A280:A284"/>
    <mergeCell ref="B11:B40"/>
    <mergeCell ref="C11:C16"/>
    <mergeCell ref="C60:C61"/>
    <mergeCell ref="C52:C53"/>
    <mergeCell ref="C41:C46"/>
    <mergeCell ref="C17:C18"/>
    <mergeCell ref="C25:C26"/>
    <mergeCell ref="C23:C24"/>
    <mergeCell ref="H327:H328"/>
    <mergeCell ref="I339:I340"/>
    <mergeCell ref="J339:J340"/>
    <mergeCell ref="K339:K340"/>
    <mergeCell ref="I327:I328"/>
    <mergeCell ref="J331:J333"/>
    <mergeCell ref="K331:K333"/>
    <mergeCell ref="H444:H445"/>
    <mergeCell ref="I444:I445"/>
    <mergeCell ref="D380:D383"/>
    <mergeCell ref="H380:H383"/>
    <mergeCell ref="I380:I383"/>
    <mergeCell ref="D420:D421"/>
    <mergeCell ref="D444:D445"/>
    <mergeCell ref="D385:D386"/>
    <mergeCell ref="L380:L383"/>
    <mergeCell ref="H404:H405"/>
    <mergeCell ref="I404:I405"/>
    <mergeCell ref="J404:J405"/>
    <mergeCell ref="K404:K405"/>
    <mergeCell ref="L404:L405"/>
    <mergeCell ref="E404:E405"/>
    <mergeCell ref="K380:K383"/>
    <mergeCell ref="J444:J445"/>
    <mergeCell ref="K444:K445"/>
    <mergeCell ref="L444:L445"/>
    <mergeCell ref="J259:J261"/>
    <mergeCell ref="J380:J383"/>
    <mergeCell ref="K268:K269"/>
    <mergeCell ref="L339:L340"/>
    <mergeCell ref="L268:L269"/>
    <mergeCell ref="L325:L326"/>
    <mergeCell ref="J268:J269"/>
    <mergeCell ref="K345:K347"/>
    <mergeCell ref="N404:N405"/>
    <mergeCell ref="K375:K376"/>
    <mergeCell ref="M375:M376"/>
    <mergeCell ref="M365:M366"/>
    <mergeCell ref="M368:M369"/>
    <mergeCell ref="N368:N369"/>
    <mergeCell ref="N375:N376"/>
    <mergeCell ref="N380:N383"/>
    <mergeCell ref="M380:M383"/>
    <mergeCell ref="K17:K18"/>
    <mergeCell ref="M17:M18"/>
    <mergeCell ref="N41:N45"/>
    <mergeCell ref="M264:M265"/>
    <mergeCell ref="K243:K246"/>
    <mergeCell ref="N257:N258"/>
    <mergeCell ref="K264:K265"/>
    <mergeCell ref="N259:N261"/>
    <mergeCell ref="M259:M261"/>
    <mergeCell ref="N19:N21"/>
    <mergeCell ref="M444:M445"/>
    <mergeCell ref="N444:N445"/>
    <mergeCell ref="N11:N15"/>
    <mergeCell ref="L17:L18"/>
    <mergeCell ref="N268:N269"/>
    <mergeCell ref="M268:M269"/>
    <mergeCell ref="N17:N18"/>
    <mergeCell ref="N72:N75"/>
    <mergeCell ref="N67:N69"/>
    <mergeCell ref="N163:N164"/>
  </mergeCells>
  <dataValidations count="7">
    <dataValidation type="textLength" allowBlank="1" showInputMessage="1" showErrorMessage="1" error="Недопустимое количество символов в строке" sqref="B377:B378 B471 B384:B385 B374:B375 B418:B419 B406:B411 E413 B459:B460 B437:B438 B422 E126:G126 C128 E81:G81 E96:G96 F95:G95 E93:G94 E111:G111 E88:G88 F122:G122 C121:C122 E109:G109 F113:G113 F115:G117 C118 F125:G125 F138:G138 E165:G165 F151:G151 E150:G150 E197:F197 F210:G211 F240:G240 E228:G230 E238:G239 F274:G274 F266:G266 E260:G260 E265:G265 E251:G252 E267:G267 F249:G249 E273:G273 E187:G187 E192:G196 F190:G190 B76 C72:C76 E56:G57 E70:G70 E40:G40 F27:G28 B10 E24:G24 E26:G26 F25:G25 F288:G288 F283:G283 E284:G284 C284 F279:G279 E294:G294 F293:G293 C296:C298 E336:G336 F302:F305 F298:G298 B348:B350 B357:B361">
      <formula1>0</formula1>
      <formula2>255</formula2>
    </dataValidation>
    <dataValidation type="decimal" allowBlank="1" showInputMessage="1" showErrorMessage="1" error="Введенное число превышает допустимое значение" sqref="H385:H389 J341:K345 H338:I345 L338:M345 J338:K339 H471:M472 H485:M489 H428:M440 J385:J396 H384:M384 H377:J383 L377:M383 L374:M375 H374:J375 H368:H369 L386:M389 I385:I398 K385:M385 H416:M417 M418:N418 I418:K418 H411:M411 L413:M415 K404:M405 J398:J410 L396:M403 L406:M410 H413:J415 L391:M394 H391:H398 H400:I410 L419:M419 H419:J419 H446:M452 H420:M425 H454:M460 H442:M443 H467:M469 H357:M364 H157:M166 H169:M169 J144:M147 I142:I147 H142 H144:H147 K104 L104:M108 K106:K108 H113:M114 H110:M110 H118:M118 K102:M103 I101:M101 H101:H108 H97:M98 I102:J108 H79:M81 H84:M87 H122:K122 H89:M91 H128:M130 H139:M139 O160:T160 H152:M153 H149:M149 J142:M142 K209:K210 K203:M203 K204:K207 H240:M241 H229:M238 K247:M247 H243:M243 H222:M227 L204:M212 H217:M217 H212:K212 H275:M277 H249:M250 H252:M254 H268:M268 K256:M256 O253:S253 K270:M272 K274:M274 H194:M198 H76:M77 H67:M68 K58 K60:M60 K62:K63 L62:M64 L58:M59 H62:J64 H58:J60 L41:M45 H41:J45 K41 H17:M17 H71:M72">
      <formula1>-99999999999</formula1>
      <formula2>99999999999</formula2>
    </dataValidation>
    <dataValidation type="decimal" allowBlank="1" showInputMessage="1" showErrorMessage="1" error="Введенное число превышает допустимое значение" sqref="H47:M56 H279:M283 H285:M290 H292:M294 H329:M330 K337:M337 K331 L331:M335 K334:K335 H301:M307 H298:M299 H312:M320 H348:M352">
      <formula1>-99999999999</formula1>
      <formula2>99999999999</formula2>
    </dataValidation>
    <dataValidation type="whole" allowBlank="1" showInputMessage="1" showErrorMessage="1" errorTitle="Ошибка ввода" error="Введите целое число между 100 и 9999" sqref="O419 O385:O416 P417:P418">
      <formula1>100</formula1>
      <formula2>9999</formula2>
    </dataValidation>
    <dataValidation allowBlank="1" showInputMessage="1" showErrorMessage="1" error="Недопустимое количество символов в строке" sqref="B416:B417 B379 B128:B138"/>
    <dataValidation allowBlank="1" showInputMessage="1" showErrorMessage="1" error="Введенное число превышает допустимое значение" sqref="N417"/>
    <dataValidation type="textLength" allowBlank="1" showErrorMessage="1" error="Недопустимое количество символов в строке" sqref="N54:N55 E27">
      <formula1>0</formula1>
      <formula2>255</formula2>
    </dataValidation>
  </dataValidations>
  <printOptions/>
  <pageMargins left="0.15748031496062992" right="0.15748031496062992" top="1.3779527559055118" bottom="0.3937007874015748" header="0.5118110236220472" footer="0.31496062992125984"/>
  <pageSetup fitToHeight="35" fitToWidth="1" horizontalDpi="600" verticalDpi="600" orientation="landscape" paperSize="9" scale="46" r:id="rId1"/>
  <headerFooter alignWithMargins="0">
    <oddFooter>&amp;CСтраница &amp;P</oddFooter>
  </headerFooter>
  <rowBreaks count="8" manualBreakCount="8">
    <brk id="55" max="255" man="1"/>
    <brk id="71" max="255" man="1"/>
    <brk id="88" max="255" man="1"/>
    <brk id="113" max="255" man="1"/>
    <brk id="152" max="255" man="1"/>
    <brk id="173" max="255" man="1"/>
    <brk id="242" max="255" man="1"/>
    <brk id="3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Котова</dc:creator>
  <cp:keywords/>
  <dc:description/>
  <cp:lastModifiedBy>Admin</cp:lastModifiedBy>
  <cp:lastPrinted>2013-02-11T09:52:56Z</cp:lastPrinted>
  <dcterms:created xsi:type="dcterms:W3CDTF">2009-06-30T04:50:06Z</dcterms:created>
  <dcterms:modified xsi:type="dcterms:W3CDTF">2013-02-11T12:04:04Z</dcterms:modified>
  <cp:category/>
  <cp:version/>
  <cp:contentType/>
  <cp:contentStatus/>
</cp:coreProperties>
</file>